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ro" sheetId="1" r:id="rId4"/>
    <sheet state="visible" name="NuevoC" sheetId="2" r:id="rId5"/>
    <sheet state="visible" name="NCAut" sheetId="3" r:id="rId6"/>
    <sheet state="visible" name="NCInst" sheetId="4" r:id="rId7"/>
    <sheet state="visible" name="NCGrupos" sheetId="5" r:id="rId8"/>
    <sheet state="visible" name="Aprop" sheetId="6" r:id="rId9"/>
    <sheet state="visible" name="ApropAut" sheetId="7" r:id="rId10"/>
  </sheets>
  <definedNames/>
  <calcPr/>
</workbook>
</file>

<file path=xl/sharedStrings.xml><?xml version="1.0" encoding="utf-8"?>
<sst xmlns="http://schemas.openxmlformats.org/spreadsheetml/2006/main" count="512" uniqueCount="242">
  <si>
    <t xml:space="preserve">Autor 1 </t>
  </si>
  <si>
    <t>Inst Autor 1</t>
  </si>
  <si>
    <t>Grupo Autor 1</t>
  </si>
  <si>
    <t xml:space="preserve">Autor 2 </t>
  </si>
  <si>
    <t>Inst Autor 2</t>
  </si>
  <si>
    <t>Grupo Autor 2</t>
  </si>
  <si>
    <t>Autor 3</t>
  </si>
  <si>
    <t>Inst Autor 3</t>
  </si>
  <si>
    <t>Grupo Autor 3</t>
  </si>
  <si>
    <t>Autor 4</t>
  </si>
  <si>
    <t>Inst Autor 4</t>
  </si>
  <si>
    <t>Grupo Autor 4</t>
  </si>
  <si>
    <t>Autor 5</t>
  </si>
  <si>
    <t>Inst Autor 5</t>
  </si>
  <si>
    <t>Grupo Autor 5</t>
  </si>
  <si>
    <t>Autor 6</t>
  </si>
  <si>
    <t>Inst Autor 6</t>
  </si>
  <si>
    <t>Grupo Autor 6</t>
  </si>
  <si>
    <t>Autor 7</t>
  </si>
  <si>
    <t>Inst Autor 7</t>
  </si>
  <si>
    <t>Grupo Autor 7</t>
  </si>
  <si>
    <t>Autor 8</t>
  </si>
  <si>
    <t>Inst Autor 8</t>
  </si>
  <si>
    <t>Grupo Autor 8</t>
  </si>
  <si>
    <t>Autor 9</t>
  </si>
  <si>
    <t>Inst Autor 9</t>
  </si>
  <si>
    <t>Grupo Autor 9</t>
  </si>
  <si>
    <t>Autor 10</t>
  </si>
  <si>
    <t>Inst Autor 10</t>
  </si>
  <si>
    <t>Grupo Autor 10</t>
  </si>
  <si>
    <t>Autor 11</t>
  </si>
  <si>
    <t>Inst Autor 11</t>
  </si>
  <si>
    <t>Grupo Autor 11</t>
  </si>
  <si>
    <t>Autor 12</t>
  </si>
  <si>
    <t>Inst Autor 12</t>
  </si>
  <si>
    <t>Grupo Autor 12</t>
  </si>
  <si>
    <t>Autor 13</t>
  </si>
  <si>
    <t>Inst Autor 13</t>
  </si>
  <si>
    <t>Grupo Autor 13</t>
  </si>
  <si>
    <t>Autor 14</t>
  </si>
  <si>
    <t>Inst Autor 14</t>
  </si>
  <si>
    <t>Grupo Autor 14</t>
  </si>
  <si>
    <t>Publicación</t>
  </si>
  <si>
    <t>Factor impacto</t>
  </si>
  <si>
    <t>Arnaldo Álvarez</t>
  </si>
  <si>
    <t>Universidad de Antioquia</t>
  </si>
  <si>
    <t>Magín Lapuerta</t>
  </si>
  <si>
    <t>Universidad de Castilla-La mancha</t>
  </si>
  <si>
    <t>John R. Agudelo</t>
  </si>
  <si>
    <t>Industrial &amp; Engineering Chemistry Research</t>
  </si>
  <si>
    <t>Santiago Alzate</t>
  </si>
  <si>
    <t>Institucion Universitaria Pascual Bravo</t>
  </si>
  <si>
    <t xml:space="preserve">Bonie Restrepo-Cuestas </t>
  </si>
  <si>
    <t>Instituto Tecnológico Metropolitano</t>
  </si>
  <si>
    <t>MATyER</t>
  </si>
  <si>
    <t xml:space="preserve">Álvaro Jaramillo-Duque </t>
  </si>
  <si>
    <t>GIMEL</t>
  </si>
  <si>
    <t>Resources (ISSN 2079-9276)</t>
  </si>
  <si>
    <t xml:space="preserve">José de Jesús Jaramillo Serna </t>
  </si>
  <si>
    <t xml:space="preserve">Jesús M. López-Lezama </t>
  </si>
  <si>
    <t>Energies (ISSN 1996-1073)</t>
  </si>
  <si>
    <t>Edwin Lenin Chica Arrieta</t>
  </si>
  <si>
    <t>Departamento de Ingeniería Mecánica</t>
  </si>
  <si>
    <t>Ainhoa Rubio Clemente</t>
  </si>
  <si>
    <t>Institución Universitaria TdeA</t>
  </si>
  <si>
    <t>Facultad de Ingeniería</t>
  </si>
  <si>
    <t xml:space="preserve">Jonathan Aguilar </t>
  </si>
  <si>
    <t>Usma Albert</t>
  </si>
  <si>
    <t xml:space="preserve">Aristizábal R </t>
  </si>
  <si>
    <t>GIPIMME</t>
  </si>
  <si>
    <t>Juan Tirado</t>
  </si>
  <si>
    <t>CIDEMAT</t>
  </si>
  <si>
    <t>Manuel Vázquez-Montoya</t>
  </si>
  <si>
    <t>Cristina    Roldán-Carmona</t>
  </si>
  <si>
    <t>EPFL</t>
  </si>
  <si>
    <t>Molecular Engineering of Functional Materials</t>
  </si>
  <si>
    <t>Maryline 
Ralaiarisoa</t>
  </si>
  <si>
    <t>Humboldt Universitat</t>
  </si>
  <si>
    <t>Institut fur Physik</t>
  </si>
  <si>
    <t>Norbert Koch</t>
  </si>
  <si>
    <t>Mohammad Khaja Nazeeruddin</t>
  </si>
  <si>
    <t>Franklin Jaramillo</t>
  </si>
  <si>
    <t>Applied Energy Materials (ISSN: 2574-0962)</t>
  </si>
  <si>
    <t>José de Jesús Jaramillo Serna</t>
  </si>
  <si>
    <t>Jesús M. López-Lezama</t>
  </si>
  <si>
    <t xml:space="preserve">Julián Urrego-Ortiz </t>
  </si>
  <si>
    <t>GIGA</t>
  </si>
  <si>
    <t>J. Alejandro Martínez</t>
  </si>
  <si>
    <t xml:space="preserve">Paola A. Arias </t>
  </si>
  <si>
    <t>Giovanni Andrés Quintana-Pedraza</t>
  </si>
  <si>
    <t xml:space="preserve">Sara Cristina Vieira-Agudelo </t>
  </si>
  <si>
    <t xml:space="preserve">Nicolás Muñoz-Galeano </t>
  </si>
  <si>
    <t>Esteban Velilla</t>
  </si>
  <si>
    <t>Juan B. Cano</t>
  </si>
  <si>
    <t>Jonathan Javier Pabón Rojas</t>
  </si>
  <si>
    <t>Universidad de Pamplona</t>
  </si>
  <si>
    <t>Andrés Jahir Chalaca Salas</t>
  </si>
  <si>
    <t>LAURA ISABEL VELÁSQUEZ GARCÍA</t>
  </si>
  <si>
    <t>Luis A. Gallo</t>
  </si>
  <si>
    <t>GEA</t>
  </si>
  <si>
    <t>Elkin Flórez</t>
  </si>
  <si>
    <t>GIMUP</t>
  </si>
  <si>
    <t>Domínguez, D</t>
  </si>
  <si>
    <t>Mosquera, A.M</t>
  </si>
  <si>
    <t>Ruiz, J.A</t>
  </si>
  <si>
    <t>Molina, F</t>
  </si>
  <si>
    <t>Peláez, C</t>
  </si>
  <si>
    <t>Peñuela, M</t>
  </si>
  <si>
    <t>Laura Velasquez</t>
  </si>
  <si>
    <t>Edwin Chica</t>
  </si>
  <si>
    <t>Dany Mauricio López-Santiago</t>
  </si>
  <si>
    <t>Universidad del Valle</t>
  </si>
  <si>
    <t>Eduardo Francisco Caicedo</t>
  </si>
  <si>
    <t>IET Generation, Transmission &amp; Distribution (ISSN 1751-8695)</t>
  </si>
  <si>
    <t>David E. Betancur-Herrera</t>
  </si>
  <si>
    <t>Nicolás Muñoz-Galeano</t>
  </si>
  <si>
    <t>Communications in Nonlinear Science and Numerical Simulation (ISSN: 1007-5704)</t>
  </si>
  <si>
    <t xml:space="preserve">Andrés F Gualdrón-Reyes </t>
  </si>
  <si>
    <t>Lab-IBEAR</t>
  </si>
  <si>
    <t>Jhonatan Rodríguez-Pereira</t>
  </si>
  <si>
    <t>Universidad Industrial de Santander</t>
  </si>
  <si>
    <t>INAM</t>
  </si>
  <si>
    <t xml:space="preserve">Eliseo Amado-González </t>
  </si>
  <si>
    <t>Jorge Rueda-P</t>
  </si>
  <si>
    <t>Grupo de Óptica Moderna</t>
  </si>
  <si>
    <t>Rogelio Ospina</t>
  </si>
  <si>
    <t>CMN</t>
  </si>
  <si>
    <t>Sofia Masi</t>
  </si>
  <si>
    <t>Universitat Jaume I</t>
  </si>
  <si>
    <t xml:space="preserve"> Institute of Advanced Materials (INAM)</t>
  </si>
  <si>
    <t>Seog Joon Yoon</t>
  </si>
  <si>
    <t>Yeungnam University</t>
  </si>
  <si>
    <t>Said Agouram</t>
  </si>
  <si>
    <t>University of Valencia</t>
  </si>
  <si>
    <t>Department of Applied Physics and Electromagnetism</t>
  </si>
  <si>
    <t>Vicente Muñoz-Sanjosé</t>
  </si>
  <si>
    <t>Materials for Renewable Energy (MAER)</t>
  </si>
  <si>
    <t>Sixto Giménez</t>
  </si>
  <si>
    <t>Unitat Mixta d'Investigació UV-UJI</t>
  </si>
  <si>
    <t>Iván Mora-Seró</t>
  </si>
  <si>
    <t>ACS Applied Materials &amp; Interfaces (ISSN: 1944-8252)</t>
  </si>
  <si>
    <t xml:space="preserve">Walter M. Villa-Acevedo </t>
  </si>
  <si>
    <t>Departamento de Ingeniería Eléctrica</t>
  </si>
  <si>
    <t>Jesús M. López Lezama</t>
  </si>
  <si>
    <t>Delia G. Colomé</t>
  </si>
  <si>
    <t>Universidad Nacional de San Juan</t>
  </si>
  <si>
    <t xml:space="preserve">
Instituto de Energía Eléctrica</t>
  </si>
  <si>
    <t xml:space="preserve">Sergio Danilo Saldarriaga-Zuluaga </t>
  </si>
  <si>
    <t>Institución Universitaria Pascual Bravo</t>
  </si>
  <si>
    <t>Departamento de Eléctrica</t>
  </si>
  <si>
    <t>Jesús María López-Lezama</t>
  </si>
  <si>
    <t>F.A.Vásquez</t>
  </si>
  <si>
    <t>J.E.Thomas</t>
  </si>
  <si>
    <t>YPF Tecnología S.A</t>
  </si>
  <si>
    <t>J.A.Calderón</t>
  </si>
  <si>
    <t>Solid State Ionics (ISSN
0167-2738)</t>
  </si>
  <si>
    <t>David E.Betancur-Herrera</t>
  </si>
  <si>
    <t>NicolasMuñoz-Galeano</t>
  </si>
  <si>
    <t>Data in Brief (ISSN 2352-3409)</t>
  </si>
  <si>
    <t>NA</t>
  </si>
  <si>
    <t>Ramirez D</t>
  </si>
  <si>
    <t xml:space="preserve">Edwin Lenin Chica </t>
  </si>
  <si>
    <t>JOURNAL OF MECHANICAL ENGINEERING AND SCIENCES (JMES) (ISSN: 2231-8380)</t>
  </si>
  <si>
    <t>Marlon Cadrazco</t>
  </si>
  <si>
    <t>Alexander Santamaría</t>
  </si>
  <si>
    <t>I. Cristina Jaramillo</t>
  </si>
  <si>
    <t>University of Utah</t>
  </si>
  <si>
    <t>Kamaljeet Kaur</t>
  </si>
  <si>
    <t>K. E. Kelly</t>
  </si>
  <si>
    <t>Combustion and Flame (ISSN 0010-2180)</t>
  </si>
  <si>
    <t>Karen Ospino</t>
  </si>
  <si>
    <t>Elkin Gómez</t>
  </si>
  <si>
    <t>Luis Rios</t>
  </si>
  <si>
    <t>Información tecnológica (ISSN 0718-0764)</t>
  </si>
  <si>
    <t xml:space="preserve">Yefferson López </t>
  </si>
  <si>
    <t>GASURE</t>
  </si>
  <si>
    <t xml:space="preserve">Alex M. García </t>
  </si>
  <si>
    <t xml:space="preserve">Andrés A. Amell </t>
  </si>
  <si>
    <t>Journal of Thermal Science and Engineering Applications (eISSN: 1948-5093)</t>
  </si>
  <si>
    <t>Leon Felipe Serna Montoya,</t>
  </si>
  <si>
    <t>Juan Bernardo Cano Quintero,</t>
  </si>
  <si>
    <t>Nicolas Munoz Galeano</t>
  </si>
  <si>
    <t>Jesus Maria Lopez Lezama</t>
  </si>
  <si>
    <t>Oswaldo A. Arraez Cancelliere</t>
  </si>
  <si>
    <t>Nicolás Muñoz Galeano</t>
  </si>
  <si>
    <t>Ricardo Echeverri Martinez</t>
  </si>
  <si>
    <t>Escuela de Ingeniería Eléctrica y Electrónica</t>
  </si>
  <si>
    <t>Eduardo Caicedo Bravo</t>
  </si>
  <si>
    <t>Wilfredo Alfonso Morales</t>
  </si>
  <si>
    <t>Juan David García Racines</t>
  </si>
  <si>
    <t>International Journal of Energy Economics and Policy (ISSN: 2146-4553)</t>
  </si>
  <si>
    <t>BenjamÌn Eddie Zayas PÈrez</t>
  </si>
  <si>
    <t>Instituto Nacional de Electricidad y Energias Limpias</t>
  </si>
  <si>
    <t>Alfredo Espinosa Reza</t>
  </si>
  <si>
    <t>Antonio Rodriguez</t>
  </si>
  <si>
    <t>Universidad Autónoma del Estado de Morelos</t>
  </si>
  <si>
    <t>International Journal of Sustainable Energy (ISSN: 1478-646X)</t>
  </si>
  <si>
    <t>Silvana Arias Arias</t>
  </si>
  <si>
    <t>GAIA</t>
  </si>
  <si>
    <t>John Ramiro Agudelo</t>
  </si>
  <si>
    <t>Francisco José Molina</t>
  </si>
  <si>
    <t>J. Obando</t>
  </si>
  <si>
    <t>Y. López</t>
  </si>
  <si>
    <t>C. Echeverri Uribe</t>
  </si>
  <si>
    <t>Y. Cadavid</t>
  </si>
  <si>
    <t>Andrés A. Amell</t>
  </si>
  <si>
    <t>Cristian C. Mejía</t>
  </si>
  <si>
    <t xml:space="preserve">
Alex M. Garcia Vergara</t>
  </si>
  <si>
    <t xml:space="preserve">Julian Obando </t>
  </si>
  <si>
    <t>Alex M. García</t>
  </si>
  <si>
    <t>M. Alejandro Rendon</t>
  </si>
  <si>
    <t>Fuel (ISSN 0016-2361)</t>
  </si>
  <si>
    <t>Fernando Cardeño</t>
  </si>
  <si>
    <t>James Marín</t>
  </si>
  <si>
    <t>Santiago Ortiz</t>
  </si>
  <si>
    <t>Universidad de La
Sabana</t>
  </si>
  <si>
    <t>Laboratorio de Energia, MAteriales y Ambiente</t>
  </si>
  <si>
    <t>Camilo Rengifo</t>
  </si>
  <si>
    <t>Departamento de Matemáticas, Física y Estadística</t>
  </si>
  <si>
    <t>Martha Cobo</t>
  </si>
  <si>
    <t>Manuel Figueredo</t>
  </si>
  <si>
    <t>Universidad de Castilla-La Mancha</t>
  </si>
  <si>
    <t>Renewable Energy (ISSN 0960-1481)</t>
  </si>
  <si>
    <t>A.F. Lopez Rodriguez</t>
  </si>
  <si>
    <t>J.C. Serrano Rico</t>
  </si>
  <si>
    <t>E.G. Florez Serrano</t>
  </si>
  <si>
    <t>J. Velásquez</t>
  </si>
  <si>
    <t>A. Flórez</t>
  </si>
  <si>
    <t>J. Tirado</t>
  </si>
  <si>
    <t>D. Ramírez</t>
  </si>
  <si>
    <t>J.F. Montoya</t>
  </si>
  <si>
    <t>R. Betancur</t>
  </si>
  <si>
    <t>Edwin Gallego</t>
  </si>
  <si>
    <t>Juan Pineda</t>
  </si>
  <si>
    <t>Laura Velásquez</t>
  </si>
  <si>
    <t>Journal of King Saud University - Engineering Sciences (ISSN1018-3639)</t>
  </si>
  <si>
    <t>select *    where B = 'Nuevo_Conocimiento' order by AX desc</t>
  </si>
  <si>
    <t xml:space="preserve"> BS, BT, BU, BV, BW, BX, BY, BZ , CA, CB, CC, CD, CE, CF, CG, CH, CI, CJ, CK</t>
  </si>
  <si>
    <t>select A,C, BA, BD, BG, BJ, BM, BP, BS, BV, CB, CE, CH, CK, CN</t>
  </si>
  <si>
    <t>select A,C, BB, BE, BH, BK, BN, BQ, BT, BW, BZ, CC, CF, CI, CM, CO</t>
  </si>
  <si>
    <t>select A,C, BC, BF, BI, BL, BO, BR, BU, BX, CA, CD, CG, CJ, CM, CP</t>
  </si>
  <si>
    <t>select *    where B = 'Apropiación' order by AX 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</si>
</sst>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000000"/>
      <name val="&quot;Arial&quot;"/>
    </font>
    <font>
      <b/>
      <sz val="11.0"/>
      <color theme="1"/>
      <name val="Arial"/>
    </font>
    <font>
      <u/>
      <color rgb="FF0000FF"/>
    </font>
    <font>
      <u/>
      <color rgb="FF0000FF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Font="1"/>
    <xf borderId="0" fillId="2" fontId="2" numFmtId="0" xfId="0" applyFill="1" applyFont="1"/>
    <xf borderId="0" fillId="2" fontId="7" numFmtId="0" xfId="0" applyFont="1"/>
    <xf borderId="0" fillId="2" fontId="2" numFmtId="0" xfId="0" applyAlignment="1" applyFont="1">
      <alignment shrinkToFit="0" wrapText="1"/>
    </xf>
    <xf borderId="1" fillId="0" fontId="8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va_kpdwoTDVxmNvAfEIMAbx4K8S2NorY" TargetMode="External"/><Relationship Id="rId42" Type="http://schemas.openxmlformats.org/officeDocument/2006/relationships/hyperlink" Target="https://drive.google.com/open?id=1NYAwDCan9sVUZIrbn38RsGLZVT91xW9g" TargetMode="External"/><Relationship Id="rId41" Type="http://schemas.openxmlformats.org/officeDocument/2006/relationships/hyperlink" Target="https://drive.google.com/open?id=1URg0H6n_0-9CV0OjX6nBC1cawxSbYzVD" TargetMode="External"/><Relationship Id="rId44" Type="http://schemas.openxmlformats.org/officeDocument/2006/relationships/hyperlink" Target="https://drive.google.com/open?id=1VxkE9IpUR1-UXRg9q-DpXdx7qlUJZ1jE" TargetMode="External"/><Relationship Id="rId43" Type="http://schemas.openxmlformats.org/officeDocument/2006/relationships/hyperlink" Target="https://drive.google.com/open?id=1-chW1gKKhGkPpHE2bl2Vg0uaydhaJlS3" TargetMode="External"/><Relationship Id="rId46" Type="http://schemas.openxmlformats.org/officeDocument/2006/relationships/hyperlink" Target="https://drive.google.com/file/d/1a7Lu4XRV2gIBmq1XLsJXeoEMsJVHbMQH/view?usp=sharing" TargetMode="External"/><Relationship Id="rId45" Type="http://schemas.openxmlformats.org/officeDocument/2006/relationships/hyperlink" Target="https://drive.google.com/open?id=1bA_y8fXI_vJNx8Z8X-GyXW0R8gfO7C6t" TargetMode="External"/><Relationship Id="rId107" Type="http://schemas.openxmlformats.org/officeDocument/2006/relationships/hyperlink" Target="https://doi.org/10.14483/23448393.15993" TargetMode="External"/><Relationship Id="rId106" Type="http://schemas.openxmlformats.org/officeDocument/2006/relationships/hyperlink" Target="https://drive.google.com/file/d/1ZLc6ZJwRJbYv6kpuH_iRYEvOCSD3iBK8/view?usp=sharing" TargetMode="External"/><Relationship Id="rId105" Type="http://schemas.openxmlformats.org/officeDocument/2006/relationships/hyperlink" Target="https://doi.org/10.1016/j.comnet.2020.107560" TargetMode="External"/><Relationship Id="rId104" Type="http://schemas.openxmlformats.org/officeDocument/2006/relationships/hyperlink" Target="https://drive.google.com/file/d/1Lpyp26pDj3B8xTz1uWLb12AQeiGOY9TF/view?usp=sharing" TargetMode="External"/><Relationship Id="rId109" Type="http://schemas.openxmlformats.org/officeDocument/2006/relationships/hyperlink" Target="https://drive.google.com/file/d/1Fg7ui0265bTZFHPRvm4LcS51c4A5AZtT/view?usp=sharing" TargetMode="External"/><Relationship Id="rId108" Type="http://schemas.openxmlformats.org/officeDocument/2006/relationships/hyperlink" Target="https://drive.google.com/file/d/117P8P4Jk33RCOYeH7wz7dtY2BilbMJdW/view?usp=sharing" TargetMode="External"/><Relationship Id="rId48" Type="http://schemas.openxmlformats.org/officeDocument/2006/relationships/hyperlink" Target="https://drive.google.com/file/d/1naHpY3Om1kDsdS-FtYsbd6GVO8pVUKn5/view?usp=sharing" TargetMode="External"/><Relationship Id="rId47" Type="http://schemas.openxmlformats.org/officeDocument/2006/relationships/hyperlink" Target="https://drive.google.com/file/d/1HeK1VVJnNU7D_sJrgbEWvEgABplc-Yeo/view?usp=sharing" TargetMode="External"/><Relationship Id="rId49" Type="http://schemas.openxmlformats.org/officeDocument/2006/relationships/hyperlink" Target="https://drive.google.com/file/d/1e-iM2tkhsKIaOWjhLvZKHbcdvwGFt00x/view?usp=sharing" TargetMode="External"/><Relationship Id="rId103" Type="http://schemas.openxmlformats.org/officeDocument/2006/relationships/hyperlink" Target="https://doi.org/10.1115/1.4048503" TargetMode="External"/><Relationship Id="rId102" Type="http://schemas.openxmlformats.org/officeDocument/2006/relationships/hyperlink" Target="https://drive.google.com/file/d/1IblewhPJzmsea5FuwHKT5KL7OXAqQNvr/view?usp=sharing" TargetMode="External"/><Relationship Id="rId101" Type="http://schemas.openxmlformats.org/officeDocument/2006/relationships/hyperlink" Target="https://doi.org/10.1016/j.carbon.2020.09.074" TargetMode="External"/><Relationship Id="rId100" Type="http://schemas.openxmlformats.org/officeDocument/2006/relationships/hyperlink" Target="https://drive.google.com/file/d/1B-xPUZgBcIZx2ec_IhiGEsp49C2R12jO/view?usp=sharing" TargetMode="External"/><Relationship Id="rId31" Type="http://schemas.openxmlformats.org/officeDocument/2006/relationships/hyperlink" Target="https://drive.google.com/open?id=1NP9Pt0BwMKbxD6jnUH3UyjclUuBNGXlZ" TargetMode="External"/><Relationship Id="rId30" Type="http://schemas.openxmlformats.org/officeDocument/2006/relationships/hyperlink" Target="https://drive.google.com/open?id=1kOlr_AEf0mbwQFfbC-YVaW3XwKet6V7V" TargetMode="External"/><Relationship Id="rId33" Type="http://schemas.openxmlformats.org/officeDocument/2006/relationships/hyperlink" Target="https://drive.google.com/open?id=1-HqESMEmoHDsnHsd-9yMtyorAjC-QBug" TargetMode="External"/><Relationship Id="rId32" Type="http://schemas.openxmlformats.org/officeDocument/2006/relationships/hyperlink" Target="https://drive.google.com/open?id=1ugtLd-k0aB28RID3Hgm1hk-d8SLn8abf" TargetMode="External"/><Relationship Id="rId35" Type="http://schemas.openxmlformats.org/officeDocument/2006/relationships/hyperlink" Target="https://drive.google.com/file/d/1pxoP3UqyMTZr0MzlbhbZgdTMr_xzoCn0/view?usp=sharing" TargetMode="External"/><Relationship Id="rId34" Type="http://schemas.openxmlformats.org/officeDocument/2006/relationships/hyperlink" Target="https://drive.google.com/open?id=1fRU-A9dt_ueHqq3bVUje8jdXWbJUYsLx" TargetMode="External"/><Relationship Id="rId37" Type="http://schemas.openxmlformats.org/officeDocument/2006/relationships/hyperlink" Target="https://drive.google.com/open?id=1eqZwqhrJIN2TltIpLjrf_yD6jLIw64wR" TargetMode="External"/><Relationship Id="rId36" Type="http://schemas.openxmlformats.org/officeDocument/2006/relationships/hyperlink" Target="https://drive.google.com/file/d/1V6uXlWX1hq5mog8jIRCrsFnX-AI8hheD/view?usp=sharing" TargetMode="External"/><Relationship Id="rId39" Type="http://schemas.openxmlformats.org/officeDocument/2006/relationships/hyperlink" Target="https://drive.google.com/open?id=1iEmaJUcLzGw26dACp0RKbPEkNROhtYba" TargetMode="External"/><Relationship Id="rId38" Type="http://schemas.openxmlformats.org/officeDocument/2006/relationships/hyperlink" Target="https://drive.google.com/open?id=1XhyLcT9_R6wP5dAi-EZyR7qbl0tN1K7-" TargetMode="External"/><Relationship Id="rId20" Type="http://schemas.openxmlformats.org/officeDocument/2006/relationships/hyperlink" Target="https://drive.google.com/open?id=1ur7zFTs0rbpwHyAJaoEmITTEOwTXnelz" TargetMode="External"/><Relationship Id="rId22" Type="http://schemas.openxmlformats.org/officeDocument/2006/relationships/hyperlink" Target="https://drive.google.com/open?id=1jgaVL6-vGqEFMskmX9iAOOpvepjU5dFk" TargetMode="External"/><Relationship Id="rId21" Type="http://schemas.openxmlformats.org/officeDocument/2006/relationships/hyperlink" Target="https://drive.google.com/open?id=1JuevOshIlU83uMPxc3TYM6bN1HGgAVhU" TargetMode="External"/><Relationship Id="rId24" Type="http://schemas.openxmlformats.org/officeDocument/2006/relationships/hyperlink" Target="https://drive.google.com/open?id=1bUSYgVCy-AUe6EAP64YbM3b5iKHEEJOu" TargetMode="External"/><Relationship Id="rId23" Type="http://schemas.openxmlformats.org/officeDocument/2006/relationships/hyperlink" Target="https://drive.google.com/open?id=1wVEN6ClYuoN-FlQYn-2mdkv2hedmBJ_X" TargetMode="External"/><Relationship Id="rId129" Type="http://schemas.openxmlformats.org/officeDocument/2006/relationships/hyperlink" Target="https://drive.google.com/file/d/1LZP7hCXfSecYlHAfEVjTbIGbvkqsUY0l/view?usp=sharing" TargetMode="External"/><Relationship Id="rId128" Type="http://schemas.openxmlformats.org/officeDocument/2006/relationships/hyperlink" Target="https://drive.google.com/file/d/1pRa4BzeL_K-mVxxG7xjBb63qETXLtd0v/view?usp=sharing" TargetMode="External"/><Relationship Id="rId127" Type="http://schemas.openxmlformats.org/officeDocument/2006/relationships/hyperlink" Target="https://doi.org/10.1016/j.ssi.2019.115199" TargetMode="External"/><Relationship Id="rId126" Type="http://schemas.openxmlformats.org/officeDocument/2006/relationships/hyperlink" Target="https://drive.google.com/file/d/1vawr49unO95xYrAsGkIAFrkaBrGPGpQ8/view?usp=sharing" TargetMode="External"/><Relationship Id="rId26" Type="http://schemas.openxmlformats.org/officeDocument/2006/relationships/hyperlink" Target="https://drive.google.com/open?id=1QCi6q6QDntAWFcsmU1TFUsqqPTO0bTTO" TargetMode="External"/><Relationship Id="rId121" Type="http://schemas.openxmlformats.org/officeDocument/2006/relationships/hyperlink" Target="https://doi.org/10.1016/j.jechem.2020.08.059" TargetMode="External"/><Relationship Id="rId25" Type="http://schemas.openxmlformats.org/officeDocument/2006/relationships/hyperlink" Target="https://drive.google.com/open?id=1DLvqfLTAiELsEgt-vrSfyWslQvCLWoX2" TargetMode="External"/><Relationship Id="rId120" Type="http://schemas.openxmlformats.org/officeDocument/2006/relationships/hyperlink" Target="https://drive.google.com/file/d/1pa5emUroqPURpj0InUCsMX1ikIETi9KS/view?usp=sharing" TargetMode="External"/><Relationship Id="rId28" Type="http://schemas.openxmlformats.org/officeDocument/2006/relationships/hyperlink" Target="https://drive.google.com/open?id=14SRTfTGeShI-h7dpAYxwNIfRQsszO5FG" TargetMode="External"/><Relationship Id="rId27" Type="http://schemas.openxmlformats.org/officeDocument/2006/relationships/hyperlink" Target="https://drive.google.com/open?id=1IwqYuiuxROfNVgwZ6HbBABP0ane-YJg2" TargetMode="External"/><Relationship Id="rId125" Type="http://schemas.openxmlformats.org/officeDocument/2006/relationships/hyperlink" Target="https://doi.org/10.1038/s41560-020-00747-9" TargetMode="External"/><Relationship Id="rId29" Type="http://schemas.openxmlformats.org/officeDocument/2006/relationships/hyperlink" Target="https://drive.google.com/open?id=1qbWxoaYqiu6OsFJMzQrdaoyoPmnUZcsM" TargetMode="External"/><Relationship Id="rId124" Type="http://schemas.openxmlformats.org/officeDocument/2006/relationships/hyperlink" Target="https://drive.google.com/file/d/13UJZrVgJ1An8f00kkUNz1kSmPL9ACqmH/view?usp=sharing" TargetMode="External"/><Relationship Id="rId123" Type="http://schemas.openxmlformats.org/officeDocument/2006/relationships/hyperlink" Target="https://doi.org/10.1016/B978-0-12-819718-9.00009-1" TargetMode="External"/><Relationship Id="rId122" Type="http://schemas.openxmlformats.org/officeDocument/2006/relationships/hyperlink" Target="https://drive.google.com/file/d/1m2c-jlQ0uEpFMLyVanlKdB0tq82lbu_4/view?usp=sharing" TargetMode="External"/><Relationship Id="rId95" Type="http://schemas.openxmlformats.org/officeDocument/2006/relationships/hyperlink" Target="https://drive.google.com/file/d/1i6eFNTqt-074bUDTXMlD1DY4FbHWY4Q6/view?usp=sharing" TargetMode="External"/><Relationship Id="rId94" Type="http://schemas.openxmlformats.org/officeDocument/2006/relationships/hyperlink" Target="https://drive.google.com/file/d/1-_yn0Q_HZL9Ch8q-Lcoh0PGmKB-vBAbP/view?usp=sharing" TargetMode="External"/><Relationship Id="rId97" Type="http://schemas.openxmlformats.org/officeDocument/2006/relationships/hyperlink" Target="https://drive.google.com/file/d/19_zS28SeU8toqBM67FWSxg1jMvPSbPEp/view?usp=sharing" TargetMode="External"/><Relationship Id="rId96" Type="http://schemas.openxmlformats.org/officeDocument/2006/relationships/hyperlink" Target="https://drive.google.com/open?id=1eqZwqhrJIN2TltIpLjrf_yD6jLIw64wR" TargetMode="External"/><Relationship Id="rId11" Type="http://schemas.openxmlformats.org/officeDocument/2006/relationships/hyperlink" Target="https://drive.google.com/open?id=1pT6DjI6q6z32JpaNLo2I2_-IZdZdQsCa" TargetMode="External"/><Relationship Id="rId99" Type="http://schemas.openxmlformats.org/officeDocument/2006/relationships/hyperlink" Target="https://doi.org/10.1016/j.jes.2020.08.022" TargetMode="External"/><Relationship Id="rId10" Type="http://schemas.openxmlformats.org/officeDocument/2006/relationships/hyperlink" Target="https://drive.google.com/open?id=1-LJJiL93RCKDdWotRYqqC8x0UC19WJxv" TargetMode="External"/><Relationship Id="rId98" Type="http://schemas.openxmlformats.org/officeDocument/2006/relationships/hyperlink" Target="https://drive.google.com/file/d/1VJo56VuQvWOay6-kiJfUNDSRxMNmA-Zb/view?usp=sharing" TargetMode="External"/><Relationship Id="rId13" Type="http://schemas.openxmlformats.org/officeDocument/2006/relationships/hyperlink" Target="https://drive.google.com/open?id=1qwFzxxmL-7s6bHEpdOGn-4IRt30Mqv0t" TargetMode="External"/><Relationship Id="rId12" Type="http://schemas.openxmlformats.org/officeDocument/2006/relationships/hyperlink" Target="https://drive.google.com/open?id=18OhBACql-re7okM6c2xTEHkOf9XaNarT" TargetMode="External"/><Relationship Id="rId91" Type="http://schemas.openxmlformats.org/officeDocument/2006/relationships/hyperlink" Target="https://drive.google.com/file/d/1FVg-yeHQPIAo-LrTeIkEVBaPG_3rXa2z/view?usp=sharing" TargetMode="External"/><Relationship Id="rId90" Type="http://schemas.openxmlformats.org/officeDocument/2006/relationships/hyperlink" Target="https://doi.org/10.1016/j.comnet.2020.107420" TargetMode="External"/><Relationship Id="rId93" Type="http://schemas.openxmlformats.org/officeDocument/2006/relationships/hyperlink" Target="https://drive.google.com/file/d/1UU2ul_exNV5opj_w9EJ7-LpiKA2vsBMg/view?usp=sharing" TargetMode="External"/><Relationship Id="rId92" Type="http://schemas.openxmlformats.org/officeDocument/2006/relationships/hyperlink" Target="https://doi.org/10.1016/j.fuel.2020.118763" TargetMode="External"/><Relationship Id="rId118" Type="http://schemas.openxmlformats.org/officeDocument/2006/relationships/hyperlink" Target="https://drive.google.com/file/d/1icavu2SocQEu9uWXc7Hg727psu3FLX_x/view?usp=sharing" TargetMode="External"/><Relationship Id="rId117" Type="http://schemas.openxmlformats.org/officeDocument/2006/relationships/hyperlink" Target="https://drive.google.com/file/d/1pPeqD6r2TiR_hfJ7TdhtFt69haabSsEL/view?usp=sharing" TargetMode="External"/><Relationship Id="rId116" Type="http://schemas.openxmlformats.org/officeDocument/2006/relationships/hyperlink" Target="https://drive.google.com/file/d/1xChBuDZjwXdXP1J3nErOTp5Z7C0_WiHv/view?usp=sharing" TargetMode="External"/><Relationship Id="rId115" Type="http://schemas.openxmlformats.org/officeDocument/2006/relationships/hyperlink" Target="https://drive.google.com/file/d/19BGGgQrX-raiE5ADpiFC9RssM17xYG-V/view?usp=sharing" TargetMode="External"/><Relationship Id="rId119" Type="http://schemas.openxmlformats.org/officeDocument/2006/relationships/hyperlink" Target="https://doi.org/10.15282/jmes.13.4.2019.21.0477" TargetMode="External"/><Relationship Id="rId15" Type="http://schemas.openxmlformats.org/officeDocument/2006/relationships/hyperlink" Target="https://drive.google.com/open?id=1OEKi0XkhN0xGfU4X3mR464Jxe1Pr36NA" TargetMode="External"/><Relationship Id="rId110" Type="http://schemas.openxmlformats.org/officeDocument/2006/relationships/hyperlink" Target="https://drive.google.com/file/d/1pa5emUroqPURpj0InUCsMX1ikIETi9KS/view?usp=sharing" TargetMode="External"/><Relationship Id="rId14" Type="http://schemas.openxmlformats.org/officeDocument/2006/relationships/hyperlink" Target="https://drive.google.com/open?id=1rCw6bBptqHZ1tc52n0WZ_1Ih6qbvUUut" TargetMode="External"/><Relationship Id="rId17" Type="http://schemas.openxmlformats.org/officeDocument/2006/relationships/hyperlink" Target="https://drive.google.com/open?id=1uxUNpP6CWNQhsDRbvuCTTSe3UR2nDbMh" TargetMode="External"/><Relationship Id="rId16" Type="http://schemas.openxmlformats.org/officeDocument/2006/relationships/hyperlink" Target="https://drive.google.com/open?id=1nUYFWr5CnoGKR_4kGRGUd2Ico-Dq5PNl" TargetMode="External"/><Relationship Id="rId19" Type="http://schemas.openxmlformats.org/officeDocument/2006/relationships/hyperlink" Target="https://drive.google.com/open?id=1GKg0yptTqATmb8kv7xFHtHAbyGOLwFRR" TargetMode="External"/><Relationship Id="rId114" Type="http://schemas.openxmlformats.org/officeDocument/2006/relationships/hyperlink" Target="https://drive.google.com/file/d/1YfVukD3Lqojl6AnvkJd1bmeaWZBd4KlK/view?usp=sharing" TargetMode="External"/><Relationship Id="rId18" Type="http://schemas.openxmlformats.org/officeDocument/2006/relationships/hyperlink" Target="https://drive.google.com/open?id=1uxUNpP6CWNQhsDRbvuCTTSe3UR2nDbMh" TargetMode="External"/><Relationship Id="rId113" Type="http://schemas.openxmlformats.org/officeDocument/2006/relationships/hyperlink" Target="https://drive.google.com/file/d/1MtOrKiJSZZbc6Koo92dAXJQkJerKslqX/view?usp=sharing" TargetMode="External"/><Relationship Id="rId112" Type="http://schemas.openxmlformats.org/officeDocument/2006/relationships/hyperlink" Target="https://drive.google.com/file/d/1jrWYMN3fAGiIntWQO5F_9nJRAQWuB-Pm/view?usp=sharing" TargetMode="External"/><Relationship Id="rId111" Type="http://schemas.openxmlformats.org/officeDocument/2006/relationships/hyperlink" Target="https://drive.google.com/file/d/1Q1dovmTc0aLDD_mNbY8vCPtTWvvyDpzO/view?usp=sharing" TargetMode="External"/><Relationship Id="rId84" Type="http://schemas.openxmlformats.org/officeDocument/2006/relationships/hyperlink" Target="https://drive.google.com/file/d/1fumRRFqDv05AEwmqkd0hjXDsPbXmZKnn/view?usp=sharing" TargetMode="External"/><Relationship Id="rId83" Type="http://schemas.openxmlformats.org/officeDocument/2006/relationships/hyperlink" Target="https://doi.org/10.1016/j.jclepro.2020.121457" TargetMode="External"/><Relationship Id="rId86" Type="http://schemas.openxmlformats.org/officeDocument/2006/relationships/hyperlink" Target="https://drive.google.com/file/d/17tqNt3mFAX4zhX3GU6aHCk0cWHh1rnba/view?usp=sharing" TargetMode="External"/><Relationship Id="rId85" Type="http://schemas.openxmlformats.org/officeDocument/2006/relationships/hyperlink" Target="https://doi.org/10.1016/j.envpol.2020.115034" TargetMode="External"/><Relationship Id="rId88" Type="http://schemas.openxmlformats.org/officeDocument/2006/relationships/hyperlink" Target="https://drive.google.com/file/d/13iREYCQf1ekBcp_riwhveDtvl26zUpLY/view?usp=sharing" TargetMode="External"/><Relationship Id="rId150" Type="http://schemas.openxmlformats.org/officeDocument/2006/relationships/hyperlink" Target="https://doi.org/10.3390/app11041873" TargetMode="External"/><Relationship Id="rId87" Type="http://schemas.openxmlformats.org/officeDocument/2006/relationships/hyperlink" Target="https://doi.org/10.19053/01211129.v29.n54.2020.10892" TargetMode="External"/><Relationship Id="rId89" Type="http://schemas.openxmlformats.org/officeDocument/2006/relationships/hyperlink" Target="https://drive.google.com/file/d/1dFs9eyga-vNFzViLmFBd3quK9mvlx5ZX/view?usp=sharing" TargetMode="External"/><Relationship Id="rId80" Type="http://schemas.openxmlformats.org/officeDocument/2006/relationships/hyperlink" Target="https://drive.google.com/file/d/1MFyDwG7rPZNCFj87gJkM3JqnJGRl5ZAj/view?usp=sharing" TargetMode="External"/><Relationship Id="rId82" Type="http://schemas.openxmlformats.org/officeDocument/2006/relationships/hyperlink" Target="https://drive.google.com/file/d/1R4L-RS9a0SaNe8VYsZwU0s6-_3749WsS/view?usp=sharing" TargetMode="External"/><Relationship Id="rId81" Type="http://schemas.openxmlformats.org/officeDocument/2006/relationships/hyperlink" Target="https://doi.org/10.1016/j.jksues.2020.04.011" TargetMode="External"/><Relationship Id="rId1" Type="http://schemas.openxmlformats.org/officeDocument/2006/relationships/hyperlink" Target="https://drive.google.com/open?id=17tqNt3mFAX4zhX3GU6aHCk0cWHh1rnba" TargetMode="External"/><Relationship Id="rId2" Type="http://schemas.openxmlformats.org/officeDocument/2006/relationships/hyperlink" Target="https://drive.google.com/open?id=1df_IOiu8kq7T0LsHowq6XPBlMKzzvrMd" TargetMode="External"/><Relationship Id="rId3" Type="http://schemas.openxmlformats.org/officeDocument/2006/relationships/hyperlink" Target="https://drive.google.com/open?id=1Mhog12DdtDtCQJoCGSTbSIRVnrbAx92m" TargetMode="External"/><Relationship Id="rId149" Type="http://schemas.openxmlformats.org/officeDocument/2006/relationships/hyperlink" Target="https://drive.google.com/file/d/19p3Z31Xm9IkCI1UVHJTZqA7ghFSHDkTl/view?usp=sharing" TargetMode="External"/><Relationship Id="rId4" Type="http://schemas.openxmlformats.org/officeDocument/2006/relationships/hyperlink" Target="https://drive.google.com/open?id=1CaVs6N2A-SYPj78NA7u67xZCGUaebwCo" TargetMode="External"/><Relationship Id="rId148" Type="http://schemas.openxmlformats.org/officeDocument/2006/relationships/hyperlink" Target="https://doi.org/10.1016/j.renene.2020.12.086" TargetMode="External"/><Relationship Id="rId9" Type="http://schemas.openxmlformats.org/officeDocument/2006/relationships/hyperlink" Target="https://drive.google.com/open?id=1pojhq1n8qMhYSz8jXaRUduBHvOgeQQCt" TargetMode="External"/><Relationship Id="rId143" Type="http://schemas.openxmlformats.org/officeDocument/2006/relationships/hyperlink" Target="https://drive.google.com/file/d/1iEHze9EqUU76-LL9RCGaq0vLTGoF5N0h/view?usp=sharing" TargetMode="External"/><Relationship Id="rId142" Type="http://schemas.openxmlformats.org/officeDocument/2006/relationships/hyperlink" Target="https://drive.google.com/file/d/1D-k-Dnlpac4YabeiaygYsSxuXO7YnB4R/view?usp=sharing" TargetMode="External"/><Relationship Id="rId141" Type="http://schemas.openxmlformats.org/officeDocument/2006/relationships/hyperlink" Target="https://drive.google.com/file/d/1dWVGBLGFxQKVA_0Zs6bu9YndwaU-Y021/view?usp=sharing" TargetMode="External"/><Relationship Id="rId140" Type="http://schemas.openxmlformats.org/officeDocument/2006/relationships/hyperlink" Target="https://drive.google.com/file/d/1P5cW_USpF2eVUlbQ_VhQZ50c5C1Xq248/view?usp=sharing" TargetMode="External"/><Relationship Id="rId5" Type="http://schemas.openxmlformats.org/officeDocument/2006/relationships/hyperlink" Target="https://drive.google.com/open?id=13UIuLW92HCoQS_85gpROVkKrBNvEwKMA" TargetMode="External"/><Relationship Id="rId147" Type="http://schemas.openxmlformats.org/officeDocument/2006/relationships/hyperlink" Target="https://drive.google.com/file/d/1JFrj4uHHd71pr8kxB30q88_Sw7g_Kevi/view?usp=sharing" TargetMode="External"/><Relationship Id="rId6" Type="http://schemas.openxmlformats.org/officeDocument/2006/relationships/hyperlink" Target="https://drive.google.com/open?id=1pUrSL4X4jJH3sAVK-6bNmEJN-rS4Va8p" TargetMode="External"/><Relationship Id="rId146" Type="http://schemas.openxmlformats.org/officeDocument/2006/relationships/hyperlink" Target="https://doi.org/10.1016/j.heliyon.2020.e05772" TargetMode="External"/><Relationship Id="rId7" Type="http://schemas.openxmlformats.org/officeDocument/2006/relationships/hyperlink" Target="https://drive.google.com/open?id=1znQ-NVRxs9ZlpIZt410L18XUUUa1_Tw5" TargetMode="External"/><Relationship Id="rId145" Type="http://schemas.openxmlformats.org/officeDocument/2006/relationships/hyperlink" Target="https://drive.google.com/file/d/1UwI9kbEKxOhSKja0QdkVRtM1yEKauK4r/view?usp=sharing" TargetMode="External"/><Relationship Id="rId8" Type="http://schemas.openxmlformats.org/officeDocument/2006/relationships/hyperlink" Target="https://drive.google.com/open?id=1HaCJrJyuAPccbCNSyZxtDt6CQPzI8PA7" TargetMode="External"/><Relationship Id="rId144" Type="http://schemas.openxmlformats.org/officeDocument/2006/relationships/hyperlink" Target="https://drive.google.com/file/d/1s52HsM97EQuzwb_Ju-PfXk98PszVoRC1/view?usp=sharing" TargetMode="External"/><Relationship Id="rId73" Type="http://schemas.openxmlformats.org/officeDocument/2006/relationships/hyperlink" Target="https://drive.google.com/file/d/1qLiCnhE06fTfFiVedojw2ivluL5j78Hc/view?usp=sharing" TargetMode="External"/><Relationship Id="rId72" Type="http://schemas.openxmlformats.org/officeDocument/2006/relationships/hyperlink" Target="https://doi.org/10.1016/j.fuel.2020.118013" TargetMode="External"/><Relationship Id="rId75" Type="http://schemas.openxmlformats.org/officeDocument/2006/relationships/hyperlink" Target="https://drive.google.com/file/d/1BEZjtTE7mn9vy0q5c44kEBCOxbftgkGA/view?usp=sharing" TargetMode="External"/><Relationship Id="rId74" Type="http://schemas.openxmlformats.org/officeDocument/2006/relationships/hyperlink" Target="https://drive.google.com/file/d/17kyJRNYTKXQPdl0nESIuUDGEeuz7e4Tp/view?usp=sharing" TargetMode="External"/><Relationship Id="rId77" Type="http://schemas.openxmlformats.org/officeDocument/2006/relationships/hyperlink" Target="https://drive.google.com/file/d/14Dawt5ntcdjJa2s-pPvNlmOUTgdob5yT/view?usp=sharing" TargetMode="External"/><Relationship Id="rId76" Type="http://schemas.openxmlformats.org/officeDocument/2006/relationships/hyperlink" Target="https://doi.org/10.1016/j.renene.2020.06.079" TargetMode="External"/><Relationship Id="rId79" Type="http://schemas.openxmlformats.org/officeDocument/2006/relationships/hyperlink" Target="https://drive.google.com/file/d/1uJB0MJ7-b51CL8xRaJn9on06u_DyIK0-/view?usp=sharing" TargetMode="External"/><Relationship Id="rId78" Type="http://schemas.openxmlformats.org/officeDocument/2006/relationships/hyperlink" Target="https://drive.google.com/file/d/1a7Lu4XRV2gIBmq1XLsJXeoEMsJVHbMQH/view?usp=sharing" TargetMode="External"/><Relationship Id="rId71" Type="http://schemas.openxmlformats.org/officeDocument/2006/relationships/hyperlink" Target="https://drive.google.com/file/d/1XtrsZ9FMaoa13e-i1wTHU3dU7oUHcSf1/view?usp=sharing" TargetMode="External"/><Relationship Id="rId70" Type="http://schemas.openxmlformats.org/officeDocument/2006/relationships/hyperlink" Target="https://doi.org/10.1115/1.4047571" TargetMode="External"/><Relationship Id="rId139" Type="http://schemas.openxmlformats.org/officeDocument/2006/relationships/hyperlink" Target="https://drive.google.com/file/d/1CVLseszQAQQFAJwbjSZ0GHH2HM5TYKw4/view?usp=sharing" TargetMode="External"/><Relationship Id="rId138" Type="http://schemas.openxmlformats.org/officeDocument/2006/relationships/hyperlink" Target="https://doi.org/10.1016/j.ijhydene.2020.09.236" TargetMode="External"/><Relationship Id="rId137" Type="http://schemas.openxmlformats.org/officeDocument/2006/relationships/hyperlink" Target="https://drive.google.com/file/d/1TCxtDo6qY58r07cgoK8RqgfYKmtknjVd/view?usp=sharing" TargetMode="External"/><Relationship Id="rId132" Type="http://schemas.openxmlformats.org/officeDocument/2006/relationships/hyperlink" Target="https://drive.google.com/file/d/1xEe3hNDP80ls0q0ldKcqFqHEZs8CI19I/view?usp=sharing" TargetMode="External"/><Relationship Id="rId131" Type="http://schemas.openxmlformats.org/officeDocument/2006/relationships/hyperlink" Target="https://drive.google.com/file/d/1kMYpaVVDV_vtOspspyE7VHNjlo6pzWIv/view?usp=sharing" TargetMode="External"/><Relationship Id="rId130" Type="http://schemas.openxmlformats.org/officeDocument/2006/relationships/hyperlink" Target="https://drive.google.com/file/d/1VWofz2IRyMb6JJN1cUbEeEVTMnQNGuEr/view?usp=sharing" TargetMode="External"/><Relationship Id="rId136" Type="http://schemas.openxmlformats.org/officeDocument/2006/relationships/hyperlink" Target="https://drive.google.com/file/d/1TCxtDo6qY58r07cgoK8RqgfYKmtknjVd/view?usp=sharing" TargetMode="External"/><Relationship Id="rId135" Type="http://schemas.openxmlformats.org/officeDocument/2006/relationships/hyperlink" Target="https://drive.google.com/file/d/1pJgFmnAU4XW1UxPuPy8-GF5OqMXW-PbG/view?usp=sharing" TargetMode="External"/><Relationship Id="rId134" Type="http://schemas.openxmlformats.org/officeDocument/2006/relationships/hyperlink" Target="https://drive.google.com/file/d/1TCxtDo6qY58r07cgoK8RqgfYKmtknjVd/view?usp=sharing" TargetMode="External"/><Relationship Id="rId133" Type="http://schemas.openxmlformats.org/officeDocument/2006/relationships/hyperlink" Target="https://drive.google.com/file/d/1wB2cPVH8TMP3Qp_Y3BfY1l60_qfTGmt7/view?usp=sharing" TargetMode="External"/><Relationship Id="rId62" Type="http://schemas.openxmlformats.org/officeDocument/2006/relationships/hyperlink" Target="https://drive.google.com/file/d/1KcVW88v6Bp696eLJENHOfOw_sZzYb_O9/view?usp=sharing" TargetMode="External"/><Relationship Id="rId61" Type="http://schemas.openxmlformats.org/officeDocument/2006/relationships/hyperlink" Target="https://drive.google.com/file/d/1YIP7MR78S91CXHuebDUvS7LqzZIlxtPP/view?usp=sharing" TargetMode="External"/><Relationship Id="rId64" Type="http://schemas.openxmlformats.org/officeDocument/2006/relationships/hyperlink" Target="https://doi.org/10.32479/ijeep.9343" TargetMode="External"/><Relationship Id="rId63" Type="http://schemas.openxmlformats.org/officeDocument/2006/relationships/hyperlink" Target="https://drive.google.com/file/d/1HASbeA6F2YWL5Z3y6pd6aPwxm47dFnZm/view?usp=sharing" TargetMode="External"/><Relationship Id="rId66" Type="http://schemas.openxmlformats.org/officeDocument/2006/relationships/hyperlink" Target="https://drive.google.com/file/d/1t75IBdxAeC534qhqOMSPSgeOzvuBiJKI/view?usp=sharing" TargetMode="External"/><Relationship Id="rId172" Type="http://schemas.openxmlformats.org/officeDocument/2006/relationships/drawing" Target="../drawings/drawing1.xml"/><Relationship Id="rId65" Type="http://schemas.openxmlformats.org/officeDocument/2006/relationships/hyperlink" Target="https://drive.google.com/file/d/1f4FtAIMm0lQ3iSvbmvpQjLHkVSsQzuHd/view?usp=sharing" TargetMode="External"/><Relationship Id="rId171" Type="http://schemas.openxmlformats.org/officeDocument/2006/relationships/hyperlink" Target="https://drive.google.com/file/d/19aNv5ZZFHujgEjOAlilaVDnDA11bdy9z/view?usp=sharing" TargetMode="External"/><Relationship Id="rId68" Type="http://schemas.openxmlformats.org/officeDocument/2006/relationships/hyperlink" Target="https://drive.google.com/file/d/1KnT2zJWhDzeqsIfcavpgZyCT6c_g14Mm/view?usp=sharing" TargetMode="External"/><Relationship Id="rId170" Type="http://schemas.openxmlformats.org/officeDocument/2006/relationships/hyperlink" Target="https://doi.org/10.1080/07373937.2021.1872610" TargetMode="External"/><Relationship Id="rId67" Type="http://schemas.openxmlformats.org/officeDocument/2006/relationships/hyperlink" Target="https://drive.google.com/file/d/15xYSOEDGDxox7BwG_9_iHBjBHwZK7eb1/view?usp=sharing" TargetMode="External"/><Relationship Id="rId60" Type="http://schemas.openxmlformats.org/officeDocument/2006/relationships/hyperlink" Target="https://drive.google.com/file/d/1B4UAbdaZ5Ju85YOIFz17ukkxR_0P6P9b/view?usp=sharing" TargetMode="External"/><Relationship Id="rId165" Type="http://schemas.openxmlformats.org/officeDocument/2006/relationships/hyperlink" Target="https://drive.google.com/file/d/1dn74ua3f8vAE7qqBbFHM0DaRWqnMIp2q/view?usp=sharing" TargetMode="External"/><Relationship Id="rId69" Type="http://schemas.openxmlformats.org/officeDocument/2006/relationships/hyperlink" Target="https://drive.google.com/file/d/1fb0qhaRRtIRW7-GNmxiah4t6sNxV_TZb/view?usp=sharing" TargetMode="External"/><Relationship Id="rId164" Type="http://schemas.openxmlformats.org/officeDocument/2006/relationships/hyperlink" Target="https://doi.org/10.1080/03067319.2021.1900148" TargetMode="External"/><Relationship Id="rId163" Type="http://schemas.openxmlformats.org/officeDocument/2006/relationships/hyperlink" Target="https://drive.google.com/file/d/1VYDX7QPebo5Ho9XIrWrQb0cO7cc6_34p/view?usp=sharing" TargetMode="External"/><Relationship Id="rId162" Type="http://schemas.openxmlformats.org/officeDocument/2006/relationships/hyperlink" Target="https://doi.org/10.1016/j.renene.2021.03.076" TargetMode="External"/><Relationship Id="rId169" Type="http://schemas.openxmlformats.org/officeDocument/2006/relationships/hyperlink" Target="https://drive.google.com/file/d/1GEpVtP_4rTCIAwisfXLWmL6rd1oR8dl6/view?usp=sharing" TargetMode="External"/><Relationship Id="rId168" Type="http://schemas.openxmlformats.org/officeDocument/2006/relationships/hyperlink" Target="https://dx.doi.org/10.1021/acsami.0c17886" TargetMode="External"/><Relationship Id="rId167" Type="http://schemas.openxmlformats.org/officeDocument/2006/relationships/hyperlink" Target="https://drive.google.com/file/d/11lcp-2zXtz4DjO22yPMsJqwC2EkE-mFZ/view?usp=sharing" TargetMode="External"/><Relationship Id="rId166" Type="http://schemas.openxmlformats.org/officeDocument/2006/relationships/hyperlink" Target="https://doi.org/10.1016/j.jallcom.2020.158045" TargetMode="External"/><Relationship Id="rId51" Type="http://schemas.openxmlformats.org/officeDocument/2006/relationships/hyperlink" Target="https://drive.google.com/open?id=1fzABheyKGjcUHZZeep37nTuZMPb-niC9" TargetMode="External"/><Relationship Id="rId50" Type="http://schemas.openxmlformats.org/officeDocument/2006/relationships/hyperlink" Target="https://drive.google.com/file/d/1qnA61cBM0VWJh-IYfjib2bz3gOG44jwr/view?usp=sharing" TargetMode="External"/><Relationship Id="rId53" Type="http://schemas.openxmlformats.org/officeDocument/2006/relationships/hyperlink" Target="https://drive.google.com/open?id=1Er_YNnAakoeyraaCREE0B5RwHCz5DE6A" TargetMode="External"/><Relationship Id="rId52" Type="http://schemas.openxmlformats.org/officeDocument/2006/relationships/hyperlink" Target="http://doi.org/10.1016/j.combustflame.2019.12.018" TargetMode="External"/><Relationship Id="rId55" Type="http://schemas.openxmlformats.org/officeDocument/2006/relationships/hyperlink" Target="https://drive.google.com/open?id=1h-q2xG79UGR36oY3CkZY091uoMmVsgEi" TargetMode="External"/><Relationship Id="rId161" Type="http://schemas.openxmlformats.org/officeDocument/2006/relationships/hyperlink" Target="https://drive.google.com/file/d/112Xs1jBDoN6rUfL7uBu4x6rDehTLhKvP/view?usp=sharing" TargetMode="External"/><Relationship Id="rId54" Type="http://schemas.openxmlformats.org/officeDocument/2006/relationships/hyperlink" Target="http://dx.doi.org/10.4067/S0718-07642020000100215" TargetMode="External"/><Relationship Id="rId160" Type="http://schemas.openxmlformats.org/officeDocument/2006/relationships/hyperlink" Target="https://dx.doi.org/10.1021/acsami.0c17886" TargetMode="External"/><Relationship Id="rId57" Type="http://schemas.openxmlformats.org/officeDocument/2006/relationships/hyperlink" Target="https://drive.google.com/drive/folders/1_PfuBZCXPnQGPG1VGLtl5zcHoI_eu7sT?usp=sharing" TargetMode="External"/><Relationship Id="rId56" Type="http://schemas.openxmlformats.org/officeDocument/2006/relationships/hyperlink" Target="https://drive.google.com/file/d/1k8jhzzksmvTbUts_odZunOrsFuyd58mb/view?usp=sharing" TargetMode="External"/><Relationship Id="rId159" Type="http://schemas.openxmlformats.org/officeDocument/2006/relationships/hyperlink" Target="https://drive.google.com/file/d/1Ce0gVlIBGGiU6MgDuEbvcL7mAIS_63Uv/view?usp=sharing" TargetMode="External"/><Relationship Id="rId59" Type="http://schemas.openxmlformats.org/officeDocument/2006/relationships/hyperlink" Target="https://drive.google.com/file/d/1Ki9D-UD6FP1CHQzh0ayqs6T-7d94ay4q/view?usp=sharing" TargetMode="External"/><Relationship Id="rId154" Type="http://schemas.openxmlformats.org/officeDocument/2006/relationships/hyperlink" Target="https://drive.google.com/file/d/1s-be4JVhsa5sIBgPK2Wr7VSDcqqXo1_A/view?usp=sharing" TargetMode="External"/><Relationship Id="rId58" Type="http://schemas.openxmlformats.org/officeDocument/2006/relationships/hyperlink" Target="https://ieeexplore.ieee.org/xpl/conhome/8844570/proceeding" TargetMode="External"/><Relationship Id="rId153" Type="http://schemas.openxmlformats.org/officeDocument/2006/relationships/hyperlink" Target="https://doi.org/10.1016/j.seta.2021.101072" TargetMode="External"/><Relationship Id="rId152" Type="http://schemas.openxmlformats.org/officeDocument/2006/relationships/hyperlink" Target="https://drive.google.com/file/d/15Bp4ckDy_wb_ew4A2ir-0ilU4gCWlt3t/view?usp=sharing" TargetMode="External"/><Relationship Id="rId151" Type="http://schemas.openxmlformats.org/officeDocument/2006/relationships/hyperlink" Target="https://drive.google.com/file/d/1lCQyUXSPlPVw6yIZUr19eaqmpRAV8RWt/view?usp=sharing" TargetMode="External"/><Relationship Id="rId158" Type="http://schemas.openxmlformats.org/officeDocument/2006/relationships/hyperlink" Target="https://doi.org/10.3390/su13042010" TargetMode="External"/><Relationship Id="rId157" Type="http://schemas.openxmlformats.org/officeDocument/2006/relationships/hyperlink" Target="https://drive.google.com/file/d/1Tje6sg0f2-393LRhdJQI_licYXVKkbSG/view?usp=sharing" TargetMode="External"/><Relationship Id="rId156" Type="http://schemas.openxmlformats.org/officeDocument/2006/relationships/hyperlink" Target="https://drive.google.com/file/d/1HlpEkNnBfzZmYpnLx-DrQy2lMA9ofvwf/view?usp=sharing" TargetMode="External"/><Relationship Id="rId155" Type="http://schemas.openxmlformats.org/officeDocument/2006/relationships/hyperlink" Target="https://doi.org/10.1016/j.apsusc.2020.147469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4483/23448393.15993" TargetMode="External"/><Relationship Id="rId42" Type="http://schemas.openxmlformats.org/officeDocument/2006/relationships/hyperlink" Target="https://drive.google.com/file/d/1pa5emUroqPURpj0InUCsMX1ikIETi9KS/view?usp=sharing" TargetMode="External"/><Relationship Id="rId41" Type="http://schemas.openxmlformats.org/officeDocument/2006/relationships/hyperlink" Target="https://drive.google.com/file/d/117P8P4Jk33RCOYeH7wz7dtY2BilbMJdW/view?usp=sharing" TargetMode="External"/><Relationship Id="rId44" Type="http://schemas.openxmlformats.org/officeDocument/2006/relationships/hyperlink" Target="https://doi.org/10.15282/jmes.13.4.2019.21.0477" TargetMode="External"/><Relationship Id="rId43" Type="http://schemas.openxmlformats.org/officeDocument/2006/relationships/hyperlink" Target="https://drive.google.com/file/d/1MtOrKiJSZZbc6Koo92dAXJQkJerKslqX/view?usp=sharing" TargetMode="External"/><Relationship Id="rId46" Type="http://schemas.openxmlformats.org/officeDocument/2006/relationships/hyperlink" Target="https://doi.org/10.1016/j.jechem.2020.08.059" TargetMode="External"/><Relationship Id="rId45" Type="http://schemas.openxmlformats.org/officeDocument/2006/relationships/hyperlink" Target="https://drive.google.com/file/d/1pa5emUroqPURpj0InUCsMX1ikIETi9KS/view?usp=sharing" TargetMode="External"/><Relationship Id="rId48" Type="http://schemas.openxmlformats.org/officeDocument/2006/relationships/hyperlink" Target="https://drive.google.com/file/d/13UJZrVgJ1An8f00kkUNz1kSmPL9ACqmH/view?usp=sharing" TargetMode="External"/><Relationship Id="rId47" Type="http://schemas.openxmlformats.org/officeDocument/2006/relationships/hyperlink" Target="https://drive.google.com/file/d/1m2c-jlQ0uEpFMLyVanlKdB0tq82lbu_4/view?usp=sharing" TargetMode="External"/><Relationship Id="rId49" Type="http://schemas.openxmlformats.org/officeDocument/2006/relationships/hyperlink" Target="https://doi.org/10.1038/s41560-020-00747-9" TargetMode="External"/><Relationship Id="rId31" Type="http://schemas.openxmlformats.org/officeDocument/2006/relationships/hyperlink" Target="https://drive.google.com/file/d/1i6eFNTqt-074bUDTXMlD1DY4FbHWY4Q6/view?usp=sharing" TargetMode="External"/><Relationship Id="rId30" Type="http://schemas.openxmlformats.org/officeDocument/2006/relationships/hyperlink" Target="https://drive.google.com/file/d/1UU2ul_exNV5opj_w9EJ7-LpiKA2vsBMg/view?usp=sharing" TargetMode="External"/><Relationship Id="rId33" Type="http://schemas.openxmlformats.org/officeDocument/2006/relationships/hyperlink" Target="https://drive.google.com/file/d/1B-xPUZgBcIZx2ec_IhiGEsp49C2R12jO/view?usp=sharing" TargetMode="External"/><Relationship Id="rId32" Type="http://schemas.openxmlformats.org/officeDocument/2006/relationships/hyperlink" Target="https://doi.org/10.1016/j.jes.2020.08.022" TargetMode="External"/><Relationship Id="rId35" Type="http://schemas.openxmlformats.org/officeDocument/2006/relationships/hyperlink" Target="https://drive.google.com/file/d/1IblewhPJzmsea5FuwHKT5KL7OXAqQNvr/view?usp=sharing" TargetMode="External"/><Relationship Id="rId34" Type="http://schemas.openxmlformats.org/officeDocument/2006/relationships/hyperlink" Target="https://doi.org/10.1016/j.carbon.2020.09.074" TargetMode="External"/><Relationship Id="rId37" Type="http://schemas.openxmlformats.org/officeDocument/2006/relationships/hyperlink" Target="https://drive.google.com/file/d/1Lpyp26pDj3B8xTz1uWLb12AQeiGOY9TF/view?usp=sharing" TargetMode="External"/><Relationship Id="rId36" Type="http://schemas.openxmlformats.org/officeDocument/2006/relationships/hyperlink" Target="https://doi.org/10.1115/1.4048503" TargetMode="External"/><Relationship Id="rId39" Type="http://schemas.openxmlformats.org/officeDocument/2006/relationships/hyperlink" Target="https://drive.google.com/file/d/1ZLc6ZJwRJbYv6kpuH_iRYEvOCSD3iBK8/view?usp=sharing" TargetMode="External"/><Relationship Id="rId38" Type="http://schemas.openxmlformats.org/officeDocument/2006/relationships/hyperlink" Target="https://doi.org/10.1016/j.comnet.2020.107560" TargetMode="External"/><Relationship Id="rId20" Type="http://schemas.openxmlformats.org/officeDocument/2006/relationships/hyperlink" Target="https://drive.google.com/file/d/1dn74ua3f8vAE7qqBbFHM0DaRWqnMIp2q/view?usp=sharing" TargetMode="External"/><Relationship Id="rId22" Type="http://schemas.openxmlformats.org/officeDocument/2006/relationships/hyperlink" Target="https://drive.google.com/file/d/1fumRRFqDv05AEwmqkd0hjXDsPbXmZKnn/view?usp=sharing" TargetMode="External"/><Relationship Id="rId21" Type="http://schemas.openxmlformats.org/officeDocument/2006/relationships/hyperlink" Target="https://doi.org/10.1016/j.jclepro.2020.121457" TargetMode="External"/><Relationship Id="rId24" Type="http://schemas.openxmlformats.org/officeDocument/2006/relationships/hyperlink" Target="https://drive.google.com/file/d/17tqNt3mFAX4zhX3GU6aHCk0cWHh1rnba/view?usp=sharing" TargetMode="External"/><Relationship Id="rId23" Type="http://schemas.openxmlformats.org/officeDocument/2006/relationships/hyperlink" Target="https://doi.org/10.1016/j.envpol.2020.115034" TargetMode="External"/><Relationship Id="rId26" Type="http://schemas.openxmlformats.org/officeDocument/2006/relationships/hyperlink" Target="https://drive.google.com/file/d/13iREYCQf1ekBcp_riwhveDtvl26zUpLY/view?usp=sharing" TargetMode="External"/><Relationship Id="rId25" Type="http://schemas.openxmlformats.org/officeDocument/2006/relationships/hyperlink" Target="https://doi.org/10.19053/01211129.v29.n54.2020.10892" TargetMode="External"/><Relationship Id="rId28" Type="http://schemas.openxmlformats.org/officeDocument/2006/relationships/hyperlink" Target="https://drive.google.com/file/d/1FVg-yeHQPIAo-LrTeIkEVBaPG_3rXa2z/view?usp=sharing" TargetMode="External"/><Relationship Id="rId27" Type="http://schemas.openxmlformats.org/officeDocument/2006/relationships/hyperlink" Target="https://doi.org/10.1016/j.comnet.2020.107420" TargetMode="External"/><Relationship Id="rId29" Type="http://schemas.openxmlformats.org/officeDocument/2006/relationships/hyperlink" Target="https://doi.org/10.1016/j.fuel.2020.118763" TargetMode="External"/><Relationship Id="rId95" Type="http://schemas.openxmlformats.org/officeDocument/2006/relationships/hyperlink" Target="https://drive.google.com/file/d/19aNv5ZZFHujgEjOAlilaVDnDA11bdy9z/view?usp=sharing" TargetMode="External"/><Relationship Id="rId94" Type="http://schemas.openxmlformats.org/officeDocument/2006/relationships/hyperlink" Target="https://doi.org/10.1080/07373937.2021.1872610" TargetMode="External"/><Relationship Id="rId96" Type="http://schemas.openxmlformats.org/officeDocument/2006/relationships/drawing" Target="../drawings/drawing2.xml"/><Relationship Id="rId11" Type="http://schemas.openxmlformats.org/officeDocument/2006/relationships/hyperlink" Target="https://drive.google.com/file/d/1HlpEkNnBfzZmYpnLx-DrQy2lMA9ofvwf/view?usp=sharing" TargetMode="External"/><Relationship Id="rId10" Type="http://schemas.openxmlformats.org/officeDocument/2006/relationships/hyperlink" Target="https://doi.org/10.1016/j.apsusc.2020.147469" TargetMode="External"/><Relationship Id="rId13" Type="http://schemas.openxmlformats.org/officeDocument/2006/relationships/hyperlink" Target="https://doi.org/10.3390/su13042010" TargetMode="External"/><Relationship Id="rId12" Type="http://schemas.openxmlformats.org/officeDocument/2006/relationships/hyperlink" Target="https://drive.google.com/file/d/1Tje6sg0f2-393LRhdJQI_licYXVKkbSG/view?usp=sharing" TargetMode="External"/><Relationship Id="rId91" Type="http://schemas.openxmlformats.org/officeDocument/2006/relationships/hyperlink" Target="https://drive.google.com/file/d/11lcp-2zXtz4DjO22yPMsJqwC2EkE-mFZ/view?usp=sharing" TargetMode="External"/><Relationship Id="rId90" Type="http://schemas.openxmlformats.org/officeDocument/2006/relationships/hyperlink" Target="https://doi.org/10.1016/j.jallcom.2020.158045" TargetMode="External"/><Relationship Id="rId93" Type="http://schemas.openxmlformats.org/officeDocument/2006/relationships/hyperlink" Target="https://drive.google.com/file/d/1GEpVtP_4rTCIAwisfXLWmL6rd1oR8dl6/view?usp=sharing" TargetMode="External"/><Relationship Id="rId92" Type="http://schemas.openxmlformats.org/officeDocument/2006/relationships/hyperlink" Target="https://dx.doi.org/10.1021/acsami.0c17886" TargetMode="External"/><Relationship Id="rId15" Type="http://schemas.openxmlformats.org/officeDocument/2006/relationships/hyperlink" Target="https://dx.doi.org/10.1021/acsami.0c17886" TargetMode="External"/><Relationship Id="rId14" Type="http://schemas.openxmlformats.org/officeDocument/2006/relationships/hyperlink" Target="https://drive.google.com/file/d/1Ce0gVlIBGGiU6MgDuEbvcL7mAIS_63Uv/view?usp=sharing" TargetMode="External"/><Relationship Id="rId17" Type="http://schemas.openxmlformats.org/officeDocument/2006/relationships/hyperlink" Target="https://doi.org/10.1016/j.renene.2021.03.076" TargetMode="External"/><Relationship Id="rId16" Type="http://schemas.openxmlformats.org/officeDocument/2006/relationships/hyperlink" Target="https://drive.google.com/file/d/112Xs1jBDoN6rUfL7uBu4x6rDehTLhKvP/view?usp=sharing" TargetMode="External"/><Relationship Id="rId19" Type="http://schemas.openxmlformats.org/officeDocument/2006/relationships/hyperlink" Target="https://doi.org/10.1080/03067319.2021.1900148" TargetMode="External"/><Relationship Id="rId18" Type="http://schemas.openxmlformats.org/officeDocument/2006/relationships/hyperlink" Target="https://drive.google.com/file/d/1VYDX7QPebo5Ho9XIrWrQb0cO7cc6_34p/view?usp=sharing" TargetMode="External"/><Relationship Id="rId84" Type="http://schemas.openxmlformats.org/officeDocument/2006/relationships/hyperlink" Target="https://drive.google.com/open?id=1kOlr_AEf0mbwQFfbC-YVaW3XwKet6V7V" TargetMode="External"/><Relationship Id="rId83" Type="http://schemas.openxmlformats.org/officeDocument/2006/relationships/hyperlink" Target="https://drive.google.com/open?id=1bUSYgVCy-AUe6EAP64YbM3b5iKHEEJOu" TargetMode="External"/><Relationship Id="rId86" Type="http://schemas.openxmlformats.org/officeDocument/2006/relationships/hyperlink" Target="https://drive.google.com/open?id=1fRU-A9dt_ueHqq3bVUje8jdXWbJUYsLx" TargetMode="External"/><Relationship Id="rId85" Type="http://schemas.openxmlformats.org/officeDocument/2006/relationships/hyperlink" Target="https://drive.google.com/open?id=1-HqESMEmoHDsnHsd-9yMtyorAjC-QBug" TargetMode="External"/><Relationship Id="rId88" Type="http://schemas.openxmlformats.org/officeDocument/2006/relationships/hyperlink" Target="https://drive.google.com/open?id=17tqNt3mFAX4zhX3GU6aHCk0cWHh1rnba" TargetMode="External"/><Relationship Id="rId87" Type="http://schemas.openxmlformats.org/officeDocument/2006/relationships/hyperlink" Target="https://drive.google.com/open?id=1fzABheyKGjcUHZZeep37nTuZMPb-niC9" TargetMode="External"/><Relationship Id="rId89" Type="http://schemas.openxmlformats.org/officeDocument/2006/relationships/hyperlink" Target="https://drive.google.com/open?id=1Mhog12DdtDtCQJoCGSTbSIRVnrbAx92m" TargetMode="External"/><Relationship Id="rId80" Type="http://schemas.openxmlformats.org/officeDocument/2006/relationships/hyperlink" Target="https://drive.google.com/open?id=1GKg0yptTqATmb8kv7xFHtHAbyGOLwFRR" TargetMode="External"/><Relationship Id="rId82" Type="http://schemas.openxmlformats.org/officeDocument/2006/relationships/hyperlink" Target="https://drive.google.com/open?id=1jgaVL6-vGqEFMskmX9iAOOpvepjU5dFk" TargetMode="External"/><Relationship Id="rId81" Type="http://schemas.openxmlformats.org/officeDocument/2006/relationships/hyperlink" Target="https://drive.google.com/open?id=1JuevOshIlU83uMPxc3TYM6bN1HGgAVhU" TargetMode="External"/><Relationship Id="rId1" Type="http://schemas.openxmlformats.org/officeDocument/2006/relationships/hyperlink" Target="https://doi.org/10.1016/j.heliyon.2020.e05772" TargetMode="External"/><Relationship Id="rId2" Type="http://schemas.openxmlformats.org/officeDocument/2006/relationships/hyperlink" Target="https://drive.google.com/file/d/1JFrj4uHHd71pr8kxB30q88_Sw7g_Kevi/view?usp=sharing" TargetMode="External"/><Relationship Id="rId3" Type="http://schemas.openxmlformats.org/officeDocument/2006/relationships/hyperlink" Target="https://doi.org/10.1016/j.renene.2020.12.086" TargetMode="External"/><Relationship Id="rId4" Type="http://schemas.openxmlformats.org/officeDocument/2006/relationships/hyperlink" Target="https://drive.google.com/file/d/19p3Z31Xm9IkCI1UVHJTZqA7ghFSHDkTl/view?usp=sharing" TargetMode="External"/><Relationship Id="rId9" Type="http://schemas.openxmlformats.org/officeDocument/2006/relationships/hyperlink" Target="https://drive.google.com/file/d/1s-be4JVhsa5sIBgPK2Wr7VSDcqqXo1_A/view?usp=sharing" TargetMode="External"/><Relationship Id="rId5" Type="http://schemas.openxmlformats.org/officeDocument/2006/relationships/hyperlink" Target="https://doi.org/10.3390/app11041873" TargetMode="External"/><Relationship Id="rId6" Type="http://schemas.openxmlformats.org/officeDocument/2006/relationships/hyperlink" Target="https://drive.google.com/file/d/1lCQyUXSPlPVw6yIZUr19eaqmpRAV8RWt/view?usp=sharing" TargetMode="External"/><Relationship Id="rId7" Type="http://schemas.openxmlformats.org/officeDocument/2006/relationships/hyperlink" Target="https://drive.google.com/file/d/15Bp4ckDy_wb_ew4A2ir-0ilU4gCWlt3t/view?usp=sharing" TargetMode="External"/><Relationship Id="rId8" Type="http://schemas.openxmlformats.org/officeDocument/2006/relationships/hyperlink" Target="https://doi.org/10.1016/j.seta.2021.101072" TargetMode="External"/><Relationship Id="rId73" Type="http://schemas.openxmlformats.org/officeDocument/2006/relationships/hyperlink" Target="https://doi.org/10.1016/j.fuel.2020.118013" TargetMode="External"/><Relationship Id="rId72" Type="http://schemas.openxmlformats.org/officeDocument/2006/relationships/hyperlink" Target="https://drive.google.com/file/d/1XtrsZ9FMaoa13e-i1wTHU3dU7oUHcSf1/view?usp=sharing" TargetMode="External"/><Relationship Id="rId75" Type="http://schemas.openxmlformats.org/officeDocument/2006/relationships/hyperlink" Target="https://doi.org/10.1016/j.renene.2020.06.079" TargetMode="External"/><Relationship Id="rId74" Type="http://schemas.openxmlformats.org/officeDocument/2006/relationships/hyperlink" Target="https://drive.google.com/file/d/1qLiCnhE06fTfFiVedojw2ivluL5j78Hc/view?usp=sharing" TargetMode="External"/><Relationship Id="rId77" Type="http://schemas.openxmlformats.org/officeDocument/2006/relationships/hyperlink" Target="https://doi.org/10.1016/j.jksues.2020.04.011" TargetMode="External"/><Relationship Id="rId76" Type="http://schemas.openxmlformats.org/officeDocument/2006/relationships/hyperlink" Target="https://drive.google.com/file/d/14Dawt5ntcdjJa2s-pPvNlmOUTgdob5yT/view?usp=sharing" TargetMode="External"/><Relationship Id="rId79" Type="http://schemas.openxmlformats.org/officeDocument/2006/relationships/hyperlink" Target="https://drive.google.com/open?id=1df_IOiu8kq7T0LsHowq6XPBlMKzzvrMd" TargetMode="External"/><Relationship Id="rId78" Type="http://schemas.openxmlformats.org/officeDocument/2006/relationships/hyperlink" Target="https://drive.google.com/file/d/1R4L-RS9a0SaNe8VYsZwU0s6-_3749WsS/view?usp=sharing" TargetMode="External"/><Relationship Id="rId71" Type="http://schemas.openxmlformats.org/officeDocument/2006/relationships/hyperlink" Target="https://doi.org/10.1115/1.4047571" TargetMode="External"/><Relationship Id="rId70" Type="http://schemas.openxmlformats.org/officeDocument/2006/relationships/hyperlink" Target="https://drive.google.com/file/d/1t75IBdxAeC534qhqOMSPSgeOzvuBiJKI/view?usp=sharing" TargetMode="External"/><Relationship Id="rId62" Type="http://schemas.openxmlformats.org/officeDocument/2006/relationships/hyperlink" Target="https://drive.google.com/open?id=1VxkE9IpUR1-UXRg9q-DpXdx7qlUJZ1jE" TargetMode="External"/><Relationship Id="rId61" Type="http://schemas.openxmlformats.org/officeDocument/2006/relationships/hyperlink" Target="https://drive.google.com/open?id=1-chW1gKKhGkPpHE2bl2Vg0uaydhaJlS3" TargetMode="External"/><Relationship Id="rId64" Type="http://schemas.openxmlformats.org/officeDocument/2006/relationships/hyperlink" Target="https://drive.google.com/open?id=1Er_YNnAakoeyraaCREE0B5RwHCz5DE6A" TargetMode="External"/><Relationship Id="rId63" Type="http://schemas.openxmlformats.org/officeDocument/2006/relationships/hyperlink" Target="http://doi.org/10.1016/j.combustflame.2019.12.018" TargetMode="External"/><Relationship Id="rId66" Type="http://schemas.openxmlformats.org/officeDocument/2006/relationships/hyperlink" Target="https://drive.google.com/open?id=1h-q2xG79UGR36oY3CkZY091uoMmVsgEi" TargetMode="External"/><Relationship Id="rId65" Type="http://schemas.openxmlformats.org/officeDocument/2006/relationships/hyperlink" Target="http://dx.doi.org/10.4067/S0718-07642020000100215" TargetMode="External"/><Relationship Id="rId68" Type="http://schemas.openxmlformats.org/officeDocument/2006/relationships/hyperlink" Target="https://doi.org/10.32479/ijeep.9343" TargetMode="External"/><Relationship Id="rId67" Type="http://schemas.openxmlformats.org/officeDocument/2006/relationships/hyperlink" Target="https://drive.google.com/file/d/1B4UAbdaZ5Ju85YOIFz17ukkxR_0P6P9b/view?usp=sharing" TargetMode="External"/><Relationship Id="rId60" Type="http://schemas.openxmlformats.org/officeDocument/2006/relationships/hyperlink" Target="https://drive.google.com/open?id=1NYAwDCan9sVUZIrbn38RsGLZVT91xW9g" TargetMode="External"/><Relationship Id="rId69" Type="http://schemas.openxmlformats.org/officeDocument/2006/relationships/hyperlink" Target="https://drive.google.com/file/d/1f4FtAIMm0lQ3iSvbmvpQjLHkVSsQzuHd/view?usp=sharing" TargetMode="External"/><Relationship Id="rId51" Type="http://schemas.openxmlformats.org/officeDocument/2006/relationships/hyperlink" Target="https://doi.org/10.1016/j.ssi.2019.115199" TargetMode="External"/><Relationship Id="rId50" Type="http://schemas.openxmlformats.org/officeDocument/2006/relationships/hyperlink" Target="https://drive.google.com/file/d/1vawr49unO95xYrAsGkIAFrkaBrGPGpQ8/view?usp=sharing" TargetMode="External"/><Relationship Id="rId53" Type="http://schemas.openxmlformats.org/officeDocument/2006/relationships/hyperlink" Target="https://drive.google.com/file/d/1LZP7hCXfSecYlHAfEVjTbIGbvkqsUY0l/view?usp=sharing" TargetMode="External"/><Relationship Id="rId52" Type="http://schemas.openxmlformats.org/officeDocument/2006/relationships/hyperlink" Target="https://drive.google.com/file/d/1pRa4BzeL_K-mVxxG7xjBb63qETXLtd0v/view?usp=sharing" TargetMode="External"/><Relationship Id="rId55" Type="http://schemas.openxmlformats.org/officeDocument/2006/relationships/hyperlink" Target="https://drive.google.com/file/d/1CVLseszQAQQFAJwbjSZ0GHH2HM5TYKw4/view?usp=sharing" TargetMode="External"/><Relationship Id="rId54" Type="http://schemas.openxmlformats.org/officeDocument/2006/relationships/hyperlink" Target="https://doi.org/10.1016/j.ijhydene.2020.09.236" TargetMode="External"/><Relationship Id="rId57" Type="http://schemas.openxmlformats.org/officeDocument/2006/relationships/hyperlink" Target="https://drive.google.com/open?id=1XhyLcT9_R6wP5dAi-EZyR7qbl0tN1K7-" TargetMode="External"/><Relationship Id="rId56" Type="http://schemas.openxmlformats.org/officeDocument/2006/relationships/hyperlink" Target="https://drive.google.com/open?id=1wVEN6ClYuoN-FlQYn-2mdkv2hedmBJ_X" TargetMode="External"/><Relationship Id="rId59" Type="http://schemas.openxmlformats.org/officeDocument/2006/relationships/hyperlink" Target="https://drive.google.com/open?id=1URg0H6n_0-9CV0OjX6nBC1cawxSbYzVD" TargetMode="External"/><Relationship Id="rId58" Type="http://schemas.openxmlformats.org/officeDocument/2006/relationships/hyperlink" Target="https://drive.google.com/open?id=1iEmaJUcLzGw26dACp0RKbPEkNROhtYb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6.xml"/><Relationship Id="rId31" Type="http://schemas.openxmlformats.org/officeDocument/2006/relationships/hyperlink" Target="https://drive.google.com/file/d/1MFyDwG7rPZNCFj87gJkM3JqnJGRl5ZAj/view?usp=sharing" TargetMode="External"/><Relationship Id="rId30" Type="http://schemas.openxmlformats.org/officeDocument/2006/relationships/hyperlink" Target="https://drive.google.com/file/d/1uJB0MJ7-b51CL8xRaJn9on06u_DyIK0-/view?usp=sharing" TargetMode="External"/><Relationship Id="rId33" Type="http://schemas.openxmlformats.org/officeDocument/2006/relationships/hyperlink" Target="https://drive.google.com/open?id=14SRTfTGeShI-h7dpAYxwNIfRQsszO5FG" TargetMode="External"/><Relationship Id="rId32" Type="http://schemas.openxmlformats.org/officeDocument/2006/relationships/hyperlink" Target="https://drive.google.com/open?id=1IwqYuiuxROfNVgwZ6HbBABP0ane-YJg2" TargetMode="External"/><Relationship Id="rId35" Type="http://schemas.openxmlformats.org/officeDocument/2006/relationships/hyperlink" Target="https://drive.google.com/open?id=1NP9Pt0BwMKbxD6jnUH3UyjclUuBNGXlZ" TargetMode="External"/><Relationship Id="rId34" Type="http://schemas.openxmlformats.org/officeDocument/2006/relationships/hyperlink" Target="https://drive.google.com/open?id=1qbWxoaYqiu6OsFJMzQrdaoyoPmnUZcsM" TargetMode="External"/><Relationship Id="rId37" Type="http://schemas.openxmlformats.org/officeDocument/2006/relationships/hyperlink" Target="https://drive.google.com/open?id=1CaVs6N2A-SYPj78NA7u67xZCGUaebwCo" TargetMode="External"/><Relationship Id="rId36" Type="http://schemas.openxmlformats.org/officeDocument/2006/relationships/hyperlink" Target="https://drive.google.com/open?id=1ugtLd-k0aB28RID3Hgm1hk-d8SLn8abf" TargetMode="External"/><Relationship Id="rId39" Type="http://schemas.openxmlformats.org/officeDocument/2006/relationships/hyperlink" Target="https://drive.google.com/open?id=1pUrSL4X4jJH3sAVK-6bNmEJN-rS4Va8p" TargetMode="External"/><Relationship Id="rId38" Type="http://schemas.openxmlformats.org/officeDocument/2006/relationships/hyperlink" Target="https://drive.google.com/open?id=13UIuLW92HCoQS_85gpROVkKrBNvEwKMA" TargetMode="External"/><Relationship Id="rId20" Type="http://schemas.openxmlformats.org/officeDocument/2006/relationships/hyperlink" Target="https://drive.google.com/file/d/1pJgFmnAU4XW1UxPuPy8-GF5OqMXW-PbG/view?usp=sharing" TargetMode="External"/><Relationship Id="rId22" Type="http://schemas.openxmlformats.org/officeDocument/2006/relationships/hyperlink" Target="https://drive.google.com/file/d/1TCxtDo6qY58r07cgoK8RqgfYKmtknjVd/view?usp=sharing" TargetMode="External"/><Relationship Id="rId21" Type="http://schemas.openxmlformats.org/officeDocument/2006/relationships/hyperlink" Target="https://drive.google.com/file/d/1TCxtDo6qY58r07cgoK8RqgfYKmtknjVd/view?usp=sharing" TargetMode="External"/><Relationship Id="rId24" Type="http://schemas.openxmlformats.org/officeDocument/2006/relationships/hyperlink" Target="https://drive.google.com/file/d/1YIP7MR78S91CXHuebDUvS7LqzZIlxtPP/view?usp=sharing" TargetMode="External"/><Relationship Id="rId23" Type="http://schemas.openxmlformats.org/officeDocument/2006/relationships/hyperlink" Target="https://drive.google.com/file/d/1Ki9D-UD6FP1CHQzh0ayqs6T-7d94ay4q/view?usp=sharing" TargetMode="External"/><Relationship Id="rId26" Type="http://schemas.openxmlformats.org/officeDocument/2006/relationships/hyperlink" Target="https://drive.google.com/file/d/1KnT2zJWhDzeqsIfcavpgZyCT6c_g14Mm/view?usp=sharing" TargetMode="External"/><Relationship Id="rId25" Type="http://schemas.openxmlformats.org/officeDocument/2006/relationships/hyperlink" Target="https://drive.google.com/file/d/1HASbeA6F2YWL5Z3y6pd6aPwxm47dFnZm/view?usp=sharing" TargetMode="External"/><Relationship Id="rId28" Type="http://schemas.openxmlformats.org/officeDocument/2006/relationships/hyperlink" Target="https://drive.google.com/file/d/17kyJRNYTKXQPdl0nESIuUDGEeuz7e4Tp/view?usp=sharing" TargetMode="External"/><Relationship Id="rId27" Type="http://schemas.openxmlformats.org/officeDocument/2006/relationships/hyperlink" Target="https://drive.google.com/file/d/1fb0qhaRRtIRW7-GNmxiah4t6sNxV_TZb/view?usp=sharing" TargetMode="External"/><Relationship Id="rId29" Type="http://schemas.openxmlformats.org/officeDocument/2006/relationships/hyperlink" Target="https://drive.google.com/file/d/1BEZjtTE7mn9vy0q5c44kEBCOxbftgkGA/view?usp=sharing" TargetMode="External"/><Relationship Id="rId11" Type="http://schemas.openxmlformats.org/officeDocument/2006/relationships/hyperlink" Target="https://drive.google.com/file/d/19BGGgQrX-raiE5ADpiFC9RssM17xYG-V/view?usp=sharing" TargetMode="External"/><Relationship Id="rId10" Type="http://schemas.openxmlformats.org/officeDocument/2006/relationships/hyperlink" Target="https://drive.google.com/file/d/1YfVukD3Lqojl6AnvkJd1bmeaWZBd4KlK/view?usp=sharing" TargetMode="External"/><Relationship Id="rId13" Type="http://schemas.openxmlformats.org/officeDocument/2006/relationships/hyperlink" Target="https://drive.google.com/file/d/1pPeqD6r2TiR_hfJ7TdhtFt69haabSsEL/view?usp=sharing" TargetMode="External"/><Relationship Id="rId12" Type="http://schemas.openxmlformats.org/officeDocument/2006/relationships/hyperlink" Target="https://drive.google.com/file/d/1xChBuDZjwXdXP1J3nErOTp5Z7C0_WiHv/view?usp=sharing" TargetMode="External"/><Relationship Id="rId15" Type="http://schemas.openxmlformats.org/officeDocument/2006/relationships/hyperlink" Target="https://drive.google.com/file/d/1VWofz2IRyMb6JJN1cUbEeEVTMnQNGuEr/view?usp=sharing" TargetMode="External"/><Relationship Id="rId14" Type="http://schemas.openxmlformats.org/officeDocument/2006/relationships/hyperlink" Target="https://drive.google.com/file/d/1icavu2SocQEu9uWXc7Hg727psu3FLX_x/view?usp=sharing" TargetMode="External"/><Relationship Id="rId17" Type="http://schemas.openxmlformats.org/officeDocument/2006/relationships/hyperlink" Target="https://drive.google.com/file/d/1xEe3hNDP80ls0q0ldKcqFqHEZs8CI19I/view?usp=sharing" TargetMode="External"/><Relationship Id="rId16" Type="http://schemas.openxmlformats.org/officeDocument/2006/relationships/hyperlink" Target="https://drive.google.com/file/d/1kMYpaVVDV_vtOspspyE7VHNjlo6pzWIv/view?usp=sharing" TargetMode="External"/><Relationship Id="rId19" Type="http://schemas.openxmlformats.org/officeDocument/2006/relationships/hyperlink" Target="https://drive.google.com/file/d/1TCxtDo6qY58r07cgoK8RqgfYKmtknjVd/view?usp=sharing" TargetMode="External"/><Relationship Id="rId18" Type="http://schemas.openxmlformats.org/officeDocument/2006/relationships/hyperlink" Target="https://drive.google.com/file/d/1wB2cPVH8TMP3Qp_Y3BfY1l60_qfTGmt7/view?usp=sharing" TargetMode="External"/><Relationship Id="rId1" Type="http://schemas.openxmlformats.org/officeDocument/2006/relationships/hyperlink" Target="https://drive.google.com/file/d/1P5cW_USpF2eVUlbQ_VhQZ50c5C1Xq248/view?usp=sharing" TargetMode="External"/><Relationship Id="rId2" Type="http://schemas.openxmlformats.org/officeDocument/2006/relationships/hyperlink" Target="https://drive.google.com/file/d/1dWVGBLGFxQKVA_0Zs6bu9YndwaU-Y021/view?usp=sharing" TargetMode="External"/><Relationship Id="rId3" Type="http://schemas.openxmlformats.org/officeDocument/2006/relationships/hyperlink" Target="https://drive.google.com/file/d/1D-k-Dnlpac4YabeiaygYsSxuXO7YnB4R/view?usp=sharing" TargetMode="External"/><Relationship Id="rId4" Type="http://schemas.openxmlformats.org/officeDocument/2006/relationships/hyperlink" Target="https://drive.google.com/file/d/1iEHze9EqUU76-LL9RCGaq0vLTGoF5N0h/view?usp=sharing" TargetMode="External"/><Relationship Id="rId9" Type="http://schemas.openxmlformats.org/officeDocument/2006/relationships/hyperlink" Target="https://drive.google.com/file/d/1jrWYMN3fAGiIntWQO5F_9nJRAQWuB-Pm/view?usp=sharing" TargetMode="External"/><Relationship Id="rId5" Type="http://schemas.openxmlformats.org/officeDocument/2006/relationships/hyperlink" Target="https://drive.google.com/file/d/1s52HsM97EQuzwb_Ju-PfXk98PszVoRC1/view?usp=sharing" TargetMode="External"/><Relationship Id="rId6" Type="http://schemas.openxmlformats.org/officeDocument/2006/relationships/hyperlink" Target="https://drive.google.com/file/d/1UwI9kbEKxOhSKja0QdkVRtM1yEKauK4r/view?usp=sharing" TargetMode="External"/><Relationship Id="rId7" Type="http://schemas.openxmlformats.org/officeDocument/2006/relationships/hyperlink" Target="https://drive.google.com/file/d/1dFs9eyga-vNFzViLmFBd3quK9mvlx5ZX/view?usp=sharing" TargetMode="External"/><Relationship Id="rId8" Type="http://schemas.openxmlformats.org/officeDocument/2006/relationships/hyperlink" Target="https://drive.google.com/file/d/1Q1dovmTc0aLDD_mNbY8vCPtTWvvyDpzO/view?usp=sharin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1" max="21" width="24.0"/>
    <col customWidth="1" min="23" max="23" width="20.86"/>
    <col customWidth="1" min="36" max="36" width="16.86"/>
    <col customWidth="1" min="40" max="40" width="19.0"/>
  </cols>
  <sheetData>
    <row r="1">
      <c r="A1" s="1" t="str">
        <f>IFERROR(__xludf.DUMMYFUNCTION("IMPORTRANGE(""https://docs.google.com/spreadsheets/d/1Z0iNrIIMFkt7jtdPLvw4hkObD7-eALUPMNpCWT9-CgI/edit#gid=1230152873"", ""Productos!A1:AZ"")"),"")</f>
        <v/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 t="str">
        <f>IFERROR(__xludf.DUMMYFUNCTION("""COMPUTED_VALUE"""),"INTERNACIONALIZACIÓN")</f>
        <v>INTERNACIONALIZACIÓN</v>
      </c>
      <c r="V1" s="1"/>
      <c r="W1" s="1" t="str">
        <f>IFERROR(__xludf.DUMMYFUNCTION("""COMPUTED_VALUE"""),"COOPERACIÓN INSTITUCIONES")</f>
        <v>COOPERACIÓN INSTITUCIONES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tr">
        <f>IFERROR(__xludf.DUMMYFUNCTION("""COMPUTED_VALUE"""),"RELACIÓN CON OTRO PROYECTO")</f>
        <v>RELACIÓN CON OTRO PROYECTO</v>
      </c>
      <c r="AL1" s="1"/>
      <c r="AM1" s="1"/>
      <c r="AN1" s="1" t="str">
        <f>IFERROR(__xludf.DUMMYFUNCTION("""COMPUTED_VALUE"""),"COLABORACIÓN")</f>
        <v>COLABORACIÓN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>
      <c r="A2" s="1" t="str">
        <f>IFERROR(__xludf.DUMMYFUNCTION("""COMPUTED_VALUE"""),"PROYECTO")</f>
        <v>PROYECTO</v>
      </c>
      <c r="B2" s="1" t="str">
        <f>IFERROR(__xludf.DUMMYFUNCTION("""COMPUTED_VALUE"""),"TIPO DE PRODUCTO")</f>
        <v>TIPO DE PRODUCTO</v>
      </c>
      <c r="C2" s="1" t="str">
        <f>IFERROR(__xludf.DUMMYFUNCTION("""COMPUTED_VALUE"""),"SUBPRODUCTO")</f>
        <v>SUBPRODUCTO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tr">
        <f>IFERROR(__xludf.DUMMYFUNCTION("""COMPUTED_VALUE"""),"COLABORACIÓN")</f>
        <v>COLABORACIÓN</v>
      </c>
      <c r="V2" s="1" t="str">
        <f>IFERROR(__xludf.DUMMYFUNCTION("""COMPUTED_VALUE"""),"DESCRIPCIÓN")</f>
        <v>DESCRIPCIÓN</v>
      </c>
      <c r="W2" s="1" t="str">
        <f>IFERROR(__xludf.DUMMYFUNCTION("""COMPUTED_VALUE"""),"COLABORACÓN INTERNA")</f>
        <v>COLABORACÓN INTERNA</v>
      </c>
      <c r="X2" s="1" t="str">
        <f>IFERROR(__xludf.DUMMYFUNCTION("""COMPUTED_VALUE"""),"ALIADOS  SÉNECA")</f>
        <v>ALIADOS  SÉNECA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 t="str">
        <f>IFERROR(__xludf.DUMMYFUNCTION("""COMPUTED_VALUE"""),"OTRAS INSTITUCIONES")</f>
        <v>OTRAS INSTITUCIONES</v>
      </c>
      <c r="AK2" s="1" t="str">
        <f>IFERROR(__xludf.DUMMYFUNCTION("""COMPUTED_VALUE"""),"TIPO DE RELACIÓN")</f>
        <v>TIPO DE RELACIÓN</v>
      </c>
      <c r="AL2" s="1" t="str">
        <f>IFERROR(__xludf.DUMMYFUNCTION("""COMPUTED_VALUE"""),"PROYECTO")</f>
        <v>PROYECTO</v>
      </c>
      <c r="AM2" s="1" t="str">
        <f>IFERROR(__xludf.DUMMYFUNCTION("""COMPUTED_VALUE"""),"TIPO DE COMPROMISO")</f>
        <v>TIPO DE COMPROMISO</v>
      </c>
      <c r="AN2" s="1" t="str">
        <f>IFERROR(__xludf.DUMMYFUNCTION("""COMPUTED_VALUE"""),"Número de autores")</f>
        <v>Número de autores</v>
      </c>
      <c r="AO2" s="1" t="str">
        <f>IFERROR(__xludf.DUMMYFUNCTION("""COMPUTED_VALUE"""),"Número de autores Séneca")</f>
        <v>Número de autores Séneca</v>
      </c>
      <c r="AP2" s="1" t="str">
        <f>IFERROR(__xludf.DUMMYFUNCTION("""COMPUTED_VALUE"""),"Número de grupos involucrados ")</f>
        <v>Número de grupos involucrados </v>
      </c>
      <c r="AQ2" s="1" t="str">
        <f>IFERROR(__xludf.DUMMYFUNCTION("""COMPUTED_VALUE"""),"Número de grupos Séneca involucrados")</f>
        <v>Número de grupos Séneca involucrados</v>
      </c>
      <c r="AR2" s="1" t="str">
        <f>IFERROR(__xludf.DUMMYFUNCTION("""COMPUTED_VALUE"""),"Número de Instituciones ")</f>
        <v>Número de Instituciones </v>
      </c>
      <c r="AS2" s="1" t="str">
        <f>IFERROR(__xludf.DUMMYFUNCTION("""COMPUTED_VALUE"""),"Número de Instituciones Séneca")</f>
        <v>Número de Instituciones Séneca</v>
      </c>
      <c r="AT2" s="1" t="str">
        <f>IFERROR(__xludf.DUMMYFUNCTION("""COMPUTED_VALUE"""),"DESCRIPCIÓN PRODUCTO")</f>
        <v>DESCRIPCIÓN PRODUCTO</v>
      </c>
      <c r="AU2" s="1" t="str">
        <f>IFERROR(__xludf.DUMMYFUNCTION("""COMPUTED_VALUE"""),"ENLACE")</f>
        <v>ENLACE</v>
      </c>
      <c r="AV2" s="1" t="str">
        <f>IFERROR(__xludf.DUMMYFUNCTION("""COMPUTED_VALUE"""),"Caso SSOFI")</f>
        <v>Caso SSOFI</v>
      </c>
      <c r="AW2" s="1" t="str">
        <f>IFERROR(__xludf.DUMMYFUNCTION("""COMPUTED_VALUE"""),"Estudiantes")</f>
        <v>Estudiantes</v>
      </c>
      <c r="AX2" s="1" t="str">
        <f>IFERROR(__xludf.DUMMYFUNCTION("""COMPUTED_VALUE"""),"Informe de reporte")</f>
        <v>Informe de reporte</v>
      </c>
      <c r="AY2" s="1" t="str">
        <f>IFERROR(__xludf.DUMMYFUNCTION("""COMPUTED_VALUE"""),"Título ")</f>
        <v>Título </v>
      </c>
      <c r="AZ2" s="1" t="str">
        <f>IFERROR(__xludf.DUMMYFUNCTION("""COMPUTED_VALUE"""),"Validado Colciencias")</f>
        <v>Validado Colciencias</v>
      </c>
      <c r="BA2" s="3" t="s">
        <v>0</v>
      </c>
      <c r="BB2" s="3" t="s">
        <v>1</v>
      </c>
      <c r="BC2" s="3" t="s">
        <v>2</v>
      </c>
      <c r="BD2" s="3" t="s">
        <v>3</v>
      </c>
      <c r="BE2" s="3" t="s">
        <v>4</v>
      </c>
      <c r="BF2" s="3" t="s">
        <v>5</v>
      </c>
      <c r="BG2" s="3" t="s">
        <v>6</v>
      </c>
      <c r="BH2" s="3" t="s">
        <v>7</v>
      </c>
      <c r="BI2" s="3" t="s">
        <v>8</v>
      </c>
      <c r="BJ2" s="3" t="s">
        <v>9</v>
      </c>
      <c r="BK2" s="3" t="s">
        <v>10</v>
      </c>
      <c r="BL2" s="3" t="s">
        <v>11</v>
      </c>
      <c r="BM2" s="3" t="s">
        <v>12</v>
      </c>
      <c r="BN2" s="3" t="s">
        <v>13</v>
      </c>
      <c r="BO2" s="3" t="s">
        <v>14</v>
      </c>
      <c r="BP2" s="3" t="s">
        <v>15</v>
      </c>
      <c r="BQ2" s="3" t="s">
        <v>16</v>
      </c>
      <c r="BR2" s="3" t="s">
        <v>17</v>
      </c>
      <c r="BS2" s="3" t="s">
        <v>18</v>
      </c>
      <c r="BT2" s="3" t="s">
        <v>19</v>
      </c>
      <c r="BU2" s="3" t="s">
        <v>20</v>
      </c>
      <c r="BV2" s="3" t="s">
        <v>21</v>
      </c>
      <c r="BW2" s="3" t="s">
        <v>22</v>
      </c>
      <c r="BX2" s="3" t="s">
        <v>23</v>
      </c>
      <c r="BY2" s="3" t="s">
        <v>24</v>
      </c>
      <c r="BZ2" s="3" t="s">
        <v>25</v>
      </c>
      <c r="CA2" s="3" t="s">
        <v>26</v>
      </c>
      <c r="CB2" s="3" t="s">
        <v>27</v>
      </c>
      <c r="CC2" s="3" t="s">
        <v>28</v>
      </c>
      <c r="CD2" s="3" t="s">
        <v>29</v>
      </c>
      <c r="CE2" s="3" t="s">
        <v>30</v>
      </c>
      <c r="CF2" s="3" t="s">
        <v>31</v>
      </c>
      <c r="CG2" s="3" t="s">
        <v>32</v>
      </c>
      <c r="CH2" s="3" t="s">
        <v>33</v>
      </c>
      <c r="CI2" s="3" t="s">
        <v>34</v>
      </c>
      <c r="CJ2" s="3" t="s">
        <v>35</v>
      </c>
      <c r="CK2" s="3" t="s">
        <v>36</v>
      </c>
      <c r="CL2" s="3" t="s">
        <v>37</v>
      </c>
      <c r="CM2" s="3" t="s">
        <v>38</v>
      </c>
      <c r="CN2" s="3" t="s">
        <v>39</v>
      </c>
      <c r="CO2" s="3" t="s">
        <v>40</v>
      </c>
      <c r="CP2" s="3" t="s">
        <v>41</v>
      </c>
      <c r="CQ2" s="3" t="s">
        <v>42</v>
      </c>
      <c r="CR2" s="3" t="s">
        <v>43</v>
      </c>
    </row>
    <row r="3">
      <c r="A3" s="4" t="str">
        <f>IFERROR(__xludf.DUMMYFUNCTION("""COMPUTED_VALUE"""),"Proy12")</f>
        <v>Proy12</v>
      </c>
      <c r="B3" s="4" t="str">
        <f>IFERROR(__xludf.DUMMYFUNCTION("""COMPUTED_VALUE"""),"Nuevo_Conocimiento")</f>
        <v>Nuevo_Conocimiento</v>
      </c>
      <c r="C3" s="4" t="str">
        <f>IFERROR(__xludf.DUMMYFUNCTION("""COMPUTED_VALUE"""),"Artículo A1")</f>
        <v>Artículo A1</v>
      </c>
      <c r="D3" s="4" t="str">
        <f>IFERROR(__xludf.DUMMYFUNCTION("""COMPUTED_VALUE"""),"Artículo A1")</f>
        <v>Artículo A1</v>
      </c>
      <c r="E3" s="4" t="str">
        <f>IFERROR(__xludf.DUMMYFUNCTION("""COMPUTED_VALUE"""),"Artículo A2")</f>
        <v>Artículo A2</v>
      </c>
      <c r="F3" s="4" t="str">
        <f>IFERROR(__xludf.DUMMYFUNCTION("""COMPUTED_VALUE"""),"Artículo B")</f>
        <v>Artículo B</v>
      </c>
      <c r="G3" s="4" t="str">
        <f>IFERROR(__xludf.DUMMYFUNCTION("""COMPUTED_VALUE"""),"Artículo C")</f>
        <v>Artículo C</v>
      </c>
      <c r="H3" s="4" t="str">
        <f>IFERROR(__xludf.DUMMYFUNCTION("""COMPUTED_VALUE"""),"Capítulo de libro A")</f>
        <v>Capítulo de libro A</v>
      </c>
      <c r="I3" s="4" t="str">
        <f>IFERROR(__xludf.DUMMYFUNCTION("""COMPUTED_VALUE"""),"Capítulo de libro A1")</f>
        <v>Capítulo de libro A1</v>
      </c>
      <c r="J3" s="4" t="str">
        <f>IFERROR(__xludf.DUMMYFUNCTION("""COMPUTED_VALUE"""),"Capítulo de libro B")</f>
        <v>Capítulo de libro B</v>
      </c>
      <c r="K3" s="4" t="str">
        <f>IFERROR(__xludf.DUMMYFUNCTION("""COMPUTED_VALUE"""),"Libro A")</f>
        <v>Libro A</v>
      </c>
      <c r="L3" s="4" t="str">
        <f>IFERROR(__xludf.DUMMYFUNCTION("""COMPUTED_VALUE"""),"Libro A1")</f>
        <v>Libro A1</v>
      </c>
      <c r="M3" s="4" t="str">
        <f>IFERROR(__xludf.DUMMYFUNCTION("""COMPUTED_VALUE"""),"Libro B")</f>
        <v>Libro B</v>
      </c>
      <c r="N3" s="4" t="str">
        <f>IFERROR(__xludf.DUMMYFUNCTION("""COMPUTED_VALUE"""),"Solicitud Patente de invención y-o modelo de utitlidad")</f>
        <v>Solicitud Patente de invención y-o modelo de utitlidad</v>
      </c>
      <c r="O3" s="4" t="str">
        <f>IFERROR(__xludf.DUMMYFUNCTION("""COMPUTED_VALUE"""),"Patente de invención")</f>
        <v>Patente de invención</v>
      </c>
      <c r="P3" s="4" t="str">
        <f>IFERROR(__xludf.DUMMYFUNCTION("""COMPUTED_VALUE"""),"Patente de modelo de utilidad")</f>
        <v>Patente de modelo de utilidad</v>
      </c>
      <c r="Q3" s="4" t="str">
        <f>IFERROR(__xludf.DUMMYFUNCTION("""COMPUTED_VALUE"""),"Artículo sin clasificar")</f>
        <v>Artículo sin clasificar</v>
      </c>
      <c r="R3" s="4" t="str">
        <f>IFERROR(__xludf.DUMMYFUNCTION("""COMPUTED_VALUE"""),"Capítulo sin clasificar")</f>
        <v>Capítulo sin clasificar</v>
      </c>
      <c r="S3" s="4"/>
      <c r="T3" s="4"/>
      <c r="U3" s="4" t="str">
        <f>IFERROR(__xludf.DUMMYFUNCTION("""COMPUTED_VALUE"""),"Otros actores")</f>
        <v>Otros actores</v>
      </c>
      <c r="V3" s="4" t="str">
        <f>IFERROR(__xludf.DUMMYFUNCTION("""COMPUTED_VALUE"""),"Universidad de Castilla La Mancha")</f>
        <v>Universidad de Castilla La Mancha</v>
      </c>
      <c r="W3" s="4" t="str">
        <f>IFERROR(__xludf.DUMMYFUNCTION("""COMPUTED_VALUE"""),"Proyecto")</f>
        <v>Proyecto</v>
      </c>
      <c r="X3" s="4" t="str">
        <f>IFERROR(__xludf.DUMMYFUNCTION("""COMPUTED_VALUE"""),"UdeA ")</f>
        <v>UdeA </v>
      </c>
      <c r="Y3" s="4"/>
      <c r="Z3" s="4"/>
      <c r="AA3" s="4"/>
      <c r="AB3" s="4" t="str">
        <f>IFERROR(__xludf.DUMMYFUNCTION("""COMPUTED_VALUE"""),"UdeA ")</f>
        <v>UdeA </v>
      </c>
      <c r="AC3" s="4" t="str">
        <f>IFERROR(__xludf.DUMMYFUNCTION("""COMPUTED_VALUE"""),"UniCauca")</f>
        <v>UniCauca</v>
      </c>
      <c r="AD3" s="4"/>
      <c r="AE3" s="4"/>
      <c r="AF3" s="4"/>
      <c r="AG3" s="4"/>
      <c r="AH3" s="4"/>
      <c r="AI3" s="4"/>
      <c r="AJ3" s="4"/>
      <c r="AK3" s="4" t="str">
        <f>IFERROR(__xludf.DUMMYFUNCTION("""COMPUTED_VALUE"""),"Ninguna")</f>
        <v>Ninguna</v>
      </c>
      <c r="AL3" s="4"/>
      <c r="AM3" s="4" t="str">
        <f>IFERROR(__xludf.DUMMYFUNCTION("""COMPUTED_VALUE"""),"Obligatorio")</f>
        <v>Obligatorio</v>
      </c>
      <c r="AN3" s="4">
        <f>IFERROR(__xludf.DUMMYFUNCTION("""COMPUTED_VALUE"""),3.0)</f>
        <v>3</v>
      </c>
      <c r="AO3" s="4">
        <f>IFERROR(__xludf.DUMMYFUNCTION("""COMPUTED_VALUE"""),1.0)</f>
        <v>1</v>
      </c>
      <c r="AP3" s="4">
        <f>IFERROR(__xludf.DUMMYFUNCTION("""COMPUTED_VALUE"""),2.0)</f>
        <v>2</v>
      </c>
      <c r="AQ3" s="4">
        <f>IFERROR(__xludf.DUMMYFUNCTION("""COMPUTED_VALUE"""),1.0)</f>
        <v>1</v>
      </c>
      <c r="AR3" s="4">
        <f>IFERROR(__xludf.DUMMYFUNCTION("""COMPUTED_VALUE"""),2.0)</f>
        <v>2</v>
      </c>
      <c r="AS3" s="4">
        <f>IFERROR(__xludf.DUMMYFUNCTION("""COMPUTED_VALUE"""),1.0)</f>
        <v>1</v>
      </c>
      <c r="AT3" s="4" t="str">
        <f>IFERROR(__xludf.DUMMYFUNCTION("""COMPUTED_VALUE"""),"DOI 10.1021/acs.iecr.9b00843")</f>
        <v>DOI 10.1021/acs.iecr.9b00843</v>
      </c>
      <c r="AU3" s="5" t="str">
        <f>IFERROR(__xludf.DUMMYFUNCTION("""COMPUTED_VALUE"""),"https://drive.google.com/open?id=17tqNt3mFAX4zhX3GU6aHCk0cWHh1rnba")</f>
        <v>https://drive.google.com/open?id=17tqNt3mFAX4zhX3GU6aHCk0cWHh1rnba</v>
      </c>
      <c r="AV3" s="4">
        <f>IFERROR(__xludf.DUMMYFUNCTION("""COMPUTED_VALUE"""),1099.0)</f>
        <v>1099</v>
      </c>
      <c r="AW3" s="4"/>
      <c r="AX3" s="4">
        <f>IFERROR(__xludf.DUMMYFUNCTION("""COMPUTED_VALUE"""),2.0)</f>
        <v>2</v>
      </c>
      <c r="AY3" s="4" t="str">
        <f>IFERROR(__xludf.DUMMYFUNCTION("""COMPUTED_VALUE"""),"Prediction of Flash-Point Temperature of Alcohol/Biodiesel/Diesel Fuel Blends")</f>
        <v>Prediction of Flash-Point Temperature of Alcohol/Biodiesel/Diesel Fuel Blends</v>
      </c>
      <c r="AZ3" s="4"/>
      <c r="BA3" s="6" t="s">
        <v>44</v>
      </c>
      <c r="BB3" s="6" t="s">
        <v>45</v>
      </c>
      <c r="BD3" s="6" t="s">
        <v>46</v>
      </c>
      <c r="BE3" s="6" t="s">
        <v>47</v>
      </c>
      <c r="BG3" s="6" t="s">
        <v>48</v>
      </c>
      <c r="BH3" s="6" t="s">
        <v>45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 t="s">
        <v>49</v>
      </c>
      <c r="CR3" s="6">
        <v>3.57</v>
      </c>
    </row>
    <row r="4">
      <c r="A4" s="4" t="str">
        <f>IFERROR(__xludf.DUMMYFUNCTION("""COMPUTED_VALUE"""),"Proy13")</f>
        <v>Proy13</v>
      </c>
      <c r="B4" s="4" t="str">
        <f>IFERROR(__xludf.DUMMYFUNCTION("""COMPUTED_VALUE"""),"Nuevo_Conocimiento")</f>
        <v>Nuevo_Conocimiento</v>
      </c>
      <c r="C4" s="4" t="str">
        <f>IFERROR(__xludf.DUMMYFUNCTION("""COMPUTED_VALUE"""),"Artículo A1")</f>
        <v>Artículo A1</v>
      </c>
      <c r="D4" s="4" t="str">
        <f>IFERROR(__xludf.DUMMYFUNCTION("""COMPUTED_VALUE"""),"Artículo A1")</f>
        <v>Artículo A1</v>
      </c>
      <c r="E4" s="4" t="str">
        <f>IFERROR(__xludf.DUMMYFUNCTION("""COMPUTED_VALUE"""),"Artículo A2")</f>
        <v>Artículo A2</v>
      </c>
      <c r="F4" s="4" t="str">
        <f>IFERROR(__xludf.DUMMYFUNCTION("""COMPUTED_VALUE"""),"Artículo B")</f>
        <v>Artículo B</v>
      </c>
      <c r="G4" s="4" t="str">
        <f>IFERROR(__xludf.DUMMYFUNCTION("""COMPUTED_VALUE"""),"Artículo C")</f>
        <v>Artículo C</v>
      </c>
      <c r="H4" s="4" t="str">
        <f>IFERROR(__xludf.DUMMYFUNCTION("""COMPUTED_VALUE"""),"Capítulo de libro A")</f>
        <v>Capítulo de libro A</v>
      </c>
      <c r="I4" s="4" t="str">
        <f>IFERROR(__xludf.DUMMYFUNCTION("""COMPUTED_VALUE"""),"Capítulo de libro A1")</f>
        <v>Capítulo de libro A1</v>
      </c>
      <c r="J4" s="4" t="str">
        <f>IFERROR(__xludf.DUMMYFUNCTION("""COMPUTED_VALUE"""),"Capítulo de libro B")</f>
        <v>Capítulo de libro B</v>
      </c>
      <c r="K4" s="4" t="str">
        <f>IFERROR(__xludf.DUMMYFUNCTION("""COMPUTED_VALUE"""),"Libro A")</f>
        <v>Libro A</v>
      </c>
      <c r="L4" s="4" t="str">
        <f>IFERROR(__xludf.DUMMYFUNCTION("""COMPUTED_VALUE"""),"Libro A1")</f>
        <v>Libro A1</v>
      </c>
      <c r="M4" s="4" t="str">
        <f>IFERROR(__xludf.DUMMYFUNCTION("""COMPUTED_VALUE"""),"Libro B")</f>
        <v>Libro B</v>
      </c>
      <c r="N4" s="4" t="str">
        <f>IFERROR(__xludf.DUMMYFUNCTION("""COMPUTED_VALUE"""),"Solicitud Patente de invención y-o modelo de utitlidad")</f>
        <v>Solicitud Patente de invención y-o modelo de utitlidad</v>
      </c>
      <c r="O4" s="4" t="str">
        <f>IFERROR(__xludf.DUMMYFUNCTION("""COMPUTED_VALUE"""),"Patente de invención")</f>
        <v>Patente de invención</v>
      </c>
      <c r="P4" s="4" t="str">
        <f>IFERROR(__xludf.DUMMYFUNCTION("""COMPUTED_VALUE"""),"Patente de modelo de utilidad")</f>
        <v>Patente de modelo de utilidad</v>
      </c>
      <c r="Q4" s="4" t="str">
        <f>IFERROR(__xludf.DUMMYFUNCTION("""COMPUTED_VALUE"""),"Artículo sin clasificar")</f>
        <v>Artículo sin clasificar</v>
      </c>
      <c r="R4" s="4" t="str">
        <f>IFERROR(__xludf.DUMMYFUNCTION("""COMPUTED_VALUE"""),"Capítulo sin clasificar")</f>
        <v>Capítulo sin clasificar</v>
      </c>
      <c r="S4" s="4"/>
      <c r="T4" s="4"/>
      <c r="U4" s="4" t="str">
        <f>IFERROR(__xludf.DUMMYFUNCTION("""COMPUTED_VALUE"""),"Ninguna")</f>
        <v>Ninguna</v>
      </c>
      <c r="V4" s="4"/>
      <c r="W4" s="4" t="str">
        <f>IFERROR(__xludf.DUMMYFUNCTION("""COMPUTED_VALUE"""),"Proyecto")</f>
        <v>Proyecto</v>
      </c>
      <c r="X4" s="4" t="str">
        <f>IFERROR(__xludf.DUMMYFUNCTION("""COMPUTED_VALUE"""),"UdeA ")</f>
        <v>UdeA 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tr">
        <f>IFERROR(__xludf.DUMMYFUNCTION("""COMPUTED_VALUE"""),"ITM, Pascual Bravo")</f>
        <v>ITM, Pascual Bravo</v>
      </c>
      <c r="AK4" s="4" t="str">
        <f>IFERROR(__xludf.DUMMYFUNCTION("""COMPUTED_VALUE"""),"Ninguna")</f>
        <v>Ninguna</v>
      </c>
      <c r="AL4" s="4"/>
      <c r="AM4" s="4" t="str">
        <f>IFERROR(__xludf.DUMMYFUNCTION("""COMPUTED_VALUE"""),"Adicional")</f>
        <v>Adicional</v>
      </c>
      <c r="AN4" s="4">
        <f>IFERROR(__xludf.DUMMYFUNCTION("""COMPUTED_VALUE"""),3.0)</f>
        <v>3</v>
      </c>
      <c r="AO4" s="4">
        <f>IFERROR(__xludf.DUMMYFUNCTION("""COMPUTED_VALUE"""),1.0)</f>
        <v>1</v>
      </c>
      <c r="AP4" s="4">
        <f>IFERROR(__xludf.DUMMYFUNCTION("""COMPUTED_VALUE"""),3.0)</f>
        <v>3</v>
      </c>
      <c r="AQ4" s="4">
        <f>IFERROR(__xludf.DUMMYFUNCTION("""COMPUTED_VALUE"""),1.0)</f>
        <v>1</v>
      </c>
      <c r="AR4" s="4">
        <f>IFERROR(__xludf.DUMMYFUNCTION("""COMPUTED_VALUE"""),3.0)</f>
        <v>3</v>
      </c>
      <c r="AS4" s="4">
        <f>IFERROR(__xludf.DUMMYFUNCTION("""COMPUTED_VALUE"""),1.0)</f>
        <v>1</v>
      </c>
      <c r="AT4" s="4" t="str">
        <f>IFERROR(__xludf.DUMMYFUNCTION("""COMPUTED_VALUE"""),"DOI:10.3390/resources8010051")</f>
        <v>DOI:10.3390/resources8010051</v>
      </c>
      <c r="AU4" s="5" t="str">
        <f>IFERROR(__xludf.DUMMYFUNCTION("""COMPUTED_VALUE"""),"https://drive.google.com/open?id=1df_IOiu8kq7T0LsHowq6XPBlMKzzvrMd")</f>
        <v>https://drive.google.com/open?id=1df_IOiu8kq7T0LsHowq6XPBlMKzzvrMd</v>
      </c>
      <c r="AV4" s="4">
        <f>IFERROR(__xludf.DUMMYFUNCTION("""COMPUTED_VALUE"""),1095.0)</f>
        <v>1095</v>
      </c>
      <c r="AW4" s="4"/>
      <c r="AX4" s="4">
        <f>IFERROR(__xludf.DUMMYFUNCTION("""COMPUTED_VALUE"""),3.0)</f>
        <v>3</v>
      </c>
      <c r="AY4" s="4" t="str">
        <f>IFERROR(__xludf.DUMMYFUNCTION("""COMPUTED_VALUE"""),"Municipal Solid Waste as a Source of Electric Power Generation in Colombia: A Techno-Economic Evaluation under Different Scenarios")</f>
        <v>Municipal Solid Waste as a Source of Electric Power Generation in Colombia: A Techno-Economic Evaluation under Different Scenarios</v>
      </c>
      <c r="AZ4" s="4"/>
      <c r="BA4" s="6" t="s">
        <v>50</v>
      </c>
      <c r="BB4" s="6" t="s">
        <v>51</v>
      </c>
      <c r="BD4" s="6" t="s">
        <v>52</v>
      </c>
      <c r="BE4" s="6" t="s">
        <v>53</v>
      </c>
      <c r="BF4" s="6" t="s">
        <v>54</v>
      </c>
      <c r="BG4" s="6" t="s">
        <v>55</v>
      </c>
      <c r="BH4" s="6" t="s">
        <v>45</v>
      </c>
      <c r="BI4" s="6" t="s">
        <v>56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 t="s">
        <v>57</v>
      </c>
      <c r="CR4" s="6">
        <v>3.5</v>
      </c>
    </row>
    <row r="5">
      <c r="A5" s="4" t="str">
        <f>IFERROR(__xludf.DUMMYFUNCTION("""COMPUTED_VALUE"""),"Proy13")</f>
        <v>Proy13</v>
      </c>
      <c r="B5" s="4" t="str">
        <f>IFERROR(__xludf.DUMMYFUNCTION("""COMPUTED_VALUE"""),"Nuevo_Conocimiento")</f>
        <v>Nuevo_Conocimiento</v>
      </c>
      <c r="C5" s="4" t="str">
        <f>IFERROR(__xludf.DUMMYFUNCTION("""COMPUTED_VALUE"""),"Artículo A1")</f>
        <v>Artículo A1</v>
      </c>
      <c r="D5" s="4" t="str">
        <f>IFERROR(__xludf.DUMMYFUNCTION("""COMPUTED_VALUE"""),"Artículo A1")</f>
        <v>Artículo A1</v>
      </c>
      <c r="E5" s="4" t="str">
        <f>IFERROR(__xludf.DUMMYFUNCTION("""COMPUTED_VALUE"""),"Artículo A2")</f>
        <v>Artículo A2</v>
      </c>
      <c r="F5" s="4" t="str">
        <f>IFERROR(__xludf.DUMMYFUNCTION("""COMPUTED_VALUE"""),"Artículo B")</f>
        <v>Artículo B</v>
      </c>
      <c r="G5" s="4" t="str">
        <f>IFERROR(__xludf.DUMMYFUNCTION("""COMPUTED_VALUE"""),"Artículo C")</f>
        <v>Artículo C</v>
      </c>
      <c r="H5" s="4" t="str">
        <f>IFERROR(__xludf.DUMMYFUNCTION("""COMPUTED_VALUE"""),"Capítulo de libro A")</f>
        <v>Capítulo de libro A</v>
      </c>
      <c r="I5" s="4" t="str">
        <f>IFERROR(__xludf.DUMMYFUNCTION("""COMPUTED_VALUE"""),"Capítulo de libro A1")</f>
        <v>Capítulo de libro A1</v>
      </c>
      <c r="J5" s="4" t="str">
        <f>IFERROR(__xludf.DUMMYFUNCTION("""COMPUTED_VALUE"""),"Capítulo de libro B")</f>
        <v>Capítulo de libro B</v>
      </c>
      <c r="K5" s="4" t="str">
        <f>IFERROR(__xludf.DUMMYFUNCTION("""COMPUTED_VALUE"""),"Libro A")</f>
        <v>Libro A</v>
      </c>
      <c r="L5" s="4" t="str">
        <f>IFERROR(__xludf.DUMMYFUNCTION("""COMPUTED_VALUE"""),"Libro A1")</f>
        <v>Libro A1</v>
      </c>
      <c r="M5" s="4" t="str">
        <f>IFERROR(__xludf.DUMMYFUNCTION("""COMPUTED_VALUE"""),"Libro B")</f>
        <v>Libro B</v>
      </c>
      <c r="N5" s="4" t="str">
        <f>IFERROR(__xludf.DUMMYFUNCTION("""COMPUTED_VALUE"""),"Solicitud Patente de invención y-o modelo de utitlidad")</f>
        <v>Solicitud Patente de invención y-o modelo de utitlidad</v>
      </c>
      <c r="O5" s="4" t="str">
        <f>IFERROR(__xludf.DUMMYFUNCTION("""COMPUTED_VALUE"""),"Patente de invención")</f>
        <v>Patente de invención</v>
      </c>
      <c r="P5" s="4" t="str">
        <f>IFERROR(__xludf.DUMMYFUNCTION("""COMPUTED_VALUE"""),"Patente de modelo de utilidad")</f>
        <v>Patente de modelo de utilidad</v>
      </c>
      <c r="Q5" s="4" t="str">
        <f>IFERROR(__xludf.DUMMYFUNCTION("""COMPUTED_VALUE"""),"Artículo sin clasificar")</f>
        <v>Artículo sin clasificar</v>
      </c>
      <c r="R5" s="4" t="str">
        <f>IFERROR(__xludf.DUMMYFUNCTION("""COMPUTED_VALUE"""),"Capítulo sin clasificar")</f>
        <v>Capítulo sin clasificar</v>
      </c>
      <c r="S5" s="4"/>
      <c r="T5" s="4"/>
      <c r="U5" s="4" t="str">
        <f>IFERROR(__xludf.DUMMYFUNCTION("""COMPUTED_VALUE"""),"Ninguna")</f>
        <v>Ninguna</v>
      </c>
      <c r="V5" s="4"/>
      <c r="W5" s="4" t="str">
        <f>IFERROR(__xludf.DUMMYFUNCTION("""COMPUTED_VALUE"""),"Proyecto")</f>
        <v>Proyecto</v>
      </c>
      <c r="X5" s="4" t="str">
        <f>IFERROR(__xludf.DUMMYFUNCTION("""COMPUTED_VALUE"""),"UdeA ")</f>
        <v>UdeA 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 t="str">
        <f>IFERROR(__xludf.DUMMYFUNCTION("""COMPUTED_VALUE"""),"Ninguna")</f>
        <v>Ninguna</v>
      </c>
      <c r="AL5" s="4"/>
      <c r="AM5" s="4" t="str">
        <f>IFERROR(__xludf.DUMMYFUNCTION("""COMPUTED_VALUE"""),"Obligatorio")</f>
        <v>Obligatorio</v>
      </c>
      <c r="AN5" s="4">
        <f>IFERROR(__xludf.DUMMYFUNCTION("""COMPUTED_VALUE"""),2.0)</f>
        <v>2</v>
      </c>
      <c r="AO5" s="4">
        <f>IFERROR(__xludf.DUMMYFUNCTION("""COMPUTED_VALUE"""),1.0)</f>
        <v>1</v>
      </c>
      <c r="AP5" s="4">
        <f>IFERROR(__xludf.DUMMYFUNCTION("""COMPUTED_VALUE"""),1.0)</f>
        <v>1</v>
      </c>
      <c r="AQ5" s="4">
        <f>IFERROR(__xludf.DUMMYFUNCTION("""COMPUTED_VALUE"""),1.0)</f>
        <v>1</v>
      </c>
      <c r="AR5" s="4">
        <f>IFERROR(__xludf.DUMMYFUNCTION("""COMPUTED_VALUE"""),1.0)</f>
        <v>1</v>
      </c>
      <c r="AS5" s="4">
        <f>IFERROR(__xludf.DUMMYFUNCTION("""COMPUTED_VALUE"""),1.0)</f>
        <v>1</v>
      </c>
      <c r="AT5" s="4" t="str">
        <f>IFERROR(__xludf.DUMMYFUNCTION("""COMPUTED_VALUE"""),"DOI:10.3390/en12071290")</f>
        <v>DOI:10.3390/en12071290</v>
      </c>
      <c r="AU5" s="5" t="str">
        <f>IFERROR(__xludf.DUMMYFUNCTION("""COMPUTED_VALUE"""),"https://drive.google.com/open?id=1Mhog12DdtDtCQJoCGSTbSIRVnrbAx92m")</f>
        <v>https://drive.google.com/open?id=1Mhog12DdtDtCQJoCGSTbSIRVnrbAx92m</v>
      </c>
      <c r="AV5" s="4">
        <f>IFERROR(__xludf.DUMMYFUNCTION("""COMPUTED_VALUE"""),1094.0)</f>
        <v>1094</v>
      </c>
      <c r="AW5" s="4"/>
      <c r="AX5" s="4">
        <f>IFERROR(__xludf.DUMMYFUNCTION("""COMPUTED_VALUE"""),2.0)</f>
        <v>2</v>
      </c>
      <c r="AY5" s="4" t="str">
        <f>IFERROR(__xludf.DUMMYFUNCTION("""COMPUTED_VALUE"""),"Calculation of Distance Protection Settings in Mutually Coupled Transmission Lines: A Comparative Analysis")</f>
        <v>Calculation of Distance Protection Settings in Mutually Coupled Transmission Lines: A Comparative Analysis</v>
      </c>
      <c r="AZ5" s="4"/>
      <c r="BA5" s="6" t="s">
        <v>58</v>
      </c>
      <c r="BB5" s="6" t="s">
        <v>45</v>
      </c>
      <c r="BC5" s="6" t="s">
        <v>56</v>
      </c>
      <c r="BD5" s="6" t="s">
        <v>59</v>
      </c>
      <c r="BE5" s="6" t="s">
        <v>45</v>
      </c>
      <c r="BF5" s="7" t="s">
        <v>56</v>
      </c>
      <c r="BG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 t="s">
        <v>60</v>
      </c>
      <c r="CR5" s="6">
        <v>2.7</v>
      </c>
    </row>
    <row r="6">
      <c r="A6" s="4" t="str">
        <f>IFERROR(__xludf.DUMMYFUNCTION("""COMPUTED_VALUE"""),"Proy1")</f>
        <v>Proy1</v>
      </c>
      <c r="B6" s="4" t="str">
        <f>IFERROR(__xludf.DUMMYFUNCTION("""COMPUTED_VALUE"""),"Apropiación")</f>
        <v>Apropiación</v>
      </c>
      <c r="C6" s="4" t="str">
        <f>IFERROR(__xludf.DUMMYFUNCTION("""COMPUTED_VALUE"""),"Ponencia")</f>
        <v>Ponencia</v>
      </c>
      <c r="D6" s="4" t="str">
        <f>IFERROR(__xludf.DUMMYFUNCTION("""COMPUTED_VALUE"""),"Ponencia")</f>
        <v>Ponencia</v>
      </c>
      <c r="E6" s="4" t="str">
        <f>IFERROR(__xludf.DUMMYFUNCTION("""COMPUTED_VALUE"""),"Evento científico")</f>
        <v>Evento científico</v>
      </c>
      <c r="F6" s="4" t="str">
        <f>IFERROR(__xludf.DUMMYFUNCTION("""COMPUTED_VALUE"""),"Cartilla")</f>
        <v>Cartilla</v>
      </c>
      <c r="G6" s="4" t="str">
        <f>IFERROR(__xludf.DUMMYFUNCTION("""COMPUTED_VALUE"""),"Curso de capacitación, seminario o taller")</f>
        <v>Curso de capacitación, seminario o taller</v>
      </c>
      <c r="H6" s="4" t="str">
        <f>IFERROR(__xludf.DUMMYFUNCTION("""COMPUTED_VALUE"""),"Socialización de resultados a actores del sector")</f>
        <v>Socialización de resultados a actores del sector</v>
      </c>
      <c r="I6" s="4" t="str">
        <f>IFERROR(__xludf.DUMMYFUNCTION("""COMPUTED_VALUE"""),"Articulación de redes de conocimiento")</f>
        <v>Articulación de redes de conocimiento</v>
      </c>
      <c r="J6" s="4" t="str">
        <f>IFERROR(__xludf.DUMMYFUNCTION("""COMPUTED_VALUE"""),"Circulación de conocimiento especializado - boletines")</f>
        <v>Circulación de conocimiento especializado - boletines</v>
      </c>
      <c r="K6" s="4"/>
      <c r="L6" s="4"/>
      <c r="M6" s="4"/>
      <c r="N6" s="4"/>
      <c r="O6" s="4"/>
      <c r="P6" s="4"/>
      <c r="Q6" s="4"/>
      <c r="R6" s="4"/>
      <c r="S6" s="4"/>
      <c r="T6" s="4"/>
      <c r="U6" s="4" t="str">
        <f>IFERROR(__xludf.DUMMYFUNCTION("""COMPUTED_VALUE"""),"Ninguna")</f>
        <v>Ninguna</v>
      </c>
      <c r="V6" s="4"/>
      <c r="W6" s="4" t="str">
        <f>IFERROR(__xludf.DUMMYFUNCTION("""COMPUTED_VALUE"""),"Proyecto")</f>
        <v>Proyecto</v>
      </c>
      <c r="X6" s="4" t="str">
        <f>IFERROR(__xludf.DUMMYFUNCTION("""COMPUTED_VALUE"""),"UdeA ")</f>
        <v>UdeA 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 t="str">
        <f>IFERROR(__xludf.DUMMYFUNCTION("""COMPUTED_VALUE"""),"Tecnológico de Antioquia")</f>
        <v>Tecnológico de Antioquia</v>
      </c>
      <c r="AK6" s="4" t="str">
        <f>IFERROR(__xludf.DUMMYFUNCTION("""COMPUTED_VALUE"""),"Ninguna")</f>
        <v>Ninguna</v>
      </c>
      <c r="AL6" s="4"/>
      <c r="AM6" s="4" t="str">
        <f>IFERROR(__xludf.DUMMYFUNCTION("""COMPUTED_VALUE"""),"Obligatorio")</f>
        <v>Obligatorio</v>
      </c>
      <c r="AN6" s="4">
        <f>IFERROR(__xludf.DUMMYFUNCTION("""COMPUTED_VALUE"""),3.0)</f>
        <v>3</v>
      </c>
      <c r="AO6" s="4">
        <f>IFERROR(__xludf.DUMMYFUNCTION("""COMPUTED_VALUE"""),1.0)</f>
        <v>1</v>
      </c>
      <c r="AP6" s="4">
        <f>IFERROR(__xludf.DUMMYFUNCTION("""COMPUTED_VALUE"""),2.0)</f>
        <v>2</v>
      </c>
      <c r="AQ6" s="4">
        <f>IFERROR(__xludf.DUMMYFUNCTION("""COMPUTED_VALUE"""),1.0)</f>
        <v>1</v>
      </c>
      <c r="AR6" s="4">
        <f>IFERROR(__xludf.DUMMYFUNCTION("""COMPUTED_VALUE"""),2.0)</f>
        <v>2</v>
      </c>
      <c r="AS6" s="4">
        <f>IFERROR(__xludf.DUMMYFUNCTION("""COMPUTED_VALUE"""),1.0)</f>
        <v>1</v>
      </c>
      <c r="AT6" s="4" t="str">
        <f>IFERROR(__xludf.DUMMYFUNCTION("""COMPUTED_VALUE"""),"ISBN: 978-84-09-08211-7, International Conference on Renewable Energies and Power Quality (ICREPQ’19)")</f>
        <v>ISBN: 978-84-09-08211-7, International Conference on Renewable Energies and Power Quality (ICREPQ’19)</v>
      </c>
      <c r="AU6" s="5" t="str">
        <f>IFERROR(__xludf.DUMMYFUNCTION("""COMPUTED_VALUE"""),"https://drive.google.com/open?id=1CaVs6N2A-SYPj78NA7u67xZCGUaebwCo")</f>
        <v>https://drive.google.com/open?id=1CaVs6N2A-SYPj78NA7u67xZCGUaebwCo</v>
      </c>
      <c r="AV6" s="8">
        <f>IFERROR(__xludf.DUMMYFUNCTION("""COMPUTED_VALUE"""),-300227.0)</f>
        <v>-300227</v>
      </c>
      <c r="AW6" s="4"/>
      <c r="AX6" s="4">
        <f>IFERROR(__xludf.DUMMYFUNCTION("""COMPUTED_VALUE"""),2.0)</f>
        <v>2</v>
      </c>
      <c r="AY6" s="4" t="str">
        <f>IFERROR(__xludf.DUMMYFUNCTION("""COMPUTED_VALUE"""),"Analysis of a lift augmented hydrofoil for hydrokinetic turbines")</f>
        <v>Analysis of a lift augmented hydrofoil for hydrokinetic turbines</v>
      </c>
      <c r="AZ6" s="4"/>
      <c r="BA6" s="6" t="s">
        <v>61</v>
      </c>
      <c r="BB6" s="6" t="s">
        <v>45</v>
      </c>
      <c r="BC6" s="6" t="s">
        <v>62</v>
      </c>
      <c r="BD6" s="6" t="s">
        <v>63</v>
      </c>
      <c r="BE6" s="6" t="s">
        <v>64</v>
      </c>
      <c r="BF6" s="6" t="s">
        <v>65</v>
      </c>
    </row>
    <row r="7">
      <c r="A7" s="4" t="str">
        <f>IFERROR(__xludf.DUMMYFUNCTION("""COMPUTED_VALUE"""),"Proy1")</f>
        <v>Proy1</v>
      </c>
      <c r="B7" s="4" t="str">
        <f>IFERROR(__xludf.DUMMYFUNCTION("""COMPUTED_VALUE"""),"Apropiación")</f>
        <v>Apropiación</v>
      </c>
      <c r="C7" s="4" t="str">
        <f>IFERROR(__xludf.DUMMYFUNCTION("""COMPUTED_VALUE"""),"Ponencia")</f>
        <v>Ponencia</v>
      </c>
      <c r="D7" s="4" t="str">
        <f>IFERROR(__xludf.DUMMYFUNCTION("""COMPUTED_VALUE"""),"Ponencia")</f>
        <v>Ponencia</v>
      </c>
      <c r="E7" s="4" t="str">
        <f>IFERROR(__xludf.DUMMYFUNCTION("""COMPUTED_VALUE"""),"Evento científico")</f>
        <v>Evento científico</v>
      </c>
      <c r="F7" s="4" t="str">
        <f>IFERROR(__xludf.DUMMYFUNCTION("""COMPUTED_VALUE"""),"Cartilla")</f>
        <v>Cartilla</v>
      </c>
      <c r="G7" s="4" t="str">
        <f>IFERROR(__xludf.DUMMYFUNCTION("""COMPUTED_VALUE"""),"Curso de capacitación, seminario o taller")</f>
        <v>Curso de capacitación, seminario o taller</v>
      </c>
      <c r="H7" s="4" t="str">
        <f>IFERROR(__xludf.DUMMYFUNCTION("""COMPUTED_VALUE"""),"Socialización de resultados a actores del sector")</f>
        <v>Socialización de resultados a actores del sector</v>
      </c>
      <c r="I7" s="4" t="str">
        <f>IFERROR(__xludf.DUMMYFUNCTION("""COMPUTED_VALUE"""),"Articulación de redes de conocimiento")</f>
        <v>Articulación de redes de conocimiento</v>
      </c>
      <c r="J7" s="4" t="str">
        <f>IFERROR(__xludf.DUMMYFUNCTION("""COMPUTED_VALUE"""),"Circulación de conocimiento especializado - boletines")</f>
        <v>Circulación de conocimiento especializado - boletines</v>
      </c>
      <c r="K7" s="4"/>
      <c r="L7" s="4"/>
      <c r="M7" s="4"/>
      <c r="N7" s="4"/>
      <c r="O7" s="4"/>
      <c r="P7" s="4"/>
      <c r="Q7" s="4"/>
      <c r="R7" s="4"/>
      <c r="S7" s="4"/>
      <c r="T7" s="4"/>
      <c r="U7" s="4" t="str">
        <f>IFERROR(__xludf.DUMMYFUNCTION("""COMPUTED_VALUE"""),"Ninguna")</f>
        <v>Ninguna</v>
      </c>
      <c r="V7" s="4"/>
      <c r="W7" s="4" t="str">
        <f>IFERROR(__xludf.DUMMYFUNCTION("""COMPUTED_VALUE"""),"Proyecto")</f>
        <v>Proyecto</v>
      </c>
      <c r="X7" s="4" t="str">
        <f>IFERROR(__xludf.DUMMYFUNCTION("""COMPUTED_VALUE"""),"UdeA ")</f>
        <v>UdeA 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 t="str">
        <f>IFERROR(__xludf.DUMMYFUNCTION("""COMPUTED_VALUE"""),"Tecnológico de Antioquia")</f>
        <v>Tecnológico de Antioquia</v>
      </c>
      <c r="AK7" s="4" t="str">
        <f>IFERROR(__xludf.DUMMYFUNCTION("""COMPUTED_VALUE"""),"Ninguna")</f>
        <v>Ninguna</v>
      </c>
      <c r="AL7" s="4"/>
      <c r="AM7" s="4" t="str">
        <f>IFERROR(__xludf.DUMMYFUNCTION("""COMPUTED_VALUE"""),"Obligatorio")</f>
        <v>Obligatorio</v>
      </c>
      <c r="AN7" s="4">
        <f>IFERROR(__xludf.DUMMYFUNCTION("""COMPUTED_VALUE"""),3.0)</f>
        <v>3</v>
      </c>
      <c r="AO7" s="4">
        <f>IFERROR(__xludf.DUMMYFUNCTION("""COMPUTED_VALUE"""),1.0)</f>
        <v>1</v>
      </c>
      <c r="AP7" s="4">
        <f>IFERROR(__xludf.DUMMYFUNCTION("""COMPUTED_VALUE"""),2.0)</f>
        <v>2</v>
      </c>
      <c r="AQ7" s="4">
        <f>IFERROR(__xludf.DUMMYFUNCTION("""COMPUTED_VALUE"""),1.0)</f>
        <v>1</v>
      </c>
      <c r="AR7" s="4">
        <f>IFERROR(__xludf.DUMMYFUNCTION("""COMPUTED_VALUE"""),2.0)</f>
        <v>2</v>
      </c>
      <c r="AS7" s="4">
        <f>IFERROR(__xludf.DUMMYFUNCTION("""COMPUTED_VALUE"""),1.0)</f>
        <v>1</v>
      </c>
      <c r="AT7" s="4" t="str">
        <f>IFERROR(__xludf.DUMMYFUNCTION("""COMPUTED_VALUE"""),"ISBN: 978-84-09-08211-7, International Conference on Renewable Energies and Power Quality (ICREPQ’19)")</f>
        <v>ISBN: 978-84-09-08211-7, International Conference on Renewable Energies and Power Quality (ICREPQ’19)</v>
      </c>
      <c r="AU7" s="5" t="str">
        <f>IFERROR(__xludf.DUMMYFUNCTION("""COMPUTED_VALUE"""),"https://drive.google.com/open?id=13UIuLW92HCoQS_85gpROVkKrBNvEwKMA")</f>
        <v>https://drive.google.com/open?id=13UIuLW92HCoQS_85gpROVkKrBNvEwKMA</v>
      </c>
      <c r="AV7" s="8">
        <f>IFERROR(__xludf.DUMMYFUNCTION("""COMPUTED_VALUE"""),-300196.0)</f>
        <v>-300196</v>
      </c>
      <c r="AW7" s="4"/>
      <c r="AX7" s="4">
        <f>IFERROR(__xludf.DUMMYFUNCTION("""COMPUTED_VALUE"""),2.0)</f>
        <v>2</v>
      </c>
      <c r="AY7" s="4" t="str">
        <f>IFERROR(__xludf.DUMMYFUNCTION("""COMPUTED_VALUE"""),"Shape optimization of a multi-element hydrofoil for hydrokinetic turbines using response surface methodology")</f>
        <v>Shape optimization of a multi-element hydrofoil for hydrokinetic turbines using response surface methodology</v>
      </c>
      <c r="AZ7" s="4"/>
      <c r="BA7" s="6" t="s">
        <v>63</v>
      </c>
      <c r="BB7" s="6" t="s">
        <v>64</v>
      </c>
      <c r="BC7" s="6" t="s">
        <v>65</v>
      </c>
      <c r="BD7" s="6" t="s">
        <v>66</v>
      </c>
      <c r="BE7" s="6" t="s">
        <v>45</v>
      </c>
      <c r="BF7" s="6" t="s">
        <v>62</v>
      </c>
      <c r="BG7" s="6" t="s">
        <v>61</v>
      </c>
      <c r="BH7" s="6" t="s">
        <v>45</v>
      </c>
      <c r="BI7" s="6" t="s">
        <v>62</v>
      </c>
    </row>
    <row r="8">
      <c r="A8" s="4" t="str">
        <f>IFERROR(__xludf.DUMMYFUNCTION("""COMPUTED_VALUE"""),"Proy1")</f>
        <v>Proy1</v>
      </c>
      <c r="B8" s="4" t="str">
        <f>IFERROR(__xludf.DUMMYFUNCTION("""COMPUTED_VALUE"""),"Apropiación")</f>
        <v>Apropiación</v>
      </c>
      <c r="C8" s="4" t="str">
        <f>IFERROR(__xludf.DUMMYFUNCTION("""COMPUTED_VALUE"""),"Ponencia")</f>
        <v>Ponencia</v>
      </c>
      <c r="D8" s="4" t="str">
        <f>IFERROR(__xludf.DUMMYFUNCTION("""COMPUTED_VALUE"""),"Ponencia")</f>
        <v>Ponencia</v>
      </c>
      <c r="E8" s="4" t="str">
        <f>IFERROR(__xludf.DUMMYFUNCTION("""COMPUTED_VALUE"""),"Evento científico")</f>
        <v>Evento científico</v>
      </c>
      <c r="F8" s="4" t="str">
        <f>IFERROR(__xludf.DUMMYFUNCTION("""COMPUTED_VALUE"""),"Cartilla")</f>
        <v>Cartilla</v>
      </c>
      <c r="G8" s="4" t="str">
        <f>IFERROR(__xludf.DUMMYFUNCTION("""COMPUTED_VALUE"""),"Curso de capacitación, seminario o taller")</f>
        <v>Curso de capacitación, seminario o taller</v>
      </c>
      <c r="H8" s="4" t="str">
        <f>IFERROR(__xludf.DUMMYFUNCTION("""COMPUTED_VALUE"""),"Socialización de resultados a actores del sector")</f>
        <v>Socialización de resultados a actores del sector</v>
      </c>
      <c r="I8" s="4" t="str">
        <f>IFERROR(__xludf.DUMMYFUNCTION("""COMPUTED_VALUE"""),"Articulación de redes de conocimiento")</f>
        <v>Articulación de redes de conocimiento</v>
      </c>
      <c r="J8" s="4" t="str">
        <f>IFERROR(__xludf.DUMMYFUNCTION("""COMPUTED_VALUE"""),"Circulación de conocimiento especializado - boletines")</f>
        <v>Circulación de conocimiento especializado - boletines</v>
      </c>
      <c r="K8" s="4"/>
      <c r="L8" s="4"/>
      <c r="M8" s="4"/>
      <c r="N8" s="4"/>
      <c r="O8" s="4"/>
      <c r="P8" s="4"/>
      <c r="Q8" s="4"/>
      <c r="R8" s="4"/>
      <c r="S8" s="4"/>
      <c r="T8" s="4"/>
      <c r="U8" s="4" t="str">
        <f>IFERROR(__xludf.DUMMYFUNCTION("""COMPUTED_VALUE"""),"Ninguna")</f>
        <v>Ninguna</v>
      </c>
      <c r="V8" s="4"/>
      <c r="W8" s="4" t="str">
        <f>IFERROR(__xludf.DUMMYFUNCTION("""COMPUTED_VALUE"""),"Proyecto")</f>
        <v>Proyecto</v>
      </c>
      <c r="X8" s="4" t="str">
        <f>IFERROR(__xludf.DUMMYFUNCTION("""COMPUTED_VALUE"""),"UdeA ")</f>
        <v>UdeA 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 t="str">
        <f>IFERROR(__xludf.DUMMYFUNCTION("""COMPUTED_VALUE"""),"Ninguna")</f>
        <v>Ninguna</v>
      </c>
      <c r="AL8" s="4"/>
      <c r="AM8" s="4" t="str">
        <f>IFERROR(__xludf.DUMMYFUNCTION("""COMPUTED_VALUE"""),"Obligatorio")</f>
        <v>Obligatorio</v>
      </c>
      <c r="AN8" s="4">
        <f>IFERROR(__xludf.DUMMYFUNCTION("""COMPUTED_VALUE"""),3.0)</f>
        <v>3</v>
      </c>
      <c r="AO8" s="4">
        <f>IFERROR(__xludf.DUMMYFUNCTION("""COMPUTED_VALUE"""),2.0)</f>
        <v>2</v>
      </c>
      <c r="AP8" s="4">
        <f>IFERROR(__xludf.DUMMYFUNCTION("""COMPUTED_VALUE"""),2.0)</f>
        <v>2</v>
      </c>
      <c r="AQ8" s="4">
        <f>IFERROR(__xludf.DUMMYFUNCTION("""COMPUTED_VALUE"""),2.0)</f>
        <v>2</v>
      </c>
      <c r="AR8" s="4">
        <f>IFERROR(__xludf.DUMMYFUNCTION("""COMPUTED_VALUE"""),1.0)</f>
        <v>1</v>
      </c>
      <c r="AS8" s="4">
        <f>IFERROR(__xludf.DUMMYFUNCTION("""COMPUTED_VALUE"""),1.0)</f>
        <v>1</v>
      </c>
      <c r="AT8" s="4" t="str">
        <f>IFERROR(__xludf.DUMMYFUNCTION("""COMPUTED_VALUE"""),"IX Congreso internacional de Ingeniería Mecánica y Mecatrónica y VII Congreso Internacional de Ingeniería Mecatrónica y Automatización. Universidad Nacional de Colombia. Bogotá 8 al 10 de mayo de 2019")</f>
        <v>IX Congreso internacional de Ingeniería Mecánica y Mecatrónica y VII Congreso Internacional de Ingeniería Mecatrónica y Automatización. Universidad Nacional de Colombia. Bogotá 8 al 10 de mayo de 2019</v>
      </c>
      <c r="AU8" s="5" t="str">
        <f>IFERROR(__xludf.DUMMYFUNCTION("""COMPUTED_VALUE"""),"https://drive.google.com/open?id=1pUrSL4X4jJH3sAVK-6bNmEJN-rS4Va8p")</f>
        <v>https://drive.google.com/open?id=1pUrSL4X4jJH3sAVK-6bNmEJN-rS4Va8p</v>
      </c>
      <c r="AV8" s="8">
        <f>IFERROR(__xludf.DUMMYFUNCTION("""COMPUTED_VALUE"""),-300168.0)</f>
        <v>-300168</v>
      </c>
      <c r="AW8" s="4"/>
      <c r="AX8" s="4">
        <f>IFERROR(__xludf.DUMMYFUNCTION("""COMPUTED_VALUE"""),2.0)</f>
        <v>2</v>
      </c>
      <c r="AY8" s="4" t="str">
        <f>IFERROR(__xludf.DUMMYFUNCTION("""COMPUTED_VALUE"""),"CARACTERIZACIÓN EXPERIMIENTAL DEL NYLON ANTE LOS FENÓMENOS DE EROSIÓN/CORROSIÓN/CAVITACIÓN PARA LA FABRICACIÓN DE ÁLABES DE TURBINAS HIDROCINÉTICAS")</f>
        <v>CARACTERIZACIÓN EXPERIMIENTAL DEL NYLON ANTE LOS FENÓMENOS DE EROSIÓN/CORROSIÓN/CAVITACIÓN PARA LA FABRICACIÓN DE ÁLABES DE TURBINAS HIDROCINÉTICAS</v>
      </c>
      <c r="AZ8" s="4"/>
      <c r="BA8" s="6" t="s">
        <v>67</v>
      </c>
      <c r="BB8" s="6" t="s">
        <v>45</v>
      </c>
      <c r="BC8" s="6" t="s">
        <v>62</v>
      </c>
      <c r="BD8" s="6" t="s">
        <v>68</v>
      </c>
      <c r="BE8" s="6" t="s">
        <v>45</v>
      </c>
      <c r="BF8" s="6" t="s">
        <v>69</v>
      </c>
      <c r="BG8" s="6" t="s">
        <v>61</v>
      </c>
      <c r="BH8" s="6" t="s">
        <v>45</v>
      </c>
      <c r="BI8" s="6" t="s">
        <v>62</v>
      </c>
    </row>
    <row r="9">
      <c r="A9" s="4" t="str">
        <f>IFERROR(__xludf.DUMMYFUNCTION("""COMPUTED_VALUE"""),"Proy1")</f>
        <v>Proy1</v>
      </c>
      <c r="B9" s="4" t="str">
        <f>IFERROR(__xludf.DUMMYFUNCTION("""COMPUTED_VALUE"""),"Formación_RH")</f>
        <v>Formación_RH</v>
      </c>
      <c r="C9" s="4" t="str">
        <f>IFERROR(__xludf.DUMMYFUNCTION("""COMPUTED_VALUE"""),"Vinculación de estudiante de maestría")</f>
        <v>Vinculación de estudiante de maestría</v>
      </c>
      <c r="D9" s="4" t="str">
        <f>IFERROR(__xludf.DUMMYFUNCTION("""COMPUTED_VALUE"""),"Vinculación de estudiante de doctorado")</f>
        <v>Vinculación de estudiante de doctorado</v>
      </c>
      <c r="E9" s="4" t="str">
        <f>IFERROR(__xludf.DUMMYFUNCTION("""COMPUTED_VALUE"""),"Formación de estudiante de doctorado")</f>
        <v>Formación de estudiante de doctorado</v>
      </c>
      <c r="F9" s="4" t="str">
        <f>IFERROR(__xludf.DUMMYFUNCTION("""COMPUTED_VALUE"""),"Vinculación de estudiante de maestría")</f>
        <v>Vinculación de estudiante de maestría</v>
      </c>
      <c r="G9" s="4" t="str">
        <f>IFERROR(__xludf.DUMMYFUNCTION("""COMPUTED_VALUE"""),"Formación de estudiante de maestría")</f>
        <v>Formación de estudiante de maestría</v>
      </c>
      <c r="H9" s="4" t="str">
        <f>IFERROR(__xludf.DUMMYFUNCTION("""COMPUTED_VALUE"""),"Vinculación de estudiante de pregrado")</f>
        <v>Vinculación de estudiante de pregrado</v>
      </c>
      <c r="I9" s="4" t="str">
        <f>IFERROR(__xludf.DUMMYFUNCTION("""COMPUTED_VALUE"""),"Formación de estudiante de pregrado")</f>
        <v>Formación de estudiante de pregrado</v>
      </c>
      <c r="J9" s="4" t="str">
        <f>IFERROR(__xludf.DUMMYFUNCTION("""COMPUTED_VALUE"""),"Joven investigador")</f>
        <v>Joven investigador</v>
      </c>
      <c r="K9" s="4" t="str">
        <f>IFERROR(__xludf.DUMMYFUNCTION("""COMPUTED_VALUE"""),"Pasantía nacional")</f>
        <v>Pasantía nacional</v>
      </c>
      <c r="L9" s="4" t="str">
        <f>IFERROR(__xludf.DUMMYFUNCTION("""COMPUTED_VALUE"""),"Pasantía internacional")</f>
        <v>Pasantía internacional</v>
      </c>
      <c r="M9" s="4"/>
      <c r="N9" s="4"/>
      <c r="O9" s="4"/>
      <c r="P9" s="4"/>
      <c r="Q9" s="4"/>
      <c r="R9" s="4"/>
      <c r="S9" s="4"/>
      <c r="T9" s="4"/>
      <c r="U9" s="4" t="str">
        <f>IFERROR(__xludf.DUMMYFUNCTION("""COMPUTED_VALUE"""),"Ninguna")</f>
        <v>Ninguna</v>
      </c>
      <c r="V9" s="4"/>
      <c r="W9" s="4" t="str">
        <f>IFERROR(__xludf.DUMMYFUNCTION("""COMPUTED_VALUE"""),"Proyecto")</f>
        <v>Proyecto</v>
      </c>
      <c r="X9" s="4" t="str">
        <f>IFERROR(__xludf.DUMMYFUNCTION("""COMPUTED_VALUE"""),"UdeA ")</f>
        <v>UdeA 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 t="str">
        <f>IFERROR(__xludf.DUMMYFUNCTION("""COMPUTED_VALUE"""),"Ninguna")</f>
        <v>Ninguna</v>
      </c>
      <c r="AL9" s="4"/>
      <c r="AM9" s="4" t="str">
        <f>IFERROR(__xludf.DUMMYFUNCTION("""COMPUTED_VALUE"""),"Adicional")</f>
        <v>Adicional</v>
      </c>
      <c r="AN9" s="4"/>
      <c r="AO9" s="4"/>
      <c r="AP9" s="4"/>
      <c r="AQ9" s="4"/>
      <c r="AR9" s="4"/>
      <c r="AS9" s="4"/>
      <c r="AT9" s="4" t="str">
        <f>IFERROR(__xludf.DUMMYFUNCTION("""COMPUTED_VALUE"""),"Jonathan Aguilar Bedoya - MSc Ing. Mecánica")</f>
        <v>Jonathan Aguilar Bedoya - MSc Ing. Mecánica</v>
      </c>
      <c r="AU9" s="5" t="str">
        <f>IFERROR(__xludf.DUMMYFUNCTION("""COMPUTED_VALUE"""),"https://drive.google.com/open?id=1znQ-NVRxs9ZlpIZt410L18XUUUa1_Tw5")</f>
        <v>https://drive.google.com/open?id=1znQ-NVRxs9ZlpIZt410L18XUUUa1_Tw5</v>
      </c>
      <c r="AV9" s="4">
        <f>IFERROR(__xludf.DUMMYFUNCTION("""COMPUTED_VALUE"""),1077.0)</f>
        <v>1077</v>
      </c>
      <c r="AW9" s="4" t="str">
        <f>IFERROR(__xludf.DUMMYFUNCTION("""COMPUTED_VALUE"""),"En Curso")</f>
        <v>En Curso</v>
      </c>
      <c r="AX9" s="4">
        <f>IFERROR(__xludf.DUMMYFUNCTION("""COMPUTED_VALUE"""),3.0)</f>
        <v>3</v>
      </c>
      <c r="AY9" s="4" t="str">
        <f>IFERROR(__xludf.DUMMYFUNCTION("""COMPUTED_VALUE"""),"MSc en Ingeniería Mecánica")</f>
        <v>MSc en Ingeniería Mecánica</v>
      </c>
      <c r="AZ9" s="4"/>
    </row>
    <row r="10">
      <c r="A10" s="4" t="str">
        <f>IFERROR(__xludf.DUMMYFUNCTION("""COMPUTED_VALUE"""),"Proy1")</f>
        <v>Proy1</v>
      </c>
      <c r="B10" s="4" t="str">
        <f>IFERROR(__xludf.DUMMYFUNCTION("""COMPUTED_VALUE"""),"Formación_RH")</f>
        <v>Formación_RH</v>
      </c>
      <c r="C10" s="4" t="str">
        <f>IFERROR(__xludf.DUMMYFUNCTION("""COMPUTED_VALUE"""),"Joven investigador")</f>
        <v>Joven investigador</v>
      </c>
      <c r="D10" s="4" t="str">
        <f>IFERROR(__xludf.DUMMYFUNCTION("""COMPUTED_VALUE"""),"Vinculación de estudiante de doctorado")</f>
        <v>Vinculación de estudiante de doctorado</v>
      </c>
      <c r="E10" s="4" t="str">
        <f>IFERROR(__xludf.DUMMYFUNCTION("""COMPUTED_VALUE"""),"Formación de estudiante de doctorado")</f>
        <v>Formación de estudiante de doctorado</v>
      </c>
      <c r="F10" s="4" t="str">
        <f>IFERROR(__xludf.DUMMYFUNCTION("""COMPUTED_VALUE"""),"Vinculación de estudiante de maestría")</f>
        <v>Vinculación de estudiante de maestría</v>
      </c>
      <c r="G10" s="4" t="str">
        <f>IFERROR(__xludf.DUMMYFUNCTION("""COMPUTED_VALUE"""),"Formación de estudiante de maestría")</f>
        <v>Formación de estudiante de maestría</v>
      </c>
      <c r="H10" s="4" t="str">
        <f>IFERROR(__xludf.DUMMYFUNCTION("""COMPUTED_VALUE"""),"Vinculación de estudiante de pregrado")</f>
        <v>Vinculación de estudiante de pregrado</v>
      </c>
      <c r="I10" s="4" t="str">
        <f>IFERROR(__xludf.DUMMYFUNCTION("""COMPUTED_VALUE"""),"Formación de estudiante de pregrado")</f>
        <v>Formación de estudiante de pregrado</v>
      </c>
      <c r="J10" s="4" t="str">
        <f>IFERROR(__xludf.DUMMYFUNCTION("""COMPUTED_VALUE"""),"Joven investigador")</f>
        <v>Joven investigador</v>
      </c>
      <c r="K10" s="4" t="str">
        <f>IFERROR(__xludf.DUMMYFUNCTION("""COMPUTED_VALUE"""),"Pasantía nacional")</f>
        <v>Pasantía nacional</v>
      </c>
      <c r="L10" s="4" t="str">
        <f>IFERROR(__xludf.DUMMYFUNCTION("""COMPUTED_VALUE"""),"Pasantía internacional")</f>
        <v>Pasantía internacional</v>
      </c>
      <c r="M10" s="4"/>
      <c r="N10" s="4"/>
      <c r="O10" s="4"/>
      <c r="P10" s="4"/>
      <c r="Q10" s="4"/>
      <c r="R10" s="4"/>
      <c r="S10" s="4"/>
      <c r="T10" s="4"/>
      <c r="U10" s="4" t="str">
        <f>IFERROR(__xludf.DUMMYFUNCTION("""COMPUTED_VALUE"""),"Ninguna")</f>
        <v>Ninguna</v>
      </c>
      <c r="V10" s="4"/>
      <c r="W10" s="4" t="str">
        <f>IFERROR(__xludf.DUMMYFUNCTION("""COMPUTED_VALUE"""),"Proyecto")</f>
        <v>Proyecto</v>
      </c>
      <c r="X10" s="4" t="str">
        <f>IFERROR(__xludf.DUMMYFUNCTION("""COMPUTED_VALUE"""),"UdeA ")</f>
        <v>UdeA 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 t="str">
        <f>IFERROR(__xludf.DUMMYFUNCTION("""COMPUTED_VALUE"""),"Ninguna")</f>
        <v>Ninguna</v>
      </c>
      <c r="AL10" s="4"/>
      <c r="AM10" s="4" t="str">
        <f>IFERROR(__xludf.DUMMYFUNCTION("""COMPUTED_VALUE"""),"Adicional")</f>
        <v>Adicional</v>
      </c>
      <c r="AN10" s="4"/>
      <c r="AO10" s="4"/>
      <c r="AP10" s="4"/>
      <c r="AQ10" s="4"/>
      <c r="AR10" s="4"/>
      <c r="AS10" s="4"/>
      <c r="AT10" s="4" t="str">
        <f>IFERROR(__xludf.DUMMYFUNCTION("""COMPUTED_VALUE"""),"Sara Gómez Díaz - Ing. Mecánica")</f>
        <v>Sara Gómez Díaz - Ing. Mecánica</v>
      </c>
      <c r="AU10" s="5" t="str">
        <f>IFERROR(__xludf.DUMMYFUNCTION("""COMPUTED_VALUE"""),"https://drive.google.com/open?id=1HaCJrJyuAPccbCNSyZxtDt6CQPzI8PA7")</f>
        <v>https://drive.google.com/open?id=1HaCJrJyuAPccbCNSyZxtDt6CQPzI8PA7</v>
      </c>
      <c r="AV10" s="4">
        <f>IFERROR(__xludf.DUMMYFUNCTION("""COMPUTED_VALUE"""),1093.0)</f>
        <v>1093</v>
      </c>
      <c r="AW10" s="4"/>
      <c r="AX10" s="4">
        <f>IFERROR(__xludf.DUMMYFUNCTION("""COMPUTED_VALUE"""),2.0)</f>
        <v>2</v>
      </c>
      <c r="AY10" s="4" t="str">
        <f>IFERROR(__xludf.DUMMYFUNCTION("""COMPUTED_VALUE"""),"Ingeniería Mecánica")</f>
        <v>Ingeniería Mecánica</v>
      </c>
      <c r="AZ10" s="4"/>
    </row>
    <row r="11">
      <c r="A11" s="4" t="str">
        <f>IFERROR(__xludf.DUMMYFUNCTION("""COMPUTED_VALUE"""),"Proy3")</f>
        <v>Proy3</v>
      </c>
      <c r="B11" s="4" t="str">
        <f>IFERROR(__xludf.DUMMYFUNCTION("""COMPUTED_VALUE"""),"Formación_RH")</f>
        <v>Formación_RH</v>
      </c>
      <c r="C11" s="4" t="str">
        <f>IFERROR(__xludf.DUMMYFUNCTION("""COMPUTED_VALUE"""),"Vinculación de estudiante de maestría")</f>
        <v>Vinculación de estudiante de maestría</v>
      </c>
      <c r="D11" s="4" t="str">
        <f>IFERROR(__xludf.DUMMYFUNCTION("""COMPUTED_VALUE"""),"Vinculación de estudiante de doctorado")</f>
        <v>Vinculación de estudiante de doctorado</v>
      </c>
      <c r="E11" s="4" t="str">
        <f>IFERROR(__xludf.DUMMYFUNCTION("""COMPUTED_VALUE"""),"Formación de estudiante de doctorado")</f>
        <v>Formación de estudiante de doctorado</v>
      </c>
      <c r="F11" s="4" t="str">
        <f>IFERROR(__xludf.DUMMYFUNCTION("""COMPUTED_VALUE"""),"Vinculación de estudiante de maestría")</f>
        <v>Vinculación de estudiante de maestría</v>
      </c>
      <c r="G11" s="4" t="str">
        <f>IFERROR(__xludf.DUMMYFUNCTION("""COMPUTED_VALUE"""),"Formación de estudiante de maestría")</f>
        <v>Formación de estudiante de maestría</v>
      </c>
      <c r="H11" s="4" t="str">
        <f>IFERROR(__xludf.DUMMYFUNCTION("""COMPUTED_VALUE"""),"Vinculación de estudiante de pregrado")</f>
        <v>Vinculación de estudiante de pregrado</v>
      </c>
      <c r="I11" s="4" t="str">
        <f>IFERROR(__xludf.DUMMYFUNCTION("""COMPUTED_VALUE"""),"Formación de estudiante de pregrado")</f>
        <v>Formación de estudiante de pregrado</v>
      </c>
      <c r="J11" s="4" t="str">
        <f>IFERROR(__xludf.DUMMYFUNCTION("""COMPUTED_VALUE"""),"Joven investigador")</f>
        <v>Joven investigador</v>
      </c>
      <c r="K11" s="4" t="str">
        <f>IFERROR(__xludf.DUMMYFUNCTION("""COMPUTED_VALUE"""),"Pasantía nacional")</f>
        <v>Pasantía nacional</v>
      </c>
      <c r="L11" s="4" t="str">
        <f>IFERROR(__xludf.DUMMYFUNCTION("""COMPUTED_VALUE"""),"Pasantía internacional")</f>
        <v>Pasantía internacional</v>
      </c>
      <c r="M11" s="4"/>
      <c r="N11" s="4"/>
      <c r="O11" s="4"/>
      <c r="P11" s="4"/>
      <c r="Q11" s="4"/>
      <c r="R11" s="4"/>
      <c r="S11" s="4"/>
      <c r="T11" s="4"/>
      <c r="U11" s="4" t="str">
        <f>IFERROR(__xludf.DUMMYFUNCTION("""COMPUTED_VALUE"""),"Ninguna")</f>
        <v>Ninguna</v>
      </c>
      <c r="V11" s="4"/>
      <c r="W11" s="4" t="str">
        <f>IFERROR(__xludf.DUMMYFUNCTION("""COMPUTED_VALUE"""),"Proyecto")</f>
        <v>Proyecto</v>
      </c>
      <c r="X11" s="4" t="str">
        <f>IFERROR(__xludf.DUMMYFUNCTION("""COMPUTED_VALUE"""),"UdeA , Universidad de Pamplona")</f>
        <v>UdeA , Universidad de Pamplona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 t="str">
        <f>IFERROR(__xludf.DUMMYFUNCTION("""COMPUTED_VALUE"""),"Ninguna")</f>
        <v>Ninguna</v>
      </c>
      <c r="AL11" s="4"/>
      <c r="AM11" s="4" t="str">
        <f>IFERROR(__xludf.DUMMYFUNCTION("""COMPUTED_VALUE"""),"Obligatorio")</f>
        <v>Obligatorio</v>
      </c>
      <c r="AN11" s="4"/>
      <c r="AO11" s="4"/>
      <c r="AP11" s="4"/>
      <c r="AQ11" s="4"/>
      <c r="AR11" s="4"/>
      <c r="AS11" s="4"/>
      <c r="AT11" s="4" t="str">
        <f>IFERROR(__xludf.DUMMYFUNCTION("""COMPUTED_VALUE"""),"PABON ROJAS JONATHAN JAVIER")</f>
        <v>PABON ROJAS JONATHAN JAVIER</v>
      </c>
      <c r="AU11" s="5" t="str">
        <f>IFERROR(__xludf.DUMMYFUNCTION("""COMPUTED_VALUE"""),"https://drive.google.com/open?id=1pojhq1n8qMhYSz8jXaRUduBHvOgeQQCt")</f>
        <v>https://drive.google.com/open?id=1pojhq1n8qMhYSz8jXaRUduBHvOgeQQCt</v>
      </c>
      <c r="AV11" s="4"/>
      <c r="AW11" s="4" t="str">
        <f>IFERROR(__xludf.DUMMYFUNCTION("""COMPUTED_VALUE"""),"En Curso")</f>
        <v>En Curso</v>
      </c>
      <c r="AX11" s="4">
        <f>IFERROR(__xludf.DUMMYFUNCTION("""COMPUTED_VALUE"""),3.0)</f>
        <v>3</v>
      </c>
      <c r="AY11" s="4" t="str">
        <f>IFERROR(__xludf.DUMMYFUNCTION("""COMPUTED_VALUE"""),"Maestría en Ingeniería Mecánica UdeA")</f>
        <v>Maestría en Ingeniería Mecánica UdeA</v>
      </c>
      <c r="AZ11" s="4"/>
    </row>
    <row r="12">
      <c r="A12" s="4" t="str">
        <f>IFERROR(__xludf.DUMMYFUNCTION("""COMPUTED_VALUE"""),"Proy14")</f>
        <v>Proy14</v>
      </c>
      <c r="B12" s="4" t="str">
        <f>IFERROR(__xludf.DUMMYFUNCTION("""COMPUTED_VALUE"""),"Formación_RH")</f>
        <v>Formación_RH</v>
      </c>
      <c r="C12" s="4" t="str">
        <f>IFERROR(__xludf.DUMMYFUNCTION("""COMPUTED_VALUE"""),"Vinculación de estudiante de doctorado")</f>
        <v>Vinculación de estudiante de doctorado</v>
      </c>
      <c r="D12" s="4" t="str">
        <f>IFERROR(__xludf.DUMMYFUNCTION("""COMPUTED_VALUE"""),"Vinculación de estudiante de doctorado")</f>
        <v>Vinculación de estudiante de doctorado</v>
      </c>
      <c r="E12" s="4" t="str">
        <f>IFERROR(__xludf.DUMMYFUNCTION("""COMPUTED_VALUE"""),"Formación de estudiante de doctorado")</f>
        <v>Formación de estudiante de doctorado</v>
      </c>
      <c r="F12" s="4" t="str">
        <f>IFERROR(__xludf.DUMMYFUNCTION("""COMPUTED_VALUE"""),"Vinculación de estudiante de maestría")</f>
        <v>Vinculación de estudiante de maestría</v>
      </c>
      <c r="G12" s="4" t="str">
        <f>IFERROR(__xludf.DUMMYFUNCTION("""COMPUTED_VALUE"""),"Formación de estudiante de maestría")</f>
        <v>Formación de estudiante de maestría</v>
      </c>
      <c r="H12" s="4" t="str">
        <f>IFERROR(__xludf.DUMMYFUNCTION("""COMPUTED_VALUE"""),"Vinculación de estudiante de pregrado")</f>
        <v>Vinculación de estudiante de pregrado</v>
      </c>
      <c r="I12" s="4" t="str">
        <f>IFERROR(__xludf.DUMMYFUNCTION("""COMPUTED_VALUE"""),"Formación de estudiante de pregrado")</f>
        <v>Formación de estudiante de pregrado</v>
      </c>
      <c r="J12" s="4" t="str">
        <f>IFERROR(__xludf.DUMMYFUNCTION("""COMPUTED_VALUE"""),"Joven investigador")</f>
        <v>Joven investigador</v>
      </c>
      <c r="K12" s="4" t="str">
        <f>IFERROR(__xludf.DUMMYFUNCTION("""COMPUTED_VALUE"""),"Pasantía nacional")</f>
        <v>Pasantía nacional</v>
      </c>
      <c r="L12" s="4" t="str">
        <f>IFERROR(__xludf.DUMMYFUNCTION("""COMPUTED_VALUE"""),"Pasantía internacional")</f>
        <v>Pasantía internacional</v>
      </c>
      <c r="M12" s="4"/>
      <c r="N12" s="4"/>
      <c r="O12" s="4"/>
      <c r="P12" s="4"/>
      <c r="Q12" s="4"/>
      <c r="R12" s="4"/>
      <c r="S12" s="4"/>
      <c r="T12" s="4"/>
      <c r="U12" s="4" t="str">
        <f>IFERROR(__xludf.DUMMYFUNCTION("""COMPUTED_VALUE"""),"Ninguna")</f>
        <v>Ninguna</v>
      </c>
      <c r="V12" s="4"/>
      <c r="W12" s="4" t="str">
        <f>IFERROR(__xludf.DUMMYFUNCTION("""COMPUTED_VALUE"""),"Proyecto")</f>
        <v>Proyecto</v>
      </c>
      <c r="X12" s="4" t="str">
        <f>IFERROR(__xludf.DUMMYFUNCTION("""COMPUTED_VALUE"""),"UdeA, Universidad del Valle, Universidad del Quindio, Universidad de Nariño ")</f>
        <v>UdeA, Universidad del Valle, Universidad del Quindio, Universidad de Nariño 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 t="str">
        <f>IFERROR(__xludf.DUMMYFUNCTION("""COMPUTED_VALUE"""),"Ninguna")</f>
        <v>Ninguna</v>
      </c>
      <c r="AL12" s="4"/>
      <c r="AM12" s="4" t="str">
        <f>IFERROR(__xludf.DUMMYFUNCTION("""COMPUTED_VALUE"""),"Obligatorio")</f>
        <v>Obligatorio</v>
      </c>
      <c r="AN12" s="4"/>
      <c r="AO12" s="4"/>
      <c r="AP12" s="4"/>
      <c r="AQ12" s="4"/>
      <c r="AR12" s="4"/>
      <c r="AS12" s="4"/>
      <c r="AT12" s="4" t="str">
        <f>IFERROR(__xludf.DUMMYFUNCTION("""COMPUTED_VALUE"""),"ZUÑIGA CORTES FABIAN ANDRÉS")</f>
        <v>ZUÑIGA CORTES FABIAN ANDRÉS</v>
      </c>
      <c r="AU12" s="5" t="str">
        <f>IFERROR(__xludf.DUMMYFUNCTION("""COMPUTED_VALUE"""),"https://drive.google.com/open?id=1-LJJiL93RCKDdWotRYqqC8x0UC19WJxv")</f>
        <v>https://drive.google.com/open?id=1-LJJiL93RCKDdWotRYqqC8x0UC19WJxv</v>
      </c>
      <c r="AV12" s="4"/>
      <c r="AW12" s="4" t="str">
        <f>IFERROR(__xludf.DUMMYFUNCTION("""COMPUTED_VALUE"""),"En Curso")</f>
        <v>En Curso</v>
      </c>
      <c r="AX12" s="4">
        <f>IFERROR(__xludf.DUMMYFUNCTION("""COMPUTED_VALUE"""),2.0)</f>
        <v>2</v>
      </c>
      <c r="AY12" s="4" t="str">
        <f>IFERROR(__xludf.DUMMYFUNCTION("""COMPUTED_VALUE"""),"Doctorado en Ingenierìa - Énfasis en Elcéctrica y Electrónica - UniValle")</f>
        <v>Doctorado en Ingenierìa - Énfasis en Elcéctrica y Electrónica - UniValle</v>
      </c>
      <c r="AZ12" s="4"/>
    </row>
    <row r="13">
      <c r="A13" s="4" t="str">
        <f>IFERROR(__xludf.DUMMYFUNCTION("""COMPUTED_VALUE"""),"Proy12")</f>
        <v>Proy12</v>
      </c>
      <c r="B13" s="4" t="str">
        <f>IFERROR(__xludf.DUMMYFUNCTION("""COMPUTED_VALUE"""),"Formación_RH")</f>
        <v>Formación_RH</v>
      </c>
      <c r="C13" s="4" t="str">
        <f>IFERROR(__xludf.DUMMYFUNCTION("""COMPUTED_VALUE"""),"Vinculación de estudiante de doctorado")</f>
        <v>Vinculación de estudiante de doctorado</v>
      </c>
      <c r="D13" s="4" t="str">
        <f>IFERROR(__xludf.DUMMYFUNCTION("""COMPUTED_VALUE"""),"Vinculación de estudiante de doctorado")</f>
        <v>Vinculación de estudiante de doctorado</v>
      </c>
      <c r="E13" s="4" t="str">
        <f>IFERROR(__xludf.DUMMYFUNCTION("""COMPUTED_VALUE"""),"Formación de estudiante de doctorado")</f>
        <v>Formación de estudiante de doctorado</v>
      </c>
      <c r="F13" s="4" t="str">
        <f>IFERROR(__xludf.DUMMYFUNCTION("""COMPUTED_VALUE"""),"Vinculación de estudiante de maestría")</f>
        <v>Vinculación de estudiante de maestría</v>
      </c>
      <c r="G13" s="4" t="str">
        <f>IFERROR(__xludf.DUMMYFUNCTION("""COMPUTED_VALUE"""),"Formación de estudiante de maestría")</f>
        <v>Formación de estudiante de maestría</v>
      </c>
      <c r="H13" s="4" t="str">
        <f>IFERROR(__xludf.DUMMYFUNCTION("""COMPUTED_VALUE"""),"Vinculación de estudiante de pregrado")</f>
        <v>Vinculación de estudiante de pregrado</v>
      </c>
      <c r="I13" s="4" t="str">
        <f>IFERROR(__xludf.DUMMYFUNCTION("""COMPUTED_VALUE"""),"Formación de estudiante de pregrado")</f>
        <v>Formación de estudiante de pregrado</v>
      </c>
      <c r="J13" s="4" t="str">
        <f>IFERROR(__xludf.DUMMYFUNCTION("""COMPUTED_VALUE"""),"Joven investigador")</f>
        <v>Joven investigador</v>
      </c>
      <c r="K13" s="4" t="str">
        <f>IFERROR(__xludf.DUMMYFUNCTION("""COMPUTED_VALUE"""),"Pasantía nacional")</f>
        <v>Pasantía nacional</v>
      </c>
      <c r="L13" s="4" t="str">
        <f>IFERROR(__xludf.DUMMYFUNCTION("""COMPUTED_VALUE"""),"Pasantía internacional")</f>
        <v>Pasantía internacional</v>
      </c>
      <c r="M13" s="4"/>
      <c r="N13" s="4"/>
      <c r="O13" s="4"/>
      <c r="P13" s="4"/>
      <c r="Q13" s="4"/>
      <c r="R13" s="4"/>
      <c r="S13" s="4"/>
      <c r="T13" s="4"/>
      <c r="U13" s="4" t="str">
        <f>IFERROR(__xludf.DUMMYFUNCTION("""COMPUTED_VALUE"""),"Ninguna")</f>
        <v>Ninguna</v>
      </c>
      <c r="V13" s="4"/>
      <c r="W13" s="4" t="str">
        <f>IFERROR(__xludf.DUMMYFUNCTION("""COMPUTED_VALUE"""),"Proyecto")</f>
        <v>Proyecto</v>
      </c>
      <c r="X13" s="4" t="str">
        <f>IFERROR(__xludf.DUMMYFUNCTION("""COMPUTED_VALUE"""),"UdeA, Universidad del Cauca ")</f>
        <v>UdeA, Universidad del Cauca 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 t="str">
        <f>IFERROR(__xludf.DUMMYFUNCTION("""COMPUTED_VALUE"""),"Ninguna")</f>
        <v>Ninguna</v>
      </c>
      <c r="AL13" s="4"/>
      <c r="AM13" s="4" t="str">
        <f>IFERROR(__xludf.DUMMYFUNCTION("""COMPUTED_VALUE"""),"Adicional")</f>
        <v>Adicional</v>
      </c>
      <c r="AN13" s="4"/>
      <c r="AO13" s="4"/>
      <c r="AP13" s="4"/>
      <c r="AQ13" s="4"/>
      <c r="AR13" s="4"/>
      <c r="AS13" s="4"/>
      <c r="AT13" s="4" t="str">
        <f>IFERROR(__xludf.DUMMYFUNCTION("""COMPUTED_VALUE"""),"GOMEZ JARAMILLO DIANA MARIA")</f>
        <v>GOMEZ JARAMILLO DIANA MARIA</v>
      </c>
      <c r="AU13" s="5" t="str">
        <f>IFERROR(__xludf.DUMMYFUNCTION("""COMPUTED_VALUE"""),"https://drive.google.com/open?id=1pT6DjI6q6z32JpaNLo2I2_-IZdZdQsCa")</f>
        <v>https://drive.google.com/open?id=1pT6DjI6q6z32JpaNLo2I2_-IZdZdQsCa</v>
      </c>
      <c r="AV13" s="4"/>
      <c r="AW13" s="4" t="str">
        <f>IFERROR(__xludf.DUMMYFUNCTION("""COMPUTED_VALUE"""),"En Curso")</f>
        <v>En Curso</v>
      </c>
      <c r="AX13" s="4">
        <f>IFERROR(__xludf.DUMMYFUNCTION("""COMPUTED_VALUE"""),2.0)</f>
        <v>2</v>
      </c>
      <c r="AY13" s="4" t="str">
        <f>IFERROR(__xludf.DUMMYFUNCTION("""COMPUTED_VALUE"""),"Doctorado en Ingenierìa Electrónica")</f>
        <v>Doctorado en Ingenierìa Electrónica</v>
      </c>
      <c r="AZ13" s="4"/>
    </row>
    <row r="14">
      <c r="A14" s="4" t="str">
        <f>IFERROR(__xludf.DUMMYFUNCTION("""COMPUTED_VALUE"""),"Proy8")</f>
        <v>Proy8</v>
      </c>
      <c r="B14" s="4" t="str">
        <f>IFERROR(__xludf.DUMMYFUNCTION("""COMPUTED_VALUE"""),"Formación_RH")</f>
        <v>Formación_RH</v>
      </c>
      <c r="C14" s="4" t="str">
        <f>IFERROR(__xludf.DUMMYFUNCTION("""COMPUTED_VALUE"""),"Vinculación de estudiante de maestría")</f>
        <v>Vinculación de estudiante de maestría</v>
      </c>
      <c r="D14" s="4" t="str">
        <f>IFERROR(__xludf.DUMMYFUNCTION("""COMPUTED_VALUE"""),"Vinculación de estudiante de doctorado")</f>
        <v>Vinculación de estudiante de doctorado</v>
      </c>
      <c r="E14" s="4" t="str">
        <f>IFERROR(__xludf.DUMMYFUNCTION("""COMPUTED_VALUE"""),"Formación de estudiante de doctorado")</f>
        <v>Formación de estudiante de doctorado</v>
      </c>
      <c r="F14" s="4" t="str">
        <f>IFERROR(__xludf.DUMMYFUNCTION("""COMPUTED_VALUE"""),"Vinculación de estudiante de maestría")</f>
        <v>Vinculación de estudiante de maestría</v>
      </c>
      <c r="G14" s="4" t="str">
        <f>IFERROR(__xludf.DUMMYFUNCTION("""COMPUTED_VALUE"""),"Formación de estudiante de maestría")</f>
        <v>Formación de estudiante de maestría</v>
      </c>
      <c r="H14" s="4" t="str">
        <f>IFERROR(__xludf.DUMMYFUNCTION("""COMPUTED_VALUE"""),"Vinculación de estudiante de pregrado")</f>
        <v>Vinculación de estudiante de pregrado</v>
      </c>
      <c r="I14" s="4" t="str">
        <f>IFERROR(__xludf.DUMMYFUNCTION("""COMPUTED_VALUE"""),"Formación de estudiante de pregrado")</f>
        <v>Formación de estudiante de pregrado</v>
      </c>
      <c r="J14" s="4" t="str">
        <f>IFERROR(__xludf.DUMMYFUNCTION("""COMPUTED_VALUE"""),"Joven investigador")</f>
        <v>Joven investigador</v>
      </c>
      <c r="K14" s="4" t="str">
        <f>IFERROR(__xludf.DUMMYFUNCTION("""COMPUTED_VALUE"""),"Pasantía nacional")</f>
        <v>Pasantía nacional</v>
      </c>
      <c r="L14" s="4" t="str">
        <f>IFERROR(__xludf.DUMMYFUNCTION("""COMPUTED_VALUE"""),"Pasantía internacional")</f>
        <v>Pasantía internacional</v>
      </c>
      <c r="M14" s="4"/>
      <c r="N14" s="4"/>
      <c r="O14" s="4"/>
      <c r="P14" s="4"/>
      <c r="Q14" s="4"/>
      <c r="R14" s="4"/>
      <c r="S14" s="4"/>
      <c r="T14" s="4"/>
      <c r="U14" s="4" t="str">
        <f>IFERROR(__xludf.DUMMYFUNCTION("""COMPUTED_VALUE"""),"Ninguna")</f>
        <v>Ninguna</v>
      </c>
      <c r="V14" s="4"/>
      <c r="W14" s="4" t="str">
        <f>IFERROR(__xludf.DUMMYFUNCTION("""COMPUTED_VALUE"""),"Proyecto")</f>
        <v>Proyecto</v>
      </c>
      <c r="X14" s="4" t="str">
        <f>IFERROR(__xludf.DUMMYFUNCTION("""COMPUTED_VALUE"""),"UdeA, Univerasidad de La Sabana")</f>
        <v>UdeA, Univerasidad de La Sabana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 t="str">
        <f>IFERROR(__xludf.DUMMYFUNCTION("""COMPUTED_VALUE"""),"Ninguna")</f>
        <v>Ninguna</v>
      </c>
      <c r="AL14" s="4"/>
      <c r="AM14" s="4" t="str">
        <f>IFERROR(__xludf.DUMMYFUNCTION("""COMPUTED_VALUE"""),"Obligatorio")</f>
        <v>Obligatorio</v>
      </c>
      <c r="AN14" s="4"/>
      <c r="AO14" s="4"/>
      <c r="AP14" s="4"/>
      <c r="AQ14" s="4"/>
      <c r="AR14" s="4"/>
      <c r="AS14" s="4"/>
      <c r="AT14" s="4" t="str">
        <f>IFERROR(__xludf.DUMMYFUNCTION("""COMPUTED_VALUE"""),"MARIN GOMEZ JAMES ALBERTO")</f>
        <v>MARIN GOMEZ JAMES ALBERTO</v>
      </c>
      <c r="AU14" s="5" t="str">
        <f>IFERROR(__xludf.DUMMYFUNCTION("""COMPUTED_VALUE"""),"https://drive.google.com/open?id=18OhBACql-re7okM6c2xTEHkOf9XaNarT")</f>
        <v>https://drive.google.com/open?id=18OhBACql-re7okM6c2xTEHkOf9XaNarT</v>
      </c>
      <c r="AV14" s="4"/>
      <c r="AW14" s="4" t="str">
        <f>IFERROR(__xludf.DUMMYFUNCTION("""COMPUTED_VALUE"""),"En Curso")</f>
        <v>En Curso</v>
      </c>
      <c r="AX14" s="4">
        <f>IFERROR(__xludf.DUMMYFUNCTION("""COMPUTED_VALUE"""),3.0)</f>
        <v>3</v>
      </c>
      <c r="AY14" s="4" t="str">
        <f>IFERROR(__xludf.DUMMYFUNCTION("""COMPUTED_VALUE"""),"Maestría en Ingeniería Ambiental UdeA")</f>
        <v>Maestría en Ingeniería Ambiental UdeA</v>
      </c>
      <c r="AZ14" s="4"/>
    </row>
    <row r="15">
      <c r="A15" s="4" t="str">
        <f>IFERROR(__xludf.DUMMYFUNCTION("""COMPUTED_VALUE"""),"Proy2")</f>
        <v>Proy2</v>
      </c>
      <c r="B15" s="4" t="str">
        <f>IFERROR(__xludf.DUMMYFUNCTION("""COMPUTED_VALUE"""),"Formación_RH")</f>
        <v>Formación_RH</v>
      </c>
      <c r="C15" s="4" t="str">
        <f>IFERROR(__xludf.DUMMYFUNCTION("""COMPUTED_VALUE"""),"Vinculación de estudiante de pregrado")</f>
        <v>Vinculación de estudiante de pregrado</v>
      </c>
      <c r="D15" s="4" t="str">
        <f>IFERROR(__xludf.DUMMYFUNCTION("""COMPUTED_VALUE"""),"Vinculación de estudiante de doctorado")</f>
        <v>Vinculación de estudiante de doctorado</v>
      </c>
      <c r="E15" s="4" t="str">
        <f>IFERROR(__xludf.DUMMYFUNCTION("""COMPUTED_VALUE"""),"Formación de estudiante de doctorado")</f>
        <v>Formación de estudiante de doctorado</v>
      </c>
      <c r="F15" s="4" t="str">
        <f>IFERROR(__xludf.DUMMYFUNCTION("""COMPUTED_VALUE"""),"Vinculación de estudiante de maestría")</f>
        <v>Vinculación de estudiante de maestría</v>
      </c>
      <c r="G15" s="4" t="str">
        <f>IFERROR(__xludf.DUMMYFUNCTION("""COMPUTED_VALUE"""),"Formación de estudiante de maestría")</f>
        <v>Formación de estudiante de maestría</v>
      </c>
      <c r="H15" s="4" t="str">
        <f>IFERROR(__xludf.DUMMYFUNCTION("""COMPUTED_VALUE"""),"Vinculación de estudiante de pregrado")</f>
        <v>Vinculación de estudiante de pregrado</v>
      </c>
      <c r="I15" s="4" t="str">
        <f>IFERROR(__xludf.DUMMYFUNCTION("""COMPUTED_VALUE"""),"Formación de estudiante de pregrado")</f>
        <v>Formación de estudiante de pregrado</v>
      </c>
      <c r="J15" s="4" t="str">
        <f>IFERROR(__xludf.DUMMYFUNCTION("""COMPUTED_VALUE"""),"Joven investigador")</f>
        <v>Joven investigador</v>
      </c>
      <c r="K15" s="4" t="str">
        <f>IFERROR(__xludf.DUMMYFUNCTION("""COMPUTED_VALUE"""),"Pasantía nacional")</f>
        <v>Pasantía nacional</v>
      </c>
      <c r="L15" s="4" t="str">
        <f>IFERROR(__xludf.DUMMYFUNCTION("""COMPUTED_VALUE"""),"Pasantía internacional")</f>
        <v>Pasantía internacional</v>
      </c>
      <c r="M15" s="4"/>
      <c r="N15" s="4"/>
      <c r="O15" s="4"/>
      <c r="P15" s="4"/>
      <c r="Q15" s="4"/>
      <c r="R15" s="4"/>
      <c r="S15" s="4"/>
      <c r="T15" s="4"/>
      <c r="U15" s="4" t="str">
        <f>IFERROR(__xludf.DUMMYFUNCTION("""COMPUTED_VALUE"""),"Ninguna")</f>
        <v>Ninguna</v>
      </c>
      <c r="V15" s="4"/>
      <c r="W15" s="4" t="str">
        <f>IFERROR(__xludf.DUMMYFUNCTION("""COMPUTED_VALUE"""),"Proyecto")</f>
        <v>Proyecto</v>
      </c>
      <c r="X15" s="4" t="str">
        <f>IFERROR(__xludf.DUMMYFUNCTION("""COMPUTED_VALUE"""),"UdeA, UAC")</f>
        <v>UdeA, UAC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 t="str">
        <f>IFERROR(__xludf.DUMMYFUNCTION("""COMPUTED_VALUE"""),"Ninguna")</f>
        <v>Ninguna</v>
      </c>
      <c r="AL15" s="4"/>
      <c r="AM15" s="4" t="str">
        <f>IFERROR(__xludf.DUMMYFUNCTION("""COMPUTED_VALUE"""),"Obligatorio")</f>
        <v>Obligatorio</v>
      </c>
      <c r="AN15" s="4"/>
      <c r="AO15" s="4"/>
      <c r="AP15" s="4"/>
      <c r="AQ15" s="4"/>
      <c r="AR15" s="4"/>
      <c r="AS15" s="4"/>
      <c r="AT15" s="4" t="str">
        <f>IFERROR(__xludf.DUMMYFUNCTION("""COMPUTED_VALUE"""),"URIBE GALEANO MARIA ISABEL")</f>
        <v>URIBE GALEANO MARIA ISABEL</v>
      </c>
      <c r="AU15" s="5" t="str">
        <f>IFERROR(__xludf.DUMMYFUNCTION("""COMPUTED_VALUE"""),"https://drive.google.com/open?id=1qwFzxxmL-7s6bHEpdOGn-4IRt30Mqv0t")</f>
        <v>https://drive.google.com/open?id=1qwFzxxmL-7s6bHEpdOGn-4IRt30Mqv0t</v>
      </c>
      <c r="AV15" s="4"/>
      <c r="AW15" s="4" t="str">
        <f>IFERROR(__xludf.DUMMYFUNCTION("""COMPUTED_VALUE"""),"En Curso")</f>
        <v>En Curso</v>
      </c>
      <c r="AX15" s="4">
        <f>IFERROR(__xludf.DUMMYFUNCTION("""COMPUTED_VALUE"""),2.0)</f>
        <v>2</v>
      </c>
      <c r="AY15" s="4" t="str">
        <f>IFERROR(__xludf.DUMMYFUNCTION("""COMPUTED_VALUE"""),"Ingeniería de materiales UdeA")</f>
        <v>Ingeniería de materiales UdeA</v>
      </c>
      <c r="AZ15" s="4"/>
    </row>
    <row r="16">
      <c r="A16" s="4" t="str">
        <f>IFERROR(__xludf.DUMMYFUNCTION("""COMPUTED_VALUE"""),"Proy2")</f>
        <v>Proy2</v>
      </c>
      <c r="B16" s="4" t="str">
        <f>IFERROR(__xludf.DUMMYFUNCTION("""COMPUTED_VALUE"""),"Formación_RH")</f>
        <v>Formación_RH</v>
      </c>
      <c r="C16" s="4" t="str">
        <f>IFERROR(__xludf.DUMMYFUNCTION("""COMPUTED_VALUE"""),"Vinculación de estudiante de pregrado")</f>
        <v>Vinculación de estudiante de pregrado</v>
      </c>
      <c r="D16" s="4" t="str">
        <f>IFERROR(__xludf.DUMMYFUNCTION("""COMPUTED_VALUE"""),"Vinculación de estudiante de doctorado")</f>
        <v>Vinculación de estudiante de doctorado</v>
      </c>
      <c r="E16" s="4" t="str">
        <f>IFERROR(__xludf.DUMMYFUNCTION("""COMPUTED_VALUE"""),"Formación de estudiante de doctorado")</f>
        <v>Formación de estudiante de doctorado</v>
      </c>
      <c r="F16" s="4" t="str">
        <f>IFERROR(__xludf.DUMMYFUNCTION("""COMPUTED_VALUE"""),"Vinculación de estudiante de maestría")</f>
        <v>Vinculación de estudiante de maestría</v>
      </c>
      <c r="G16" s="4" t="str">
        <f>IFERROR(__xludf.DUMMYFUNCTION("""COMPUTED_VALUE"""),"Formación de estudiante de maestría")</f>
        <v>Formación de estudiante de maestría</v>
      </c>
      <c r="H16" s="4" t="str">
        <f>IFERROR(__xludf.DUMMYFUNCTION("""COMPUTED_VALUE"""),"Vinculación de estudiante de pregrado")</f>
        <v>Vinculación de estudiante de pregrado</v>
      </c>
      <c r="I16" s="4" t="str">
        <f>IFERROR(__xludf.DUMMYFUNCTION("""COMPUTED_VALUE"""),"Formación de estudiante de pregrado")</f>
        <v>Formación de estudiante de pregrado</v>
      </c>
      <c r="J16" s="4" t="str">
        <f>IFERROR(__xludf.DUMMYFUNCTION("""COMPUTED_VALUE"""),"Joven investigador")</f>
        <v>Joven investigador</v>
      </c>
      <c r="K16" s="4" t="str">
        <f>IFERROR(__xludf.DUMMYFUNCTION("""COMPUTED_VALUE"""),"Pasantía nacional")</f>
        <v>Pasantía nacional</v>
      </c>
      <c r="L16" s="4" t="str">
        <f>IFERROR(__xludf.DUMMYFUNCTION("""COMPUTED_VALUE"""),"Pasantía internacional")</f>
        <v>Pasantía internacional</v>
      </c>
      <c r="M16" s="4"/>
      <c r="N16" s="4"/>
      <c r="O16" s="4"/>
      <c r="P16" s="4"/>
      <c r="Q16" s="4"/>
      <c r="R16" s="4"/>
      <c r="S16" s="4"/>
      <c r="T16" s="4"/>
      <c r="U16" s="4" t="str">
        <f>IFERROR(__xludf.DUMMYFUNCTION("""COMPUTED_VALUE"""),"Ninguna")</f>
        <v>Ninguna</v>
      </c>
      <c r="V16" s="4"/>
      <c r="W16" s="4" t="str">
        <f>IFERROR(__xludf.DUMMYFUNCTION("""COMPUTED_VALUE"""),"Proyecto")</f>
        <v>Proyecto</v>
      </c>
      <c r="X16" s="4" t="str">
        <f>IFERROR(__xludf.DUMMYFUNCTION("""COMPUTED_VALUE"""),"UdeA, UAC")</f>
        <v>UdeA, UAC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 t="str">
        <f>IFERROR(__xludf.DUMMYFUNCTION("""COMPUTED_VALUE"""),"Ninguna")</f>
        <v>Ninguna</v>
      </c>
      <c r="AL16" s="4"/>
      <c r="AM16" s="4" t="str">
        <f>IFERROR(__xludf.DUMMYFUNCTION("""COMPUTED_VALUE"""),"Obligatorio")</f>
        <v>Obligatorio</v>
      </c>
      <c r="AN16" s="4"/>
      <c r="AO16" s="4"/>
      <c r="AP16" s="4"/>
      <c r="AQ16" s="4"/>
      <c r="AR16" s="4"/>
      <c r="AS16" s="4"/>
      <c r="AT16" s="4" t="str">
        <f>IFERROR(__xludf.DUMMYFUNCTION("""COMPUTED_VALUE"""),"VELASQUEZ CARDONA JUAN PABLO")</f>
        <v>VELASQUEZ CARDONA JUAN PABLO</v>
      </c>
      <c r="AU16" s="5" t="str">
        <f>IFERROR(__xludf.DUMMYFUNCTION("""COMPUTED_VALUE"""),"https://drive.google.com/open?id=1rCw6bBptqHZ1tc52n0WZ_1Ih6qbvUUut")</f>
        <v>https://drive.google.com/open?id=1rCw6bBptqHZ1tc52n0WZ_1Ih6qbvUUut</v>
      </c>
      <c r="AV16" s="4"/>
      <c r="AW16" s="4" t="str">
        <f>IFERROR(__xludf.DUMMYFUNCTION("""COMPUTED_VALUE"""),"En Curso")</f>
        <v>En Curso</v>
      </c>
      <c r="AX16" s="4">
        <f>IFERROR(__xludf.DUMMYFUNCTION("""COMPUTED_VALUE"""),2.0)</f>
        <v>2</v>
      </c>
      <c r="AY16" s="4" t="str">
        <f>IFERROR(__xludf.DUMMYFUNCTION("""COMPUTED_VALUE"""),"Ingeniería de materiales UdeA")</f>
        <v>Ingeniería de materiales UdeA</v>
      </c>
      <c r="AZ16" s="4"/>
    </row>
    <row r="17">
      <c r="A17" s="4" t="str">
        <f>IFERROR(__xludf.DUMMYFUNCTION("""COMPUTED_VALUE"""),"Proy3")</f>
        <v>Proy3</v>
      </c>
      <c r="B17" s="4" t="str">
        <f>IFERROR(__xludf.DUMMYFUNCTION("""COMPUTED_VALUE"""),"Formación_RH")</f>
        <v>Formación_RH</v>
      </c>
      <c r="C17" s="4" t="str">
        <f>IFERROR(__xludf.DUMMYFUNCTION("""COMPUTED_VALUE"""),"Vinculación de estudiante de pregrado")</f>
        <v>Vinculación de estudiante de pregrado</v>
      </c>
      <c r="D17" s="4" t="str">
        <f>IFERROR(__xludf.DUMMYFUNCTION("""COMPUTED_VALUE"""),"Vinculación de estudiante de doctorado")</f>
        <v>Vinculación de estudiante de doctorado</v>
      </c>
      <c r="E17" s="4" t="str">
        <f>IFERROR(__xludf.DUMMYFUNCTION("""COMPUTED_VALUE"""),"Formación de estudiante de doctorado")</f>
        <v>Formación de estudiante de doctorado</v>
      </c>
      <c r="F17" s="4" t="str">
        <f>IFERROR(__xludf.DUMMYFUNCTION("""COMPUTED_VALUE"""),"Vinculación de estudiante de maestría")</f>
        <v>Vinculación de estudiante de maestría</v>
      </c>
      <c r="G17" s="4" t="str">
        <f>IFERROR(__xludf.DUMMYFUNCTION("""COMPUTED_VALUE"""),"Formación de estudiante de maestría")</f>
        <v>Formación de estudiante de maestría</v>
      </c>
      <c r="H17" s="4" t="str">
        <f>IFERROR(__xludf.DUMMYFUNCTION("""COMPUTED_VALUE"""),"Vinculación de estudiante de pregrado")</f>
        <v>Vinculación de estudiante de pregrado</v>
      </c>
      <c r="I17" s="4" t="str">
        <f>IFERROR(__xludf.DUMMYFUNCTION("""COMPUTED_VALUE"""),"Formación de estudiante de pregrado")</f>
        <v>Formación de estudiante de pregrado</v>
      </c>
      <c r="J17" s="4" t="str">
        <f>IFERROR(__xludf.DUMMYFUNCTION("""COMPUTED_VALUE"""),"Joven investigador")</f>
        <v>Joven investigador</v>
      </c>
      <c r="K17" s="4" t="str">
        <f>IFERROR(__xludf.DUMMYFUNCTION("""COMPUTED_VALUE"""),"Pasantía nacional")</f>
        <v>Pasantía nacional</v>
      </c>
      <c r="L17" s="4" t="str">
        <f>IFERROR(__xludf.DUMMYFUNCTION("""COMPUTED_VALUE"""),"Pasantía internacional")</f>
        <v>Pasantía internacional</v>
      </c>
      <c r="M17" s="4"/>
      <c r="N17" s="4"/>
      <c r="O17" s="4"/>
      <c r="P17" s="4"/>
      <c r="Q17" s="4"/>
      <c r="R17" s="4"/>
      <c r="S17" s="4"/>
      <c r="T17" s="4"/>
      <c r="U17" s="4" t="str">
        <f>IFERROR(__xludf.DUMMYFUNCTION("""COMPUTED_VALUE"""),"Ninguna")</f>
        <v>Ninguna</v>
      </c>
      <c r="V17" s="4"/>
      <c r="W17" s="4" t="str">
        <f>IFERROR(__xludf.DUMMYFUNCTION("""COMPUTED_VALUE"""),"Proyecto")</f>
        <v>Proyecto</v>
      </c>
      <c r="X17" s="4" t="str">
        <f>IFERROR(__xludf.DUMMYFUNCTION("""COMPUTED_VALUE"""),"UdeA , Universidad de Pamplona")</f>
        <v>UdeA , Universidad de Pamplona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 t="str">
        <f>IFERROR(__xludf.DUMMYFUNCTION("""COMPUTED_VALUE"""),"Ninguna")</f>
        <v>Ninguna</v>
      </c>
      <c r="AL17" s="4"/>
      <c r="AM17" s="4" t="str">
        <f>IFERROR(__xludf.DUMMYFUNCTION("""COMPUTED_VALUE"""),"Obligatorio")</f>
        <v>Obligatorio</v>
      </c>
      <c r="AN17" s="4"/>
      <c r="AO17" s="4"/>
      <c r="AP17" s="4"/>
      <c r="AQ17" s="4"/>
      <c r="AR17" s="4"/>
      <c r="AS17" s="4"/>
      <c r="AT17" s="4" t="str">
        <f>IFERROR(__xludf.DUMMYFUNCTION("""COMPUTED_VALUE"""),"LOPEZ RODRIGUEZ ANDRÉS FELIPE")</f>
        <v>LOPEZ RODRIGUEZ ANDRÉS FELIPE</v>
      </c>
      <c r="AU17" s="5" t="str">
        <f>IFERROR(__xludf.DUMMYFUNCTION("""COMPUTED_VALUE"""),"https://drive.google.com/open?id=1OEKi0XkhN0xGfU4X3mR464Jxe1Pr36NA")</f>
        <v>https://drive.google.com/open?id=1OEKi0XkhN0xGfU4X3mR464Jxe1Pr36NA</v>
      </c>
      <c r="AV17" s="4"/>
      <c r="AW17" s="4" t="str">
        <f>IFERROR(__xludf.DUMMYFUNCTION("""COMPUTED_VALUE"""),"En Curso")</f>
        <v>En Curso</v>
      </c>
      <c r="AX17" s="4">
        <f>IFERROR(__xludf.DUMMYFUNCTION("""COMPUTED_VALUE"""),2.0)</f>
        <v>2</v>
      </c>
      <c r="AY17" s="4" t="str">
        <f>IFERROR(__xludf.DUMMYFUNCTION("""COMPUTED_VALUE"""),"Ingeniería Mecánica - Pamplona")</f>
        <v>Ingeniería Mecánica - Pamplona</v>
      </c>
      <c r="AZ17" s="4"/>
    </row>
    <row r="18">
      <c r="A18" s="4" t="str">
        <f>IFERROR(__xludf.DUMMYFUNCTION("""COMPUTED_VALUE"""),"Proy1")</f>
        <v>Proy1</v>
      </c>
      <c r="B18" s="4" t="str">
        <f>IFERROR(__xludf.DUMMYFUNCTION("""COMPUTED_VALUE"""),"Formación_RH")</f>
        <v>Formación_RH</v>
      </c>
      <c r="C18" s="4" t="str">
        <f>IFERROR(__xludf.DUMMYFUNCTION("""COMPUTED_VALUE"""),"Vinculación de estudiante de pregrado")</f>
        <v>Vinculación de estudiante de pregrado</v>
      </c>
      <c r="D18" s="4" t="str">
        <f>IFERROR(__xludf.DUMMYFUNCTION("""COMPUTED_VALUE"""),"Vinculación de estudiante de doctorado")</f>
        <v>Vinculación de estudiante de doctorado</v>
      </c>
      <c r="E18" s="4" t="str">
        <f>IFERROR(__xludf.DUMMYFUNCTION("""COMPUTED_VALUE"""),"Formación de estudiante de doctorado")</f>
        <v>Formación de estudiante de doctorado</v>
      </c>
      <c r="F18" s="4" t="str">
        <f>IFERROR(__xludf.DUMMYFUNCTION("""COMPUTED_VALUE"""),"Vinculación de estudiante de maestría")</f>
        <v>Vinculación de estudiante de maestría</v>
      </c>
      <c r="G18" s="4" t="str">
        <f>IFERROR(__xludf.DUMMYFUNCTION("""COMPUTED_VALUE"""),"Formación de estudiante de maestría")</f>
        <v>Formación de estudiante de maestría</v>
      </c>
      <c r="H18" s="4" t="str">
        <f>IFERROR(__xludf.DUMMYFUNCTION("""COMPUTED_VALUE"""),"Vinculación de estudiante de pregrado")</f>
        <v>Vinculación de estudiante de pregrado</v>
      </c>
      <c r="I18" s="4" t="str">
        <f>IFERROR(__xludf.DUMMYFUNCTION("""COMPUTED_VALUE"""),"Formación de estudiante de pregrado")</f>
        <v>Formación de estudiante de pregrado</v>
      </c>
      <c r="J18" s="4" t="str">
        <f>IFERROR(__xludf.DUMMYFUNCTION("""COMPUTED_VALUE"""),"Joven investigador")</f>
        <v>Joven investigador</v>
      </c>
      <c r="K18" s="4" t="str">
        <f>IFERROR(__xludf.DUMMYFUNCTION("""COMPUTED_VALUE"""),"Pasantía nacional")</f>
        <v>Pasantía nacional</v>
      </c>
      <c r="L18" s="4" t="str">
        <f>IFERROR(__xludf.DUMMYFUNCTION("""COMPUTED_VALUE"""),"Pasantía internacional")</f>
        <v>Pasantía internacional</v>
      </c>
      <c r="M18" s="4"/>
      <c r="N18" s="4"/>
      <c r="O18" s="4"/>
      <c r="P18" s="4"/>
      <c r="Q18" s="4"/>
      <c r="R18" s="4"/>
      <c r="S18" s="4"/>
      <c r="T18" s="4"/>
      <c r="U18" s="4" t="str">
        <f>IFERROR(__xludf.DUMMYFUNCTION("""COMPUTED_VALUE"""),"Ninguna")</f>
        <v>Ninguna</v>
      </c>
      <c r="V18" s="4"/>
      <c r="W18" s="4" t="str">
        <f>IFERROR(__xludf.DUMMYFUNCTION("""COMPUTED_VALUE"""),"Proyecto")</f>
        <v>Proyecto</v>
      </c>
      <c r="X18" s="4" t="str">
        <f>IFERROR(__xludf.DUMMYFUNCTION("""COMPUTED_VALUE"""),"UdeA ")</f>
        <v>UdeA 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 t="str">
        <f>IFERROR(__xludf.DUMMYFUNCTION("""COMPUTED_VALUE"""),"Ninguna")</f>
        <v>Ninguna</v>
      </c>
      <c r="AL18" s="4"/>
      <c r="AM18" s="4" t="str">
        <f>IFERROR(__xludf.DUMMYFUNCTION("""COMPUTED_VALUE"""),"Obligatorio")</f>
        <v>Obligatorio</v>
      </c>
      <c r="AN18" s="4"/>
      <c r="AO18" s="4"/>
      <c r="AP18" s="4"/>
      <c r="AQ18" s="4"/>
      <c r="AR18" s="4"/>
      <c r="AS18" s="4"/>
      <c r="AT18" s="4" t="str">
        <f>IFERROR(__xludf.DUMMYFUNCTION("""COMPUTED_VALUE"""),"AGUIRRE PINEDA JUAN DAVID")</f>
        <v>AGUIRRE PINEDA JUAN DAVID</v>
      </c>
      <c r="AU18" s="5" t="str">
        <f>IFERROR(__xludf.DUMMYFUNCTION("""COMPUTED_VALUE"""),"https://drive.google.com/open?id=1nUYFWr5CnoGKR_4kGRGUd2Ico-Dq5PNl")</f>
        <v>https://drive.google.com/open?id=1nUYFWr5CnoGKR_4kGRGUd2Ico-Dq5PNl</v>
      </c>
      <c r="AV18" s="4"/>
      <c r="AW18" s="4" t="str">
        <f>IFERROR(__xludf.DUMMYFUNCTION("""COMPUTED_VALUE"""),"En Curso")</f>
        <v>En Curso</v>
      </c>
      <c r="AX18" s="4">
        <f>IFERROR(__xludf.DUMMYFUNCTION("""COMPUTED_VALUE"""),2.0)</f>
        <v>2</v>
      </c>
      <c r="AY18" s="4" t="str">
        <f>IFERROR(__xludf.DUMMYFUNCTION("""COMPUTED_VALUE"""),"Ingeniería Mecánica")</f>
        <v>Ingeniería Mecánica</v>
      </c>
      <c r="AZ18" s="4"/>
    </row>
    <row r="19">
      <c r="A19" s="4" t="str">
        <f>IFERROR(__xludf.DUMMYFUNCTION("""COMPUTED_VALUE"""),"Proy9")</f>
        <v>Proy9</v>
      </c>
      <c r="B19" s="4" t="str">
        <f>IFERROR(__xludf.DUMMYFUNCTION("""COMPUTED_VALUE"""),"Apropiación")</f>
        <v>Apropiación</v>
      </c>
      <c r="C19" s="4" t="str">
        <f>IFERROR(__xludf.DUMMYFUNCTION("""COMPUTED_VALUE"""),"Ponencia")</f>
        <v>Ponencia</v>
      </c>
      <c r="D19" s="4" t="str">
        <f>IFERROR(__xludf.DUMMYFUNCTION("""COMPUTED_VALUE"""),"Ponencia")</f>
        <v>Ponencia</v>
      </c>
      <c r="E19" s="4" t="str">
        <f>IFERROR(__xludf.DUMMYFUNCTION("""COMPUTED_VALUE"""),"Evento científico")</f>
        <v>Evento científico</v>
      </c>
      <c r="F19" s="4" t="str">
        <f>IFERROR(__xludf.DUMMYFUNCTION("""COMPUTED_VALUE"""),"Cartilla")</f>
        <v>Cartilla</v>
      </c>
      <c r="G19" s="4" t="str">
        <f>IFERROR(__xludf.DUMMYFUNCTION("""COMPUTED_VALUE"""),"Curso de capacitación, seminario o taller")</f>
        <v>Curso de capacitación, seminario o taller</v>
      </c>
      <c r="H19" s="4" t="str">
        <f>IFERROR(__xludf.DUMMYFUNCTION("""COMPUTED_VALUE"""),"Socialización de resultados a actores del sector")</f>
        <v>Socialización de resultados a actores del sector</v>
      </c>
      <c r="I19" s="4" t="str">
        <f>IFERROR(__xludf.DUMMYFUNCTION("""COMPUTED_VALUE"""),"Articulación de redes de conocimiento")</f>
        <v>Articulación de redes de conocimiento</v>
      </c>
      <c r="J19" s="4" t="str">
        <f>IFERROR(__xludf.DUMMYFUNCTION("""COMPUTED_VALUE"""),"Circulación de conocimiento especializado - boletines")</f>
        <v>Circulación de conocimiento especializado - boletines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 t="str">
        <f>IFERROR(__xludf.DUMMYFUNCTION("""COMPUTED_VALUE"""),"Ninguna")</f>
        <v>Ninguna</v>
      </c>
      <c r="V19" s="4"/>
      <c r="W19" s="4" t="str">
        <f>IFERROR(__xludf.DUMMYFUNCTION("""COMPUTED_VALUE"""),"Proyecto")</f>
        <v>Proyecto</v>
      </c>
      <c r="X19" s="4" t="str">
        <f>IFERROR(__xludf.DUMMYFUNCTION("""COMPUTED_VALUE"""),"U. Guajira")</f>
        <v>U. Guajira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 t="str">
        <f>IFERROR(__xludf.DUMMYFUNCTION("""COMPUTED_VALUE"""),"Ninguna")</f>
        <v>Ninguna</v>
      </c>
      <c r="AL19" s="4"/>
      <c r="AM19" s="4" t="str">
        <f>IFERROR(__xludf.DUMMYFUNCTION("""COMPUTED_VALUE"""),"Obligatorio")</f>
        <v>Obligatorio</v>
      </c>
      <c r="AN19" s="4">
        <f>IFERROR(__xludf.DUMMYFUNCTION("""COMPUTED_VALUE"""),1.0)</f>
        <v>1</v>
      </c>
      <c r="AO19" s="4">
        <f>IFERROR(__xludf.DUMMYFUNCTION("""COMPUTED_VALUE"""),1.0)</f>
        <v>1</v>
      </c>
      <c r="AP19" s="4">
        <f>IFERROR(__xludf.DUMMYFUNCTION("""COMPUTED_VALUE"""),1.0)</f>
        <v>1</v>
      </c>
      <c r="AQ19" s="4">
        <f>IFERROR(__xludf.DUMMYFUNCTION("""COMPUTED_VALUE"""),1.0)</f>
        <v>1</v>
      </c>
      <c r="AR19" s="4">
        <f>IFERROR(__xludf.DUMMYFUNCTION("""COMPUTED_VALUE"""),1.0)</f>
        <v>1</v>
      </c>
      <c r="AS19" s="4">
        <f>IFERROR(__xludf.DUMMYFUNCTION("""COMPUTED_VALUE"""),1.0)</f>
        <v>1</v>
      </c>
      <c r="AT19" s="4" t="str">
        <f>IFERROR(__xludf.DUMMYFUNCTION("""COMPUTED_VALUE"""),"ISBN: 978-959-312-372-3. II Conferencia internacional de desarrollo energético sostenible 2019 ")</f>
        <v>ISBN: 978-959-312-372-3. II Conferencia internacional de desarrollo energético sostenible 2019 </v>
      </c>
      <c r="AU19" s="4" t="str">
        <f>IFERROR(__xludf.DUMMYFUNCTION("""COMPUTED_VALUE"""),"No ha suministrado el archivo")</f>
        <v>No ha suministrado el archivo</v>
      </c>
      <c r="AV19" s="4" t="str">
        <f>IFERROR(__xludf.DUMMYFUNCTION("""COMPUTED_VALUE"""),"No hay caso ssofi a julio 26")</f>
        <v>No hay caso ssofi a julio 26</v>
      </c>
      <c r="AW19" s="4"/>
      <c r="AX19" s="4">
        <f>IFERROR(__xludf.DUMMYFUNCTION("""COMPUTED_VALUE"""),3.0)</f>
        <v>3</v>
      </c>
      <c r="AY19" s="4"/>
      <c r="AZ19" s="4"/>
    </row>
    <row r="20">
      <c r="A20" s="4" t="str">
        <f>IFERROR(__xludf.DUMMYFUNCTION("""COMPUTED_VALUE"""),"Proy1")</f>
        <v>Proy1</v>
      </c>
      <c r="B20" s="4" t="str">
        <f>IFERROR(__xludf.DUMMYFUNCTION("""COMPUTED_VALUE"""),"Formación_RH")</f>
        <v>Formación_RH</v>
      </c>
      <c r="C20" s="4" t="str">
        <f>IFERROR(__xludf.DUMMYFUNCTION("""COMPUTED_VALUE"""),"Vinculación de estudiante de doctorado")</f>
        <v>Vinculación de estudiante de doctorado</v>
      </c>
      <c r="D20" s="4" t="str">
        <f>IFERROR(__xludf.DUMMYFUNCTION("""COMPUTED_VALUE"""),"Vinculación de estudiante de doctorado")</f>
        <v>Vinculación de estudiante de doctorado</v>
      </c>
      <c r="E20" s="4" t="str">
        <f>IFERROR(__xludf.DUMMYFUNCTION("""COMPUTED_VALUE"""),"Formación de estudiante de doctorado")</f>
        <v>Formación de estudiante de doctorado</v>
      </c>
      <c r="F20" s="4" t="str">
        <f>IFERROR(__xludf.DUMMYFUNCTION("""COMPUTED_VALUE"""),"Vinculación de estudiante de maestría")</f>
        <v>Vinculación de estudiante de maestría</v>
      </c>
      <c r="G20" s="4" t="str">
        <f>IFERROR(__xludf.DUMMYFUNCTION("""COMPUTED_VALUE"""),"Formación de estudiante de maestría")</f>
        <v>Formación de estudiante de maestría</v>
      </c>
      <c r="H20" s="4" t="str">
        <f>IFERROR(__xludf.DUMMYFUNCTION("""COMPUTED_VALUE"""),"Vinculación de estudiante de pregrado")</f>
        <v>Vinculación de estudiante de pregrado</v>
      </c>
      <c r="I20" s="4" t="str">
        <f>IFERROR(__xludf.DUMMYFUNCTION("""COMPUTED_VALUE"""),"Formación de estudiante de pregrado")</f>
        <v>Formación de estudiante de pregrado</v>
      </c>
      <c r="J20" s="4" t="str">
        <f>IFERROR(__xludf.DUMMYFUNCTION("""COMPUTED_VALUE"""),"Joven investigador")</f>
        <v>Joven investigador</v>
      </c>
      <c r="K20" s="4" t="str">
        <f>IFERROR(__xludf.DUMMYFUNCTION("""COMPUTED_VALUE"""),"Pasantía nacional")</f>
        <v>Pasantía nacional</v>
      </c>
      <c r="L20" s="4" t="str">
        <f>IFERROR(__xludf.DUMMYFUNCTION("""COMPUTED_VALUE"""),"Pasantía internacional")</f>
        <v>Pasantía internacional</v>
      </c>
      <c r="M20" s="4"/>
      <c r="N20" s="4"/>
      <c r="O20" s="4"/>
      <c r="P20" s="4"/>
      <c r="Q20" s="4"/>
      <c r="R20" s="4"/>
      <c r="S20" s="4"/>
      <c r="T20" s="4"/>
      <c r="U20" s="4" t="str">
        <f>IFERROR(__xludf.DUMMYFUNCTION("""COMPUTED_VALUE"""),"Ninguna")</f>
        <v>Ninguna</v>
      </c>
      <c r="V20" s="4"/>
      <c r="W20" s="4" t="str">
        <f>IFERROR(__xludf.DUMMYFUNCTION("""COMPUTED_VALUE"""),"Proyecto")</f>
        <v>Proyecto</v>
      </c>
      <c r="X20" s="4" t="str">
        <f>IFERROR(__xludf.DUMMYFUNCTION("""COMPUTED_VALUE"""),"UdeA ")</f>
        <v>UdeA 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 t="str">
        <f>IFERROR(__xludf.DUMMYFUNCTION("""COMPUTED_VALUE"""),"Ninguna")</f>
        <v>Ninguna</v>
      </c>
      <c r="AL20" s="4"/>
      <c r="AM20" s="4" t="str">
        <f>IFERROR(__xludf.DUMMYFUNCTION("""COMPUTED_VALUE"""),"Obligatorio")</f>
        <v>Obligatorio</v>
      </c>
      <c r="AN20" s="4"/>
      <c r="AO20" s="4"/>
      <c r="AP20" s="4"/>
      <c r="AQ20" s="4"/>
      <c r="AR20" s="4"/>
      <c r="AS20" s="4"/>
      <c r="AT20" s="4" t="str">
        <f>IFERROR(__xludf.DUMMYFUNCTION("""COMPUTED_VALUE"""),"LAURA ISABEL VELÁSQUEZ GARCÍA ;Beca UdeA")</f>
        <v>LAURA ISABEL VELÁSQUEZ GARCÍA ;Beca UdeA</v>
      </c>
      <c r="AU20" s="4"/>
      <c r="AV20" s="4"/>
      <c r="AW20" s="4" t="str">
        <f>IFERROR(__xludf.DUMMYFUNCTION("""COMPUTED_VALUE"""),"En Curso")</f>
        <v>En Curso</v>
      </c>
      <c r="AX20" s="4">
        <f>IFERROR(__xludf.DUMMYFUNCTION("""COMPUTED_VALUE"""),2.0)</f>
        <v>2</v>
      </c>
      <c r="AY20" s="4" t="str">
        <f>IFERROR(__xludf.DUMMYFUNCTION("""COMPUTED_VALUE"""),"Doctorado en Ingeniería Ambiental")</f>
        <v>Doctorado en Ingeniería Ambiental</v>
      </c>
      <c r="AZ20" s="4"/>
    </row>
    <row r="21">
      <c r="A21" s="4" t="str">
        <f>IFERROR(__xludf.DUMMYFUNCTION("""COMPUTED_VALUE"""),"Proy4")</f>
        <v>Proy4</v>
      </c>
      <c r="B21" s="4" t="str">
        <f>IFERROR(__xludf.DUMMYFUNCTION("""COMPUTED_VALUE"""),"Formación_RH")</f>
        <v>Formación_RH</v>
      </c>
      <c r="C21" s="4" t="str">
        <f>IFERROR(__xludf.DUMMYFUNCTION("""COMPUTED_VALUE"""),"Vinculación de estudiante de doctorado")</f>
        <v>Vinculación de estudiante de doctorado</v>
      </c>
      <c r="D21" s="4" t="str">
        <f>IFERROR(__xludf.DUMMYFUNCTION("""COMPUTED_VALUE"""),"Vinculación de estudiante de doctorado")</f>
        <v>Vinculación de estudiante de doctorado</v>
      </c>
      <c r="E21" s="4" t="str">
        <f>IFERROR(__xludf.DUMMYFUNCTION("""COMPUTED_VALUE"""),"Formación de estudiante de doctorado")</f>
        <v>Formación de estudiante de doctorado</v>
      </c>
      <c r="F21" s="4" t="str">
        <f>IFERROR(__xludf.DUMMYFUNCTION("""COMPUTED_VALUE"""),"Vinculación de estudiante de maestría")</f>
        <v>Vinculación de estudiante de maestría</v>
      </c>
      <c r="G21" s="4" t="str">
        <f>IFERROR(__xludf.DUMMYFUNCTION("""COMPUTED_VALUE"""),"Formación de estudiante de maestría")</f>
        <v>Formación de estudiante de maestría</v>
      </c>
      <c r="H21" s="4" t="str">
        <f>IFERROR(__xludf.DUMMYFUNCTION("""COMPUTED_VALUE"""),"Vinculación de estudiante de pregrado")</f>
        <v>Vinculación de estudiante de pregrado</v>
      </c>
      <c r="I21" s="4" t="str">
        <f>IFERROR(__xludf.DUMMYFUNCTION("""COMPUTED_VALUE"""),"Formación de estudiante de pregrado")</f>
        <v>Formación de estudiante de pregrado</v>
      </c>
      <c r="J21" s="4" t="str">
        <f>IFERROR(__xludf.DUMMYFUNCTION("""COMPUTED_VALUE"""),"Joven investigador")</f>
        <v>Joven investigador</v>
      </c>
      <c r="K21" s="4" t="str">
        <f>IFERROR(__xludf.DUMMYFUNCTION("""COMPUTED_VALUE"""),"Pasantía nacional")</f>
        <v>Pasantía nacional</v>
      </c>
      <c r="L21" s="4" t="str">
        <f>IFERROR(__xludf.DUMMYFUNCTION("""COMPUTED_VALUE"""),"Pasantía internacional")</f>
        <v>Pasantía internacional</v>
      </c>
      <c r="M21" s="4"/>
      <c r="N21" s="4"/>
      <c r="O21" s="4"/>
      <c r="P21" s="4"/>
      <c r="Q21" s="4"/>
      <c r="R21" s="4"/>
      <c r="S21" s="4"/>
      <c r="T21" s="4"/>
      <c r="U21" s="4" t="str">
        <f>IFERROR(__xludf.DUMMYFUNCTION("""COMPUTED_VALUE"""),"Ninguna")</f>
        <v>Ninguna</v>
      </c>
      <c r="V21" s="4"/>
      <c r="W21" s="4" t="str">
        <f>IFERROR(__xludf.DUMMYFUNCTION("""COMPUTED_VALUE"""),"Proyecto")</f>
        <v>Proyecto</v>
      </c>
      <c r="X21" s="4" t="str">
        <f>IFERROR(__xludf.DUMMYFUNCTION("""COMPUTED_VALUE"""),"UdeA ")</f>
        <v>UdeA 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 t="str">
        <f>IFERROR(__xludf.DUMMYFUNCTION("""COMPUTED_VALUE"""),"Ninguna")</f>
        <v>Ninguna</v>
      </c>
      <c r="AL21" s="4"/>
      <c r="AM21" s="4" t="str">
        <f>IFERROR(__xludf.DUMMYFUNCTION("""COMPUTED_VALUE"""),"Adicional")</f>
        <v>Adicional</v>
      </c>
      <c r="AN21" s="4"/>
      <c r="AO21" s="4"/>
      <c r="AP21" s="4"/>
      <c r="AQ21" s="4"/>
      <c r="AR21" s="4"/>
      <c r="AS21" s="4"/>
      <c r="AT21" s="4" t="str">
        <f>IFERROR(__xludf.DUMMYFUNCTION("""COMPUTED_VALUE"""),"LILIANA LÓPEZ CHALARCA; estudiante instructora")</f>
        <v>LILIANA LÓPEZ CHALARCA; estudiante instructora</v>
      </c>
      <c r="AU21" s="5" t="str">
        <f>IFERROR(__xludf.DUMMYFUNCTION("""COMPUTED_VALUE"""),"https://drive.google.com/open?id=1uxUNpP6CWNQhsDRbvuCTTSe3UR2nDbMh")</f>
        <v>https://drive.google.com/open?id=1uxUNpP6CWNQhsDRbvuCTTSe3UR2nDbMh</v>
      </c>
      <c r="AV21" s="4"/>
      <c r="AW21" s="4" t="str">
        <f>IFERROR(__xludf.DUMMYFUNCTION("""COMPUTED_VALUE"""),"En Curso")</f>
        <v>En Curso</v>
      </c>
      <c r="AX21" s="4">
        <f>IFERROR(__xludf.DUMMYFUNCTION("""COMPUTED_VALUE"""),3.0)</f>
        <v>3</v>
      </c>
      <c r="AY21" s="4" t="str">
        <f>IFERROR(__xludf.DUMMYFUNCTION("""COMPUTED_VALUE"""),"Doctorado en Ingeniería de Materiales")</f>
        <v>Doctorado en Ingeniería de Materiales</v>
      </c>
      <c r="AZ21" s="4"/>
    </row>
    <row r="22">
      <c r="A22" s="4" t="str">
        <f>IFERROR(__xludf.DUMMYFUNCTION("""COMPUTED_VALUE"""),"Proy4")</f>
        <v>Proy4</v>
      </c>
      <c r="B22" s="4" t="str">
        <f>IFERROR(__xludf.DUMMYFUNCTION("""COMPUTED_VALUE"""),"Formación_RH")</f>
        <v>Formación_RH</v>
      </c>
      <c r="C22" s="4" t="str">
        <f>IFERROR(__xludf.DUMMYFUNCTION("""COMPUTED_VALUE"""),"Vinculación de estudiante de doctorado")</f>
        <v>Vinculación de estudiante de doctorado</v>
      </c>
      <c r="D22" s="4" t="str">
        <f>IFERROR(__xludf.DUMMYFUNCTION("""COMPUTED_VALUE"""),"Vinculación de estudiante de doctorado")</f>
        <v>Vinculación de estudiante de doctorado</v>
      </c>
      <c r="E22" s="4" t="str">
        <f>IFERROR(__xludf.DUMMYFUNCTION("""COMPUTED_VALUE"""),"Formación de estudiante de doctorado")</f>
        <v>Formación de estudiante de doctorado</v>
      </c>
      <c r="F22" s="4" t="str">
        <f>IFERROR(__xludf.DUMMYFUNCTION("""COMPUTED_VALUE"""),"Vinculación de estudiante de maestría")</f>
        <v>Vinculación de estudiante de maestría</v>
      </c>
      <c r="G22" s="4" t="str">
        <f>IFERROR(__xludf.DUMMYFUNCTION("""COMPUTED_VALUE"""),"Formación de estudiante de maestría")</f>
        <v>Formación de estudiante de maestría</v>
      </c>
      <c r="H22" s="4" t="str">
        <f>IFERROR(__xludf.DUMMYFUNCTION("""COMPUTED_VALUE"""),"Vinculación de estudiante de pregrado")</f>
        <v>Vinculación de estudiante de pregrado</v>
      </c>
      <c r="I22" s="4" t="str">
        <f>IFERROR(__xludf.DUMMYFUNCTION("""COMPUTED_VALUE"""),"Formación de estudiante de pregrado")</f>
        <v>Formación de estudiante de pregrado</v>
      </c>
      <c r="J22" s="4" t="str">
        <f>IFERROR(__xludf.DUMMYFUNCTION("""COMPUTED_VALUE"""),"Joven investigador")</f>
        <v>Joven investigador</v>
      </c>
      <c r="K22" s="4" t="str">
        <f>IFERROR(__xludf.DUMMYFUNCTION("""COMPUTED_VALUE"""),"Pasantía nacional")</f>
        <v>Pasantía nacional</v>
      </c>
      <c r="L22" s="4" t="str">
        <f>IFERROR(__xludf.DUMMYFUNCTION("""COMPUTED_VALUE"""),"Pasantía internacional")</f>
        <v>Pasantía internacional</v>
      </c>
      <c r="M22" s="4"/>
      <c r="N22" s="4"/>
      <c r="O22" s="4"/>
      <c r="P22" s="4"/>
      <c r="Q22" s="4"/>
      <c r="R22" s="4"/>
      <c r="S22" s="4"/>
      <c r="T22" s="4"/>
      <c r="U22" s="4" t="str">
        <f>IFERROR(__xludf.DUMMYFUNCTION("""COMPUTED_VALUE"""),"Ninguna")</f>
        <v>Ninguna</v>
      </c>
      <c r="V22" s="4"/>
      <c r="W22" s="4" t="str">
        <f>IFERROR(__xludf.DUMMYFUNCTION("""COMPUTED_VALUE"""),"Proyecto")</f>
        <v>Proyecto</v>
      </c>
      <c r="X22" s="4" t="str">
        <f>IFERROR(__xludf.DUMMYFUNCTION("""COMPUTED_VALUE"""),"UdeA ")</f>
        <v>UdeA 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 t="str">
        <f>IFERROR(__xludf.DUMMYFUNCTION("""COMPUTED_VALUE"""),"Ninguna")</f>
        <v>Ninguna</v>
      </c>
      <c r="AL22" s="4"/>
      <c r="AM22" s="4" t="str">
        <f>IFERROR(__xludf.DUMMYFUNCTION("""COMPUTED_VALUE"""),"Adicional")</f>
        <v>Adicional</v>
      </c>
      <c r="AN22" s="4"/>
      <c r="AO22" s="4"/>
      <c r="AP22" s="4"/>
      <c r="AQ22" s="4"/>
      <c r="AR22" s="4"/>
      <c r="AS22" s="4"/>
      <c r="AT22" s="4" t="str">
        <f>IFERROR(__xludf.DUMMYFUNCTION("""COMPUTED_VALUE"""),"NERLY LILIAN MOSQUERA MOSQUERA")</f>
        <v>NERLY LILIAN MOSQUERA MOSQUERA</v>
      </c>
      <c r="AU22" s="5" t="str">
        <f>IFERROR(__xludf.DUMMYFUNCTION("""COMPUTED_VALUE"""),"https://drive.google.com/open?id=1uxUNpP6CWNQhsDRbvuCTTSe3UR2nDbMh")</f>
        <v>https://drive.google.com/open?id=1uxUNpP6CWNQhsDRbvuCTTSe3UR2nDbMh</v>
      </c>
      <c r="AV22" s="4"/>
      <c r="AW22" s="4" t="str">
        <f>IFERROR(__xludf.DUMMYFUNCTION("""COMPUTED_VALUE"""),"En Curso")</f>
        <v>En Curso</v>
      </c>
      <c r="AX22" s="4">
        <f>IFERROR(__xludf.DUMMYFUNCTION("""COMPUTED_VALUE"""),3.0)</f>
        <v>3</v>
      </c>
      <c r="AY22" s="4" t="str">
        <f>IFERROR(__xludf.DUMMYFUNCTION("""COMPUTED_VALUE"""),"Doctorado en Ingeniería de Materiales")</f>
        <v>Doctorado en Ingeniería de Materiales</v>
      </c>
      <c r="AZ22" s="4"/>
    </row>
    <row r="23">
      <c r="A23" s="4" t="str">
        <f>IFERROR(__xludf.DUMMYFUNCTION("""COMPUTED_VALUE"""),"Proy2")</f>
        <v>Proy2</v>
      </c>
      <c r="B23" s="4" t="str">
        <f>IFERROR(__xludf.DUMMYFUNCTION("""COMPUTED_VALUE"""),"Nuevo_Conocimiento")</f>
        <v>Nuevo_Conocimiento</v>
      </c>
      <c r="C23" s="4" t="str">
        <f>IFERROR(__xludf.DUMMYFUNCTION("""COMPUTED_VALUE"""),"Artículo A1")</f>
        <v>Artículo A1</v>
      </c>
      <c r="D23" s="4" t="str">
        <f>IFERROR(__xludf.DUMMYFUNCTION("""COMPUTED_VALUE"""),"Artículo A1")</f>
        <v>Artículo A1</v>
      </c>
      <c r="E23" s="4" t="str">
        <f>IFERROR(__xludf.DUMMYFUNCTION("""COMPUTED_VALUE"""),"Artículo A2")</f>
        <v>Artículo A2</v>
      </c>
      <c r="F23" s="4" t="str">
        <f>IFERROR(__xludf.DUMMYFUNCTION("""COMPUTED_VALUE"""),"Artículo B")</f>
        <v>Artículo B</v>
      </c>
      <c r="G23" s="4" t="str">
        <f>IFERROR(__xludf.DUMMYFUNCTION("""COMPUTED_VALUE"""),"Artículo C")</f>
        <v>Artículo C</v>
      </c>
      <c r="H23" s="4" t="str">
        <f>IFERROR(__xludf.DUMMYFUNCTION("""COMPUTED_VALUE"""),"Capítulo de libro A")</f>
        <v>Capítulo de libro A</v>
      </c>
      <c r="I23" s="4" t="str">
        <f>IFERROR(__xludf.DUMMYFUNCTION("""COMPUTED_VALUE"""),"Capítulo de libro A1")</f>
        <v>Capítulo de libro A1</v>
      </c>
      <c r="J23" s="4" t="str">
        <f>IFERROR(__xludf.DUMMYFUNCTION("""COMPUTED_VALUE"""),"Capítulo de libro B")</f>
        <v>Capítulo de libro B</v>
      </c>
      <c r="K23" s="4" t="str">
        <f>IFERROR(__xludf.DUMMYFUNCTION("""COMPUTED_VALUE"""),"Libro A")</f>
        <v>Libro A</v>
      </c>
      <c r="L23" s="4" t="str">
        <f>IFERROR(__xludf.DUMMYFUNCTION("""COMPUTED_VALUE"""),"Libro A1")</f>
        <v>Libro A1</v>
      </c>
      <c r="M23" s="4" t="str">
        <f>IFERROR(__xludf.DUMMYFUNCTION("""COMPUTED_VALUE"""),"Libro B")</f>
        <v>Libro B</v>
      </c>
      <c r="N23" s="4" t="str">
        <f>IFERROR(__xludf.DUMMYFUNCTION("""COMPUTED_VALUE"""),"Solicitud Patente de invención y-o modelo de utitlidad")</f>
        <v>Solicitud Patente de invención y-o modelo de utitlidad</v>
      </c>
      <c r="O23" s="4" t="str">
        <f>IFERROR(__xludf.DUMMYFUNCTION("""COMPUTED_VALUE"""),"Patente de invención")</f>
        <v>Patente de invención</v>
      </c>
      <c r="P23" s="4" t="str">
        <f>IFERROR(__xludf.DUMMYFUNCTION("""COMPUTED_VALUE"""),"Patente de modelo de utilidad")</f>
        <v>Patente de modelo de utilidad</v>
      </c>
      <c r="Q23" s="4" t="str">
        <f>IFERROR(__xludf.DUMMYFUNCTION("""COMPUTED_VALUE"""),"Artículo sin clasificar")</f>
        <v>Artículo sin clasificar</v>
      </c>
      <c r="R23" s="4" t="str">
        <f>IFERROR(__xludf.DUMMYFUNCTION("""COMPUTED_VALUE"""),"Capítulo sin clasificar")</f>
        <v>Capítulo sin clasificar</v>
      </c>
      <c r="S23" s="4"/>
      <c r="T23" s="4"/>
      <c r="U23" s="4" t="str">
        <f>IFERROR(__xludf.DUMMYFUNCTION("""COMPUTED_VALUE"""),"Otros actores")</f>
        <v>Otros actores</v>
      </c>
      <c r="V23" s="4" t="str">
        <f>IFERROR(__xludf.DUMMYFUNCTION("""COMPUTED_VALUE"""),"EPFL, Humboldt Universität zu Berlin")</f>
        <v>EPFL, Humboldt Universität zu Berlin</v>
      </c>
      <c r="W23" s="4" t="str">
        <f>IFERROR(__xludf.DUMMYFUNCTION("""COMPUTED_VALUE"""),"Proyecto")</f>
        <v>Proyecto</v>
      </c>
      <c r="X23" s="4" t="str">
        <f>IFERROR(__xludf.DUMMYFUNCTION("""COMPUTED_VALUE"""),"UdeA ")</f>
        <v>UdeA 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 t="str">
        <f>IFERROR(__xludf.DUMMYFUNCTION("""COMPUTED_VALUE"""),"Ninguna")</f>
        <v>Ninguna</v>
      </c>
      <c r="AL23" s="4"/>
      <c r="AM23" s="4" t="str">
        <f>IFERROR(__xludf.DUMMYFUNCTION("""COMPUTED_VALUE"""),"Adicional")</f>
        <v>Adicional</v>
      </c>
      <c r="AN23" s="4">
        <f>IFERROR(__xludf.DUMMYFUNCTION("""COMPUTED_VALUE"""),1.0)</f>
        <v>1</v>
      </c>
      <c r="AO23" s="4">
        <f>IFERROR(__xludf.DUMMYFUNCTION("""COMPUTED_VALUE"""),1.0)</f>
        <v>1</v>
      </c>
      <c r="AP23" s="4">
        <f>IFERROR(__xludf.DUMMYFUNCTION("""COMPUTED_VALUE"""),3.0)</f>
        <v>3</v>
      </c>
      <c r="AQ23" s="4">
        <f>IFERROR(__xludf.DUMMYFUNCTION("""COMPUTED_VALUE"""),1.0)</f>
        <v>1</v>
      </c>
      <c r="AR23" s="4">
        <f>IFERROR(__xludf.DUMMYFUNCTION("""COMPUTED_VALUE"""),3.0)</f>
        <v>3</v>
      </c>
      <c r="AS23" s="4">
        <f>IFERROR(__xludf.DUMMYFUNCTION("""COMPUTED_VALUE"""),1.0)</f>
        <v>1</v>
      </c>
      <c r="AT23" s="4" t="str">
        <f>IFERROR(__xludf.DUMMYFUNCTION("""COMPUTED_VALUE"""),"DOI: 10.1021/acsaem.9b00603")</f>
        <v>DOI: 10.1021/acsaem.9b00603</v>
      </c>
      <c r="AU23" s="5" t="str">
        <f>IFERROR(__xludf.DUMMYFUNCTION("""COMPUTED_VALUE"""),"https://drive.google.com/open?id=1GKg0yptTqATmb8kv7xFHtHAbyGOLwFRR")</f>
        <v>https://drive.google.com/open?id=1GKg0yptTqATmb8kv7xFHtHAbyGOLwFRR</v>
      </c>
      <c r="AV23" s="4">
        <f>IFERROR(__xludf.DUMMYFUNCTION("""COMPUTED_VALUE"""),1154.0)</f>
        <v>1154</v>
      </c>
      <c r="AW23" s="4"/>
      <c r="AX23" s="4">
        <f>IFERROR(__xludf.DUMMYFUNCTION("""COMPUTED_VALUE"""),3.0)</f>
        <v>3</v>
      </c>
      <c r="AY23" s="4" t="str">
        <f>IFERROR(__xludf.DUMMYFUNCTION("""COMPUTED_VALUE"""),"Air-stable n-i-p planar perovskite solar cells using nickel oxide nanocrystals as sole hole-transporting material")</f>
        <v>Air-stable n-i-p planar perovskite solar cells using nickel oxide nanocrystals as sole hole-transporting material</v>
      </c>
      <c r="AZ23" s="4"/>
      <c r="BA23" s="6" t="s">
        <v>70</v>
      </c>
      <c r="BB23" s="6" t="s">
        <v>45</v>
      </c>
      <c r="BC23" s="6" t="s">
        <v>71</v>
      </c>
      <c r="BD23" s="6" t="s">
        <v>72</v>
      </c>
      <c r="BE23" s="6" t="s">
        <v>45</v>
      </c>
      <c r="BF23" s="6" t="s">
        <v>71</v>
      </c>
      <c r="BG23" s="6" t="s">
        <v>73</v>
      </c>
      <c r="BH23" s="6" t="s">
        <v>74</v>
      </c>
      <c r="BI23" s="6" t="s">
        <v>75</v>
      </c>
      <c r="BJ23" s="6" t="s">
        <v>76</v>
      </c>
      <c r="BK23" s="6" t="s">
        <v>77</v>
      </c>
      <c r="BL23" s="6" t="s">
        <v>78</v>
      </c>
      <c r="BM23" s="6" t="s">
        <v>79</v>
      </c>
      <c r="BN23" s="6" t="s">
        <v>77</v>
      </c>
      <c r="BO23" s="6" t="s">
        <v>78</v>
      </c>
      <c r="BP23" s="6" t="s">
        <v>80</v>
      </c>
      <c r="BQ23" s="6" t="s">
        <v>74</v>
      </c>
      <c r="BR23" s="6" t="s">
        <v>75</v>
      </c>
      <c r="BS23" s="6" t="s">
        <v>81</v>
      </c>
      <c r="BT23" s="6" t="s">
        <v>45</v>
      </c>
      <c r="BU23" s="6" t="s">
        <v>71</v>
      </c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 t="s">
        <v>82</v>
      </c>
      <c r="CR23" s="6">
        <v>4.47</v>
      </c>
    </row>
    <row r="24">
      <c r="A24" s="4" t="str">
        <f>IFERROR(__xludf.DUMMYFUNCTION("""COMPUTED_VALUE"""),"Proy12")</f>
        <v>Proy12</v>
      </c>
      <c r="B24" s="4" t="str">
        <f>IFERROR(__xludf.DUMMYFUNCTION("""COMPUTED_VALUE"""),"Formación_RH")</f>
        <v>Formación_RH</v>
      </c>
      <c r="C24" s="4" t="str">
        <f>IFERROR(__xludf.DUMMYFUNCTION("""COMPUTED_VALUE"""),"Vinculación de estudiante de maestría")</f>
        <v>Vinculación de estudiante de maestría</v>
      </c>
      <c r="D24" s="4" t="str">
        <f>IFERROR(__xludf.DUMMYFUNCTION("""COMPUTED_VALUE"""),"Vinculación de estudiante de doctorado")</f>
        <v>Vinculación de estudiante de doctorado</v>
      </c>
      <c r="E24" s="4" t="str">
        <f>IFERROR(__xludf.DUMMYFUNCTION("""COMPUTED_VALUE"""),"Formación de estudiante de doctorado")</f>
        <v>Formación de estudiante de doctorado</v>
      </c>
      <c r="F24" s="4" t="str">
        <f>IFERROR(__xludf.DUMMYFUNCTION("""COMPUTED_VALUE"""),"Vinculación de estudiante de maestría")</f>
        <v>Vinculación de estudiante de maestría</v>
      </c>
      <c r="G24" s="4" t="str">
        <f>IFERROR(__xludf.DUMMYFUNCTION("""COMPUTED_VALUE"""),"Formación de estudiante de maestría")</f>
        <v>Formación de estudiante de maestría</v>
      </c>
      <c r="H24" s="4" t="str">
        <f>IFERROR(__xludf.DUMMYFUNCTION("""COMPUTED_VALUE"""),"Vinculación de estudiante de pregrado")</f>
        <v>Vinculación de estudiante de pregrado</v>
      </c>
      <c r="I24" s="4" t="str">
        <f>IFERROR(__xludf.DUMMYFUNCTION("""COMPUTED_VALUE"""),"Formación de estudiante de pregrado")</f>
        <v>Formación de estudiante de pregrado</v>
      </c>
      <c r="J24" s="4" t="str">
        <f>IFERROR(__xludf.DUMMYFUNCTION("""COMPUTED_VALUE"""),"Joven investigador")</f>
        <v>Joven investigador</v>
      </c>
      <c r="K24" s="4" t="str">
        <f>IFERROR(__xludf.DUMMYFUNCTION("""COMPUTED_VALUE"""),"Pasantía nacional")</f>
        <v>Pasantía nacional</v>
      </c>
      <c r="L24" s="4" t="str">
        <f>IFERROR(__xludf.DUMMYFUNCTION("""COMPUTED_VALUE"""),"Pasantía internacional")</f>
        <v>Pasantía internacional</v>
      </c>
      <c r="M24" s="4"/>
      <c r="N24" s="4"/>
      <c r="O24" s="4"/>
      <c r="P24" s="4"/>
      <c r="Q24" s="4"/>
      <c r="R24" s="4"/>
      <c r="S24" s="4"/>
      <c r="T24" s="4"/>
      <c r="U24" s="4" t="str">
        <f>IFERROR(__xludf.DUMMYFUNCTION("""COMPUTED_VALUE"""),"Ninguna")</f>
        <v>Ninguna</v>
      </c>
      <c r="V24" s="4"/>
      <c r="W24" s="4" t="str">
        <f>IFERROR(__xludf.DUMMYFUNCTION("""COMPUTED_VALUE"""),"Proyecto")</f>
        <v>Proyecto</v>
      </c>
      <c r="X24" s="4" t="str">
        <f>IFERROR(__xludf.DUMMYFUNCTION("""COMPUTED_VALUE"""),"UdeA ")</f>
        <v>UdeA 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 t="str">
        <f>IFERROR(__xludf.DUMMYFUNCTION("""COMPUTED_VALUE"""),"Ninguna")</f>
        <v>Ninguna</v>
      </c>
      <c r="AL24" s="4"/>
      <c r="AM24" s="4" t="str">
        <f>IFERROR(__xludf.DUMMYFUNCTION("""COMPUTED_VALUE"""),"Obligatorio")</f>
        <v>Obligatorio</v>
      </c>
      <c r="AN24" s="4"/>
      <c r="AO24" s="4"/>
      <c r="AP24" s="4"/>
      <c r="AQ24" s="4"/>
      <c r="AR24" s="4"/>
      <c r="AS24" s="4"/>
      <c r="AT24" s="4" t="str">
        <f>IFERROR(__xludf.DUMMYFUNCTION("""COMPUTED_VALUE"""),"OSCAR DAVID HINCAPIÉ")</f>
        <v>OSCAR DAVID HINCAPIÉ</v>
      </c>
      <c r="AU24" s="5" t="str">
        <f>IFERROR(__xludf.DUMMYFUNCTION("""COMPUTED_VALUE"""),"https://drive.google.com/open?id=1ur7zFTs0rbpwHyAJaoEmITTEOwTXnelz")</f>
        <v>https://drive.google.com/open?id=1ur7zFTs0rbpwHyAJaoEmITTEOwTXnelz</v>
      </c>
      <c r="AV24" s="4">
        <f>IFERROR(__xludf.DUMMYFUNCTION("""COMPUTED_VALUE"""),1169.0)</f>
        <v>1169</v>
      </c>
      <c r="AW24" s="4" t="str">
        <f>IFERROR(__xludf.DUMMYFUNCTION("""COMPUTED_VALUE"""),"En Curso")</f>
        <v>En Curso</v>
      </c>
      <c r="AX24" s="4">
        <f>IFERROR(__xludf.DUMMYFUNCTION("""COMPUTED_VALUE"""),3.0)</f>
        <v>3</v>
      </c>
      <c r="AY24" s="4" t="str">
        <f>IFERROR(__xludf.DUMMYFUNCTION("""COMPUTED_VALUE"""),"Maestría en Ingeniería Mecánica")</f>
        <v>Maestría en Ingeniería Mecánica</v>
      </c>
      <c r="AZ24" s="4"/>
    </row>
    <row r="25">
      <c r="A25" s="4" t="str">
        <f>IFERROR(__xludf.DUMMYFUNCTION("""COMPUTED_VALUE"""),"Proy2")</f>
        <v>Proy2</v>
      </c>
      <c r="B25" s="4" t="str">
        <f>IFERROR(__xludf.DUMMYFUNCTION("""COMPUTED_VALUE"""),"Formación_RH")</f>
        <v>Formación_RH</v>
      </c>
      <c r="C25" s="4" t="str">
        <f>IFERROR(__xludf.DUMMYFUNCTION("""COMPUTED_VALUE"""),"Vinculación de estudiante de doctorado")</f>
        <v>Vinculación de estudiante de doctorado</v>
      </c>
      <c r="D25" s="4" t="str">
        <f>IFERROR(__xludf.DUMMYFUNCTION("""COMPUTED_VALUE"""),"Vinculación de estudiante de doctorado")</f>
        <v>Vinculación de estudiante de doctorado</v>
      </c>
      <c r="E25" s="4" t="str">
        <f>IFERROR(__xludf.DUMMYFUNCTION("""COMPUTED_VALUE"""),"Formación de estudiante de doctorado")</f>
        <v>Formación de estudiante de doctorado</v>
      </c>
      <c r="F25" s="4" t="str">
        <f>IFERROR(__xludf.DUMMYFUNCTION("""COMPUTED_VALUE"""),"Vinculación de estudiante de maestría")</f>
        <v>Vinculación de estudiante de maestría</v>
      </c>
      <c r="G25" s="4" t="str">
        <f>IFERROR(__xludf.DUMMYFUNCTION("""COMPUTED_VALUE"""),"Formación de estudiante de maestría")</f>
        <v>Formación de estudiante de maestría</v>
      </c>
      <c r="H25" s="4" t="str">
        <f>IFERROR(__xludf.DUMMYFUNCTION("""COMPUTED_VALUE"""),"Vinculación de estudiante de pregrado")</f>
        <v>Vinculación de estudiante de pregrado</v>
      </c>
      <c r="I25" s="4" t="str">
        <f>IFERROR(__xludf.DUMMYFUNCTION("""COMPUTED_VALUE"""),"Formación de estudiante de pregrado")</f>
        <v>Formación de estudiante de pregrado</v>
      </c>
      <c r="J25" s="4" t="str">
        <f>IFERROR(__xludf.DUMMYFUNCTION("""COMPUTED_VALUE"""),"Joven investigador")</f>
        <v>Joven investigador</v>
      </c>
      <c r="K25" s="4" t="str">
        <f>IFERROR(__xludf.DUMMYFUNCTION("""COMPUTED_VALUE"""),"Pasantía nacional")</f>
        <v>Pasantía nacional</v>
      </c>
      <c r="L25" s="4" t="str">
        <f>IFERROR(__xludf.DUMMYFUNCTION("""COMPUTED_VALUE"""),"Pasantía internacional")</f>
        <v>Pasantía internacional</v>
      </c>
      <c r="M25" s="4"/>
      <c r="N25" s="4"/>
      <c r="O25" s="4"/>
      <c r="P25" s="4"/>
      <c r="Q25" s="4"/>
      <c r="R25" s="4"/>
      <c r="S25" s="4"/>
      <c r="T25" s="4"/>
      <c r="U25" s="4" t="str">
        <f>IFERROR(__xludf.DUMMYFUNCTION("""COMPUTED_VALUE"""),"Ninguna")</f>
        <v>Ninguna</v>
      </c>
      <c r="V25" s="4"/>
      <c r="W25" s="4" t="str">
        <f>IFERROR(__xludf.DUMMYFUNCTION("""COMPUTED_VALUE"""),"Proyecto")</f>
        <v>Proyecto</v>
      </c>
      <c r="X25" s="4" t="str">
        <f>IFERROR(__xludf.DUMMYFUNCTION("""COMPUTED_VALUE"""),"UdeA ")</f>
        <v>UdeA 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 t="str">
        <f>IFERROR(__xludf.DUMMYFUNCTION("""COMPUTED_VALUE"""),"Ninguna")</f>
        <v>Ninguna</v>
      </c>
      <c r="AL25" s="4"/>
      <c r="AM25" s="4" t="str">
        <f>IFERROR(__xludf.DUMMYFUNCTION("""COMPUTED_VALUE"""),"Obligatorio")</f>
        <v>Obligatorio</v>
      </c>
      <c r="AN25" s="4"/>
      <c r="AO25" s="4"/>
      <c r="AP25" s="4"/>
      <c r="AQ25" s="4"/>
      <c r="AR25" s="4"/>
      <c r="AS25" s="4"/>
      <c r="AT25" s="4" t="str">
        <f>IFERROR(__xludf.DUMMYFUNCTION("""COMPUTED_VALUE"""),"Yaneth Alejandra Flórez Velásquez")</f>
        <v>Yaneth Alejandra Flórez Velásquez</v>
      </c>
      <c r="AU25" s="4"/>
      <c r="AV25" s="4"/>
      <c r="AW25" s="4" t="str">
        <f>IFERROR(__xludf.DUMMYFUNCTION("""COMPUTED_VALUE"""),"En Curso")</f>
        <v>En Curso</v>
      </c>
      <c r="AX25" s="4">
        <f>IFERROR(__xludf.DUMMYFUNCTION("""COMPUTED_VALUE"""),3.0)</f>
        <v>3</v>
      </c>
      <c r="AY25" s="4" t="str">
        <f>IFERROR(__xludf.DUMMYFUNCTION("""COMPUTED_VALUE"""),"Doctorado en Ingeniería de Materiales - UdeA")</f>
        <v>Doctorado en Ingeniería de Materiales - UdeA</v>
      </c>
      <c r="AZ25" s="4"/>
    </row>
    <row r="26">
      <c r="A26" s="4" t="str">
        <f>IFERROR(__xludf.DUMMYFUNCTION("""COMPUTED_VALUE"""),"Proy13")</f>
        <v>Proy13</v>
      </c>
      <c r="B26" s="4" t="str">
        <f>IFERROR(__xludf.DUMMYFUNCTION("""COMPUTED_VALUE"""),"Nuevo_Conocimiento")</f>
        <v>Nuevo_Conocimiento</v>
      </c>
      <c r="C26" s="4" t="str">
        <f>IFERROR(__xludf.DUMMYFUNCTION("""COMPUTED_VALUE"""),"Artículo A1")</f>
        <v>Artículo A1</v>
      </c>
      <c r="D26" s="4" t="str">
        <f>IFERROR(__xludf.DUMMYFUNCTION("""COMPUTED_VALUE"""),"Artículo A1")</f>
        <v>Artículo A1</v>
      </c>
      <c r="E26" s="4" t="str">
        <f>IFERROR(__xludf.DUMMYFUNCTION("""COMPUTED_VALUE"""),"Artículo A2")</f>
        <v>Artículo A2</v>
      </c>
      <c r="F26" s="4" t="str">
        <f>IFERROR(__xludf.DUMMYFUNCTION("""COMPUTED_VALUE"""),"Artículo B")</f>
        <v>Artículo B</v>
      </c>
      <c r="G26" s="4" t="str">
        <f>IFERROR(__xludf.DUMMYFUNCTION("""COMPUTED_VALUE"""),"Artículo C")</f>
        <v>Artículo C</v>
      </c>
      <c r="H26" s="4" t="str">
        <f>IFERROR(__xludf.DUMMYFUNCTION("""COMPUTED_VALUE"""),"Capítulo de libro A")</f>
        <v>Capítulo de libro A</v>
      </c>
      <c r="I26" s="4" t="str">
        <f>IFERROR(__xludf.DUMMYFUNCTION("""COMPUTED_VALUE"""),"Capítulo de libro A1")</f>
        <v>Capítulo de libro A1</v>
      </c>
      <c r="J26" s="4" t="str">
        <f>IFERROR(__xludf.DUMMYFUNCTION("""COMPUTED_VALUE"""),"Capítulo de libro B")</f>
        <v>Capítulo de libro B</v>
      </c>
      <c r="K26" s="4" t="str">
        <f>IFERROR(__xludf.DUMMYFUNCTION("""COMPUTED_VALUE"""),"Libro A")</f>
        <v>Libro A</v>
      </c>
      <c r="L26" s="4" t="str">
        <f>IFERROR(__xludf.DUMMYFUNCTION("""COMPUTED_VALUE"""),"Libro A1")</f>
        <v>Libro A1</v>
      </c>
      <c r="M26" s="4" t="str">
        <f>IFERROR(__xludf.DUMMYFUNCTION("""COMPUTED_VALUE"""),"Libro B")</f>
        <v>Libro B</v>
      </c>
      <c r="N26" s="4" t="str">
        <f>IFERROR(__xludf.DUMMYFUNCTION("""COMPUTED_VALUE"""),"Solicitud Patente de invención y-o modelo de utitlidad")</f>
        <v>Solicitud Patente de invención y-o modelo de utitlidad</v>
      </c>
      <c r="O26" s="4" t="str">
        <f>IFERROR(__xludf.DUMMYFUNCTION("""COMPUTED_VALUE"""),"Patente de invención")</f>
        <v>Patente de invención</v>
      </c>
      <c r="P26" s="4" t="str">
        <f>IFERROR(__xludf.DUMMYFUNCTION("""COMPUTED_VALUE"""),"Patente de modelo de utilidad")</f>
        <v>Patente de modelo de utilidad</v>
      </c>
      <c r="Q26" s="4" t="str">
        <f>IFERROR(__xludf.DUMMYFUNCTION("""COMPUTED_VALUE"""),"Artículo sin clasificar")</f>
        <v>Artículo sin clasificar</v>
      </c>
      <c r="R26" s="4" t="str">
        <f>IFERROR(__xludf.DUMMYFUNCTION("""COMPUTED_VALUE"""),"Capítulo sin clasificar")</f>
        <v>Capítulo sin clasificar</v>
      </c>
      <c r="S26" s="4"/>
      <c r="T26" s="4"/>
      <c r="U26" s="4" t="str">
        <f>IFERROR(__xludf.DUMMYFUNCTION("""COMPUTED_VALUE"""),"Ninguna")</f>
        <v>Ninguna</v>
      </c>
      <c r="V26" s="4"/>
      <c r="W26" s="4" t="str">
        <f>IFERROR(__xludf.DUMMYFUNCTION("""COMPUTED_VALUE"""),"Proyecto")</f>
        <v>Proyecto</v>
      </c>
      <c r="X26" s="4" t="str">
        <f>IFERROR(__xludf.DUMMYFUNCTION("""COMPUTED_VALUE"""),"UdeA ")</f>
        <v>UdeA 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 t="str">
        <f>IFERROR(__xludf.DUMMYFUNCTION("""COMPUTED_VALUE"""),"Ninguna")</f>
        <v>Ninguna</v>
      </c>
      <c r="AL26" s="4"/>
      <c r="AM26" s="4" t="str">
        <f>IFERROR(__xludf.DUMMYFUNCTION("""COMPUTED_VALUE"""),"Obligatorio")</f>
        <v>Obligatorio</v>
      </c>
      <c r="AN26" s="4">
        <f>IFERROR(__xludf.DUMMYFUNCTION("""COMPUTED_VALUE"""),2.0)</f>
        <v>2</v>
      </c>
      <c r="AO26" s="4">
        <f>IFERROR(__xludf.DUMMYFUNCTION("""COMPUTED_VALUE"""),1.0)</f>
        <v>1</v>
      </c>
      <c r="AP26" s="4">
        <f>IFERROR(__xludf.DUMMYFUNCTION("""COMPUTED_VALUE"""),1.0)</f>
        <v>1</v>
      </c>
      <c r="AQ26" s="4">
        <f>IFERROR(__xludf.DUMMYFUNCTION("""COMPUTED_VALUE"""),1.0)</f>
        <v>1</v>
      </c>
      <c r="AR26" s="4">
        <f>IFERROR(__xludf.DUMMYFUNCTION("""COMPUTED_VALUE"""),1.0)</f>
        <v>1</v>
      </c>
      <c r="AS26" s="4">
        <f>IFERROR(__xludf.DUMMYFUNCTION("""COMPUTED_VALUE"""),1.0)</f>
        <v>1</v>
      </c>
      <c r="AT26" s="4" t="str">
        <f>IFERROR(__xludf.DUMMYFUNCTION("""COMPUTED_VALUE"""),"DOI: 10.3390/en12193779 ")</f>
        <v>DOI: 10.3390/en12193779 </v>
      </c>
      <c r="AU26" s="5" t="str">
        <f>IFERROR(__xludf.DUMMYFUNCTION("""COMPUTED_VALUE"""),"https://drive.google.com/open?id=1JuevOshIlU83uMPxc3TYM6bN1HGgAVhU")</f>
        <v>https://drive.google.com/open?id=1JuevOshIlU83uMPxc3TYM6bN1HGgAVhU</v>
      </c>
      <c r="AV26" s="4">
        <f>IFERROR(__xludf.DUMMYFUNCTION("""COMPUTED_VALUE"""),1226.0)</f>
        <v>1226</v>
      </c>
      <c r="AW26" s="4"/>
      <c r="AX26" s="4">
        <f>IFERROR(__xludf.DUMMYFUNCTION("""COMPUTED_VALUE"""),3.0)</f>
        <v>3</v>
      </c>
      <c r="AY26" s="4" t="str">
        <f>IFERROR(__xludf.DUMMYFUNCTION("""COMPUTED_VALUE"""),"Alternative Methodology to Calculate the Directional Characteristic Settings of Directional Overcurrent Relays in Transmission and Distribution Networks")</f>
        <v>Alternative Methodology to Calculate the Directional Characteristic Settings of Directional Overcurrent Relays in Transmission and Distribution Networks</v>
      </c>
      <c r="AZ26" s="4"/>
      <c r="BA26" s="6" t="s">
        <v>83</v>
      </c>
      <c r="BB26" s="6" t="s">
        <v>45</v>
      </c>
      <c r="BC26" s="6" t="s">
        <v>56</v>
      </c>
      <c r="BD26" s="6" t="s">
        <v>84</v>
      </c>
      <c r="BE26" s="6" t="s">
        <v>45</v>
      </c>
      <c r="BF26" s="6" t="s">
        <v>56</v>
      </c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 t="s">
        <v>60</v>
      </c>
      <c r="CR26" s="6">
        <v>2.7</v>
      </c>
    </row>
    <row r="27">
      <c r="A27" s="4" t="str">
        <f>IFERROR(__xludf.DUMMYFUNCTION("""COMPUTED_VALUE"""),"Proy13")</f>
        <v>Proy13</v>
      </c>
      <c r="B27" s="4" t="str">
        <f>IFERROR(__xludf.DUMMYFUNCTION("""COMPUTED_VALUE"""),"Nuevo_Conocimiento")</f>
        <v>Nuevo_Conocimiento</v>
      </c>
      <c r="C27" s="4" t="str">
        <f>IFERROR(__xludf.DUMMYFUNCTION("""COMPUTED_VALUE"""),"Artículo A1")</f>
        <v>Artículo A1</v>
      </c>
      <c r="D27" s="4" t="str">
        <f>IFERROR(__xludf.DUMMYFUNCTION("""COMPUTED_VALUE"""),"Artículo A1")</f>
        <v>Artículo A1</v>
      </c>
      <c r="E27" s="4" t="str">
        <f>IFERROR(__xludf.DUMMYFUNCTION("""COMPUTED_VALUE"""),"Artículo A2")</f>
        <v>Artículo A2</v>
      </c>
      <c r="F27" s="4" t="str">
        <f>IFERROR(__xludf.DUMMYFUNCTION("""COMPUTED_VALUE"""),"Artículo B")</f>
        <v>Artículo B</v>
      </c>
      <c r="G27" s="4" t="str">
        <f>IFERROR(__xludf.DUMMYFUNCTION("""COMPUTED_VALUE"""),"Artículo C")</f>
        <v>Artículo C</v>
      </c>
      <c r="H27" s="4" t="str">
        <f>IFERROR(__xludf.DUMMYFUNCTION("""COMPUTED_VALUE"""),"Capítulo de libro A")</f>
        <v>Capítulo de libro A</v>
      </c>
      <c r="I27" s="4" t="str">
        <f>IFERROR(__xludf.DUMMYFUNCTION("""COMPUTED_VALUE"""),"Capítulo de libro A1")</f>
        <v>Capítulo de libro A1</v>
      </c>
      <c r="J27" s="4" t="str">
        <f>IFERROR(__xludf.DUMMYFUNCTION("""COMPUTED_VALUE"""),"Capítulo de libro B")</f>
        <v>Capítulo de libro B</v>
      </c>
      <c r="K27" s="4" t="str">
        <f>IFERROR(__xludf.DUMMYFUNCTION("""COMPUTED_VALUE"""),"Libro A")</f>
        <v>Libro A</v>
      </c>
      <c r="L27" s="4" t="str">
        <f>IFERROR(__xludf.DUMMYFUNCTION("""COMPUTED_VALUE"""),"Libro A1")</f>
        <v>Libro A1</v>
      </c>
      <c r="M27" s="4" t="str">
        <f>IFERROR(__xludf.DUMMYFUNCTION("""COMPUTED_VALUE"""),"Libro B")</f>
        <v>Libro B</v>
      </c>
      <c r="N27" s="4" t="str">
        <f>IFERROR(__xludf.DUMMYFUNCTION("""COMPUTED_VALUE"""),"Solicitud Patente de invención y-o modelo de utitlidad")</f>
        <v>Solicitud Patente de invención y-o modelo de utitlidad</v>
      </c>
      <c r="O27" s="4" t="str">
        <f>IFERROR(__xludf.DUMMYFUNCTION("""COMPUTED_VALUE"""),"Patente de invención")</f>
        <v>Patente de invención</v>
      </c>
      <c r="P27" s="4" t="str">
        <f>IFERROR(__xludf.DUMMYFUNCTION("""COMPUTED_VALUE"""),"Patente de modelo de utilidad")</f>
        <v>Patente de modelo de utilidad</v>
      </c>
      <c r="Q27" s="4" t="str">
        <f>IFERROR(__xludf.DUMMYFUNCTION("""COMPUTED_VALUE"""),"Artículo sin clasificar")</f>
        <v>Artículo sin clasificar</v>
      </c>
      <c r="R27" s="4" t="str">
        <f>IFERROR(__xludf.DUMMYFUNCTION("""COMPUTED_VALUE"""),"Capítulo sin clasificar")</f>
        <v>Capítulo sin clasificar</v>
      </c>
      <c r="S27" s="4"/>
      <c r="T27" s="4"/>
      <c r="U27" s="4" t="str">
        <f>IFERROR(__xludf.DUMMYFUNCTION("""COMPUTED_VALUE"""),"Ninguna")</f>
        <v>Ninguna</v>
      </c>
      <c r="V27" s="4"/>
      <c r="W27" s="4" t="str">
        <f>IFERROR(__xludf.DUMMYFUNCTION("""COMPUTED_VALUE"""),"Programa")</f>
        <v>Programa</v>
      </c>
      <c r="X27" s="4" t="str">
        <f>IFERROR(__xludf.DUMMYFUNCTION("""COMPUTED_VALUE"""),"UdeA ")</f>
        <v>UdeA 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 t="str">
        <f>IFERROR(__xludf.DUMMYFUNCTION("""COMPUTED_VALUE"""),"Colaboración")</f>
        <v>Colaboración</v>
      </c>
      <c r="AL27" s="4" t="str">
        <f>IFERROR(__xludf.DUMMYFUNCTION("""COMPUTED_VALUE"""),"Proy15")</f>
        <v>Proy15</v>
      </c>
      <c r="AM27" s="4" t="str">
        <f>IFERROR(__xludf.DUMMYFUNCTION("""COMPUTED_VALUE"""),"Obligatorio")</f>
        <v>Obligatorio</v>
      </c>
      <c r="AN27" s="4">
        <f>IFERROR(__xludf.DUMMYFUNCTION("""COMPUTED_VALUE"""),4.0)</f>
        <v>4</v>
      </c>
      <c r="AO27" s="4">
        <f>IFERROR(__xludf.DUMMYFUNCTION("""COMPUTED_VALUE"""),3.0)</f>
        <v>3</v>
      </c>
      <c r="AP27" s="4">
        <f>IFERROR(__xludf.DUMMYFUNCTION("""COMPUTED_VALUE"""),2.0)</f>
        <v>2</v>
      </c>
      <c r="AQ27" s="4">
        <f>IFERROR(__xludf.DUMMYFUNCTION("""COMPUTED_VALUE"""),2.0)</f>
        <v>2</v>
      </c>
      <c r="AR27" s="4">
        <f>IFERROR(__xludf.DUMMYFUNCTION("""COMPUTED_VALUE"""),1.0)</f>
        <v>1</v>
      </c>
      <c r="AS27" s="4">
        <f>IFERROR(__xludf.DUMMYFUNCTION("""COMPUTED_VALUE"""),1.0)</f>
        <v>1</v>
      </c>
      <c r="AT27" s="4" t="str">
        <f>IFERROR(__xludf.DUMMYFUNCTION("""COMPUTED_VALUE"""),"DOI: :10.3390/en12224402")</f>
        <v>DOI: :10.3390/en12224402</v>
      </c>
      <c r="AU27" s="5" t="str">
        <f>IFERROR(__xludf.DUMMYFUNCTION("""COMPUTED_VALUE"""),"https://drive.google.com/open?id=1jgaVL6-vGqEFMskmX9iAOOpvepjU5dFk")</f>
        <v>https://drive.google.com/open?id=1jgaVL6-vGqEFMskmX9iAOOpvepjU5dFk</v>
      </c>
      <c r="AV27" s="4">
        <f>IFERROR(__xludf.DUMMYFUNCTION("""COMPUTED_VALUE"""),1249.0)</f>
        <v>1249</v>
      </c>
      <c r="AW27" s="4"/>
      <c r="AX27" s="4">
        <f>IFERROR(__xludf.DUMMYFUNCTION("""COMPUTED_VALUE"""),3.0)</f>
        <v>3</v>
      </c>
      <c r="AY27" s="4" t="str">
        <f>IFERROR(__xludf.DUMMYFUNCTION("""COMPUTED_VALUE"""),"Assessment and Day-Ahead Forecasting of Hourly Solar Radiation in Medellín, Colombia")</f>
        <v>Assessment and Day-Ahead Forecasting of Hourly Solar Radiation in Medellín, Colombia</v>
      </c>
      <c r="AZ27" s="4"/>
      <c r="BA27" s="6" t="s">
        <v>85</v>
      </c>
      <c r="BB27" s="6" t="s">
        <v>45</v>
      </c>
      <c r="BC27" s="6" t="s">
        <v>86</v>
      </c>
      <c r="BD27" s="6" t="s">
        <v>87</v>
      </c>
      <c r="BE27" s="6" t="s">
        <v>45</v>
      </c>
      <c r="BF27" s="6" t="s">
        <v>86</v>
      </c>
      <c r="BG27" s="6" t="s">
        <v>88</v>
      </c>
      <c r="BH27" s="6" t="s">
        <v>45</v>
      </c>
      <c r="BI27" s="6" t="s">
        <v>86</v>
      </c>
      <c r="BJ27" s="6" t="s">
        <v>55</v>
      </c>
      <c r="BK27" s="6" t="s">
        <v>45</v>
      </c>
      <c r="BL27" s="6" t="s">
        <v>56</v>
      </c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 t="s">
        <v>60</v>
      </c>
      <c r="CR27" s="6">
        <v>2.7</v>
      </c>
    </row>
    <row r="28">
      <c r="A28" s="4" t="str">
        <f>IFERROR(__xludf.DUMMYFUNCTION("""COMPUTED_VALUE"""),"Proy15")</f>
        <v>Proy15</v>
      </c>
      <c r="B28" s="4" t="str">
        <f>IFERROR(__xludf.DUMMYFUNCTION("""COMPUTED_VALUE"""),"Nuevo_Conocimiento")</f>
        <v>Nuevo_Conocimiento</v>
      </c>
      <c r="C28" s="4" t="str">
        <f>IFERROR(__xludf.DUMMYFUNCTION("""COMPUTED_VALUE"""),"Artículo A1")</f>
        <v>Artículo A1</v>
      </c>
      <c r="D28" s="4" t="str">
        <f>IFERROR(__xludf.DUMMYFUNCTION("""COMPUTED_VALUE"""),"Artículo A1")</f>
        <v>Artículo A1</v>
      </c>
      <c r="E28" s="4" t="str">
        <f>IFERROR(__xludf.DUMMYFUNCTION("""COMPUTED_VALUE"""),"Artículo A2")</f>
        <v>Artículo A2</v>
      </c>
      <c r="F28" s="4" t="str">
        <f>IFERROR(__xludf.DUMMYFUNCTION("""COMPUTED_VALUE"""),"Artículo B")</f>
        <v>Artículo B</v>
      </c>
      <c r="G28" s="4" t="str">
        <f>IFERROR(__xludf.DUMMYFUNCTION("""COMPUTED_VALUE"""),"Artículo C")</f>
        <v>Artículo C</v>
      </c>
      <c r="H28" s="4" t="str">
        <f>IFERROR(__xludf.DUMMYFUNCTION("""COMPUTED_VALUE"""),"Capítulo de libro A")</f>
        <v>Capítulo de libro A</v>
      </c>
      <c r="I28" s="4" t="str">
        <f>IFERROR(__xludf.DUMMYFUNCTION("""COMPUTED_VALUE"""),"Capítulo de libro A1")</f>
        <v>Capítulo de libro A1</v>
      </c>
      <c r="J28" s="4" t="str">
        <f>IFERROR(__xludf.DUMMYFUNCTION("""COMPUTED_VALUE"""),"Capítulo de libro B")</f>
        <v>Capítulo de libro B</v>
      </c>
      <c r="K28" s="4" t="str">
        <f>IFERROR(__xludf.DUMMYFUNCTION("""COMPUTED_VALUE"""),"Libro A")</f>
        <v>Libro A</v>
      </c>
      <c r="L28" s="4" t="str">
        <f>IFERROR(__xludf.DUMMYFUNCTION("""COMPUTED_VALUE"""),"Libro A1")</f>
        <v>Libro A1</v>
      </c>
      <c r="M28" s="4" t="str">
        <f>IFERROR(__xludf.DUMMYFUNCTION("""COMPUTED_VALUE"""),"Libro B")</f>
        <v>Libro B</v>
      </c>
      <c r="N28" s="4" t="str">
        <f>IFERROR(__xludf.DUMMYFUNCTION("""COMPUTED_VALUE"""),"Solicitud Patente de invención y-o modelo de utitlidad")</f>
        <v>Solicitud Patente de invención y-o modelo de utitlidad</v>
      </c>
      <c r="O28" s="4" t="str">
        <f>IFERROR(__xludf.DUMMYFUNCTION("""COMPUTED_VALUE"""),"Patente de invención")</f>
        <v>Patente de invención</v>
      </c>
      <c r="P28" s="4" t="str">
        <f>IFERROR(__xludf.DUMMYFUNCTION("""COMPUTED_VALUE"""),"Patente de modelo de utilidad")</f>
        <v>Patente de modelo de utilidad</v>
      </c>
      <c r="Q28" s="4" t="str">
        <f>IFERROR(__xludf.DUMMYFUNCTION("""COMPUTED_VALUE"""),"Artículo sin clasificar")</f>
        <v>Artículo sin clasificar</v>
      </c>
      <c r="R28" s="4" t="str">
        <f>IFERROR(__xludf.DUMMYFUNCTION("""COMPUTED_VALUE"""),"Capítulo sin clasificar")</f>
        <v>Capítulo sin clasificar</v>
      </c>
      <c r="S28" s="4"/>
      <c r="T28" s="4"/>
      <c r="U28" s="4" t="str">
        <f>IFERROR(__xludf.DUMMYFUNCTION("""COMPUTED_VALUE"""),"Ninguna")</f>
        <v>Ninguna</v>
      </c>
      <c r="V28" s="4"/>
      <c r="W28" s="4" t="str">
        <f>IFERROR(__xludf.DUMMYFUNCTION("""COMPUTED_VALUE"""),"Programa")</f>
        <v>Programa</v>
      </c>
      <c r="X28" s="4" t="str">
        <f>IFERROR(__xludf.DUMMYFUNCTION("""COMPUTED_VALUE"""),"UdeA ")</f>
        <v>UdeA 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 t="str">
        <f>IFERROR(__xludf.DUMMYFUNCTION("""COMPUTED_VALUE"""),"Colaboración")</f>
        <v>Colaboración</v>
      </c>
      <c r="AL28" s="4" t="str">
        <f>IFERROR(__xludf.DUMMYFUNCTION("""COMPUTED_VALUE"""),"Proy13")</f>
        <v>Proy13</v>
      </c>
      <c r="AM28" s="4" t="str">
        <f>IFERROR(__xludf.DUMMYFUNCTION("""COMPUTED_VALUE"""),"Obligatorio")</f>
        <v>Obligatorio</v>
      </c>
      <c r="AN28" s="4">
        <f>IFERROR(__xludf.DUMMYFUNCTION("""COMPUTED_VALUE"""),3.0)</f>
        <v>3</v>
      </c>
      <c r="AO28" s="4">
        <f>IFERROR(__xludf.DUMMYFUNCTION("""COMPUTED_VALUE"""),2.0)</f>
        <v>2</v>
      </c>
      <c r="AP28" s="4">
        <f>IFERROR(__xludf.DUMMYFUNCTION("""COMPUTED_VALUE"""),2.0)</f>
        <v>2</v>
      </c>
      <c r="AQ28" s="4">
        <f>IFERROR(__xludf.DUMMYFUNCTION("""COMPUTED_VALUE"""),2.0)</f>
        <v>2</v>
      </c>
      <c r="AR28" s="4">
        <f>IFERROR(__xludf.DUMMYFUNCTION("""COMPUTED_VALUE"""),1.0)</f>
        <v>1</v>
      </c>
      <c r="AS28" s="4">
        <f>IFERROR(__xludf.DUMMYFUNCTION("""COMPUTED_VALUE"""),1.0)</f>
        <v>1</v>
      </c>
      <c r="AT28" s="4" t="str">
        <f>IFERROR(__xludf.DUMMYFUNCTION("""COMPUTED_VALUE"""),"DOI: 10.3390/en12173347")</f>
        <v>DOI: 10.3390/en12173347</v>
      </c>
      <c r="AU28" s="5" t="str">
        <f>IFERROR(__xludf.DUMMYFUNCTION("""COMPUTED_VALUE"""),"https://drive.google.com/open?id=1wVEN6ClYuoN-FlQYn-2mdkv2hedmBJ_X")</f>
        <v>https://drive.google.com/open?id=1wVEN6ClYuoN-FlQYn-2mdkv2hedmBJ_X</v>
      </c>
      <c r="AV28" s="4">
        <f>IFERROR(__xludf.DUMMYFUNCTION("""COMPUTED_VALUE"""),1218.0)</f>
        <v>1218</v>
      </c>
      <c r="AW28" s="4"/>
      <c r="AX28" s="4">
        <f>IFERROR(__xludf.DUMMYFUNCTION("""COMPUTED_VALUE"""),4.0)</f>
        <v>4</v>
      </c>
      <c r="AY28" s="4" t="str">
        <f>IFERROR(__xludf.DUMMYFUNCTION("""COMPUTED_VALUE"""),"A Cradle-to-Grave Multi-Pronged Methodology to Obtain the Carbon Footprint of Electro-Intensive Power Electronic Products")</f>
        <v>A Cradle-to-Grave Multi-Pronged Methodology to Obtain the Carbon Footprint of Electro-Intensive Power Electronic Products</v>
      </c>
      <c r="AZ28" s="4"/>
      <c r="BA28" s="6" t="s">
        <v>89</v>
      </c>
      <c r="BB28" s="6" t="s">
        <v>45</v>
      </c>
      <c r="BC28" s="6" t="s">
        <v>86</v>
      </c>
      <c r="BD28" s="6" t="s">
        <v>90</v>
      </c>
      <c r="BE28" s="6" t="s">
        <v>45</v>
      </c>
      <c r="BF28" s="6" t="s">
        <v>86</v>
      </c>
      <c r="BG28" s="6" t="s">
        <v>91</v>
      </c>
      <c r="BH28" s="6" t="s">
        <v>45</v>
      </c>
      <c r="BI28" s="6" t="s">
        <v>56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 t="s">
        <v>60</v>
      </c>
      <c r="CR28" s="6">
        <v>2.7</v>
      </c>
    </row>
    <row r="29">
      <c r="A29" s="4" t="str">
        <f>IFERROR(__xludf.DUMMYFUNCTION("""COMPUTED_VALUE"""),"Proy2")</f>
        <v>Proy2</v>
      </c>
      <c r="B29" s="4" t="str">
        <f>IFERROR(__xludf.DUMMYFUNCTION("""COMPUTED_VALUE"""),"Nuevo_Conocimiento")</f>
        <v>Nuevo_Conocimiento</v>
      </c>
      <c r="C29" s="4" t="str">
        <f>IFERROR(__xludf.DUMMYFUNCTION("""COMPUTED_VALUE"""),"Artículo A1")</f>
        <v>Artículo A1</v>
      </c>
      <c r="D29" s="4" t="str">
        <f>IFERROR(__xludf.DUMMYFUNCTION("""COMPUTED_VALUE"""),"Artículo A1")</f>
        <v>Artículo A1</v>
      </c>
      <c r="E29" s="4" t="str">
        <f>IFERROR(__xludf.DUMMYFUNCTION("""COMPUTED_VALUE"""),"Artículo A2")</f>
        <v>Artículo A2</v>
      </c>
      <c r="F29" s="4" t="str">
        <f>IFERROR(__xludf.DUMMYFUNCTION("""COMPUTED_VALUE"""),"Artículo B")</f>
        <v>Artículo B</v>
      </c>
      <c r="G29" s="4" t="str">
        <f>IFERROR(__xludf.DUMMYFUNCTION("""COMPUTED_VALUE"""),"Artículo C")</f>
        <v>Artículo C</v>
      </c>
      <c r="H29" s="4" t="str">
        <f>IFERROR(__xludf.DUMMYFUNCTION("""COMPUTED_VALUE"""),"Capítulo de libro A")</f>
        <v>Capítulo de libro A</v>
      </c>
      <c r="I29" s="4" t="str">
        <f>IFERROR(__xludf.DUMMYFUNCTION("""COMPUTED_VALUE"""),"Capítulo de libro A1")</f>
        <v>Capítulo de libro A1</v>
      </c>
      <c r="J29" s="4" t="str">
        <f>IFERROR(__xludf.DUMMYFUNCTION("""COMPUTED_VALUE"""),"Capítulo de libro B")</f>
        <v>Capítulo de libro B</v>
      </c>
      <c r="K29" s="4" t="str">
        <f>IFERROR(__xludf.DUMMYFUNCTION("""COMPUTED_VALUE"""),"Libro A")</f>
        <v>Libro A</v>
      </c>
      <c r="L29" s="4" t="str">
        <f>IFERROR(__xludf.DUMMYFUNCTION("""COMPUTED_VALUE"""),"Libro A1")</f>
        <v>Libro A1</v>
      </c>
      <c r="M29" s="4" t="str">
        <f>IFERROR(__xludf.DUMMYFUNCTION("""COMPUTED_VALUE"""),"Libro B")</f>
        <v>Libro B</v>
      </c>
      <c r="N29" s="4" t="str">
        <f>IFERROR(__xludf.DUMMYFUNCTION("""COMPUTED_VALUE"""),"Solicitud Patente de invención y-o modelo de utitlidad")</f>
        <v>Solicitud Patente de invención y-o modelo de utitlidad</v>
      </c>
      <c r="O29" s="4" t="str">
        <f>IFERROR(__xludf.DUMMYFUNCTION("""COMPUTED_VALUE"""),"Patente de invención")</f>
        <v>Patente de invención</v>
      </c>
      <c r="P29" s="4" t="str">
        <f>IFERROR(__xludf.DUMMYFUNCTION("""COMPUTED_VALUE"""),"Patente de modelo de utilidad")</f>
        <v>Patente de modelo de utilidad</v>
      </c>
      <c r="Q29" s="4" t="str">
        <f>IFERROR(__xludf.DUMMYFUNCTION("""COMPUTED_VALUE"""),"Artículo sin clasificar")</f>
        <v>Artículo sin clasificar</v>
      </c>
      <c r="R29" s="4" t="str">
        <f>IFERROR(__xludf.DUMMYFUNCTION("""COMPUTED_VALUE"""),"Capítulo sin clasificar")</f>
        <v>Capítulo sin clasificar</v>
      </c>
      <c r="S29" s="4"/>
      <c r="T29" s="4"/>
      <c r="U29" s="4" t="str">
        <f>IFERROR(__xludf.DUMMYFUNCTION("""COMPUTED_VALUE"""),"Ninguna")</f>
        <v>Ninguna</v>
      </c>
      <c r="V29" s="4"/>
      <c r="W29" s="4" t="str">
        <f>IFERROR(__xludf.DUMMYFUNCTION("""COMPUTED_VALUE"""),"Proyecto")</f>
        <v>Proyecto</v>
      </c>
      <c r="X29" s="4" t="str">
        <f>IFERROR(__xludf.DUMMYFUNCTION("""COMPUTED_VALUE"""),"UdeA ")</f>
        <v>UdeA 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 t="str">
        <f>IFERROR(__xludf.DUMMYFUNCTION("""COMPUTED_VALUE"""),"Insumo")</f>
        <v>Insumo</v>
      </c>
      <c r="AL29" s="4" t="str">
        <f>IFERROR(__xludf.DUMMYFUNCTION("""COMPUTED_VALUE"""),"Proy9")</f>
        <v>Proy9</v>
      </c>
      <c r="AM29" s="4" t="str">
        <f>IFERROR(__xludf.DUMMYFUNCTION("""COMPUTED_VALUE"""),"Obligatorio")</f>
        <v>Obligatorio</v>
      </c>
      <c r="AN29" s="4">
        <f>IFERROR(__xludf.DUMMYFUNCTION("""COMPUTED_VALUE"""),3.0)</f>
        <v>3</v>
      </c>
      <c r="AO29" s="4">
        <f>IFERROR(__xludf.DUMMYFUNCTION("""COMPUTED_VALUE"""),3.0)</f>
        <v>3</v>
      </c>
      <c r="AP29" s="4">
        <f>IFERROR(__xludf.DUMMYFUNCTION("""COMPUTED_VALUE"""),2.0)</f>
        <v>2</v>
      </c>
      <c r="AQ29" s="4">
        <f>IFERROR(__xludf.DUMMYFUNCTION("""COMPUTED_VALUE"""),2.0)</f>
        <v>2</v>
      </c>
      <c r="AR29" s="4">
        <f>IFERROR(__xludf.DUMMYFUNCTION("""COMPUTED_VALUE"""),1.0)</f>
        <v>1</v>
      </c>
      <c r="AS29" s="4">
        <f>IFERROR(__xludf.DUMMYFUNCTION("""COMPUTED_VALUE"""),1.0)</f>
        <v>1</v>
      </c>
      <c r="AT29" s="4" t="str">
        <f>IFERROR(__xludf.DUMMYFUNCTION("""COMPUTED_VALUE"""),"DOI: 10.1016/j.solener.2019.10.051")</f>
        <v>DOI: 10.1016/j.solener.2019.10.051</v>
      </c>
      <c r="AU29" s="5" t="str">
        <f>IFERROR(__xludf.DUMMYFUNCTION("""COMPUTED_VALUE"""),"https://drive.google.com/open?id=1bUSYgVCy-AUe6EAP64YbM3b5iKHEEJOu")</f>
        <v>https://drive.google.com/open?id=1bUSYgVCy-AUe6EAP64YbM3b5iKHEEJOu</v>
      </c>
      <c r="AV29" s="4">
        <f>IFERROR(__xludf.DUMMYFUNCTION("""COMPUTED_VALUE"""),1247.0)</f>
        <v>1247</v>
      </c>
      <c r="AW29" s="4"/>
      <c r="AX29" s="4">
        <f>IFERROR(__xludf.DUMMYFUNCTION("""COMPUTED_VALUE"""),3.0)</f>
        <v>3</v>
      </c>
      <c r="AY29" s="4" t="str">
        <f>IFERROR(__xludf.DUMMYFUNCTION("""COMPUTED_VALUE"""),"Monitoring system to evaluate the outdoor performance of solar devices considering the power rating conditions")</f>
        <v>Monitoring system to evaluate the outdoor performance of solar devices considering the power rating conditions</v>
      </c>
      <c r="AZ29" s="4"/>
      <c r="BA29" s="6" t="s">
        <v>92</v>
      </c>
      <c r="BB29" s="6" t="s">
        <v>45</v>
      </c>
      <c r="BC29" s="6" t="s">
        <v>71</v>
      </c>
      <c r="BD29" s="6" t="s">
        <v>93</v>
      </c>
      <c r="BE29" s="6" t="s">
        <v>45</v>
      </c>
      <c r="BF29" s="6" t="s">
        <v>56</v>
      </c>
      <c r="BG29" s="6" t="s">
        <v>81</v>
      </c>
      <c r="BH29" s="6" t="s">
        <v>45</v>
      </c>
      <c r="BI29" s="6" t="s">
        <v>71</v>
      </c>
      <c r="CQ29" s="6" t="s">
        <v>60</v>
      </c>
      <c r="CR29" s="6">
        <v>2.7</v>
      </c>
    </row>
    <row r="30">
      <c r="A30" s="4" t="str">
        <f>IFERROR(__xludf.DUMMYFUNCTION("""COMPUTED_VALUE"""),"Proy13")</f>
        <v>Proy13</v>
      </c>
      <c r="B30" s="4" t="str">
        <f>IFERROR(__xludf.DUMMYFUNCTION("""COMPUTED_VALUE"""),"Formación_RH")</f>
        <v>Formación_RH</v>
      </c>
      <c r="C30" s="4" t="str">
        <f>IFERROR(__xludf.DUMMYFUNCTION("""COMPUTED_VALUE"""),"Vinculación de estudiante de doctorado")</f>
        <v>Vinculación de estudiante de doctorado</v>
      </c>
      <c r="D30" s="4" t="str">
        <f>IFERROR(__xludf.DUMMYFUNCTION("""COMPUTED_VALUE"""),"Vinculación de estudiante de doctorado")</f>
        <v>Vinculación de estudiante de doctorado</v>
      </c>
      <c r="E30" s="4" t="str">
        <f>IFERROR(__xludf.DUMMYFUNCTION("""COMPUTED_VALUE"""),"Formación de estudiante de doctorado")</f>
        <v>Formación de estudiante de doctorado</v>
      </c>
      <c r="F30" s="4" t="str">
        <f>IFERROR(__xludf.DUMMYFUNCTION("""COMPUTED_VALUE"""),"Vinculación de estudiante de maestría")</f>
        <v>Vinculación de estudiante de maestría</v>
      </c>
      <c r="G30" s="4" t="str">
        <f>IFERROR(__xludf.DUMMYFUNCTION("""COMPUTED_VALUE"""),"Formación de estudiante de maestría")</f>
        <v>Formación de estudiante de maestría</v>
      </c>
      <c r="H30" s="4" t="str">
        <f>IFERROR(__xludf.DUMMYFUNCTION("""COMPUTED_VALUE"""),"Vinculación de estudiante de pregrado")</f>
        <v>Vinculación de estudiante de pregrado</v>
      </c>
      <c r="I30" s="4" t="str">
        <f>IFERROR(__xludf.DUMMYFUNCTION("""COMPUTED_VALUE"""),"Formación de estudiante de pregrado")</f>
        <v>Formación de estudiante de pregrado</v>
      </c>
      <c r="J30" s="4" t="str">
        <f>IFERROR(__xludf.DUMMYFUNCTION("""COMPUTED_VALUE"""),"Joven investigador")</f>
        <v>Joven investigador</v>
      </c>
      <c r="K30" s="4" t="str">
        <f>IFERROR(__xludf.DUMMYFUNCTION("""COMPUTED_VALUE"""),"Pasantía nacional")</f>
        <v>Pasantía nacional</v>
      </c>
      <c r="L30" s="4" t="str">
        <f>IFERROR(__xludf.DUMMYFUNCTION("""COMPUTED_VALUE"""),"Pasantía internacional")</f>
        <v>Pasantía internacional</v>
      </c>
      <c r="M30" s="4"/>
      <c r="N30" s="4"/>
      <c r="O30" s="4"/>
      <c r="P30" s="4"/>
      <c r="Q30" s="4"/>
      <c r="R30" s="4"/>
      <c r="S30" s="4"/>
      <c r="T30" s="4"/>
      <c r="U30" s="4" t="str">
        <f>IFERROR(__xludf.DUMMYFUNCTION("""COMPUTED_VALUE"""),"Ninguna")</f>
        <v>Ninguna</v>
      </c>
      <c r="V30" s="4"/>
      <c r="W30" s="4" t="str">
        <f>IFERROR(__xludf.DUMMYFUNCTION("""COMPUTED_VALUE"""),"Proyecto")</f>
        <v>Proyecto</v>
      </c>
      <c r="X30" s="4" t="str">
        <f>IFERROR(__xludf.DUMMYFUNCTION("""COMPUTED_VALUE"""),"UdeA ")</f>
        <v>UdeA 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 t="str">
        <f>IFERROR(__xludf.DUMMYFUNCTION("""COMPUTED_VALUE"""),"Ninguna")</f>
        <v>Ninguna</v>
      </c>
      <c r="AL30" s="4"/>
      <c r="AM30" s="4" t="str">
        <f>IFERROR(__xludf.DUMMYFUNCTION("""COMPUTED_VALUE"""),"Obligatorio")</f>
        <v>Obligatorio</v>
      </c>
      <c r="AN30" s="4"/>
      <c r="AO30" s="4"/>
      <c r="AP30" s="4"/>
      <c r="AQ30" s="4"/>
      <c r="AR30" s="4"/>
      <c r="AS30" s="4"/>
      <c r="AT30" s="4" t="str">
        <f>IFERROR(__xludf.DUMMYFUNCTION("""COMPUTED_VALUE"""),"Sergio Danilo Saldarriaga Zuluaga")</f>
        <v>Sergio Danilo Saldarriaga Zuluaga</v>
      </c>
      <c r="AU30" s="4"/>
      <c r="AV30" s="4" t="str">
        <f>IFERROR(__xludf.DUMMYFUNCTION("""COMPUTED_VALUE"""),"1233/1213")</f>
        <v>1233/1213</v>
      </c>
      <c r="AW30" s="4" t="str">
        <f>IFERROR(__xludf.DUMMYFUNCTION("""COMPUTED_VALUE"""),"En Curso")</f>
        <v>En Curso</v>
      </c>
      <c r="AX30" s="4">
        <f>IFERROR(__xludf.DUMMYFUNCTION("""COMPUTED_VALUE"""),3.0)</f>
        <v>3</v>
      </c>
      <c r="AY30" s="4" t="str">
        <f>IFERROR(__xludf.DUMMYFUNCTION("""COMPUTED_VALUE"""),"Doctorado en Ingenierìa Electrónica")</f>
        <v>Doctorado en Ingenierìa Electrónica</v>
      </c>
      <c r="AZ30" s="4"/>
    </row>
    <row r="31">
      <c r="A31" s="4" t="str">
        <f>IFERROR(__xludf.DUMMYFUNCTION("""COMPUTED_VALUE"""),"Proy2")</f>
        <v>Proy2</v>
      </c>
      <c r="B31" s="4" t="str">
        <f>IFERROR(__xludf.DUMMYFUNCTION("""COMPUTED_VALUE"""),"Formación_RH")</f>
        <v>Formación_RH</v>
      </c>
      <c r="C31" s="4" t="str">
        <f>IFERROR(__xludf.DUMMYFUNCTION("""COMPUTED_VALUE"""),"Vinculación de estudiante de maestría")</f>
        <v>Vinculación de estudiante de maestría</v>
      </c>
      <c r="D31" s="4" t="str">
        <f>IFERROR(__xludf.DUMMYFUNCTION("""COMPUTED_VALUE"""),"Vinculación de estudiante de doctorado")</f>
        <v>Vinculación de estudiante de doctorado</v>
      </c>
      <c r="E31" s="4" t="str">
        <f>IFERROR(__xludf.DUMMYFUNCTION("""COMPUTED_VALUE"""),"Formación de estudiante de doctorado")</f>
        <v>Formación de estudiante de doctorado</v>
      </c>
      <c r="F31" s="4" t="str">
        <f>IFERROR(__xludf.DUMMYFUNCTION("""COMPUTED_VALUE"""),"Vinculación de estudiante de maestría")</f>
        <v>Vinculación de estudiante de maestría</v>
      </c>
      <c r="G31" s="4" t="str">
        <f>IFERROR(__xludf.DUMMYFUNCTION("""COMPUTED_VALUE"""),"Formación de estudiante de maestría")</f>
        <v>Formación de estudiante de maestría</v>
      </c>
      <c r="H31" s="4" t="str">
        <f>IFERROR(__xludf.DUMMYFUNCTION("""COMPUTED_VALUE"""),"Vinculación de estudiante de pregrado")</f>
        <v>Vinculación de estudiante de pregrado</v>
      </c>
      <c r="I31" s="4" t="str">
        <f>IFERROR(__xludf.DUMMYFUNCTION("""COMPUTED_VALUE"""),"Formación de estudiante de pregrado")</f>
        <v>Formación de estudiante de pregrado</v>
      </c>
      <c r="J31" s="4" t="str">
        <f>IFERROR(__xludf.DUMMYFUNCTION("""COMPUTED_VALUE"""),"Joven investigador")</f>
        <v>Joven investigador</v>
      </c>
      <c r="K31" s="4" t="str">
        <f>IFERROR(__xludf.DUMMYFUNCTION("""COMPUTED_VALUE"""),"Pasantía nacional")</f>
        <v>Pasantía nacional</v>
      </c>
      <c r="L31" s="4" t="str">
        <f>IFERROR(__xludf.DUMMYFUNCTION("""COMPUTED_VALUE"""),"Pasantía internacional")</f>
        <v>Pasantía internacional</v>
      </c>
      <c r="M31" s="4"/>
      <c r="N31" s="4"/>
      <c r="O31" s="4"/>
      <c r="P31" s="4"/>
      <c r="Q31" s="4"/>
      <c r="R31" s="4"/>
      <c r="S31" s="4"/>
      <c r="T31" s="4"/>
      <c r="U31" s="4" t="str">
        <f>IFERROR(__xludf.DUMMYFUNCTION("""COMPUTED_VALUE"""),"Ninguna")</f>
        <v>Ninguna</v>
      </c>
      <c r="V31" s="4"/>
      <c r="W31" s="4" t="str">
        <f>IFERROR(__xludf.DUMMYFUNCTION("""COMPUTED_VALUE"""),"Proyecto")</f>
        <v>Proyecto</v>
      </c>
      <c r="X31" s="4" t="str">
        <f>IFERROR(__xludf.DUMMYFUNCTION("""COMPUTED_VALUE"""),"UdeA ")</f>
        <v>UdeA 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 t="str">
        <f>IFERROR(__xludf.DUMMYFUNCTION("""COMPUTED_VALUE"""),"Ninguna")</f>
        <v>Ninguna</v>
      </c>
      <c r="AL31" s="4"/>
      <c r="AM31" s="4" t="str">
        <f>IFERROR(__xludf.DUMMYFUNCTION("""COMPUTED_VALUE"""),"Adicional")</f>
        <v>Adicional</v>
      </c>
      <c r="AN31" s="4"/>
      <c r="AO31" s="4"/>
      <c r="AP31" s="4"/>
      <c r="AQ31" s="4"/>
      <c r="AR31" s="4"/>
      <c r="AS31" s="4"/>
      <c r="AT31" s="4" t="str">
        <f>IFERROR(__xludf.DUMMYFUNCTION("""COMPUTED_VALUE"""),"Laura Melissa Gonzàlez")</f>
        <v>Laura Melissa Gonzàlez</v>
      </c>
      <c r="AU31" s="4"/>
      <c r="AV31" s="4">
        <f>IFERROR(__xludf.DUMMYFUNCTION("""COMPUTED_VALUE"""),1253.0)</f>
        <v>1253</v>
      </c>
      <c r="AW31" s="4" t="str">
        <f>IFERROR(__xludf.DUMMYFUNCTION("""COMPUTED_VALUE"""),"En Curso")</f>
        <v>En Curso</v>
      </c>
      <c r="AX31" s="4">
        <f>IFERROR(__xludf.DUMMYFUNCTION("""COMPUTED_VALUE"""),3.0)</f>
        <v>3</v>
      </c>
      <c r="AY31" s="4" t="str">
        <f>IFERROR(__xludf.DUMMYFUNCTION("""COMPUTED_VALUE"""),"Maestría en Ingeniería de Materiales")</f>
        <v>Maestría en Ingeniería de Materiales</v>
      </c>
      <c r="AZ31" s="4"/>
    </row>
    <row r="32">
      <c r="A32" s="4" t="str">
        <f>IFERROR(__xludf.DUMMYFUNCTION("""COMPUTED_VALUE"""),"Proy7")</f>
        <v>Proy7</v>
      </c>
      <c r="B32" s="4" t="str">
        <f>IFERROR(__xludf.DUMMYFUNCTION("""COMPUTED_VALUE"""),"Formación_RH")</f>
        <v>Formación_RH</v>
      </c>
      <c r="C32" s="4" t="str">
        <f>IFERROR(__xludf.DUMMYFUNCTION("""COMPUTED_VALUE"""),"Vinculación de estudiante de pregrado")</f>
        <v>Vinculación de estudiante de pregrado</v>
      </c>
      <c r="D32" s="4" t="str">
        <f>IFERROR(__xludf.DUMMYFUNCTION("""COMPUTED_VALUE"""),"Vinculación de estudiante de doctorado")</f>
        <v>Vinculación de estudiante de doctorado</v>
      </c>
      <c r="E32" s="4" t="str">
        <f>IFERROR(__xludf.DUMMYFUNCTION("""COMPUTED_VALUE"""),"Formación de estudiante de doctorado")</f>
        <v>Formación de estudiante de doctorado</v>
      </c>
      <c r="F32" s="4" t="str">
        <f>IFERROR(__xludf.DUMMYFUNCTION("""COMPUTED_VALUE"""),"Vinculación de estudiante de maestría")</f>
        <v>Vinculación de estudiante de maestría</v>
      </c>
      <c r="G32" s="4" t="str">
        <f>IFERROR(__xludf.DUMMYFUNCTION("""COMPUTED_VALUE"""),"Formación de estudiante de maestría")</f>
        <v>Formación de estudiante de maestría</v>
      </c>
      <c r="H32" s="4" t="str">
        <f>IFERROR(__xludf.DUMMYFUNCTION("""COMPUTED_VALUE"""),"Vinculación de estudiante de pregrado")</f>
        <v>Vinculación de estudiante de pregrado</v>
      </c>
      <c r="I32" s="4" t="str">
        <f>IFERROR(__xludf.DUMMYFUNCTION("""COMPUTED_VALUE"""),"Formación de estudiante de pregrado")</f>
        <v>Formación de estudiante de pregrado</v>
      </c>
      <c r="J32" s="4" t="str">
        <f>IFERROR(__xludf.DUMMYFUNCTION("""COMPUTED_VALUE"""),"Joven investigador")</f>
        <v>Joven investigador</v>
      </c>
      <c r="K32" s="4" t="str">
        <f>IFERROR(__xludf.DUMMYFUNCTION("""COMPUTED_VALUE"""),"Pasantía nacional")</f>
        <v>Pasantía nacional</v>
      </c>
      <c r="L32" s="4" t="str">
        <f>IFERROR(__xludf.DUMMYFUNCTION("""COMPUTED_VALUE"""),"Pasantía internacional")</f>
        <v>Pasantía internacional</v>
      </c>
      <c r="M32" s="4"/>
      <c r="N32" s="4"/>
      <c r="O32" s="4"/>
      <c r="P32" s="4"/>
      <c r="Q32" s="4"/>
      <c r="R32" s="4"/>
      <c r="S32" s="4"/>
      <c r="T32" s="4"/>
      <c r="U32" s="4" t="str">
        <f>IFERROR(__xludf.DUMMYFUNCTION("""COMPUTED_VALUE"""),"Ninguna")</f>
        <v>Ninguna</v>
      </c>
      <c r="V32" s="4"/>
      <c r="W32" s="4" t="str">
        <f>IFERROR(__xludf.DUMMYFUNCTION("""COMPUTED_VALUE"""),"Proyecto")</f>
        <v>Proyecto</v>
      </c>
      <c r="X32" s="4" t="str">
        <f>IFERROR(__xludf.DUMMYFUNCTION("""COMPUTED_VALUE"""),"UdeA ")</f>
        <v>UdeA 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 t="str">
        <f>IFERROR(__xludf.DUMMYFUNCTION("""COMPUTED_VALUE"""),"Ninguna")</f>
        <v>Ninguna</v>
      </c>
      <c r="AL32" s="4"/>
      <c r="AM32" s="4" t="str">
        <f>IFERROR(__xludf.DUMMYFUNCTION("""COMPUTED_VALUE"""),"Adicional")</f>
        <v>Adicional</v>
      </c>
      <c r="AN32" s="4"/>
      <c r="AO32" s="4"/>
      <c r="AP32" s="4"/>
      <c r="AQ32" s="4"/>
      <c r="AR32" s="4"/>
      <c r="AS32" s="4"/>
      <c r="AT32" s="4" t="str">
        <f>IFERROR(__xludf.DUMMYFUNCTION("""COMPUTED_VALUE"""),"Pablo González Díaz")</f>
        <v>Pablo González Díaz</v>
      </c>
      <c r="AU32" s="5" t="str">
        <f>IFERROR(__xludf.DUMMYFUNCTION("""COMPUTED_VALUE"""),"https://drive.google.com/open?id=1DLvqfLTAiELsEgt-vrSfyWslQvCLWoX2")</f>
        <v>https://drive.google.com/open?id=1DLvqfLTAiELsEgt-vrSfyWslQvCLWoX2</v>
      </c>
      <c r="AV32" s="4">
        <f>IFERROR(__xludf.DUMMYFUNCTION("""COMPUTED_VALUE"""),1195.0)</f>
        <v>1195</v>
      </c>
      <c r="AW32" s="4" t="str">
        <f>IFERROR(__xludf.DUMMYFUNCTION("""COMPUTED_VALUE"""),"En Curso")</f>
        <v>En Curso</v>
      </c>
      <c r="AX32" s="4">
        <f>IFERROR(__xludf.DUMMYFUNCTION("""COMPUTED_VALUE"""),3.0)</f>
        <v>3</v>
      </c>
      <c r="AY32" s="4" t="str">
        <f>IFERROR(__xludf.DUMMYFUNCTION("""COMPUTED_VALUE"""),"Ingeniería Mecánica - Joven Investigador")</f>
        <v>Ingeniería Mecánica - Joven Investigador</v>
      </c>
      <c r="AZ32" s="4"/>
    </row>
    <row r="33">
      <c r="A33" s="4" t="str">
        <f>IFERROR(__xludf.DUMMYFUNCTION("""COMPUTED_VALUE"""),"Proy7")</f>
        <v>Proy7</v>
      </c>
      <c r="B33" s="4" t="str">
        <f>IFERROR(__xludf.DUMMYFUNCTION("""COMPUTED_VALUE"""),"Formación_RH")</f>
        <v>Formación_RH</v>
      </c>
      <c r="C33" s="4" t="str">
        <f>IFERROR(__xludf.DUMMYFUNCTION("""COMPUTED_VALUE"""),"Vinculación de estudiante de maestría")</f>
        <v>Vinculación de estudiante de maestría</v>
      </c>
      <c r="D33" s="4" t="str">
        <f>IFERROR(__xludf.DUMMYFUNCTION("""COMPUTED_VALUE"""),"Vinculación de estudiante de doctorado")</f>
        <v>Vinculación de estudiante de doctorado</v>
      </c>
      <c r="E33" s="4" t="str">
        <f>IFERROR(__xludf.DUMMYFUNCTION("""COMPUTED_VALUE"""),"Formación de estudiante de doctorado")</f>
        <v>Formación de estudiante de doctorado</v>
      </c>
      <c r="F33" s="4" t="str">
        <f>IFERROR(__xludf.DUMMYFUNCTION("""COMPUTED_VALUE"""),"Vinculación de estudiante de maestría")</f>
        <v>Vinculación de estudiante de maestría</v>
      </c>
      <c r="G33" s="4" t="str">
        <f>IFERROR(__xludf.DUMMYFUNCTION("""COMPUTED_VALUE"""),"Formación de estudiante de maestría")</f>
        <v>Formación de estudiante de maestría</v>
      </c>
      <c r="H33" s="4" t="str">
        <f>IFERROR(__xludf.DUMMYFUNCTION("""COMPUTED_VALUE"""),"Vinculación de estudiante de pregrado")</f>
        <v>Vinculación de estudiante de pregrado</v>
      </c>
      <c r="I33" s="4" t="str">
        <f>IFERROR(__xludf.DUMMYFUNCTION("""COMPUTED_VALUE"""),"Formación de estudiante de pregrado")</f>
        <v>Formación de estudiante de pregrado</v>
      </c>
      <c r="J33" s="4" t="str">
        <f>IFERROR(__xludf.DUMMYFUNCTION("""COMPUTED_VALUE"""),"Joven investigador")</f>
        <v>Joven investigador</v>
      </c>
      <c r="K33" s="4" t="str">
        <f>IFERROR(__xludf.DUMMYFUNCTION("""COMPUTED_VALUE"""),"Pasantía nacional")</f>
        <v>Pasantía nacional</v>
      </c>
      <c r="L33" s="4" t="str">
        <f>IFERROR(__xludf.DUMMYFUNCTION("""COMPUTED_VALUE"""),"Pasantía internacional")</f>
        <v>Pasantía internacional</v>
      </c>
      <c r="M33" s="4"/>
      <c r="N33" s="4"/>
      <c r="O33" s="4"/>
      <c r="P33" s="4"/>
      <c r="Q33" s="4"/>
      <c r="R33" s="4"/>
      <c r="S33" s="4"/>
      <c r="T33" s="4"/>
      <c r="U33" s="4" t="str">
        <f>IFERROR(__xludf.DUMMYFUNCTION("""COMPUTED_VALUE"""),"Ninguna")</f>
        <v>Ninguna</v>
      </c>
      <c r="V33" s="4"/>
      <c r="W33" s="4" t="str">
        <f>IFERROR(__xludf.DUMMYFUNCTION("""COMPUTED_VALUE"""),"Proyecto")</f>
        <v>Proyecto</v>
      </c>
      <c r="X33" s="4" t="str">
        <f>IFERROR(__xludf.DUMMYFUNCTION("""COMPUTED_VALUE"""),"UdeA ")</f>
        <v>UdeA 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 t="str">
        <f>IFERROR(__xludf.DUMMYFUNCTION("""COMPUTED_VALUE"""),"Ninguna")</f>
        <v>Ninguna</v>
      </c>
      <c r="AL33" s="4"/>
      <c r="AM33" s="4" t="str">
        <f>IFERROR(__xludf.DUMMYFUNCTION("""COMPUTED_VALUE"""),"Adicional")</f>
        <v>Adicional</v>
      </c>
      <c r="AN33" s="4"/>
      <c r="AO33" s="4"/>
      <c r="AP33" s="4"/>
      <c r="AQ33" s="4"/>
      <c r="AR33" s="4"/>
      <c r="AS33" s="4"/>
      <c r="AT33" s="4" t="str">
        <f>IFERROR(__xludf.DUMMYFUNCTION("""COMPUTED_VALUE"""),"Néstor Darío Montiel")</f>
        <v>Néstor Darío Montiel</v>
      </c>
      <c r="AU33" s="5" t="str">
        <f>IFERROR(__xludf.DUMMYFUNCTION("""COMPUTED_VALUE"""),"https://drive.google.com/open?id=1QCi6q6QDntAWFcsmU1TFUsqqPTO0bTTO")</f>
        <v>https://drive.google.com/open?id=1QCi6q6QDntAWFcsmU1TFUsqqPTO0bTTO</v>
      </c>
      <c r="AV33" s="4">
        <f>IFERROR(__xludf.DUMMYFUNCTION("""COMPUTED_VALUE"""),1196.0)</f>
        <v>1196</v>
      </c>
      <c r="AW33" s="4" t="str">
        <f>IFERROR(__xludf.DUMMYFUNCTION("""COMPUTED_VALUE"""),"En Curso")</f>
        <v>En Curso</v>
      </c>
      <c r="AX33" s="4">
        <f>IFERROR(__xludf.DUMMYFUNCTION("""COMPUTED_VALUE"""),3.0)</f>
        <v>3</v>
      </c>
      <c r="AY33" s="4" t="str">
        <f>IFERROR(__xludf.DUMMYFUNCTION("""COMPUTED_VALUE"""),"Maestría en Ingeniería Mecánica UdeA")</f>
        <v>Maestría en Ingeniería Mecánica UdeA</v>
      </c>
      <c r="AZ33" s="4"/>
    </row>
    <row r="34">
      <c r="A34" s="4" t="str">
        <f>IFERROR(__xludf.DUMMYFUNCTION("""COMPUTED_VALUE"""),"Proy10")</f>
        <v>Proy10</v>
      </c>
      <c r="B34" s="4" t="str">
        <f>IFERROR(__xludf.DUMMYFUNCTION("""COMPUTED_VALUE"""),"Formación_RH")</f>
        <v>Formación_RH</v>
      </c>
      <c r="C34" s="4" t="str">
        <f>IFERROR(__xludf.DUMMYFUNCTION("""COMPUTED_VALUE"""),"Vinculación de estudiante de doctorado")</f>
        <v>Vinculación de estudiante de doctorado</v>
      </c>
      <c r="D34" s="4" t="str">
        <f>IFERROR(__xludf.DUMMYFUNCTION("""COMPUTED_VALUE"""),"Vinculación de estudiante de doctorado")</f>
        <v>Vinculación de estudiante de doctorado</v>
      </c>
      <c r="E34" s="4" t="str">
        <f>IFERROR(__xludf.DUMMYFUNCTION("""COMPUTED_VALUE"""),"Formación de estudiante de doctorado")</f>
        <v>Formación de estudiante de doctorado</v>
      </c>
      <c r="F34" s="4" t="str">
        <f>IFERROR(__xludf.DUMMYFUNCTION("""COMPUTED_VALUE"""),"Vinculación de estudiante de maestría")</f>
        <v>Vinculación de estudiante de maestría</v>
      </c>
      <c r="G34" s="4" t="str">
        <f>IFERROR(__xludf.DUMMYFUNCTION("""COMPUTED_VALUE"""),"Formación de estudiante de maestría")</f>
        <v>Formación de estudiante de maestría</v>
      </c>
      <c r="H34" s="4" t="str">
        <f>IFERROR(__xludf.DUMMYFUNCTION("""COMPUTED_VALUE"""),"Vinculación de estudiante de pregrado")</f>
        <v>Vinculación de estudiante de pregrado</v>
      </c>
      <c r="I34" s="4" t="str">
        <f>IFERROR(__xludf.DUMMYFUNCTION("""COMPUTED_VALUE"""),"Formación de estudiante de pregrado")</f>
        <v>Formación de estudiante de pregrado</v>
      </c>
      <c r="J34" s="4" t="str">
        <f>IFERROR(__xludf.DUMMYFUNCTION("""COMPUTED_VALUE"""),"Joven investigador")</f>
        <v>Joven investigador</v>
      </c>
      <c r="K34" s="4" t="str">
        <f>IFERROR(__xludf.DUMMYFUNCTION("""COMPUTED_VALUE"""),"Pasantía nacional")</f>
        <v>Pasantía nacional</v>
      </c>
      <c r="L34" s="4" t="str">
        <f>IFERROR(__xludf.DUMMYFUNCTION("""COMPUTED_VALUE"""),"Pasantía internacional")</f>
        <v>Pasantía internacional</v>
      </c>
      <c r="M34" s="4"/>
      <c r="N34" s="4"/>
      <c r="O34" s="4"/>
      <c r="P34" s="4"/>
      <c r="Q34" s="4"/>
      <c r="R34" s="4"/>
      <c r="S34" s="4"/>
      <c r="T34" s="4"/>
      <c r="U34" s="4" t="str">
        <f>IFERROR(__xludf.DUMMYFUNCTION("""COMPUTED_VALUE"""),"Ninguna")</f>
        <v>Ninguna</v>
      </c>
      <c r="V34" s="4"/>
      <c r="W34" s="4" t="str">
        <f>IFERROR(__xludf.DUMMYFUNCTION("""COMPUTED_VALUE"""),"Proyecto")</f>
        <v>Proyecto</v>
      </c>
      <c r="X34" s="4" t="str">
        <f>IFERROR(__xludf.DUMMYFUNCTION("""COMPUTED_VALUE"""),"UdeA ")</f>
        <v>UdeA 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 t="str">
        <f>IFERROR(__xludf.DUMMYFUNCTION("""COMPUTED_VALUE"""),"Ninguna")</f>
        <v>Ninguna</v>
      </c>
      <c r="AL34" s="4"/>
      <c r="AM34" s="4" t="str">
        <f>IFERROR(__xludf.DUMMYFUNCTION("""COMPUTED_VALUE"""),"Obligatorio")</f>
        <v>Obligatorio</v>
      </c>
      <c r="AN34" s="4"/>
      <c r="AO34" s="4"/>
      <c r="AP34" s="4"/>
      <c r="AQ34" s="4"/>
      <c r="AR34" s="4"/>
      <c r="AS34" s="4"/>
      <c r="AT34" s="4" t="str">
        <f>IFERROR(__xludf.DUMMYFUNCTION("""COMPUTED_VALUE"""),"Julián Esteban Obando")</f>
        <v>Julián Esteban Obando</v>
      </c>
      <c r="AU34" s="4"/>
      <c r="AV34" s="4"/>
      <c r="AW34" s="4" t="str">
        <f>IFERROR(__xludf.DUMMYFUNCTION("""COMPUTED_VALUE"""),"En Curso")</f>
        <v>En Curso</v>
      </c>
      <c r="AX34" s="4">
        <f>IFERROR(__xludf.DUMMYFUNCTION("""COMPUTED_VALUE"""),3.0)</f>
        <v>3</v>
      </c>
      <c r="AY34" s="4" t="str">
        <f>IFERROR(__xludf.DUMMYFUNCTION("""COMPUTED_VALUE"""),"Doctorado en Ingeniería Ambiental")</f>
        <v>Doctorado en Ingeniería Ambiental</v>
      </c>
      <c r="AZ34" s="4"/>
    </row>
    <row r="35">
      <c r="A35" s="4" t="str">
        <f>IFERROR(__xludf.DUMMYFUNCTION("""COMPUTED_VALUE"""),"Proy4")</f>
        <v>Proy4</v>
      </c>
      <c r="B35" s="4" t="str">
        <f>IFERROR(__xludf.DUMMYFUNCTION("""COMPUTED_VALUE"""),"Formación_RH")</f>
        <v>Formación_RH</v>
      </c>
      <c r="C35" s="4" t="str">
        <f>IFERROR(__xludf.DUMMYFUNCTION("""COMPUTED_VALUE"""),"Vinculación de estudiante de doctorado")</f>
        <v>Vinculación de estudiante de doctorado</v>
      </c>
      <c r="D35" s="4" t="str">
        <f>IFERROR(__xludf.DUMMYFUNCTION("""COMPUTED_VALUE"""),"Vinculación de estudiante de doctorado")</f>
        <v>Vinculación de estudiante de doctorado</v>
      </c>
      <c r="E35" s="4" t="str">
        <f>IFERROR(__xludf.DUMMYFUNCTION("""COMPUTED_VALUE"""),"Formación de estudiante de doctorado")</f>
        <v>Formación de estudiante de doctorado</v>
      </c>
      <c r="F35" s="4" t="str">
        <f>IFERROR(__xludf.DUMMYFUNCTION("""COMPUTED_VALUE"""),"Vinculación de estudiante de maestría")</f>
        <v>Vinculación de estudiante de maestría</v>
      </c>
      <c r="G35" s="4" t="str">
        <f>IFERROR(__xludf.DUMMYFUNCTION("""COMPUTED_VALUE"""),"Formación de estudiante de maestría")</f>
        <v>Formación de estudiante de maestría</v>
      </c>
      <c r="H35" s="4" t="str">
        <f>IFERROR(__xludf.DUMMYFUNCTION("""COMPUTED_VALUE"""),"Vinculación de estudiante de pregrado")</f>
        <v>Vinculación de estudiante de pregrado</v>
      </c>
      <c r="I35" s="4" t="str">
        <f>IFERROR(__xludf.DUMMYFUNCTION("""COMPUTED_VALUE"""),"Formación de estudiante de pregrado")</f>
        <v>Formación de estudiante de pregrado</v>
      </c>
      <c r="J35" s="4" t="str">
        <f>IFERROR(__xludf.DUMMYFUNCTION("""COMPUTED_VALUE"""),"Joven investigador")</f>
        <v>Joven investigador</v>
      </c>
      <c r="K35" s="4" t="str">
        <f>IFERROR(__xludf.DUMMYFUNCTION("""COMPUTED_VALUE"""),"Pasantía nacional")</f>
        <v>Pasantía nacional</v>
      </c>
      <c r="L35" s="4" t="str">
        <f>IFERROR(__xludf.DUMMYFUNCTION("""COMPUTED_VALUE"""),"Pasantía internacional")</f>
        <v>Pasantía internacional</v>
      </c>
      <c r="M35" s="4"/>
      <c r="N35" s="4"/>
      <c r="O35" s="4"/>
      <c r="P35" s="4"/>
      <c r="Q35" s="4"/>
      <c r="R35" s="4"/>
      <c r="S35" s="4"/>
      <c r="T35" s="4"/>
      <c r="U35" s="4" t="str">
        <f>IFERROR(__xludf.DUMMYFUNCTION("""COMPUTED_VALUE"""),"Ninguna")</f>
        <v>Ninguna</v>
      </c>
      <c r="V35" s="4"/>
      <c r="W35" s="4" t="str">
        <f>IFERROR(__xludf.DUMMYFUNCTION("""COMPUTED_VALUE"""),"Proyecto")</f>
        <v>Proyecto</v>
      </c>
      <c r="X35" s="4" t="str">
        <f>IFERROR(__xludf.DUMMYFUNCTION("""COMPUTED_VALUE"""),"UdeA, UTCH")</f>
        <v>UdeA, UTCH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 t="str">
        <f>IFERROR(__xludf.DUMMYFUNCTION("""COMPUTED_VALUE"""),"Ninguna")</f>
        <v>Ninguna</v>
      </c>
      <c r="AL35" s="4"/>
      <c r="AM35" s="4" t="str">
        <f>IFERROR(__xludf.DUMMYFUNCTION("""COMPUTED_VALUE"""),"Adicional")</f>
        <v>Adicional</v>
      </c>
      <c r="AN35" s="4"/>
      <c r="AO35" s="4"/>
      <c r="AP35" s="4"/>
      <c r="AQ35" s="4"/>
      <c r="AR35" s="4"/>
      <c r="AS35" s="4"/>
      <c r="AT35" s="4" t="str">
        <f>IFERROR(__xludf.DUMMYFUNCTION("""COMPUTED_VALUE"""),"Héctor David Agudelo")</f>
        <v>Héctor David Agudelo</v>
      </c>
      <c r="AU35" s="4"/>
      <c r="AV35" s="4"/>
      <c r="AW35" s="4" t="str">
        <f>IFERROR(__xludf.DUMMYFUNCTION("""COMPUTED_VALUE"""),"En Curso")</f>
        <v>En Curso</v>
      </c>
      <c r="AX35" s="4">
        <f>IFERROR(__xludf.DUMMYFUNCTION("""COMPUTED_VALUE"""),3.0)</f>
        <v>3</v>
      </c>
      <c r="AY35" s="4" t="str">
        <f>IFERROR(__xludf.DUMMYFUNCTION("""COMPUTED_VALUE"""),"Doctorado en Ingeniería de Materiales")</f>
        <v>Doctorado en Ingeniería de Materiales</v>
      </c>
      <c r="AZ35" s="4"/>
    </row>
    <row r="36">
      <c r="A36" s="4" t="str">
        <f>IFERROR(__xludf.DUMMYFUNCTION("""COMPUTED_VALUE"""),"Proy11")</f>
        <v>Proy11</v>
      </c>
      <c r="B36" s="4" t="str">
        <f>IFERROR(__xludf.DUMMYFUNCTION("""COMPUTED_VALUE"""),"Formación_RH")</f>
        <v>Formación_RH</v>
      </c>
      <c r="C36" s="4" t="str">
        <f>IFERROR(__xludf.DUMMYFUNCTION("""COMPUTED_VALUE"""),"Vinculación de estudiante de doctorado")</f>
        <v>Vinculación de estudiante de doctorado</v>
      </c>
      <c r="D36" s="4" t="str">
        <f>IFERROR(__xludf.DUMMYFUNCTION("""COMPUTED_VALUE"""),"Vinculación de estudiante de doctorado")</f>
        <v>Vinculación de estudiante de doctorado</v>
      </c>
      <c r="E36" s="4" t="str">
        <f>IFERROR(__xludf.DUMMYFUNCTION("""COMPUTED_VALUE"""),"Formación de estudiante de doctorado")</f>
        <v>Formación de estudiante de doctorado</v>
      </c>
      <c r="F36" s="4" t="str">
        <f>IFERROR(__xludf.DUMMYFUNCTION("""COMPUTED_VALUE"""),"Vinculación de estudiante de maestría")</f>
        <v>Vinculación de estudiante de maestría</v>
      </c>
      <c r="G36" s="4" t="str">
        <f>IFERROR(__xludf.DUMMYFUNCTION("""COMPUTED_VALUE"""),"Formación de estudiante de maestría")</f>
        <v>Formación de estudiante de maestría</v>
      </c>
      <c r="H36" s="4" t="str">
        <f>IFERROR(__xludf.DUMMYFUNCTION("""COMPUTED_VALUE"""),"Vinculación de estudiante de pregrado")</f>
        <v>Vinculación de estudiante de pregrado</v>
      </c>
      <c r="I36" s="4" t="str">
        <f>IFERROR(__xludf.DUMMYFUNCTION("""COMPUTED_VALUE"""),"Formación de estudiante de pregrado")</f>
        <v>Formación de estudiante de pregrado</v>
      </c>
      <c r="J36" s="4" t="str">
        <f>IFERROR(__xludf.DUMMYFUNCTION("""COMPUTED_VALUE"""),"Joven investigador")</f>
        <v>Joven investigador</v>
      </c>
      <c r="K36" s="4" t="str">
        <f>IFERROR(__xludf.DUMMYFUNCTION("""COMPUTED_VALUE"""),"Pasantía nacional")</f>
        <v>Pasantía nacional</v>
      </c>
      <c r="L36" s="4" t="str">
        <f>IFERROR(__xludf.DUMMYFUNCTION("""COMPUTED_VALUE"""),"Pasantía internacional")</f>
        <v>Pasantía internacional</v>
      </c>
      <c r="M36" s="4"/>
      <c r="N36" s="4"/>
      <c r="O36" s="4"/>
      <c r="P36" s="4"/>
      <c r="Q36" s="4"/>
      <c r="R36" s="4"/>
      <c r="S36" s="4"/>
      <c r="T36" s="4"/>
      <c r="U36" s="4" t="str">
        <f>IFERROR(__xludf.DUMMYFUNCTION("""COMPUTED_VALUE"""),"Ninguna")</f>
        <v>Ninguna</v>
      </c>
      <c r="V36" s="4"/>
      <c r="W36" s="4" t="str">
        <f>IFERROR(__xludf.DUMMYFUNCTION("""COMPUTED_VALUE"""),"Proyecto")</f>
        <v>Proyecto</v>
      </c>
      <c r="X36" s="4" t="str">
        <f>IFERROR(__xludf.DUMMYFUNCTION("""COMPUTED_VALUE"""),"UdeA ")</f>
        <v>UdeA 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 t="str">
        <f>IFERROR(__xludf.DUMMYFUNCTION("""COMPUTED_VALUE"""),"Ninguna")</f>
        <v>Ninguna</v>
      </c>
      <c r="AL36" s="4"/>
      <c r="AM36" s="4" t="str">
        <f>IFERROR(__xludf.DUMMYFUNCTION("""COMPUTED_VALUE"""),"Obligatorio")</f>
        <v>Obligatorio</v>
      </c>
      <c r="AN36" s="4"/>
      <c r="AO36" s="4"/>
      <c r="AP36" s="4"/>
      <c r="AQ36" s="4"/>
      <c r="AR36" s="4"/>
      <c r="AS36" s="4"/>
      <c r="AT36" s="4" t="str">
        <f>IFERROR(__xludf.DUMMYFUNCTION("""COMPUTED_VALUE"""),"Jaime Fernando Zapata")</f>
        <v>Jaime Fernando Zapata</v>
      </c>
      <c r="AU36" s="4"/>
      <c r="AV36" s="4"/>
      <c r="AW36" s="4" t="str">
        <f>IFERROR(__xludf.DUMMYFUNCTION("""COMPUTED_VALUE"""),"En Curso")</f>
        <v>En Curso</v>
      </c>
      <c r="AX36" s="4">
        <f>IFERROR(__xludf.DUMMYFUNCTION("""COMPUTED_VALUE"""),3.0)</f>
        <v>3</v>
      </c>
      <c r="AY36" s="4" t="str">
        <f>IFERROR(__xludf.DUMMYFUNCTION("""COMPUTED_VALUE"""),"Doctorado en Ingeniería Ambiental")</f>
        <v>Doctorado en Ingeniería Ambiental</v>
      </c>
      <c r="AZ36" s="4"/>
    </row>
    <row r="37">
      <c r="A37" s="4" t="str">
        <f>IFERROR(__xludf.DUMMYFUNCTION("""COMPUTED_VALUE"""),"Proy6")</f>
        <v>Proy6</v>
      </c>
      <c r="B37" s="4" t="str">
        <f>IFERROR(__xludf.DUMMYFUNCTION("""COMPUTED_VALUE"""),"Formación_RH")</f>
        <v>Formación_RH</v>
      </c>
      <c r="C37" s="4" t="str">
        <f>IFERROR(__xludf.DUMMYFUNCTION("""COMPUTED_VALUE"""),"Vinculación de estudiante de doctorado")</f>
        <v>Vinculación de estudiante de doctorado</v>
      </c>
      <c r="D37" s="4" t="str">
        <f>IFERROR(__xludf.DUMMYFUNCTION("""COMPUTED_VALUE"""),"Vinculación de estudiante de doctorado")</f>
        <v>Vinculación de estudiante de doctorado</v>
      </c>
      <c r="E37" s="4" t="str">
        <f>IFERROR(__xludf.DUMMYFUNCTION("""COMPUTED_VALUE"""),"Formación de estudiante de doctorado")</f>
        <v>Formación de estudiante de doctorado</v>
      </c>
      <c r="F37" s="4" t="str">
        <f>IFERROR(__xludf.DUMMYFUNCTION("""COMPUTED_VALUE"""),"Vinculación de estudiante de maestría")</f>
        <v>Vinculación de estudiante de maestría</v>
      </c>
      <c r="G37" s="4" t="str">
        <f>IFERROR(__xludf.DUMMYFUNCTION("""COMPUTED_VALUE"""),"Formación de estudiante de maestría")</f>
        <v>Formación de estudiante de maestría</v>
      </c>
      <c r="H37" s="4" t="str">
        <f>IFERROR(__xludf.DUMMYFUNCTION("""COMPUTED_VALUE"""),"Vinculación de estudiante de pregrado")</f>
        <v>Vinculación de estudiante de pregrado</v>
      </c>
      <c r="I37" s="4" t="str">
        <f>IFERROR(__xludf.DUMMYFUNCTION("""COMPUTED_VALUE"""),"Formación de estudiante de pregrado")</f>
        <v>Formación de estudiante de pregrado</v>
      </c>
      <c r="J37" s="4" t="str">
        <f>IFERROR(__xludf.DUMMYFUNCTION("""COMPUTED_VALUE"""),"Joven investigador")</f>
        <v>Joven investigador</v>
      </c>
      <c r="K37" s="4" t="str">
        <f>IFERROR(__xludf.DUMMYFUNCTION("""COMPUTED_VALUE"""),"Pasantía nacional")</f>
        <v>Pasantía nacional</v>
      </c>
      <c r="L37" s="4" t="str">
        <f>IFERROR(__xludf.DUMMYFUNCTION("""COMPUTED_VALUE"""),"Pasantía internacional")</f>
        <v>Pasantía internacional</v>
      </c>
      <c r="M37" s="4"/>
      <c r="N37" s="4"/>
      <c r="O37" s="4"/>
      <c r="P37" s="4"/>
      <c r="Q37" s="4"/>
      <c r="R37" s="4"/>
      <c r="S37" s="4"/>
      <c r="T37" s="4"/>
      <c r="U37" s="4" t="str">
        <f>IFERROR(__xludf.DUMMYFUNCTION("""COMPUTED_VALUE"""),"Ninguna")</f>
        <v>Ninguna</v>
      </c>
      <c r="V37" s="4"/>
      <c r="W37" s="4" t="str">
        <f>IFERROR(__xludf.DUMMYFUNCTION("""COMPUTED_VALUE"""),"Proyecto")</f>
        <v>Proyecto</v>
      </c>
      <c r="X37" s="4" t="str">
        <f>IFERROR(__xludf.DUMMYFUNCTION("""COMPUTED_VALUE"""),"UdeA ")</f>
        <v>UdeA 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 t="str">
        <f>IFERROR(__xludf.DUMMYFUNCTION("""COMPUTED_VALUE"""),"Ninguna")</f>
        <v>Ninguna</v>
      </c>
      <c r="AL37" s="4"/>
      <c r="AM37" s="4" t="str">
        <f>IFERROR(__xludf.DUMMYFUNCTION("""COMPUTED_VALUE"""),"Obligatorio")</f>
        <v>Obligatorio</v>
      </c>
      <c r="AN37" s="4"/>
      <c r="AO37" s="4"/>
      <c r="AP37" s="4"/>
      <c r="AQ37" s="4"/>
      <c r="AR37" s="4"/>
      <c r="AS37" s="4"/>
      <c r="AT37" s="4" t="str">
        <f>IFERROR(__xludf.DUMMYFUNCTION("""COMPUTED_VALUE"""),"Iván Meléndez Gélvez")</f>
        <v>Iván Meléndez Gélvez</v>
      </c>
      <c r="AU37" s="4"/>
      <c r="AV37" s="4"/>
      <c r="AW37" s="4" t="str">
        <f>IFERROR(__xludf.DUMMYFUNCTION("""COMPUTED_VALUE"""),"En Curso")</f>
        <v>En Curso</v>
      </c>
      <c r="AX37" s="4">
        <f>IFERROR(__xludf.DUMMYFUNCTION("""COMPUTED_VALUE"""),3.0)</f>
        <v>3</v>
      </c>
      <c r="AY37" s="4" t="str">
        <f>IFERROR(__xludf.DUMMYFUNCTION("""COMPUTED_VALUE"""),"Doctorado en Ciencias Farmecéuticas y Alimentarias")</f>
        <v>Doctorado en Ciencias Farmecéuticas y Alimentarias</v>
      </c>
      <c r="AZ37" s="4"/>
    </row>
    <row r="38">
      <c r="A38" s="4" t="str">
        <f>IFERROR(__xludf.DUMMYFUNCTION("""COMPUTED_VALUE"""),"Proy3")</f>
        <v>Proy3</v>
      </c>
      <c r="B38" s="4" t="str">
        <f>IFERROR(__xludf.DUMMYFUNCTION("""COMPUTED_VALUE"""),"Apropiación")</f>
        <v>Apropiación</v>
      </c>
      <c r="C38" s="4" t="str">
        <f>IFERROR(__xludf.DUMMYFUNCTION("""COMPUTED_VALUE"""),"Ponencia")</f>
        <v>Ponencia</v>
      </c>
      <c r="D38" s="4" t="str">
        <f>IFERROR(__xludf.DUMMYFUNCTION("""COMPUTED_VALUE"""),"Ponencia")</f>
        <v>Ponencia</v>
      </c>
      <c r="E38" s="4" t="str">
        <f>IFERROR(__xludf.DUMMYFUNCTION("""COMPUTED_VALUE"""),"Evento científico")</f>
        <v>Evento científico</v>
      </c>
      <c r="F38" s="4" t="str">
        <f>IFERROR(__xludf.DUMMYFUNCTION("""COMPUTED_VALUE"""),"Cartilla")</f>
        <v>Cartilla</v>
      </c>
      <c r="G38" s="4" t="str">
        <f>IFERROR(__xludf.DUMMYFUNCTION("""COMPUTED_VALUE"""),"Curso de capacitación, seminario o taller")</f>
        <v>Curso de capacitación, seminario o taller</v>
      </c>
      <c r="H38" s="4" t="str">
        <f>IFERROR(__xludf.DUMMYFUNCTION("""COMPUTED_VALUE"""),"Socialización de resultados a actores del sector")</f>
        <v>Socialización de resultados a actores del sector</v>
      </c>
      <c r="I38" s="4" t="str">
        <f>IFERROR(__xludf.DUMMYFUNCTION("""COMPUTED_VALUE"""),"Articulación de redes de conocimiento")</f>
        <v>Articulación de redes de conocimiento</v>
      </c>
      <c r="J38" s="4" t="str">
        <f>IFERROR(__xludf.DUMMYFUNCTION("""COMPUTED_VALUE"""),"Circulación de conocimiento especializado - boletines")</f>
        <v>Circulación de conocimiento especializado - boletines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 t="str">
        <f>IFERROR(__xludf.DUMMYFUNCTION("""COMPUTED_VALUE"""),"Ninguna")</f>
        <v>Ninguna</v>
      </c>
      <c r="V38" s="4"/>
      <c r="W38" s="4" t="str">
        <f>IFERROR(__xludf.DUMMYFUNCTION("""COMPUTED_VALUE"""),"Proyecto")</f>
        <v>Proyecto</v>
      </c>
      <c r="X38" s="4" t="str">
        <f>IFERROR(__xludf.DUMMYFUNCTION("""COMPUTED_VALUE"""),"UdeA , Universidad de Pamplona")</f>
        <v>UdeA , Universidad de Pamplona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 t="str">
        <f>IFERROR(__xludf.DUMMYFUNCTION("""COMPUTED_VALUE"""),"Ninguna")</f>
        <v>Ninguna</v>
      </c>
      <c r="AL38" s="4"/>
      <c r="AM38" s="4" t="str">
        <f>IFERROR(__xludf.DUMMYFUNCTION("""COMPUTED_VALUE"""),"Obligatorio")</f>
        <v>Obligatorio</v>
      </c>
      <c r="AN38" s="4">
        <f>IFERROR(__xludf.DUMMYFUNCTION("""COMPUTED_VALUE"""),3.0)</f>
        <v>3</v>
      </c>
      <c r="AO38" s="4">
        <f>IFERROR(__xludf.DUMMYFUNCTION("""COMPUTED_VALUE"""),2.0)</f>
        <v>2</v>
      </c>
      <c r="AP38" s="4">
        <f>IFERROR(__xludf.DUMMYFUNCTION("""COMPUTED_VALUE"""),2.0)</f>
        <v>2</v>
      </c>
      <c r="AQ38" s="4">
        <f>IFERROR(__xludf.DUMMYFUNCTION("""COMPUTED_VALUE"""),2.0)</f>
        <v>2</v>
      </c>
      <c r="AR38" s="4">
        <f>IFERROR(__xludf.DUMMYFUNCTION("""COMPUTED_VALUE"""),2.0)</f>
        <v>2</v>
      </c>
      <c r="AS38" s="4">
        <f>IFERROR(__xludf.DUMMYFUNCTION("""COMPUTED_VALUE"""),2.0)</f>
        <v>2</v>
      </c>
      <c r="AT38" s="4" t="str">
        <f>IFERROR(__xludf.DUMMYFUNCTION("""COMPUTED_VALUE"""),"CIBIM,CIBEM 2019, ISBN: 978-958-52438-5-9")</f>
        <v>CIBIM,CIBEM 2019, ISBN: 978-958-52438-5-9</v>
      </c>
      <c r="AU38" s="5" t="str">
        <f>IFERROR(__xludf.DUMMYFUNCTION("""COMPUTED_VALUE"""),"https://drive.google.com/open?id=1IwqYuiuxROfNVgwZ6HbBABP0ane-YJg2")</f>
        <v>https://drive.google.com/open?id=1IwqYuiuxROfNVgwZ6HbBABP0ane-YJg2</v>
      </c>
      <c r="AV38" s="4">
        <f>IFERROR(__xludf.DUMMYFUNCTION("""COMPUTED_VALUE"""),1256.0)</f>
        <v>1256</v>
      </c>
      <c r="AW38" s="4"/>
      <c r="AX38" s="4">
        <f>IFERROR(__xludf.DUMMYFUNCTION("""COMPUTED_VALUE"""),3.0)</f>
        <v>3</v>
      </c>
      <c r="AY38" s="4" t="str">
        <f>IFERROR(__xludf.DUMMYFUNCTION("""COMPUTED_VALUE"""),"MATERIALES BIOCOMPUESTOS CON FIBRAS NATURALES Y RESINA BIOEPOXY PARA UNA APLICACIÓN DE UN ALABE DE AEROGENERADOR")</f>
        <v>MATERIALES BIOCOMPUESTOS CON FIBRAS NATURALES Y RESINA BIOEPOXY PARA UNA APLICACIÓN DE UN ALABE DE AEROGENERADOR</v>
      </c>
      <c r="AZ38" s="4"/>
      <c r="BA38" s="6" t="s">
        <v>94</v>
      </c>
      <c r="BB38" s="6" t="s">
        <v>45</v>
      </c>
      <c r="BE38" s="6" t="s">
        <v>95</v>
      </c>
    </row>
    <row r="39">
      <c r="A39" s="4" t="str">
        <f>IFERROR(__xludf.DUMMYFUNCTION("""COMPUTED_VALUE"""),"Proy1")</f>
        <v>Proy1</v>
      </c>
      <c r="B39" s="4" t="str">
        <f>IFERROR(__xludf.DUMMYFUNCTION("""COMPUTED_VALUE"""),"Apropiación")</f>
        <v>Apropiación</v>
      </c>
      <c r="C39" s="4" t="str">
        <f>IFERROR(__xludf.DUMMYFUNCTION("""COMPUTED_VALUE"""),"Ponencia")</f>
        <v>Ponencia</v>
      </c>
      <c r="D39" s="4" t="str">
        <f>IFERROR(__xludf.DUMMYFUNCTION("""COMPUTED_VALUE"""),"Ponencia")</f>
        <v>Ponencia</v>
      </c>
      <c r="E39" s="4" t="str">
        <f>IFERROR(__xludf.DUMMYFUNCTION("""COMPUTED_VALUE"""),"Evento científico")</f>
        <v>Evento científico</v>
      </c>
      <c r="F39" s="4" t="str">
        <f>IFERROR(__xludf.DUMMYFUNCTION("""COMPUTED_VALUE"""),"Cartilla")</f>
        <v>Cartilla</v>
      </c>
      <c r="G39" s="4" t="str">
        <f>IFERROR(__xludf.DUMMYFUNCTION("""COMPUTED_VALUE"""),"Curso de capacitación, seminario o taller")</f>
        <v>Curso de capacitación, seminario o taller</v>
      </c>
      <c r="H39" s="4" t="str">
        <f>IFERROR(__xludf.DUMMYFUNCTION("""COMPUTED_VALUE"""),"Socialización de resultados a actores del sector")</f>
        <v>Socialización de resultados a actores del sector</v>
      </c>
      <c r="I39" s="4" t="str">
        <f>IFERROR(__xludf.DUMMYFUNCTION("""COMPUTED_VALUE"""),"Articulación de redes de conocimiento")</f>
        <v>Articulación de redes de conocimiento</v>
      </c>
      <c r="J39" s="4" t="str">
        <f>IFERROR(__xludf.DUMMYFUNCTION("""COMPUTED_VALUE"""),"Circulación de conocimiento especializado - boletines")</f>
        <v>Circulación de conocimiento especializado - boletines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 t="str">
        <f>IFERROR(__xludf.DUMMYFUNCTION("""COMPUTED_VALUE"""),"Ninguna")</f>
        <v>Ninguna</v>
      </c>
      <c r="V39" s="4"/>
      <c r="W39" s="4" t="str">
        <f>IFERROR(__xludf.DUMMYFUNCTION("""COMPUTED_VALUE"""),"Proyecto")</f>
        <v>Proyecto</v>
      </c>
      <c r="X39" s="4" t="str">
        <f>IFERROR(__xludf.DUMMYFUNCTION("""COMPUTED_VALUE"""),"UdeA ")</f>
        <v>UdeA 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 t="str">
        <f>IFERROR(__xludf.DUMMYFUNCTION("""COMPUTED_VALUE"""),"Ninguna")</f>
        <v>Ninguna</v>
      </c>
      <c r="AL39" s="4"/>
      <c r="AM39" s="4" t="str">
        <f>IFERROR(__xludf.DUMMYFUNCTION("""COMPUTED_VALUE"""),"Adicional")</f>
        <v>Adicional</v>
      </c>
      <c r="AN39" s="4">
        <f>IFERROR(__xludf.DUMMYFUNCTION("""COMPUTED_VALUE"""),4.0)</f>
        <v>4</v>
      </c>
      <c r="AO39" s="4">
        <f>IFERROR(__xludf.DUMMYFUNCTION("""COMPUTED_VALUE"""),2.0)</f>
        <v>2</v>
      </c>
      <c r="AP39" s="4">
        <f>IFERROR(__xludf.DUMMYFUNCTION("""COMPUTED_VALUE"""),1.0)</f>
        <v>1</v>
      </c>
      <c r="AQ39" s="4">
        <f>IFERROR(__xludf.DUMMYFUNCTION("""COMPUTED_VALUE"""),1.0)</f>
        <v>1</v>
      </c>
      <c r="AR39" s="4">
        <f>IFERROR(__xludf.DUMMYFUNCTION("""COMPUTED_VALUE"""),1.0)</f>
        <v>1</v>
      </c>
      <c r="AS39" s="4">
        <f>IFERROR(__xludf.DUMMYFUNCTION("""COMPUTED_VALUE"""),1.0)</f>
        <v>1</v>
      </c>
      <c r="AT39" s="4" t="str">
        <f>IFERROR(__xludf.DUMMYFUNCTION("""COMPUTED_VALUE"""),"XII Congreso Colombiano de Métodos Numéricos")</f>
        <v>XII Congreso Colombiano de Métodos Numéricos</v>
      </c>
      <c r="AU39" s="5" t="str">
        <f>IFERROR(__xludf.DUMMYFUNCTION("""COMPUTED_VALUE"""),"https://drive.google.com/open?id=14SRTfTGeShI-h7dpAYxwNIfRQsszO5FG")</f>
        <v>https://drive.google.com/open?id=14SRTfTGeShI-h7dpAYxwNIfRQsszO5FG</v>
      </c>
      <c r="AV39" s="4">
        <f>IFERROR(__xludf.DUMMYFUNCTION("""COMPUTED_VALUE"""),1257.0)</f>
        <v>1257</v>
      </c>
      <c r="AW39" s="4"/>
      <c r="AX39" s="4">
        <f>IFERROR(__xludf.DUMMYFUNCTION("""COMPUTED_VALUE"""),3.0)</f>
        <v>3</v>
      </c>
      <c r="AY39" s="4" t="str">
        <f>IFERROR(__xludf.DUMMYFUNCTION("""COMPUTED_VALUE"""),"Diseño, simulación y comparación de dos turbinas hidrocinéticas tipo Gorlov y Darrieus H para generación de energía eléctrica a pequeña escala")</f>
        <v>Diseño, simulación y comparación de dos turbinas hidrocinéticas tipo Gorlov y Darrieus H para generación de energía eléctrica a pequeña escala</v>
      </c>
      <c r="AZ39" s="4" t="str">
        <f>IFERROR(__xludf.DUMMYFUNCTION("""COMPUTED_VALUE"""),"Informe 3")</f>
        <v>Informe 3</v>
      </c>
      <c r="BA39" s="6" t="s">
        <v>96</v>
      </c>
      <c r="BB39" s="6" t="s">
        <v>45</v>
      </c>
    </row>
    <row r="40">
      <c r="A40" s="4" t="str">
        <f>IFERROR(__xludf.DUMMYFUNCTION("""COMPUTED_VALUE"""),"Proy1")</f>
        <v>Proy1</v>
      </c>
      <c r="B40" s="4" t="str">
        <f>IFERROR(__xludf.DUMMYFUNCTION("""COMPUTED_VALUE"""),"Apropiación")</f>
        <v>Apropiación</v>
      </c>
      <c r="C40" s="4" t="str">
        <f>IFERROR(__xludf.DUMMYFUNCTION("""COMPUTED_VALUE"""),"Ponencia")</f>
        <v>Ponencia</v>
      </c>
      <c r="D40" s="4" t="str">
        <f>IFERROR(__xludf.DUMMYFUNCTION("""COMPUTED_VALUE"""),"Ponencia")</f>
        <v>Ponencia</v>
      </c>
      <c r="E40" s="4" t="str">
        <f>IFERROR(__xludf.DUMMYFUNCTION("""COMPUTED_VALUE"""),"Evento científico")</f>
        <v>Evento científico</v>
      </c>
      <c r="F40" s="4" t="str">
        <f>IFERROR(__xludf.DUMMYFUNCTION("""COMPUTED_VALUE"""),"Cartilla")</f>
        <v>Cartilla</v>
      </c>
      <c r="G40" s="4" t="str">
        <f>IFERROR(__xludf.DUMMYFUNCTION("""COMPUTED_VALUE"""),"Curso de capacitación, seminario o taller")</f>
        <v>Curso de capacitación, seminario o taller</v>
      </c>
      <c r="H40" s="4" t="str">
        <f>IFERROR(__xludf.DUMMYFUNCTION("""COMPUTED_VALUE"""),"Socialización de resultados a actores del sector")</f>
        <v>Socialización de resultados a actores del sector</v>
      </c>
      <c r="I40" s="4" t="str">
        <f>IFERROR(__xludf.DUMMYFUNCTION("""COMPUTED_VALUE"""),"Articulación de redes de conocimiento")</f>
        <v>Articulación de redes de conocimiento</v>
      </c>
      <c r="J40" s="4" t="str">
        <f>IFERROR(__xludf.DUMMYFUNCTION("""COMPUTED_VALUE"""),"Circulación de conocimiento especializado - boletines")</f>
        <v>Circulación de conocimiento especializado - boletines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 t="str">
        <f>IFERROR(__xludf.DUMMYFUNCTION("""COMPUTED_VALUE"""),"Ninguna")</f>
        <v>Ninguna</v>
      </c>
      <c r="V40" s="4"/>
      <c r="W40" s="4" t="str">
        <f>IFERROR(__xludf.DUMMYFUNCTION("""COMPUTED_VALUE"""),"Proyecto")</f>
        <v>Proyecto</v>
      </c>
      <c r="X40" s="4" t="str">
        <f>IFERROR(__xludf.DUMMYFUNCTION("""COMPUTED_VALUE"""),"UdeA ")</f>
        <v>UdeA 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 t="str">
        <f>IFERROR(__xludf.DUMMYFUNCTION("""COMPUTED_VALUE"""),"Ninguna")</f>
        <v>Ninguna</v>
      </c>
      <c r="AL40" s="4"/>
      <c r="AM40" s="4" t="str">
        <f>IFERROR(__xludf.DUMMYFUNCTION("""COMPUTED_VALUE"""),"Adicional")</f>
        <v>Adicional</v>
      </c>
      <c r="AN40" s="4">
        <f>IFERROR(__xludf.DUMMYFUNCTION("""COMPUTED_VALUE"""),2.0)</f>
        <v>2</v>
      </c>
      <c r="AO40" s="4">
        <f>IFERROR(__xludf.DUMMYFUNCTION("""COMPUTED_VALUE"""),2.0)</f>
        <v>2</v>
      </c>
      <c r="AP40" s="4">
        <f>IFERROR(__xludf.DUMMYFUNCTION("""COMPUTED_VALUE"""),1.0)</f>
        <v>1</v>
      </c>
      <c r="AQ40" s="4">
        <f>IFERROR(__xludf.DUMMYFUNCTION("""COMPUTED_VALUE"""),1.0)</f>
        <v>1</v>
      </c>
      <c r="AR40" s="4">
        <f>IFERROR(__xludf.DUMMYFUNCTION("""COMPUTED_VALUE"""),1.0)</f>
        <v>1</v>
      </c>
      <c r="AS40" s="4">
        <f>IFERROR(__xludf.DUMMYFUNCTION("""COMPUTED_VALUE"""),1.0)</f>
        <v>1</v>
      </c>
      <c r="AT40" s="4" t="str">
        <f>IFERROR(__xludf.DUMMYFUNCTION("""COMPUTED_VALUE"""),"IV REUNIÓN LATINOAMERICANA DE HIDROPOTENCIA Y SISTEMAS")</f>
        <v>IV REUNIÓN LATINOAMERICANA DE HIDROPOTENCIA Y SISTEMAS</v>
      </c>
      <c r="AU40" s="5" t="str">
        <f>IFERROR(__xludf.DUMMYFUNCTION("""COMPUTED_VALUE"""),"https://drive.google.com/open?id=1qbWxoaYqiu6OsFJMzQrdaoyoPmnUZcsM")</f>
        <v>https://drive.google.com/open?id=1qbWxoaYqiu6OsFJMzQrdaoyoPmnUZcsM</v>
      </c>
      <c r="AV40" s="4">
        <f>IFERROR(__xludf.DUMMYFUNCTION("""COMPUTED_VALUE"""),1258.0)</f>
        <v>1258</v>
      </c>
      <c r="AW40" s="4"/>
      <c r="AX40" s="4">
        <f>IFERROR(__xludf.DUMMYFUNCTION("""COMPUTED_VALUE"""),3.0)</f>
        <v>3</v>
      </c>
      <c r="AY40" s="4" t="str">
        <f>IFERROR(__xludf.DUMMYFUNCTION("""COMPUTED_VALUE"""),"EFFECT OF THE GEOMETRY OF THE INLET CHANNEL IN THE FORMATION OF VORTEX FOR A GRAVITATIONAL VORTEX TURBINE")</f>
        <v>EFFECT OF THE GEOMETRY OF THE INLET CHANNEL IN THE FORMATION OF VORTEX FOR A GRAVITATIONAL VORTEX TURBINE</v>
      </c>
      <c r="AZ40" s="4" t="str">
        <f>IFERROR(__xludf.DUMMYFUNCTION("""COMPUTED_VALUE"""),"Informe 3")</f>
        <v>Informe 3</v>
      </c>
      <c r="BA40" s="6" t="s">
        <v>97</v>
      </c>
      <c r="BB40" s="6" t="s">
        <v>45</v>
      </c>
    </row>
    <row r="41">
      <c r="A41" s="4" t="str">
        <f>IFERROR(__xludf.DUMMYFUNCTION("""COMPUTED_VALUE"""),"Proy1")</f>
        <v>Proy1</v>
      </c>
      <c r="B41" s="4" t="str">
        <f>IFERROR(__xludf.DUMMYFUNCTION("""COMPUTED_VALUE"""),"Nuevo_Conocimiento")</f>
        <v>Nuevo_Conocimiento</v>
      </c>
      <c r="C41" s="4" t="str">
        <f>IFERROR(__xludf.DUMMYFUNCTION("""COMPUTED_VALUE"""),"Capítulo de libro A1")</f>
        <v>Capítulo de libro A1</v>
      </c>
      <c r="D41" s="4" t="str">
        <f>IFERROR(__xludf.DUMMYFUNCTION("""COMPUTED_VALUE"""),"Artículo A1")</f>
        <v>Artículo A1</v>
      </c>
      <c r="E41" s="4" t="str">
        <f>IFERROR(__xludf.DUMMYFUNCTION("""COMPUTED_VALUE"""),"Artículo A2")</f>
        <v>Artículo A2</v>
      </c>
      <c r="F41" s="4" t="str">
        <f>IFERROR(__xludf.DUMMYFUNCTION("""COMPUTED_VALUE"""),"Artículo B")</f>
        <v>Artículo B</v>
      </c>
      <c r="G41" s="4" t="str">
        <f>IFERROR(__xludf.DUMMYFUNCTION("""COMPUTED_VALUE"""),"Artículo C")</f>
        <v>Artículo C</v>
      </c>
      <c r="H41" s="4" t="str">
        <f>IFERROR(__xludf.DUMMYFUNCTION("""COMPUTED_VALUE"""),"Capítulo de libro A")</f>
        <v>Capítulo de libro A</v>
      </c>
      <c r="I41" s="4" t="str">
        <f>IFERROR(__xludf.DUMMYFUNCTION("""COMPUTED_VALUE"""),"Capítulo de libro A1")</f>
        <v>Capítulo de libro A1</v>
      </c>
      <c r="J41" s="4" t="str">
        <f>IFERROR(__xludf.DUMMYFUNCTION("""COMPUTED_VALUE"""),"Capítulo de libro B")</f>
        <v>Capítulo de libro B</v>
      </c>
      <c r="K41" s="4" t="str">
        <f>IFERROR(__xludf.DUMMYFUNCTION("""COMPUTED_VALUE"""),"Libro A")</f>
        <v>Libro A</v>
      </c>
      <c r="L41" s="4" t="str">
        <f>IFERROR(__xludf.DUMMYFUNCTION("""COMPUTED_VALUE"""),"Libro A1")</f>
        <v>Libro A1</v>
      </c>
      <c r="M41" s="4" t="str">
        <f>IFERROR(__xludf.DUMMYFUNCTION("""COMPUTED_VALUE"""),"Libro B")</f>
        <v>Libro B</v>
      </c>
      <c r="N41" s="4" t="str">
        <f>IFERROR(__xludf.DUMMYFUNCTION("""COMPUTED_VALUE"""),"Solicitud Patente de invención y-o modelo de utitlidad")</f>
        <v>Solicitud Patente de invención y-o modelo de utitlidad</v>
      </c>
      <c r="O41" s="4" t="str">
        <f>IFERROR(__xludf.DUMMYFUNCTION("""COMPUTED_VALUE"""),"Patente de invención")</f>
        <v>Patente de invención</v>
      </c>
      <c r="P41" s="4" t="str">
        <f>IFERROR(__xludf.DUMMYFUNCTION("""COMPUTED_VALUE"""),"Patente de modelo de utilidad")</f>
        <v>Patente de modelo de utilidad</v>
      </c>
      <c r="Q41" s="4" t="str">
        <f>IFERROR(__xludf.DUMMYFUNCTION("""COMPUTED_VALUE"""),"Artículo sin clasificar")</f>
        <v>Artículo sin clasificar</v>
      </c>
      <c r="R41" s="4" t="str">
        <f>IFERROR(__xludf.DUMMYFUNCTION("""COMPUTED_VALUE"""),"Capítulo sin clasificar")</f>
        <v>Capítulo sin clasificar</v>
      </c>
      <c r="S41" s="4"/>
      <c r="T41" s="4"/>
      <c r="U41" s="4" t="str">
        <f>IFERROR(__xludf.DUMMYFUNCTION("""COMPUTED_VALUE"""),"Ninguna")</f>
        <v>Ninguna</v>
      </c>
      <c r="V41" s="4"/>
      <c r="W41" s="4" t="str">
        <f>IFERROR(__xludf.DUMMYFUNCTION("""COMPUTED_VALUE"""),"Proyecto")</f>
        <v>Proyecto</v>
      </c>
      <c r="X41" s="4" t="str">
        <f>IFERROR(__xludf.DUMMYFUNCTION("""COMPUTED_VALUE"""),"UdeA ")</f>
        <v>UdeA 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 t="str">
        <f>IFERROR(__xludf.DUMMYFUNCTION("""COMPUTED_VALUE"""),"Tecnológico de Antioquia")</f>
        <v>Tecnológico de Antioquia</v>
      </c>
      <c r="AK41" s="4" t="str">
        <f>IFERROR(__xludf.DUMMYFUNCTION("""COMPUTED_VALUE"""),"Ninguna")</f>
        <v>Ninguna</v>
      </c>
      <c r="AL41" s="4"/>
      <c r="AM41" s="4" t="str">
        <f>IFERROR(__xludf.DUMMYFUNCTION("""COMPUTED_VALUE"""),"Obligatorio")</f>
        <v>Obligatorio</v>
      </c>
      <c r="AN41" s="4">
        <f>IFERROR(__xludf.DUMMYFUNCTION("""COMPUTED_VALUE"""),2.0)</f>
        <v>2</v>
      </c>
      <c r="AO41" s="4">
        <f>IFERROR(__xludf.DUMMYFUNCTION("""COMPUTED_VALUE"""),1.0)</f>
        <v>1</v>
      </c>
      <c r="AP41" s="4">
        <f>IFERROR(__xludf.DUMMYFUNCTION("""COMPUTED_VALUE"""),2.0)</f>
        <v>2</v>
      </c>
      <c r="AQ41" s="4">
        <f>IFERROR(__xludf.DUMMYFUNCTION("""COMPUTED_VALUE"""),1.0)</f>
        <v>1</v>
      </c>
      <c r="AR41" s="4">
        <f>IFERROR(__xludf.DUMMYFUNCTION("""COMPUTED_VALUE"""),2.0)</f>
        <v>2</v>
      </c>
      <c r="AS41" s="4">
        <f>IFERROR(__xludf.DUMMYFUNCTION("""COMPUTED_VALUE"""),1.0)</f>
        <v>1</v>
      </c>
      <c r="AT41" s="4" t="str">
        <f>IFERROR(__xludf.DUMMYFUNCTION("""COMPUTED_VALUE"""),"DOI: http://dx.doi.org/10.5772/intechopen.89184")</f>
        <v>DOI: http://dx.doi.org/10.5772/intechopen.89184</v>
      </c>
      <c r="AU41" s="5" t="str">
        <f>IFERROR(__xludf.DUMMYFUNCTION("""COMPUTED_VALUE"""),"https://drive.google.com/open?id=1kOlr_AEf0mbwQFfbC-YVaW3XwKet6V7V")</f>
        <v>https://drive.google.com/open?id=1kOlr_AEf0mbwQFfbC-YVaW3XwKet6V7V</v>
      </c>
      <c r="AV41" s="4"/>
      <c r="AW41" s="4"/>
      <c r="AX41" s="4">
        <f>IFERROR(__xludf.DUMMYFUNCTION("""COMPUTED_VALUE"""),3.0)</f>
        <v>3</v>
      </c>
      <c r="AY41" s="4" t="str">
        <f>IFERROR(__xludf.DUMMYFUNCTION("""COMPUTED_VALUE"""),"Computational fluid dynamic simulation of vertical axis hydrokinetic turbine")</f>
        <v>Computational fluid dynamic simulation of vertical axis hydrokinetic turbine</v>
      </c>
      <c r="AZ41" s="4" t="str">
        <f>IFERROR(__xludf.DUMMYFUNCTION("""COMPUTED_VALUE"""),"Informe 3")</f>
        <v>Informe 3</v>
      </c>
      <c r="BA41" s="6" t="s">
        <v>61</v>
      </c>
      <c r="BB41" s="6" t="s">
        <v>45</v>
      </c>
      <c r="BC41" s="6" t="s">
        <v>62</v>
      </c>
      <c r="BD41" s="6" t="s">
        <v>63</v>
      </c>
      <c r="BE41" s="6" t="s">
        <v>45</v>
      </c>
    </row>
    <row r="42">
      <c r="A42" s="4" t="str">
        <f>IFERROR(__xludf.DUMMYFUNCTION("""COMPUTED_VALUE"""),"Proy3")</f>
        <v>Proy3</v>
      </c>
      <c r="B42" s="4" t="str">
        <f>IFERROR(__xludf.DUMMYFUNCTION("""COMPUTED_VALUE"""),"Apropiación")</f>
        <v>Apropiación</v>
      </c>
      <c r="C42" s="4" t="str">
        <f>IFERROR(__xludf.DUMMYFUNCTION("""COMPUTED_VALUE"""),"Ponencia")</f>
        <v>Ponencia</v>
      </c>
      <c r="D42" s="4" t="str">
        <f>IFERROR(__xludf.DUMMYFUNCTION("""COMPUTED_VALUE"""),"Ponencia")</f>
        <v>Ponencia</v>
      </c>
      <c r="E42" s="4" t="str">
        <f>IFERROR(__xludf.DUMMYFUNCTION("""COMPUTED_VALUE"""),"Evento científico")</f>
        <v>Evento científico</v>
      </c>
      <c r="F42" s="4" t="str">
        <f>IFERROR(__xludf.DUMMYFUNCTION("""COMPUTED_VALUE"""),"Cartilla")</f>
        <v>Cartilla</v>
      </c>
      <c r="G42" s="4" t="str">
        <f>IFERROR(__xludf.DUMMYFUNCTION("""COMPUTED_VALUE"""),"Curso de capacitación, seminario o taller")</f>
        <v>Curso de capacitación, seminario o taller</v>
      </c>
      <c r="H42" s="4" t="str">
        <f>IFERROR(__xludf.DUMMYFUNCTION("""COMPUTED_VALUE"""),"Socialización de resultados a actores del sector")</f>
        <v>Socialización de resultados a actores del sector</v>
      </c>
      <c r="I42" s="4" t="str">
        <f>IFERROR(__xludf.DUMMYFUNCTION("""COMPUTED_VALUE"""),"Articulación de redes de conocimiento")</f>
        <v>Articulación de redes de conocimiento</v>
      </c>
      <c r="J42" s="4" t="str">
        <f>IFERROR(__xludf.DUMMYFUNCTION("""COMPUTED_VALUE"""),"Circulación de conocimiento especializado - boletines")</f>
        <v>Circulación de conocimiento especializado - boletines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 t="str">
        <f>IFERROR(__xludf.DUMMYFUNCTION("""COMPUTED_VALUE"""),"Ninguna")</f>
        <v>Ninguna</v>
      </c>
      <c r="V42" s="4"/>
      <c r="W42" s="4" t="str">
        <f>IFERROR(__xludf.DUMMYFUNCTION("""COMPUTED_VALUE"""),"Proyecto")</f>
        <v>Proyecto</v>
      </c>
      <c r="X42" s="4" t="str">
        <f>IFERROR(__xludf.DUMMYFUNCTION("""COMPUTED_VALUE"""),"UdeA , Universidad de Pamplona")</f>
        <v>UdeA , Universidad de Pamplona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 t="str">
        <f>IFERROR(__xludf.DUMMYFUNCTION("""COMPUTED_VALUE"""),"Ninguna")</f>
        <v>Ninguna</v>
      </c>
      <c r="AL42" s="4"/>
      <c r="AM42" s="4" t="str">
        <f>IFERROR(__xludf.DUMMYFUNCTION("""COMPUTED_VALUE"""),"Obligatorio")</f>
        <v>Obligatorio</v>
      </c>
      <c r="AN42" s="4">
        <f>IFERROR(__xludf.DUMMYFUNCTION("""COMPUTED_VALUE"""),3.0)</f>
        <v>3</v>
      </c>
      <c r="AO42" s="4">
        <f>IFERROR(__xludf.DUMMYFUNCTION("""COMPUTED_VALUE"""),2.0)</f>
        <v>2</v>
      </c>
      <c r="AP42" s="4">
        <f>IFERROR(__xludf.DUMMYFUNCTION("""COMPUTED_VALUE"""),2.0)</f>
        <v>2</v>
      </c>
      <c r="AQ42" s="4">
        <f>IFERROR(__xludf.DUMMYFUNCTION("""COMPUTED_VALUE"""),2.0)</f>
        <v>2</v>
      </c>
      <c r="AR42" s="4">
        <f>IFERROR(__xludf.DUMMYFUNCTION("""COMPUTED_VALUE"""),2.0)</f>
        <v>2</v>
      </c>
      <c r="AS42" s="4">
        <f>IFERROR(__xludf.DUMMYFUNCTION("""COMPUTED_VALUE"""),2.0)</f>
        <v>2</v>
      </c>
      <c r="AT42" s="4" t="str">
        <f>IFERROR(__xludf.DUMMYFUNCTION("""COMPUTED_VALUE"""),"CIBIM,CIBEM 2019, ISBN: 978-958-52438-5-9")</f>
        <v>CIBIM,CIBEM 2019, ISBN: 978-958-52438-5-9</v>
      </c>
      <c r="AU42" s="5" t="str">
        <f>IFERROR(__xludf.DUMMYFUNCTION("""COMPUTED_VALUE"""),"https://drive.google.com/open?id=1NP9Pt0BwMKbxD6jnUH3UyjclUuBNGXlZ")</f>
        <v>https://drive.google.com/open?id=1NP9Pt0BwMKbxD6jnUH3UyjclUuBNGXlZ</v>
      </c>
      <c r="AV42" s="4"/>
      <c r="AW42" s="4"/>
      <c r="AX42" s="4">
        <f>IFERROR(__xludf.DUMMYFUNCTION("""COMPUTED_VALUE"""),3.0)</f>
        <v>3</v>
      </c>
      <c r="AY42" s="4" t="str">
        <f>IFERROR(__xludf.DUMMYFUNCTION("""COMPUTED_VALUE"""),"Estudio numérico de diferentes perfiles de álabe de una turbina eólica para el aprovechamiento de vientos de baja velocidad")</f>
        <v>Estudio numérico de diferentes perfiles de álabe de una turbina eólica para el aprovechamiento de vientos de baja velocidad</v>
      </c>
      <c r="AZ42" s="4"/>
      <c r="BA42" s="6" t="s">
        <v>98</v>
      </c>
      <c r="BB42" s="6" t="s">
        <v>45</v>
      </c>
      <c r="BC42" s="6" t="s">
        <v>99</v>
      </c>
      <c r="BD42" s="6" t="s">
        <v>100</v>
      </c>
      <c r="BE42" s="6" t="s">
        <v>95</v>
      </c>
      <c r="BF42" s="6" t="s">
        <v>101</v>
      </c>
      <c r="BG42" s="6" t="s">
        <v>61</v>
      </c>
      <c r="BH42" s="6" t="s">
        <v>45</v>
      </c>
      <c r="BI42" s="6" t="s">
        <v>62</v>
      </c>
    </row>
    <row r="43">
      <c r="A43" s="4" t="str">
        <f>IFERROR(__xludf.DUMMYFUNCTION("""COMPUTED_VALUE"""),"Proy6")</f>
        <v>Proy6</v>
      </c>
      <c r="B43" s="4" t="str">
        <f>IFERROR(__xludf.DUMMYFUNCTION("""COMPUTED_VALUE"""),"Apropiación")</f>
        <v>Apropiación</v>
      </c>
      <c r="C43" s="4" t="str">
        <f>IFERROR(__xludf.DUMMYFUNCTION("""COMPUTED_VALUE"""),"Ponencia")</f>
        <v>Ponencia</v>
      </c>
      <c r="D43" s="4" t="str">
        <f>IFERROR(__xludf.DUMMYFUNCTION("""COMPUTED_VALUE"""),"Ponencia")</f>
        <v>Ponencia</v>
      </c>
      <c r="E43" s="4" t="str">
        <f>IFERROR(__xludf.DUMMYFUNCTION("""COMPUTED_VALUE"""),"Evento científico")</f>
        <v>Evento científico</v>
      </c>
      <c r="F43" s="4" t="str">
        <f>IFERROR(__xludf.DUMMYFUNCTION("""COMPUTED_VALUE"""),"Cartilla")</f>
        <v>Cartilla</v>
      </c>
      <c r="G43" s="4" t="str">
        <f>IFERROR(__xludf.DUMMYFUNCTION("""COMPUTED_VALUE"""),"Curso de capacitación, seminario o taller")</f>
        <v>Curso de capacitación, seminario o taller</v>
      </c>
      <c r="H43" s="4" t="str">
        <f>IFERROR(__xludf.DUMMYFUNCTION("""COMPUTED_VALUE"""),"Socialización de resultados a actores del sector")</f>
        <v>Socialización de resultados a actores del sector</v>
      </c>
      <c r="I43" s="4" t="str">
        <f>IFERROR(__xludf.DUMMYFUNCTION("""COMPUTED_VALUE"""),"Articulación de redes de conocimiento")</f>
        <v>Articulación de redes de conocimiento</v>
      </c>
      <c r="J43" s="4" t="str">
        <f>IFERROR(__xludf.DUMMYFUNCTION("""COMPUTED_VALUE"""),"Circulación de conocimiento especializado - boletines")</f>
        <v>Circulación de conocimiento especializado - boletines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 t="str">
        <f>IFERROR(__xludf.DUMMYFUNCTION("""COMPUTED_VALUE"""),"Ninguna")</f>
        <v>Ninguna</v>
      </c>
      <c r="V43" s="4"/>
      <c r="W43" s="4" t="str">
        <f>IFERROR(__xludf.DUMMYFUNCTION("""COMPUTED_VALUE"""),"Proyecto")</f>
        <v>Proyecto</v>
      </c>
      <c r="X43" s="4" t="str">
        <f>IFERROR(__xludf.DUMMYFUNCTION("""COMPUTED_VALUE"""),"UdeA")</f>
        <v>UdeA</v>
      </c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 t="str">
        <f>IFERROR(__xludf.DUMMYFUNCTION("""COMPUTED_VALUE"""),"Ninguna")</f>
        <v>Ninguna</v>
      </c>
      <c r="AL43" s="4"/>
      <c r="AM43" s="4" t="str">
        <f>IFERROR(__xludf.DUMMYFUNCTION("""COMPUTED_VALUE"""),"Obligatorio")</f>
        <v>Obligatorio</v>
      </c>
      <c r="AN43" s="4">
        <f>IFERROR(__xludf.DUMMYFUNCTION("""COMPUTED_VALUE"""),6.0)</f>
        <v>6</v>
      </c>
      <c r="AO43" s="4" t="str">
        <f>IFERROR(__xludf.DUMMYFUNCTION("""COMPUTED_VALUE"""),"3?")</f>
        <v>3?</v>
      </c>
      <c r="AP43" s="4">
        <f>IFERROR(__xludf.DUMMYFUNCTION("""COMPUTED_VALUE"""),3.0)</f>
        <v>3</v>
      </c>
      <c r="AQ43" s="4">
        <f>IFERROR(__xludf.DUMMYFUNCTION("""COMPUTED_VALUE"""),3.0)</f>
        <v>3</v>
      </c>
      <c r="AR43" s="4">
        <f>IFERROR(__xludf.DUMMYFUNCTION("""COMPUTED_VALUE"""),1.0)</f>
        <v>1</v>
      </c>
      <c r="AS43" s="4">
        <f>IFERROR(__xludf.DUMMYFUNCTION("""COMPUTED_VALUE"""),1.0)</f>
        <v>1</v>
      </c>
      <c r="AT43" s="4" t="str">
        <f>IFERROR(__xludf.DUMMYFUNCTION("""COMPUTED_VALUE"""),"Congreso Internacional de Ingeniería con Impacto Social")</f>
        <v>Congreso Internacional de Ingeniería con Impacto Social</v>
      </c>
      <c r="AU43" s="5" t="str">
        <f>IFERROR(__xludf.DUMMYFUNCTION("""COMPUTED_VALUE"""),"https://drive.google.com/open?id=1ugtLd-k0aB28RID3Hgm1hk-d8SLn8abf")</f>
        <v>https://drive.google.com/open?id=1ugtLd-k0aB28RID3Hgm1hk-d8SLn8abf</v>
      </c>
      <c r="AV43" s="4"/>
      <c r="AW43" s="4"/>
      <c r="AX43" s="4">
        <f>IFERROR(__xludf.DUMMYFUNCTION("""COMPUTED_VALUE"""),3.0)</f>
        <v>3</v>
      </c>
      <c r="AY43" s="4" t="str">
        <f>IFERROR(__xludf.DUMMYFUNCTION("""COMPUTED_VALUE"""),"Biodigestión del POME como alternativa energética y ambiental en las extractoras de aceite de palma")</f>
        <v>Biodigestión del POME como alternativa energética y ambiental en las extractoras de aceite de palma</v>
      </c>
      <c r="AZ43" s="4"/>
      <c r="BA43" s="6" t="s">
        <v>102</v>
      </c>
      <c r="BB43" s="6" t="s">
        <v>45</v>
      </c>
      <c r="BD43" s="6" t="s">
        <v>103</v>
      </c>
      <c r="BE43" s="6" t="s">
        <v>45</v>
      </c>
      <c r="BG43" s="6" t="s">
        <v>104</v>
      </c>
      <c r="BH43" s="6" t="s">
        <v>45</v>
      </c>
      <c r="BJ43" s="6" t="s">
        <v>105</v>
      </c>
      <c r="BK43" s="6" t="s">
        <v>45</v>
      </c>
      <c r="BM43" s="6" t="s">
        <v>106</v>
      </c>
      <c r="BN43" s="6" t="s">
        <v>45</v>
      </c>
      <c r="BP43" s="6" t="s">
        <v>107</v>
      </c>
    </row>
    <row r="44">
      <c r="A44" s="4" t="str">
        <f>IFERROR(__xludf.DUMMYFUNCTION("""COMPUTED_VALUE"""),"Proy1")</f>
        <v>Proy1</v>
      </c>
      <c r="B44" s="4" t="str">
        <f>IFERROR(__xludf.DUMMYFUNCTION("""COMPUTED_VALUE"""),"Nuevo_Conocimiento")</f>
        <v>Nuevo_Conocimiento</v>
      </c>
      <c r="C44" s="4" t="str">
        <f>IFERROR(__xludf.DUMMYFUNCTION("""COMPUTED_VALUE"""),"Artículo A1")</f>
        <v>Artículo A1</v>
      </c>
      <c r="D44" s="4" t="str">
        <f>IFERROR(__xludf.DUMMYFUNCTION("""COMPUTED_VALUE"""),"Artículo A1")</f>
        <v>Artículo A1</v>
      </c>
      <c r="E44" s="4" t="str">
        <f>IFERROR(__xludf.DUMMYFUNCTION("""COMPUTED_VALUE"""),"Artículo A2")</f>
        <v>Artículo A2</v>
      </c>
      <c r="F44" s="4" t="str">
        <f>IFERROR(__xludf.DUMMYFUNCTION("""COMPUTED_VALUE"""),"Artículo B")</f>
        <v>Artículo B</v>
      </c>
      <c r="G44" s="4" t="str">
        <f>IFERROR(__xludf.DUMMYFUNCTION("""COMPUTED_VALUE"""),"Artículo C")</f>
        <v>Artículo C</v>
      </c>
      <c r="H44" s="4" t="str">
        <f>IFERROR(__xludf.DUMMYFUNCTION("""COMPUTED_VALUE"""),"Capítulo de libro A")</f>
        <v>Capítulo de libro A</v>
      </c>
      <c r="I44" s="4" t="str">
        <f>IFERROR(__xludf.DUMMYFUNCTION("""COMPUTED_VALUE"""),"Capítulo de libro A1")</f>
        <v>Capítulo de libro A1</v>
      </c>
      <c r="J44" s="4" t="str">
        <f>IFERROR(__xludf.DUMMYFUNCTION("""COMPUTED_VALUE"""),"Capítulo de libro B")</f>
        <v>Capítulo de libro B</v>
      </c>
      <c r="K44" s="4" t="str">
        <f>IFERROR(__xludf.DUMMYFUNCTION("""COMPUTED_VALUE"""),"Libro A")</f>
        <v>Libro A</v>
      </c>
      <c r="L44" s="4" t="str">
        <f>IFERROR(__xludf.DUMMYFUNCTION("""COMPUTED_VALUE"""),"Libro A1")</f>
        <v>Libro A1</v>
      </c>
      <c r="M44" s="4" t="str">
        <f>IFERROR(__xludf.DUMMYFUNCTION("""COMPUTED_VALUE"""),"Libro B")</f>
        <v>Libro B</v>
      </c>
      <c r="N44" s="4" t="str">
        <f>IFERROR(__xludf.DUMMYFUNCTION("""COMPUTED_VALUE"""),"Solicitud Patente de invención y-o modelo de utitlidad")</f>
        <v>Solicitud Patente de invención y-o modelo de utitlidad</v>
      </c>
      <c r="O44" s="4" t="str">
        <f>IFERROR(__xludf.DUMMYFUNCTION("""COMPUTED_VALUE"""),"Patente de invención")</f>
        <v>Patente de invención</v>
      </c>
      <c r="P44" s="4" t="str">
        <f>IFERROR(__xludf.DUMMYFUNCTION("""COMPUTED_VALUE"""),"Patente de modelo de utilidad")</f>
        <v>Patente de modelo de utilidad</v>
      </c>
      <c r="Q44" s="4" t="str">
        <f>IFERROR(__xludf.DUMMYFUNCTION("""COMPUTED_VALUE"""),"Artículo sin clasificar")</f>
        <v>Artículo sin clasificar</v>
      </c>
      <c r="R44" s="4" t="str">
        <f>IFERROR(__xludf.DUMMYFUNCTION("""COMPUTED_VALUE"""),"Capítulo sin clasificar")</f>
        <v>Capítulo sin clasificar</v>
      </c>
      <c r="S44" s="4"/>
      <c r="T44" s="4"/>
      <c r="U44" s="4" t="str">
        <f>IFERROR(__xludf.DUMMYFUNCTION("""COMPUTED_VALUE"""),"Ninguna")</f>
        <v>Ninguna</v>
      </c>
      <c r="V44" s="4"/>
      <c r="W44" s="4" t="str">
        <f>IFERROR(__xludf.DUMMYFUNCTION("""COMPUTED_VALUE"""),"Proyecto")</f>
        <v>Proyecto</v>
      </c>
      <c r="X44" s="4" t="str">
        <f>IFERROR(__xludf.DUMMYFUNCTION("""COMPUTED_VALUE"""),"UdeA")</f>
        <v>UdeA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 t="str">
        <f>IFERROR(__xludf.DUMMYFUNCTION("""COMPUTED_VALUE"""),"Tecnológico de Antioquia")</f>
        <v>Tecnológico de Antioquia</v>
      </c>
      <c r="AK44" s="4" t="str">
        <f>IFERROR(__xludf.DUMMYFUNCTION("""COMPUTED_VALUE"""),"Ninguna")</f>
        <v>Ninguna</v>
      </c>
      <c r="AL44" s="4"/>
      <c r="AM44" s="4" t="str">
        <f>IFERROR(__xludf.DUMMYFUNCTION("""COMPUTED_VALUE"""),"Obligatorio")</f>
        <v>Obligatorio</v>
      </c>
      <c r="AN44" s="4">
        <f>IFERROR(__xludf.DUMMYFUNCTION("""COMPUTED_VALUE"""),4.0)</f>
        <v>4</v>
      </c>
      <c r="AO44" s="4">
        <f>IFERROR(__xludf.DUMMYFUNCTION("""COMPUTED_VALUE"""),3.0)</f>
        <v>3</v>
      </c>
      <c r="AP44" s="4">
        <f>IFERROR(__xludf.DUMMYFUNCTION("""COMPUTED_VALUE"""),2.0)</f>
        <v>2</v>
      </c>
      <c r="AQ44" s="4">
        <f>IFERROR(__xludf.DUMMYFUNCTION("""COMPUTED_VALUE"""),1.0)</f>
        <v>1</v>
      </c>
      <c r="AR44" s="4">
        <f>IFERROR(__xludf.DUMMYFUNCTION("""COMPUTED_VALUE"""),2.0)</f>
        <v>2</v>
      </c>
      <c r="AS44" s="4">
        <f>IFERROR(__xludf.DUMMYFUNCTION("""COMPUTED_VALUE"""),1.0)</f>
        <v>1</v>
      </c>
      <c r="AT44" s="4" t="str">
        <f>IFERROR(__xludf.DUMMYFUNCTION("""COMPUTED_VALUE"""),"doi:10.3390/en12244679")</f>
        <v>doi:10.3390/en12244679</v>
      </c>
      <c r="AU44" s="5" t="str">
        <f>IFERROR(__xludf.DUMMYFUNCTION("""COMPUTED_VALUE"""),"https://drive.google.com/open?id=1-HqESMEmoHDsnHsd-9yMtyorAjC-QBug")</f>
        <v>https://drive.google.com/open?id=1-HqESMEmoHDsnHsd-9yMtyorAjC-QBug</v>
      </c>
      <c r="AV44" s="4"/>
      <c r="AW44" s="4"/>
      <c r="AX44" s="4">
        <f>IFERROR(__xludf.DUMMYFUNCTION("""COMPUTED_VALUE"""),3.0)</f>
        <v>3</v>
      </c>
      <c r="AY44" s="4" t="str">
        <f>IFERROR(__xludf.DUMMYFUNCTION("""COMPUTED_VALUE"""),"Design and Optimization of a Multi-Element Hydrofoil for a Horizontal-Axis Hydrokinetic Turbine")</f>
        <v>Design and Optimization of a Multi-Element Hydrofoil for a Horizontal-Axis Hydrokinetic Turbine</v>
      </c>
      <c r="AZ44" s="4" t="str">
        <f>IFERROR(__xludf.DUMMYFUNCTION("""COMPUTED_VALUE"""),"Informe 3")</f>
        <v>Informe 3</v>
      </c>
      <c r="BA44" s="6" t="s">
        <v>66</v>
      </c>
      <c r="BB44" s="6" t="s">
        <v>45</v>
      </c>
      <c r="BC44" s="6" t="s">
        <v>62</v>
      </c>
      <c r="BD44" s="6" t="s">
        <v>63</v>
      </c>
      <c r="BE44" s="6" t="s">
        <v>64</v>
      </c>
      <c r="BG44" s="9" t="s">
        <v>108</v>
      </c>
      <c r="BH44" s="6" t="s">
        <v>45</v>
      </c>
      <c r="BJ44" s="6" t="s">
        <v>109</v>
      </c>
      <c r="BK44" s="6" t="s">
        <v>45</v>
      </c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 t="s">
        <v>60</v>
      </c>
      <c r="CR44" s="6">
        <v>2.7</v>
      </c>
    </row>
    <row r="45">
      <c r="A45" s="4" t="str">
        <f>IFERROR(__xludf.DUMMYFUNCTION("""COMPUTED_VALUE"""),"Proy14")</f>
        <v>Proy14</v>
      </c>
      <c r="B45" s="4" t="str">
        <f>IFERROR(__xludf.DUMMYFUNCTION("""COMPUTED_VALUE"""),"Nuevo_Conocimiento")</f>
        <v>Nuevo_Conocimiento</v>
      </c>
      <c r="C45" s="4" t="str">
        <f>IFERROR(__xludf.DUMMYFUNCTION("""COMPUTED_VALUE"""),"Artículo A1")</f>
        <v>Artículo A1</v>
      </c>
      <c r="D45" s="4" t="str">
        <f>IFERROR(__xludf.DUMMYFUNCTION("""COMPUTED_VALUE"""),"Artículo A1")</f>
        <v>Artículo A1</v>
      </c>
      <c r="E45" s="4" t="str">
        <f>IFERROR(__xludf.DUMMYFUNCTION("""COMPUTED_VALUE"""),"Artículo A2")</f>
        <v>Artículo A2</v>
      </c>
      <c r="F45" s="4" t="str">
        <f>IFERROR(__xludf.DUMMYFUNCTION("""COMPUTED_VALUE"""),"Artículo B")</f>
        <v>Artículo B</v>
      </c>
      <c r="G45" s="4" t="str">
        <f>IFERROR(__xludf.DUMMYFUNCTION("""COMPUTED_VALUE"""),"Artículo C")</f>
        <v>Artículo C</v>
      </c>
      <c r="H45" s="4" t="str">
        <f>IFERROR(__xludf.DUMMYFUNCTION("""COMPUTED_VALUE"""),"Capítulo de libro A")</f>
        <v>Capítulo de libro A</v>
      </c>
      <c r="I45" s="4" t="str">
        <f>IFERROR(__xludf.DUMMYFUNCTION("""COMPUTED_VALUE"""),"Capítulo de libro A1")</f>
        <v>Capítulo de libro A1</v>
      </c>
      <c r="J45" s="4" t="str">
        <f>IFERROR(__xludf.DUMMYFUNCTION("""COMPUTED_VALUE"""),"Capítulo de libro B")</f>
        <v>Capítulo de libro B</v>
      </c>
      <c r="K45" s="4" t="str">
        <f>IFERROR(__xludf.DUMMYFUNCTION("""COMPUTED_VALUE"""),"Libro A")</f>
        <v>Libro A</v>
      </c>
      <c r="L45" s="4" t="str">
        <f>IFERROR(__xludf.DUMMYFUNCTION("""COMPUTED_VALUE"""),"Libro A1")</f>
        <v>Libro A1</v>
      </c>
      <c r="M45" s="4" t="str">
        <f>IFERROR(__xludf.DUMMYFUNCTION("""COMPUTED_VALUE"""),"Libro B")</f>
        <v>Libro B</v>
      </c>
      <c r="N45" s="4" t="str">
        <f>IFERROR(__xludf.DUMMYFUNCTION("""COMPUTED_VALUE"""),"Solicitud Patente de invención y-o modelo de utitlidad")</f>
        <v>Solicitud Patente de invención y-o modelo de utitlidad</v>
      </c>
      <c r="O45" s="4" t="str">
        <f>IFERROR(__xludf.DUMMYFUNCTION("""COMPUTED_VALUE"""),"Patente de invención")</f>
        <v>Patente de invención</v>
      </c>
      <c r="P45" s="4" t="str">
        <f>IFERROR(__xludf.DUMMYFUNCTION("""COMPUTED_VALUE"""),"Patente de modelo de utilidad")</f>
        <v>Patente de modelo de utilidad</v>
      </c>
      <c r="Q45" s="4" t="str">
        <f>IFERROR(__xludf.DUMMYFUNCTION("""COMPUTED_VALUE"""),"Artículo sin clasificar")</f>
        <v>Artículo sin clasificar</v>
      </c>
      <c r="R45" s="4" t="str">
        <f>IFERROR(__xludf.DUMMYFUNCTION("""COMPUTED_VALUE"""),"Capítulo sin clasificar")</f>
        <v>Capítulo sin clasificar</v>
      </c>
      <c r="S45" s="4"/>
      <c r="T45" s="4"/>
      <c r="U45" s="4" t="str">
        <f>IFERROR(__xludf.DUMMYFUNCTION("""COMPUTED_VALUE"""),"Ninguna")</f>
        <v>Ninguna</v>
      </c>
      <c r="V45" s="4"/>
      <c r="W45" s="4" t="str">
        <f>IFERROR(__xludf.DUMMYFUNCTION("""COMPUTED_VALUE"""),"Proyecto")</f>
        <v>Proyecto</v>
      </c>
      <c r="X45" s="4" t="str">
        <f>IFERROR(__xludf.DUMMYFUNCTION("""COMPUTED_VALUE"""),"UniValle")</f>
        <v>UniValle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 t="str">
        <f>IFERROR(__xludf.DUMMYFUNCTION("""COMPUTED_VALUE"""),"Ninguna")</f>
        <v>Ninguna</v>
      </c>
      <c r="AL45" s="4"/>
      <c r="AM45" s="4" t="str">
        <f>IFERROR(__xludf.DUMMYFUNCTION("""COMPUTED_VALUE"""),"Obligatorio")</f>
        <v>Obligatorio</v>
      </c>
      <c r="AN45" s="4">
        <f>IFERROR(__xludf.DUMMYFUNCTION("""COMPUTED_VALUE"""),2.0)</f>
        <v>2</v>
      </c>
      <c r="AO45" s="4">
        <f>IFERROR(__xludf.DUMMYFUNCTION("""COMPUTED_VALUE"""),2.0)</f>
        <v>2</v>
      </c>
      <c r="AP45" s="4">
        <f>IFERROR(__xludf.DUMMYFUNCTION("""COMPUTED_VALUE"""),1.0)</f>
        <v>1</v>
      </c>
      <c r="AQ45" s="4">
        <f>IFERROR(__xludf.DUMMYFUNCTION("""COMPUTED_VALUE"""),1.0)</f>
        <v>1</v>
      </c>
      <c r="AR45" s="4">
        <f>IFERROR(__xludf.DUMMYFUNCTION("""COMPUTED_VALUE"""),1.0)</f>
        <v>1</v>
      </c>
      <c r="AS45" s="4">
        <f>IFERROR(__xludf.DUMMYFUNCTION("""COMPUTED_VALUE"""),1.0)</f>
        <v>1</v>
      </c>
      <c r="AT45" s="4" t="str">
        <f>IFERROR(__xludf.DUMMYFUNCTION("""COMPUTED_VALUE"""),"doi: 10.1049/iet-gtd.2019.0037")</f>
        <v>doi: 10.1049/iet-gtd.2019.0037</v>
      </c>
      <c r="AU45" s="5" t="str">
        <f>IFERROR(__xludf.DUMMYFUNCTION("""COMPUTED_VALUE"""),"https://drive.google.com/open?id=1fRU-A9dt_ueHqq3bVUje8jdXWbJUYsLx")</f>
        <v>https://drive.google.com/open?id=1fRU-A9dt_ueHqq3bVUje8jdXWbJUYsLx</v>
      </c>
      <c r="AV45" s="4"/>
      <c r="AW45" s="4"/>
      <c r="AX45" s="4">
        <f>IFERROR(__xludf.DUMMYFUNCTION("""COMPUTED_VALUE"""),3.0)</f>
        <v>3</v>
      </c>
      <c r="AY45" s="4" t="str">
        <f>IFERROR(__xludf.DUMMYFUNCTION("""COMPUTED_VALUE"""),"Optimal management of electric power in microgrids under a strategic multi-objective decision-making approach and operational proportional adjustment")</f>
        <v>Optimal management of electric power in microgrids under a strategic multi-objective decision-making approach and operational proportional adjustment</v>
      </c>
      <c r="AZ45" s="4"/>
      <c r="BA45" s="10" t="s">
        <v>110</v>
      </c>
      <c r="BB45" s="6" t="s">
        <v>111</v>
      </c>
      <c r="BD45" s="6" t="s">
        <v>112</v>
      </c>
      <c r="BE45" s="6" t="s">
        <v>111</v>
      </c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 t="s">
        <v>113</v>
      </c>
      <c r="CR45" s="6">
        <v>3.2</v>
      </c>
    </row>
    <row r="46">
      <c r="A46" s="4" t="str">
        <f>IFERROR(__xludf.DUMMYFUNCTION("""COMPUTED_VALUE"""),"Proy1")</f>
        <v>Proy1</v>
      </c>
      <c r="B46" s="4" t="str">
        <f>IFERROR(__xludf.DUMMYFUNCTION("""COMPUTED_VALUE"""),"Formación_RH")</f>
        <v>Formación_RH</v>
      </c>
      <c r="C46" s="4" t="str">
        <f>IFERROR(__xludf.DUMMYFUNCTION("""COMPUTED_VALUE"""),"Vinculación de estudiante de maestría")</f>
        <v>Vinculación de estudiante de maestría</v>
      </c>
      <c r="D46" s="4" t="str">
        <f>IFERROR(__xludf.DUMMYFUNCTION("""COMPUTED_VALUE"""),"Vinculación de estudiante de doctorado")</f>
        <v>Vinculación de estudiante de doctorado</v>
      </c>
      <c r="E46" s="4" t="str">
        <f>IFERROR(__xludf.DUMMYFUNCTION("""COMPUTED_VALUE"""),"Formación de estudiante de doctorado")</f>
        <v>Formación de estudiante de doctorado</v>
      </c>
      <c r="F46" s="4" t="str">
        <f>IFERROR(__xludf.DUMMYFUNCTION("""COMPUTED_VALUE"""),"Vinculación de estudiante de maestría")</f>
        <v>Vinculación de estudiante de maestría</v>
      </c>
      <c r="G46" s="4" t="str">
        <f>IFERROR(__xludf.DUMMYFUNCTION("""COMPUTED_VALUE"""),"Formación de estudiante de maestría")</f>
        <v>Formación de estudiante de maestría</v>
      </c>
      <c r="H46" s="4" t="str">
        <f>IFERROR(__xludf.DUMMYFUNCTION("""COMPUTED_VALUE"""),"Vinculación de estudiante de pregrado")</f>
        <v>Vinculación de estudiante de pregrado</v>
      </c>
      <c r="I46" s="4" t="str">
        <f>IFERROR(__xludf.DUMMYFUNCTION("""COMPUTED_VALUE"""),"Formación de estudiante de pregrado")</f>
        <v>Formación de estudiante de pregrado</v>
      </c>
      <c r="J46" s="4" t="str">
        <f>IFERROR(__xludf.DUMMYFUNCTION("""COMPUTED_VALUE"""),"Joven investigador")</f>
        <v>Joven investigador</v>
      </c>
      <c r="K46" s="4" t="str">
        <f>IFERROR(__xludf.DUMMYFUNCTION("""COMPUTED_VALUE"""),"Pasantía nacional")</f>
        <v>Pasantía nacional</v>
      </c>
      <c r="L46" s="4" t="str">
        <f>IFERROR(__xludf.DUMMYFUNCTION("""COMPUTED_VALUE"""),"Pasantía internacional")</f>
        <v>Pasantía internacional</v>
      </c>
      <c r="M46" s="4"/>
      <c r="N46" s="4"/>
      <c r="O46" s="4"/>
      <c r="P46" s="4"/>
      <c r="Q46" s="4"/>
      <c r="R46" s="4"/>
      <c r="S46" s="4"/>
      <c r="T46" s="4"/>
      <c r="U46" s="4" t="str">
        <f>IFERROR(__xludf.DUMMYFUNCTION("""COMPUTED_VALUE"""),"Ninguna")</f>
        <v>Ninguna</v>
      </c>
      <c r="V46" s="4"/>
      <c r="W46" s="4" t="str">
        <f>IFERROR(__xludf.DUMMYFUNCTION("""COMPUTED_VALUE"""),"Proyecto")</f>
        <v>Proyecto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tr">
        <f>IFERROR(__xludf.DUMMYFUNCTION("""COMPUTED_VALUE"""),"Obligatorio")</f>
        <v>Obligatorio</v>
      </c>
      <c r="AN46" s="4"/>
      <c r="AO46" s="4"/>
      <c r="AP46" s="4"/>
      <c r="AQ46" s="4"/>
      <c r="AR46" s="4"/>
      <c r="AS46" s="4"/>
      <c r="AT46" s="4" t="str">
        <f>IFERROR(__xludf.DUMMYFUNCTION("""COMPUTED_VALUE"""),"Daniel Augusto Ramírez Hernández")</f>
        <v>Daniel Augusto Ramírez Hernández</v>
      </c>
      <c r="AU46" s="4"/>
      <c r="AV46" s="4"/>
      <c r="AW46" s="4" t="str">
        <f>IFERROR(__xludf.DUMMYFUNCTION("""COMPUTED_VALUE"""),"En Curso")</f>
        <v>En Curso</v>
      </c>
      <c r="AX46" s="4">
        <f>IFERROR(__xludf.DUMMYFUNCTION("""COMPUTED_VALUE"""),3.0)</f>
        <v>3</v>
      </c>
      <c r="AY46" s="4" t="str">
        <f>IFERROR(__xludf.DUMMYFUNCTION("""COMPUTED_VALUE"""),"Maestría en Ingeniería - UdeA")</f>
        <v>Maestría en Ingeniería - UdeA</v>
      </c>
      <c r="AZ46" s="4"/>
    </row>
    <row r="47">
      <c r="A47" s="4" t="str">
        <f>IFERROR(__xludf.DUMMYFUNCTION("""COMPUTED_VALUE"""),"Proy1")</f>
        <v>Proy1</v>
      </c>
      <c r="B47" s="4" t="str">
        <f>IFERROR(__xludf.DUMMYFUNCTION("""COMPUTED_VALUE"""),"Formación_RH")</f>
        <v>Formación_RH</v>
      </c>
      <c r="C47" s="4" t="str">
        <f>IFERROR(__xludf.DUMMYFUNCTION("""COMPUTED_VALUE"""),"Vinculación de estudiante de pregrado")</f>
        <v>Vinculación de estudiante de pregrado</v>
      </c>
      <c r="D47" s="4" t="str">
        <f>IFERROR(__xludf.DUMMYFUNCTION("""COMPUTED_VALUE"""),"Vinculación de estudiante de doctorado")</f>
        <v>Vinculación de estudiante de doctorado</v>
      </c>
      <c r="E47" s="4" t="str">
        <f>IFERROR(__xludf.DUMMYFUNCTION("""COMPUTED_VALUE"""),"Formación de estudiante de doctorado")</f>
        <v>Formación de estudiante de doctorado</v>
      </c>
      <c r="F47" s="4" t="str">
        <f>IFERROR(__xludf.DUMMYFUNCTION("""COMPUTED_VALUE"""),"Vinculación de estudiante de maestría")</f>
        <v>Vinculación de estudiante de maestría</v>
      </c>
      <c r="G47" s="4" t="str">
        <f>IFERROR(__xludf.DUMMYFUNCTION("""COMPUTED_VALUE"""),"Formación de estudiante de maestría")</f>
        <v>Formación de estudiante de maestría</v>
      </c>
      <c r="H47" s="4" t="str">
        <f>IFERROR(__xludf.DUMMYFUNCTION("""COMPUTED_VALUE"""),"Vinculación de estudiante de pregrado")</f>
        <v>Vinculación de estudiante de pregrado</v>
      </c>
      <c r="I47" s="4" t="str">
        <f>IFERROR(__xludf.DUMMYFUNCTION("""COMPUTED_VALUE"""),"Formación de estudiante de pregrado")</f>
        <v>Formación de estudiante de pregrado</v>
      </c>
      <c r="J47" s="4" t="str">
        <f>IFERROR(__xludf.DUMMYFUNCTION("""COMPUTED_VALUE"""),"Joven investigador")</f>
        <v>Joven investigador</v>
      </c>
      <c r="K47" s="4" t="str">
        <f>IFERROR(__xludf.DUMMYFUNCTION("""COMPUTED_VALUE"""),"Pasantía nacional")</f>
        <v>Pasantía nacional</v>
      </c>
      <c r="L47" s="4" t="str">
        <f>IFERROR(__xludf.DUMMYFUNCTION("""COMPUTED_VALUE"""),"Pasantía internacional")</f>
        <v>Pasantía internacional</v>
      </c>
      <c r="M47" s="4"/>
      <c r="N47" s="4"/>
      <c r="O47" s="4"/>
      <c r="P47" s="4"/>
      <c r="Q47" s="4"/>
      <c r="R47" s="4"/>
      <c r="S47" s="4"/>
      <c r="T47" s="4"/>
      <c r="U47" s="4" t="str">
        <f>IFERROR(__xludf.DUMMYFUNCTION("""COMPUTED_VALUE"""),"Ninguna")</f>
        <v>Ninguna</v>
      </c>
      <c r="V47" s="4"/>
      <c r="W47" s="4" t="str">
        <f>IFERROR(__xludf.DUMMYFUNCTION("""COMPUTED_VALUE"""),"Proyecto")</f>
        <v>Proyecto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tr">
        <f>IFERROR(__xludf.DUMMYFUNCTION("""COMPUTED_VALUE"""),"Obligatorio")</f>
        <v>Obligatorio</v>
      </c>
      <c r="AN47" s="4"/>
      <c r="AO47" s="4"/>
      <c r="AP47" s="4"/>
      <c r="AQ47" s="4"/>
      <c r="AR47" s="4"/>
      <c r="AS47" s="4"/>
      <c r="AT47" s="4" t="str">
        <f>IFERROR(__xludf.DUMMYFUNCTION("""COMPUTED_VALUE"""),"Andrés Felipe Maldonado")</f>
        <v>Andrés Felipe Maldonado</v>
      </c>
      <c r="AU47" s="4"/>
      <c r="AV47" s="4"/>
      <c r="AW47" s="4" t="str">
        <f>IFERROR(__xludf.DUMMYFUNCTION("""COMPUTED_VALUE"""),"En Curso")</f>
        <v>En Curso</v>
      </c>
      <c r="AX47" s="4">
        <f>IFERROR(__xludf.DUMMYFUNCTION("""COMPUTED_VALUE"""),3.0)</f>
        <v>3</v>
      </c>
      <c r="AY47" s="4" t="str">
        <f>IFERROR(__xludf.DUMMYFUNCTION("""COMPUTED_VALUE"""),"Ingeniería de Materiales  -UdEA")</f>
        <v>Ingeniería de Materiales  -UdEA</v>
      </c>
      <c r="AZ47" s="4"/>
    </row>
    <row r="48">
      <c r="A48" s="4" t="str">
        <f>IFERROR(__xludf.DUMMYFUNCTION("""COMPUTED_VALUE"""),"Proy3")</f>
        <v>Proy3</v>
      </c>
      <c r="B48" s="4" t="str">
        <f>IFERROR(__xludf.DUMMYFUNCTION("""COMPUTED_VALUE"""),"Formación_RH")</f>
        <v>Formación_RH</v>
      </c>
      <c r="C48" s="4" t="str">
        <f>IFERROR(__xludf.DUMMYFUNCTION("""COMPUTED_VALUE"""),"Vinculación de estudiante de pregrado")</f>
        <v>Vinculación de estudiante de pregrado</v>
      </c>
      <c r="D48" s="4" t="str">
        <f>IFERROR(__xludf.DUMMYFUNCTION("""COMPUTED_VALUE"""),"Vinculación de estudiante de doctorado")</f>
        <v>Vinculación de estudiante de doctorado</v>
      </c>
      <c r="E48" s="4" t="str">
        <f>IFERROR(__xludf.DUMMYFUNCTION("""COMPUTED_VALUE"""),"Formación de estudiante de doctorado")</f>
        <v>Formación de estudiante de doctorado</v>
      </c>
      <c r="F48" s="4" t="str">
        <f>IFERROR(__xludf.DUMMYFUNCTION("""COMPUTED_VALUE"""),"Vinculación de estudiante de maestría")</f>
        <v>Vinculación de estudiante de maestría</v>
      </c>
      <c r="G48" s="4" t="str">
        <f>IFERROR(__xludf.DUMMYFUNCTION("""COMPUTED_VALUE"""),"Formación de estudiante de maestría")</f>
        <v>Formación de estudiante de maestría</v>
      </c>
      <c r="H48" s="4" t="str">
        <f>IFERROR(__xludf.DUMMYFUNCTION("""COMPUTED_VALUE"""),"Vinculación de estudiante de pregrado")</f>
        <v>Vinculación de estudiante de pregrado</v>
      </c>
      <c r="I48" s="4" t="str">
        <f>IFERROR(__xludf.DUMMYFUNCTION("""COMPUTED_VALUE"""),"Formación de estudiante de pregrado")</f>
        <v>Formación de estudiante de pregrado</v>
      </c>
      <c r="J48" s="4" t="str">
        <f>IFERROR(__xludf.DUMMYFUNCTION("""COMPUTED_VALUE"""),"Joven investigador")</f>
        <v>Joven investigador</v>
      </c>
      <c r="K48" s="4" t="str">
        <f>IFERROR(__xludf.DUMMYFUNCTION("""COMPUTED_VALUE"""),"Pasantía nacional")</f>
        <v>Pasantía nacional</v>
      </c>
      <c r="L48" s="4" t="str">
        <f>IFERROR(__xludf.DUMMYFUNCTION("""COMPUTED_VALUE"""),"Pasantía internacional")</f>
        <v>Pasantía internacional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 t="str">
        <f>IFERROR(__xludf.DUMMYFUNCTION("""COMPUTED_VALUE"""),"Ninguna")</f>
        <v>Ninguna</v>
      </c>
      <c r="AL48" s="4"/>
      <c r="AM48" s="4"/>
      <c r="AN48" s="4"/>
      <c r="AO48" s="4"/>
      <c r="AP48" s="4"/>
      <c r="AQ48" s="4"/>
      <c r="AR48" s="4"/>
      <c r="AS48" s="4"/>
      <c r="AT48" s="4" t="str">
        <f>IFERROR(__xludf.DUMMYFUNCTION("""COMPUTED_VALUE"""),"Andrés Saldarriaga Gutiérrez")</f>
        <v>Andrés Saldarriaga Gutiérrez</v>
      </c>
      <c r="AU48" s="4"/>
      <c r="AV48" s="4"/>
      <c r="AW48" s="4" t="str">
        <f>IFERROR(__xludf.DUMMYFUNCTION("""COMPUTED_VALUE"""),"En Curso")</f>
        <v>En Curso</v>
      </c>
      <c r="AX48" s="4">
        <f>IFERROR(__xludf.DUMMYFUNCTION("""COMPUTED_VALUE"""),4.0)</f>
        <v>4</v>
      </c>
      <c r="AY48" s="4" t="str">
        <f>IFERROR(__xludf.DUMMYFUNCTION("""COMPUTED_VALUE"""),"Ingeniería Mecánica - UdeA")</f>
        <v>Ingeniería Mecánica - UdeA</v>
      </c>
      <c r="AZ48" s="4"/>
    </row>
    <row r="49">
      <c r="A49" s="4" t="str">
        <f>IFERROR(__xludf.DUMMYFUNCTION("""COMPUTED_VALUE"""),"Proy7")</f>
        <v>Proy7</v>
      </c>
      <c r="B49" s="4" t="str">
        <f>IFERROR(__xludf.DUMMYFUNCTION("""COMPUTED_VALUE"""),"Formación_RH")</f>
        <v>Formación_RH</v>
      </c>
      <c r="C49" s="4" t="str">
        <f>IFERROR(__xludf.DUMMYFUNCTION("""COMPUTED_VALUE"""),"Vinculación de estudiante de pregrado")</f>
        <v>Vinculación de estudiante de pregrado</v>
      </c>
      <c r="D49" s="4" t="str">
        <f>IFERROR(__xludf.DUMMYFUNCTION("""COMPUTED_VALUE"""),"Vinculación de estudiante de doctorado")</f>
        <v>Vinculación de estudiante de doctorado</v>
      </c>
      <c r="E49" s="4" t="str">
        <f>IFERROR(__xludf.DUMMYFUNCTION("""COMPUTED_VALUE"""),"Formación de estudiante de doctorado")</f>
        <v>Formación de estudiante de doctorado</v>
      </c>
      <c r="F49" s="4" t="str">
        <f>IFERROR(__xludf.DUMMYFUNCTION("""COMPUTED_VALUE"""),"Vinculación de estudiante de maestría")</f>
        <v>Vinculación de estudiante de maestría</v>
      </c>
      <c r="G49" s="4" t="str">
        <f>IFERROR(__xludf.DUMMYFUNCTION("""COMPUTED_VALUE"""),"Formación de estudiante de maestría")</f>
        <v>Formación de estudiante de maestría</v>
      </c>
      <c r="H49" s="4" t="str">
        <f>IFERROR(__xludf.DUMMYFUNCTION("""COMPUTED_VALUE"""),"Vinculación de estudiante de pregrado")</f>
        <v>Vinculación de estudiante de pregrado</v>
      </c>
      <c r="I49" s="4" t="str">
        <f>IFERROR(__xludf.DUMMYFUNCTION("""COMPUTED_VALUE"""),"Formación de estudiante de pregrado")</f>
        <v>Formación de estudiante de pregrado</v>
      </c>
      <c r="J49" s="4" t="str">
        <f>IFERROR(__xludf.DUMMYFUNCTION("""COMPUTED_VALUE"""),"Joven investigador")</f>
        <v>Joven investigador</v>
      </c>
      <c r="K49" s="4" t="str">
        <f>IFERROR(__xludf.DUMMYFUNCTION("""COMPUTED_VALUE"""),"Pasantía nacional")</f>
        <v>Pasantía nacional</v>
      </c>
      <c r="L49" s="4" t="str">
        <f>IFERROR(__xludf.DUMMYFUNCTION("""COMPUTED_VALUE"""),"Pasantía internacional")</f>
        <v>Pasantía internacional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tr">
        <f>IFERROR(__xludf.DUMMYFUNCTION("""COMPUTED_VALUE"""),"Obligatorio")</f>
        <v>Obligatorio</v>
      </c>
      <c r="AN49" s="4"/>
      <c r="AO49" s="4"/>
      <c r="AP49" s="4"/>
      <c r="AQ49" s="4"/>
      <c r="AR49" s="4"/>
      <c r="AS49" s="4"/>
      <c r="AT49" s="4" t="str">
        <f>IFERROR(__xludf.DUMMYFUNCTION("""COMPUTED_VALUE"""),"HEYDER FELIPE SOSA MÚNERA")</f>
        <v>HEYDER FELIPE SOSA MÚNERA</v>
      </c>
      <c r="AU49" s="5" t="str">
        <f>IFERROR(__xludf.DUMMYFUNCTION("""COMPUTED_VALUE"""),"https://drive.google.com/file/d/1pxoP3UqyMTZr0MzlbhbZgdTMr_xzoCn0/view?usp=sharing")</f>
        <v>https://drive.google.com/file/d/1pxoP3UqyMTZr0MzlbhbZgdTMr_xzoCn0/view?usp=sharing</v>
      </c>
      <c r="AV49" s="4"/>
      <c r="AW49" s="4" t="str">
        <f>IFERROR(__xludf.DUMMYFUNCTION("""COMPUTED_VALUE"""),"En Curso")</f>
        <v>En Curso</v>
      </c>
      <c r="AX49" s="4">
        <f>IFERROR(__xludf.DUMMYFUNCTION("""COMPUTED_VALUE"""),4.0)</f>
        <v>4</v>
      </c>
      <c r="AY49" s="4" t="str">
        <f>IFERROR(__xludf.DUMMYFUNCTION("""COMPUTED_VALUE"""),"Ingeniería Mecánica - UdeA")</f>
        <v>Ingeniería Mecánica - UdeA</v>
      </c>
      <c r="AZ49" s="4"/>
    </row>
    <row r="50">
      <c r="A50" s="4" t="str">
        <f>IFERROR(__xludf.DUMMYFUNCTION("""COMPUTED_VALUE"""),"Proy7")</f>
        <v>Proy7</v>
      </c>
      <c r="B50" s="4" t="str">
        <f>IFERROR(__xludf.DUMMYFUNCTION("""COMPUTED_VALUE"""),"Formación_RH")</f>
        <v>Formación_RH</v>
      </c>
      <c r="C50" s="4" t="str">
        <f>IFERROR(__xludf.DUMMYFUNCTION("""COMPUTED_VALUE"""),"Vinculación de estudiante de pregrado")</f>
        <v>Vinculación de estudiante de pregrado</v>
      </c>
      <c r="D50" s="4" t="str">
        <f>IFERROR(__xludf.DUMMYFUNCTION("""COMPUTED_VALUE"""),"Vinculación de estudiante de doctorado")</f>
        <v>Vinculación de estudiante de doctorado</v>
      </c>
      <c r="E50" s="4" t="str">
        <f>IFERROR(__xludf.DUMMYFUNCTION("""COMPUTED_VALUE"""),"Formación de estudiante de doctorado")</f>
        <v>Formación de estudiante de doctorado</v>
      </c>
      <c r="F50" s="4" t="str">
        <f>IFERROR(__xludf.DUMMYFUNCTION("""COMPUTED_VALUE"""),"Vinculación de estudiante de maestría")</f>
        <v>Vinculación de estudiante de maestría</v>
      </c>
      <c r="G50" s="4" t="str">
        <f>IFERROR(__xludf.DUMMYFUNCTION("""COMPUTED_VALUE"""),"Formación de estudiante de maestría")</f>
        <v>Formación de estudiante de maestría</v>
      </c>
      <c r="H50" s="4" t="str">
        <f>IFERROR(__xludf.DUMMYFUNCTION("""COMPUTED_VALUE"""),"Vinculación de estudiante de pregrado")</f>
        <v>Vinculación de estudiante de pregrado</v>
      </c>
      <c r="I50" s="4" t="str">
        <f>IFERROR(__xludf.DUMMYFUNCTION("""COMPUTED_VALUE"""),"Formación de estudiante de pregrado")</f>
        <v>Formación de estudiante de pregrado</v>
      </c>
      <c r="J50" s="4" t="str">
        <f>IFERROR(__xludf.DUMMYFUNCTION("""COMPUTED_VALUE"""),"Joven investigador")</f>
        <v>Joven investigador</v>
      </c>
      <c r="K50" s="4" t="str">
        <f>IFERROR(__xludf.DUMMYFUNCTION("""COMPUTED_VALUE"""),"Pasantía nacional")</f>
        <v>Pasantía nacional</v>
      </c>
      <c r="L50" s="4" t="str">
        <f>IFERROR(__xludf.DUMMYFUNCTION("""COMPUTED_VALUE"""),"Pasantía internacional")</f>
        <v>Pasantía internacional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tr">
        <f>IFERROR(__xludf.DUMMYFUNCTION("""COMPUTED_VALUE"""),"Obligatorio")</f>
        <v>Obligatorio</v>
      </c>
      <c r="AN50" s="4"/>
      <c r="AO50" s="4"/>
      <c r="AP50" s="4"/>
      <c r="AQ50" s="4"/>
      <c r="AR50" s="4"/>
      <c r="AS50" s="4"/>
      <c r="AT50" s="4" t="str">
        <f>IFERROR(__xludf.DUMMYFUNCTION("""COMPUTED_VALUE"""),"JOUSEF EMIL KARAM ACEVEDO")</f>
        <v>JOUSEF EMIL KARAM ACEVEDO</v>
      </c>
      <c r="AU50" s="5" t="str">
        <f>IFERROR(__xludf.DUMMYFUNCTION("""COMPUTED_VALUE"""),"https://drive.google.com/file/d/1V6uXlWX1hq5mog8jIRCrsFnX-AI8hheD/view?usp=sharing")</f>
        <v>https://drive.google.com/file/d/1V6uXlWX1hq5mog8jIRCrsFnX-AI8hheD/view?usp=sharing</v>
      </c>
      <c r="AV50" s="4"/>
      <c r="AW50" s="4" t="str">
        <f>IFERROR(__xludf.DUMMYFUNCTION("""COMPUTED_VALUE"""),"En Curso")</f>
        <v>En Curso</v>
      </c>
      <c r="AX50" s="4">
        <f>IFERROR(__xludf.DUMMYFUNCTION("""COMPUTED_VALUE"""),4.0)</f>
        <v>4</v>
      </c>
      <c r="AY50" s="4" t="str">
        <f>IFERROR(__xludf.DUMMYFUNCTION("""COMPUTED_VALUE"""),"Ingeniería Mecánica - UdeA")</f>
        <v>Ingeniería Mecánica - UdeA</v>
      </c>
      <c r="AZ50" s="4"/>
    </row>
    <row r="51">
      <c r="A51" s="4" t="str">
        <f>IFERROR(__xludf.DUMMYFUNCTION("""COMPUTED_VALUE"""),"Proy7")</f>
        <v>Proy7</v>
      </c>
      <c r="B51" s="4" t="str">
        <f>IFERROR(__xludf.DUMMYFUNCTION("""COMPUTED_VALUE"""),"Formación_RH")</f>
        <v>Formación_RH</v>
      </c>
      <c r="C51" s="4" t="str">
        <f>IFERROR(__xludf.DUMMYFUNCTION("""COMPUTED_VALUE"""),"Vinculación de estudiante de pregrado")</f>
        <v>Vinculación de estudiante de pregrado</v>
      </c>
      <c r="D51" s="4" t="str">
        <f>IFERROR(__xludf.DUMMYFUNCTION("""COMPUTED_VALUE"""),"Vinculación de estudiante de doctorado")</f>
        <v>Vinculación de estudiante de doctorado</v>
      </c>
      <c r="E51" s="4" t="str">
        <f>IFERROR(__xludf.DUMMYFUNCTION("""COMPUTED_VALUE"""),"Formación de estudiante de doctorado")</f>
        <v>Formación de estudiante de doctorado</v>
      </c>
      <c r="F51" s="4" t="str">
        <f>IFERROR(__xludf.DUMMYFUNCTION("""COMPUTED_VALUE"""),"Vinculación de estudiante de maestría")</f>
        <v>Vinculación de estudiante de maestría</v>
      </c>
      <c r="G51" s="4" t="str">
        <f>IFERROR(__xludf.DUMMYFUNCTION("""COMPUTED_VALUE"""),"Formación de estudiante de maestría")</f>
        <v>Formación de estudiante de maestría</v>
      </c>
      <c r="H51" s="4" t="str">
        <f>IFERROR(__xludf.DUMMYFUNCTION("""COMPUTED_VALUE"""),"Vinculación de estudiante de pregrado")</f>
        <v>Vinculación de estudiante de pregrado</v>
      </c>
      <c r="I51" s="4" t="str">
        <f>IFERROR(__xludf.DUMMYFUNCTION("""COMPUTED_VALUE"""),"Formación de estudiante de pregrado")</f>
        <v>Formación de estudiante de pregrado</v>
      </c>
      <c r="J51" s="4" t="str">
        <f>IFERROR(__xludf.DUMMYFUNCTION("""COMPUTED_VALUE"""),"Joven investigador")</f>
        <v>Joven investigador</v>
      </c>
      <c r="K51" s="4" t="str">
        <f>IFERROR(__xludf.DUMMYFUNCTION("""COMPUTED_VALUE"""),"Pasantía nacional")</f>
        <v>Pasantía nacional</v>
      </c>
      <c r="L51" s="4" t="str">
        <f>IFERROR(__xludf.DUMMYFUNCTION("""COMPUTED_VALUE"""),"Pasantía internacional")</f>
        <v>Pasantía internacional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tr">
        <f>IFERROR(__xludf.DUMMYFUNCTION("""COMPUTED_VALUE"""),"Obligatorio")</f>
        <v>Obligatorio</v>
      </c>
      <c r="AN51" s="4"/>
      <c r="AO51" s="4"/>
      <c r="AP51" s="4"/>
      <c r="AQ51" s="4"/>
      <c r="AR51" s="4"/>
      <c r="AS51" s="4"/>
      <c r="AT51" s="4" t="str">
        <f>IFERROR(__xludf.DUMMYFUNCTION("""COMPUTED_VALUE"""),"TAYLOR DE LA VEGA GONZÁLEZ")</f>
        <v>TAYLOR DE LA VEGA GONZÁLEZ</v>
      </c>
      <c r="AU51" s="5" t="str">
        <f>IFERROR(__xludf.DUMMYFUNCTION("""COMPUTED_VALUE"""),"https://drive.google.com/open?id=1eqZwqhrJIN2TltIpLjrf_yD6jLIw64wR")</f>
        <v>https://drive.google.com/open?id=1eqZwqhrJIN2TltIpLjrf_yD6jLIw64wR</v>
      </c>
      <c r="AV51" s="4"/>
      <c r="AW51" s="4" t="str">
        <f>IFERROR(__xludf.DUMMYFUNCTION("""COMPUTED_VALUE"""),"En Curso")</f>
        <v>En Curso</v>
      </c>
      <c r="AX51" s="4">
        <f>IFERROR(__xludf.DUMMYFUNCTION("""COMPUTED_VALUE"""),4.0)</f>
        <v>4</v>
      </c>
      <c r="AY51" s="4" t="str">
        <f>IFERROR(__xludf.DUMMYFUNCTION("""COMPUTED_VALUE"""),"Inveniería Mecánica - U. Córdoba")</f>
        <v>Inveniería Mecánica - U. Córdoba</v>
      </c>
      <c r="AZ51" s="4"/>
    </row>
    <row r="52">
      <c r="A52" s="4" t="str">
        <f>IFERROR(__xludf.DUMMYFUNCTION("""COMPUTED_VALUE"""),"Proy10")</f>
        <v>Proy10</v>
      </c>
      <c r="B52" s="4" t="str">
        <f>IFERROR(__xludf.DUMMYFUNCTION("""COMPUTED_VALUE"""),"Formación_RH")</f>
        <v>Formación_RH</v>
      </c>
      <c r="C52" s="4" t="str">
        <f>IFERROR(__xludf.DUMMYFUNCTION("""COMPUTED_VALUE"""),"Vinculación de estudiante de pregrado")</f>
        <v>Vinculación de estudiante de pregrado</v>
      </c>
      <c r="D52" s="4" t="str">
        <f>IFERROR(__xludf.DUMMYFUNCTION("""COMPUTED_VALUE"""),"Vinculación de estudiante de doctorado")</f>
        <v>Vinculación de estudiante de doctorado</v>
      </c>
      <c r="E52" s="4" t="str">
        <f>IFERROR(__xludf.DUMMYFUNCTION("""COMPUTED_VALUE"""),"Formación de estudiante de doctorado")</f>
        <v>Formación de estudiante de doctorado</v>
      </c>
      <c r="F52" s="4" t="str">
        <f>IFERROR(__xludf.DUMMYFUNCTION("""COMPUTED_VALUE"""),"Vinculación de estudiante de maestría")</f>
        <v>Vinculación de estudiante de maestría</v>
      </c>
      <c r="G52" s="4" t="str">
        <f>IFERROR(__xludf.DUMMYFUNCTION("""COMPUTED_VALUE"""),"Formación de estudiante de maestría")</f>
        <v>Formación de estudiante de maestría</v>
      </c>
      <c r="H52" s="4" t="str">
        <f>IFERROR(__xludf.DUMMYFUNCTION("""COMPUTED_VALUE"""),"Vinculación de estudiante de pregrado")</f>
        <v>Vinculación de estudiante de pregrado</v>
      </c>
      <c r="I52" s="4" t="str">
        <f>IFERROR(__xludf.DUMMYFUNCTION("""COMPUTED_VALUE"""),"Formación de estudiante de pregrado")</f>
        <v>Formación de estudiante de pregrado</v>
      </c>
      <c r="J52" s="4" t="str">
        <f>IFERROR(__xludf.DUMMYFUNCTION("""COMPUTED_VALUE"""),"Joven investigador")</f>
        <v>Joven investigador</v>
      </c>
      <c r="K52" s="4" t="str">
        <f>IFERROR(__xludf.DUMMYFUNCTION("""COMPUTED_VALUE"""),"Pasantía nacional")</f>
        <v>Pasantía nacional</v>
      </c>
      <c r="L52" s="4" t="str">
        <f>IFERROR(__xludf.DUMMYFUNCTION("""COMPUTED_VALUE"""),"Pasantía internacional")</f>
        <v>Pasantía internacional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 t="str">
        <f>IFERROR(__xludf.DUMMYFUNCTION("""COMPUTED_VALUE"""),"ALEJANDRO RESTREPO ROMÁN")</f>
        <v>ALEJANDRO RESTREPO ROMÁN</v>
      </c>
      <c r="AU52" s="4"/>
      <c r="AV52" s="4"/>
      <c r="AW52" s="4" t="str">
        <f>IFERROR(__xludf.DUMMYFUNCTION("""COMPUTED_VALUE"""),"En Curso")</f>
        <v>En Curso</v>
      </c>
      <c r="AX52" s="4">
        <f>IFERROR(__xludf.DUMMYFUNCTION("""COMPUTED_VALUE"""),4.0)</f>
        <v>4</v>
      </c>
      <c r="AY52" s="4" t="str">
        <f>IFERROR(__xludf.DUMMYFUNCTION("""COMPUTED_VALUE"""),"Ingeniería Mecánica - UdeA")</f>
        <v>Ingeniería Mecánica - UdeA</v>
      </c>
      <c r="AZ52" s="4"/>
    </row>
    <row r="53">
      <c r="A53" s="4" t="str">
        <f>IFERROR(__xludf.DUMMYFUNCTION("""COMPUTED_VALUE"""),"Proy14")</f>
        <v>Proy14</v>
      </c>
      <c r="B53" s="4" t="str">
        <f>IFERROR(__xludf.DUMMYFUNCTION("""COMPUTED_VALUE"""),"Formación_RH")</f>
        <v>Formación_RH</v>
      </c>
      <c r="C53" s="4" t="str">
        <f>IFERROR(__xludf.DUMMYFUNCTION("""COMPUTED_VALUE"""),"Vinculación de estudiante de doctorado")</f>
        <v>Vinculación de estudiante de doctorado</v>
      </c>
      <c r="D53" s="4" t="str">
        <f>IFERROR(__xludf.DUMMYFUNCTION("""COMPUTED_VALUE"""),"Vinculación de estudiante de doctorado")</f>
        <v>Vinculación de estudiante de doctorado</v>
      </c>
      <c r="E53" s="4" t="str">
        <f>IFERROR(__xludf.DUMMYFUNCTION("""COMPUTED_VALUE"""),"Formación de estudiante de doctorado")</f>
        <v>Formación de estudiante de doctorado</v>
      </c>
      <c r="F53" s="4" t="str">
        <f>IFERROR(__xludf.DUMMYFUNCTION("""COMPUTED_VALUE"""),"Vinculación de estudiante de maestría")</f>
        <v>Vinculación de estudiante de maestría</v>
      </c>
      <c r="G53" s="4" t="str">
        <f>IFERROR(__xludf.DUMMYFUNCTION("""COMPUTED_VALUE"""),"Formación de estudiante de maestría")</f>
        <v>Formación de estudiante de maestría</v>
      </c>
      <c r="H53" s="4" t="str">
        <f>IFERROR(__xludf.DUMMYFUNCTION("""COMPUTED_VALUE"""),"Vinculación de estudiante de pregrado")</f>
        <v>Vinculación de estudiante de pregrado</v>
      </c>
      <c r="I53" s="4" t="str">
        <f>IFERROR(__xludf.DUMMYFUNCTION("""COMPUTED_VALUE"""),"Formación de estudiante de pregrado")</f>
        <v>Formación de estudiante de pregrado</v>
      </c>
      <c r="J53" s="4" t="str">
        <f>IFERROR(__xludf.DUMMYFUNCTION("""COMPUTED_VALUE"""),"Joven investigador")</f>
        <v>Joven investigador</v>
      </c>
      <c r="K53" s="4" t="str">
        <f>IFERROR(__xludf.DUMMYFUNCTION("""COMPUTED_VALUE"""),"Pasantía nacional")</f>
        <v>Pasantía nacional</v>
      </c>
      <c r="L53" s="4" t="str">
        <f>IFERROR(__xludf.DUMMYFUNCTION("""COMPUTED_VALUE"""),"Pasantía internacional")</f>
        <v>Pasantía internacional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tr">
        <f>IFERROR(__xludf.DUMMYFUNCTION("""COMPUTED_VALUE"""),"Obligatorio")</f>
        <v>Obligatorio</v>
      </c>
      <c r="AN53" s="4"/>
      <c r="AO53" s="4"/>
      <c r="AP53" s="4"/>
      <c r="AQ53" s="4"/>
      <c r="AR53" s="4"/>
      <c r="AS53" s="4"/>
      <c r="AT53" s="4" t="str">
        <f>IFERROR(__xludf.DUMMYFUNCTION("""COMPUTED_VALUE"""),"ECHEVERRI MARTINEZ RICARDO ANDRES")</f>
        <v>ECHEVERRI MARTINEZ RICARDO ANDRES</v>
      </c>
      <c r="AU53" s="4"/>
      <c r="AV53" s="4"/>
      <c r="AW53" s="4"/>
      <c r="AX53" s="4">
        <f>IFERROR(__xludf.DUMMYFUNCTION("""COMPUTED_VALUE"""),4.0)</f>
        <v>4</v>
      </c>
      <c r="AY53" s="4" t="str">
        <f>IFERROR(__xludf.DUMMYFUNCTION("""COMPUTED_VALUE"""),"DOCTORADO EN INGENIERÍA - UniValle")</f>
        <v>DOCTORADO EN INGENIERÍA - UniValle</v>
      </c>
      <c r="AZ53" s="4"/>
    </row>
    <row r="54">
      <c r="A54" s="4" t="str">
        <f>IFERROR(__xludf.DUMMYFUNCTION("""COMPUTED_VALUE"""),"Proy14")</f>
        <v>Proy14</v>
      </c>
      <c r="B54" s="4" t="str">
        <f>IFERROR(__xludf.DUMMYFUNCTION("""COMPUTED_VALUE"""),"Formación_RH")</f>
        <v>Formación_RH</v>
      </c>
      <c r="C54" s="4" t="str">
        <f>IFERROR(__xludf.DUMMYFUNCTION("""COMPUTED_VALUE"""),"Vinculación de estudiante de doctorado")</f>
        <v>Vinculación de estudiante de doctorado</v>
      </c>
      <c r="D54" s="4" t="str">
        <f>IFERROR(__xludf.DUMMYFUNCTION("""COMPUTED_VALUE"""),"Vinculación de estudiante de doctorado")</f>
        <v>Vinculación de estudiante de doctorado</v>
      </c>
      <c r="E54" s="4" t="str">
        <f>IFERROR(__xludf.DUMMYFUNCTION("""COMPUTED_VALUE"""),"Formación de estudiante de doctorado")</f>
        <v>Formación de estudiante de doctorado</v>
      </c>
      <c r="F54" s="4" t="str">
        <f>IFERROR(__xludf.DUMMYFUNCTION("""COMPUTED_VALUE"""),"Vinculación de estudiante de maestría")</f>
        <v>Vinculación de estudiante de maestría</v>
      </c>
      <c r="G54" s="4" t="str">
        <f>IFERROR(__xludf.DUMMYFUNCTION("""COMPUTED_VALUE"""),"Formación de estudiante de maestría")</f>
        <v>Formación de estudiante de maestría</v>
      </c>
      <c r="H54" s="4" t="str">
        <f>IFERROR(__xludf.DUMMYFUNCTION("""COMPUTED_VALUE"""),"Vinculación de estudiante de pregrado")</f>
        <v>Vinculación de estudiante de pregrado</v>
      </c>
      <c r="I54" s="4" t="str">
        <f>IFERROR(__xludf.DUMMYFUNCTION("""COMPUTED_VALUE"""),"Formación de estudiante de pregrado")</f>
        <v>Formación de estudiante de pregrado</v>
      </c>
      <c r="J54" s="4" t="str">
        <f>IFERROR(__xludf.DUMMYFUNCTION("""COMPUTED_VALUE"""),"Joven investigador")</f>
        <v>Joven investigador</v>
      </c>
      <c r="K54" s="4" t="str">
        <f>IFERROR(__xludf.DUMMYFUNCTION("""COMPUTED_VALUE"""),"Pasantía nacional")</f>
        <v>Pasantía nacional</v>
      </c>
      <c r="L54" s="4" t="str">
        <f>IFERROR(__xludf.DUMMYFUNCTION("""COMPUTED_VALUE"""),"Pasantía internacional")</f>
        <v>Pasantía internacional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tr">
        <f>IFERROR(__xludf.DUMMYFUNCTION("""COMPUTED_VALUE"""),"Obligatorio")</f>
        <v>Obligatorio</v>
      </c>
      <c r="AN54" s="4"/>
      <c r="AO54" s="4"/>
      <c r="AP54" s="4"/>
      <c r="AQ54" s="4"/>
      <c r="AR54" s="4"/>
      <c r="AS54" s="4"/>
      <c r="AT54" s="4" t="str">
        <f>IFERROR(__xludf.DUMMYFUNCTION("""COMPUTED_VALUE"""),"REINA CAPOTE JHON ANDERSON")</f>
        <v>REINA CAPOTE JHON ANDERSON</v>
      </c>
      <c r="AU54" s="4"/>
      <c r="AV54" s="4"/>
      <c r="AW54" s="4"/>
      <c r="AX54" s="4">
        <f>IFERROR(__xludf.DUMMYFUNCTION("""COMPUTED_VALUE"""),4.0)</f>
        <v>4</v>
      </c>
      <c r="AY54" s="4" t="str">
        <f>IFERROR(__xludf.DUMMYFUNCTION("""COMPUTED_VALUE"""),"DOCTORADO EN INGENIERÍA - UniValle")</f>
        <v>DOCTORADO EN INGENIERÍA - UniValle</v>
      </c>
      <c r="AZ54" s="4"/>
    </row>
    <row r="55">
      <c r="A55" s="4" t="str">
        <f>IFERROR(__xludf.DUMMYFUNCTION("""COMPUTED_VALUE"""),"Proy14")</f>
        <v>Proy14</v>
      </c>
      <c r="B55" s="4" t="str">
        <f>IFERROR(__xludf.DUMMYFUNCTION("""COMPUTED_VALUE"""),"Formación_RH")</f>
        <v>Formación_RH</v>
      </c>
      <c r="C55" s="4" t="str">
        <f>IFERROR(__xludf.DUMMYFUNCTION("""COMPUTED_VALUE"""),"Vinculación de estudiante de doctorado")</f>
        <v>Vinculación de estudiante de doctorado</v>
      </c>
      <c r="D55" s="4" t="str">
        <f>IFERROR(__xludf.DUMMYFUNCTION("""COMPUTED_VALUE"""),"Vinculación de estudiante de doctorado")</f>
        <v>Vinculación de estudiante de doctorado</v>
      </c>
      <c r="E55" s="4" t="str">
        <f>IFERROR(__xludf.DUMMYFUNCTION("""COMPUTED_VALUE"""),"Formación de estudiante de doctorado")</f>
        <v>Formación de estudiante de doctorado</v>
      </c>
      <c r="F55" s="4" t="str">
        <f>IFERROR(__xludf.DUMMYFUNCTION("""COMPUTED_VALUE"""),"Vinculación de estudiante de maestría")</f>
        <v>Vinculación de estudiante de maestría</v>
      </c>
      <c r="G55" s="4" t="str">
        <f>IFERROR(__xludf.DUMMYFUNCTION("""COMPUTED_VALUE"""),"Formación de estudiante de maestría")</f>
        <v>Formación de estudiante de maestría</v>
      </c>
      <c r="H55" s="4" t="str">
        <f>IFERROR(__xludf.DUMMYFUNCTION("""COMPUTED_VALUE"""),"Vinculación de estudiante de pregrado")</f>
        <v>Vinculación de estudiante de pregrado</v>
      </c>
      <c r="I55" s="4" t="str">
        <f>IFERROR(__xludf.DUMMYFUNCTION("""COMPUTED_VALUE"""),"Formación de estudiante de pregrado")</f>
        <v>Formación de estudiante de pregrado</v>
      </c>
      <c r="J55" s="4" t="str">
        <f>IFERROR(__xludf.DUMMYFUNCTION("""COMPUTED_VALUE"""),"Joven investigador")</f>
        <v>Joven investigador</v>
      </c>
      <c r="K55" s="4" t="str">
        <f>IFERROR(__xludf.DUMMYFUNCTION("""COMPUTED_VALUE"""),"Pasantía nacional")</f>
        <v>Pasantía nacional</v>
      </c>
      <c r="L55" s="4" t="str">
        <f>IFERROR(__xludf.DUMMYFUNCTION("""COMPUTED_VALUE"""),"Pasantía internacional")</f>
        <v>Pasantía internacional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tr">
        <f>IFERROR(__xludf.DUMMYFUNCTION("""COMPUTED_VALUE"""),"Obligatorio")</f>
        <v>Obligatorio</v>
      </c>
      <c r="AN55" s="4"/>
      <c r="AO55" s="4"/>
      <c r="AP55" s="4"/>
      <c r="AQ55" s="4"/>
      <c r="AR55" s="4"/>
      <c r="AS55" s="4"/>
      <c r="AT55" s="4" t="str">
        <f>IFERROR(__xludf.DUMMYFUNCTION("""COMPUTED_VALUE"""),"IBARGUEN OCAMPO FRANCISCO JAVIER")</f>
        <v>IBARGUEN OCAMPO FRANCISCO JAVIER</v>
      </c>
      <c r="AU55" s="4"/>
      <c r="AV55" s="4"/>
      <c r="AW55" s="4"/>
      <c r="AX55" s="4">
        <f>IFERROR(__xludf.DUMMYFUNCTION("""COMPUTED_VALUE"""),4.0)</f>
        <v>4</v>
      </c>
      <c r="AY55" s="4" t="str">
        <f>IFERROR(__xludf.DUMMYFUNCTION("""COMPUTED_VALUE"""),"DOCTORADO EN INGENIERÍA - UniValle")</f>
        <v>DOCTORADO EN INGENIERÍA - UniValle</v>
      </c>
      <c r="AZ55" s="4"/>
    </row>
    <row r="56">
      <c r="A56" s="4" t="str">
        <f>IFERROR(__xludf.DUMMYFUNCTION("""COMPUTED_VALUE"""),"Proy14")</f>
        <v>Proy14</v>
      </c>
      <c r="B56" s="4" t="str">
        <f>IFERROR(__xludf.DUMMYFUNCTION("""COMPUTED_VALUE"""),"Formación_RH")</f>
        <v>Formación_RH</v>
      </c>
      <c r="C56" s="4" t="str">
        <f>IFERROR(__xludf.DUMMYFUNCTION("""COMPUTED_VALUE"""),"Vinculación de estudiante de pregrado")</f>
        <v>Vinculación de estudiante de pregrado</v>
      </c>
      <c r="D56" s="4" t="str">
        <f>IFERROR(__xludf.DUMMYFUNCTION("""COMPUTED_VALUE"""),"Vinculación de estudiante de doctorado")</f>
        <v>Vinculación de estudiante de doctorado</v>
      </c>
      <c r="E56" s="4" t="str">
        <f>IFERROR(__xludf.DUMMYFUNCTION("""COMPUTED_VALUE"""),"Formación de estudiante de doctorado")</f>
        <v>Formación de estudiante de doctorado</v>
      </c>
      <c r="F56" s="4" t="str">
        <f>IFERROR(__xludf.DUMMYFUNCTION("""COMPUTED_VALUE"""),"Vinculación de estudiante de maestría")</f>
        <v>Vinculación de estudiante de maestría</v>
      </c>
      <c r="G56" s="4" t="str">
        <f>IFERROR(__xludf.DUMMYFUNCTION("""COMPUTED_VALUE"""),"Formación de estudiante de maestría")</f>
        <v>Formación de estudiante de maestría</v>
      </c>
      <c r="H56" s="4" t="str">
        <f>IFERROR(__xludf.DUMMYFUNCTION("""COMPUTED_VALUE"""),"Vinculación de estudiante de pregrado")</f>
        <v>Vinculación de estudiante de pregrado</v>
      </c>
      <c r="I56" s="4" t="str">
        <f>IFERROR(__xludf.DUMMYFUNCTION("""COMPUTED_VALUE"""),"Formación de estudiante de pregrado")</f>
        <v>Formación de estudiante de pregrado</v>
      </c>
      <c r="J56" s="4" t="str">
        <f>IFERROR(__xludf.DUMMYFUNCTION("""COMPUTED_VALUE"""),"Joven investigador")</f>
        <v>Joven investigador</v>
      </c>
      <c r="K56" s="4" t="str">
        <f>IFERROR(__xludf.DUMMYFUNCTION("""COMPUTED_VALUE"""),"Pasantía nacional")</f>
        <v>Pasantía nacional</v>
      </c>
      <c r="L56" s="4" t="str">
        <f>IFERROR(__xludf.DUMMYFUNCTION("""COMPUTED_VALUE"""),"Pasantía internacional")</f>
        <v>Pasantía internacional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tr">
        <f>IFERROR(__xludf.DUMMYFUNCTION("""COMPUTED_VALUE"""),"Obligatorio")</f>
        <v>Obligatorio</v>
      </c>
      <c r="AN56" s="4"/>
      <c r="AO56" s="4"/>
      <c r="AP56" s="4"/>
      <c r="AQ56" s="4"/>
      <c r="AR56" s="4"/>
      <c r="AS56" s="4"/>
      <c r="AT56" s="4" t="str">
        <f>IFERROR(__xludf.DUMMYFUNCTION("""COMPUTED_VALUE"""),"MONTENEGRO CABRERA DANNY NIVALDO")</f>
        <v>MONTENEGRO CABRERA DANNY NIVALDO</v>
      </c>
      <c r="AU56" s="4"/>
      <c r="AV56" s="4"/>
      <c r="AW56" s="4"/>
      <c r="AX56" s="4">
        <f>IFERROR(__xludf.DUMMYFUNCTION("""COMPUTED_VALUE"""),4.0)</f>
        <v>4</v>
      </c>
      <c r="AY56" s="4" t="str">
        <f>IFERROR(__xludf.DUMMYFUNCTION("""COMPUTED_VALUE""")," - UniValle")</f>
        <v> - UniValle</v>
      </c>
      <c r="AZ56" s="4"/>
    </row>
    <row r="57">
      <c r="A57" s="4" t="str">
        <f>IFERROR(__xludf.DUMMYFUNCTION("""COMPUTED_VALUE"""),"Proy13")</f>
        <v>Proy13</v>
      </c>
      <c r="B57" s="4" t="str">
        <f>IFERROR(__xludf.DUMMYFUNCTION("""COMPUTED_VALUE"""),"Nuevo_Conocimiento")</f>
        <v>Nuevo_Conocimiento</v>
      </c>
      <c r="C57" s="4" t="str">
        <f>IFERROR(__xludf.DUMMYFUNCTION("""COMPUTED_VALUE"""),"Artículo A1")</f>
        <v>Artículo A1</v>
      </c>
      <c r="D57" s="4" t="str">
        <f>IFERROR(__xludf.DUMMYFUNCTION("""COMPUTED_VALUE"""),"Artículo A1")</f>
        <v>Artículo A1</v>
      </c>
      <c r="E57" s="4" t="str">
        <f>IFERROR(__xludf.DUMMYFUNCTION("""COMPUTED_VALUE"""),"Artículo A2")</f>
        <v>Artículo A2</v>
      </c>
      <c r="F57" s="4" t="str">
        <f>IFERROR(__xludf.DUMMYFUNCTION("""COMPUTED_VALUE"""),"Artículo B")</f>
        <v>Artículo B</v>
      </c>
      <c r="G57" s="4" t="str">
        <f>IFERROR(__xludf.DUMMYFUNCTION("""COMPUTED_VALUE"""),"Artículo C")</f>
        <v>Artículo C</v>
      </c>
      <c r="H57" s="4" t="str">
        <f>IFERROR(__xludf.DUMMYFUNCTION("""COMPUTED_VALUE"""),"Capítulo de libro A")</f>
        <v>Capítulo de libro A</v>
      </c>
      <c r="I57" s="4" t="str">
        <f>IFERROR(__xludf.DUMMYFUNCTION("""COMPUTED_VALUE"""),"Capítulo de libro A1")</f>
        <v>Capítulo de libro A1</v>
      </c>
      <c r="J57" s="4" t="str">
        <f>IFERROR(__xludf.DUMMYFUNCTION("""COMPUTED_VALUE"""),"Capítulo de libro B")</f>
        <v>Capítulo de libro B</v>
      </c>
      <c r="K57" s="4" t="str">
        <f>IFERROR(__xludf.DUMMYFUNCTION("""COMPUTED_VALUE"""),"Libro A")</f>
        <v>Libro A</v>
      </c>
      <c r="L57" s="4" t="str">
        <f>IFERROR(__xludf.DUMMYFUNCTION("""COMPUTED_VALUE"""),"Libro A1")</f>
        <v>Libro A1</v>
      </c>
      <c r="M57" s="4" t="str">
        <f>IFERROR(__xludf.DUMMYFUNCTION("""COMPUTED_VALUE"""),"Libro B")</f>
        <v>Libro B</v>
      </c>
      <c r="N57" s="4" t="str">
        <f>IFERROR(__xludf.DUMMYFUNCTION("""COMPUTED_VALUE"""),"Solicitud Patente de invención y-o modelo de utitlidad")</f>
        <v>Solicitud Patente de invención y-o modelo de utitlidad</v>
      </c>
      <c r="O57" s="4" t="str">
        <f>IFERROR(__xludf.DUMMYFUNCTION("""COMPUTED_VALUE"""),"Patente de invención")</f>
        <v>Patente de invención</v>
      </c>
      <c r="P57" s="4" t="str">
        <f>IFERROR(__xludf.DUMMYFUNCTION("""COMPUTED_VALUE"""),"Patente de modelo de utilidad")</f>
        <v>Patente de modelo de utilidad</v>
      </c>
      <c r="Q57" s="4" t="str">
        <f>IFERROR(__xludf.DUMMYFUNCTION("""COMPUTED_VALUE"""),"Artículo sin clasificar")</f>
        <v>Artículo sin clasificar</v>
      </c>
      <c r="R57" s="4" t="str">
        <f>IFERROR(__xludf.DUMMYFUNCTION("""COMPUTED_VALUE"""),"Capítulo sin clasificar")</f>
        <v>Capítulo sin clasificar</v>
      </c>
      <c r="S57" s="4"/>
      <c r="T57" s="4"/>
      <c r="U57" s="4" t="str">
        <f>IFERROR(__xludf.DUMMYFUNCTION("""COMPUTED_VALUE"""),"Ninguna")</f>
        <v>Ninguna</v>
      </c>
      <c r="V57" s="4"/>
      <c r="W57" s="4" t="str">
        <f>IFERROR(__xludf.DUMMYFUNCTION("""COMPUTED_VALUE"""),"Proyecto")</f>
        <v>Proyecto</v>
      </c>
      <c r="X57" s="4" t="str">
        <f>IFERROR(__xludf.DUMMYFUNCTION("""COMPUTED_VALUE"""),"UdeA")</f>
        <v>UdeA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 t="str">
        <f>IFERROR(__xludf.DUMMYFUNCTION("""COMPUTED_VALUE"""),"Ninguna")</f>
        <v>Ninguna</v>
      </c>
      <c r="AL57" s="4"/>
      <c r="AM57" s="4" t="str">
        <f>IFERROR(__xludf.DUMMYFUNCTION("""COMPUTED_VALUE"""),"Obligatorio")</f>
        <v>Obligatorio</v>
      </c>
      <c r="AN57" s="4">
        <f>IFERROR(__xludf.DUMMYFUNCTION("""COMPUTED_VALUE"""),2.0)</f>
        <v>2</v>
      </c>
      <c r="AO57" s="4">
        <f>IFERROR(__xludf.DUMMYFUNCTION("""COMPUTED_VALUE"""),2.0)</f>
        <v>2</v>
      </c>
      <c r="AP57" s="4">
        <f>IFERROR(__xludf.DUMMYFUNCTION("""COMPUTED_VALUE"""),1.0)</f>
        <v>1</v>
      </c>
      <c r="AQ57" s="4">
        <f>IFERROR(__xludf.DUMMYFUNCTION("""COMPUTED_VALUE"""),1.0)</f>
        <v>1</v>
      </c>
      <c r="AR57" s="4">
        <f>IFERROR(__xludf.DUMMYFUNCTION("""COMPUTED_VALUE"""),1.0)</f>
        <v>1</v>
      </c>
      <c r="AS57" s="4">
        <f>IFERROR(__xludf.DUMMYFUNCTION("""COMPUTED_VALUE"""),1.0)</f>
        <v>1</v>
      </c>
      <c r="AT57" s="4" t="str">
        <f>IFERROR(__xludf.DUMMYFUNCTION("""COMPUTED_VALUE"""),"DOI: doi.org/10.1016/j.cnsns.2020.105180")</f>
        <v>DOI: doi.org/10.1016/j.cnsns.2020.105180</v>
      </c>
      <c r="AU57" s="5" t="str">
        <f>IFERROR(__xludf.DUMMYFUNCTION("""COMPUTED_VALUE"""),"https://drive.google.com/open?id=1XhyLcT9_R6wP5dAi-EZyR7qbl0tN1K7-")</f>
        <v>https://drive.google.com/open?id=1XhyLcT9_R6wP5dAi-EZyR7qbl0tN1K7-</v>
      </c>
      <c r="AV57" s="4"/>
      <c r="AW57" s="4"/>
      <c r="AX57" s="4">
        <f>IFERROR(__xludf.DUMMYFUNCTION("""COMPUTED_VALUE"""),4.0)</f>
        <v>4</v>
      </c>
      <c r="AY57" s="4" t="str">
        <f>IFERROR(__xludf.DUMMYFUNCTION("""COMPUTED_VALUE"""),"A numerical method for solving Caputo’s and Riemann-Liouville’s fractional differential equations which includes multi-order fractional derivatives and variable coefficients")</f>
        <v>A numerical method for solving Caputo’s and Riemann-Liouville’s fractional differential equations which includes multi-order fractional derivatives and variable coefficients</v>
      </c>
      <c r="AZ57" s="4"/>
      <c r="BA57" s="6" t="s">
        <v>114</v>
      </c>
      <c r="BB57" s="6" t="s">
        <v>45</v>
      </c>
      <c r="BC57" s="6" t="s">
        <v>56</v>
      </c>
      <c r="BD57" s="6" t="s">
        <v>115</v>
      </c>
      <c r="BE57" s="6" t="s">
        <v>45</v>
      </c>
      <c r="BF57" s="6" t="s">
        <v>56</v>
      </c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 t="s">
        <v>116</v>
      </c>
      <c r="CR57" s="6">
        <v>3.9</v>
      </c>
    </row>
    <row r="58">
      <c r="A58" s="4" t="str">
        <f>IFERROR(__xludf.DUMMYFUNCTION("""COMPUTED_VALUE"""),"Proy2")</f>
        <v>Proy2</v>
      </c>
      <c r="B58" s="4" t="str">
        <f>IFERROR(__xludf.DUMMYFUNCTION("""COMPUTED_VALUE"""),"Nuevo_Conocimiento")</f>
        <v>Nuevo_Conocimiento</v>
      </c>
      <c r="C58" s="4" t="str">
        <f>IFERROR(__xludf.DUMMYFUNCTION("""COMPUTED_VALUE"""),"Artículo A1")</f>
        <v>Artículo A1</v>
      </c>
      <c r="D58" s="4" t="str">
        <f>IFERROR(__xludf.DUMMYFUNCTION("""COMPUTED_VALUE"""),"Artículo A1")</f>
        <v>Artículo A1</v>
      </c>
      <c r="E58" s="4" t="str">
        <f>IFERROR(__xludf.DUMMYFUNCTION("""COMPUTED_VALUE"""),"Artículo A2")</f>
        <v>Artículo A2</v>
      </c>
      <c r="F58" s="4" t="str">
        <f>IFERROR(__xludf.DUMMYFUNCTION("""COMPUTED_VALUE"""),"Artículo B")</f>
        <v>Artículo B</v>
      </c>
      <c r="G58" s="4" t="str">
        <f>IFERROR(__xludf.DUMMYFUNCTION("""COMPUTED_VALUE"""),"Artículo C")</f>
        <v>Artículo C</v>
      </c>
      <c r="H58" s="4" t="str">
        <f>IFERROR(__xludf.DUMMYFUNCTION("""COMPUTED_VALUE"""),"Capítulo de libro A")</f>
        <v>Capítulo de libro A</v>
      </c>
      <c r="I58" s="4" t="str">
        <f>IFERROR(__xludf.DUMMYFUNCTION("""COMPUTED_VALUE"""),"Capítulo de libro A1")</f>
        <v>Capítulo de libro A1</v>
      </c>
      <c r="J58" s="4" t="str">
        <f>IFERROR(__xludf.DUMMYFUNCTION("""COMPUTED_VALUE"""),"Capítulo de libro B")</f>
        <v>Capítulo de libro B</v>
      </c>
      <c r="K58" s="4" t="str">
        <f>IFERROR(__xludf.DUMMYFUNCTION("""COMPUTED_VALUE"""),"Libro A")</f>
        <v>Libro A</v>
      </c>
      <c r="L58" s="4" t="str">
        <f>IFERROR(__xludf.DUMMYFUNCTION("""COMPUTED_VALUE"""),"Libro A1")</f>
        <v>Libro A1</v>
      </c>
      <c r="M58" s="4" t="str">
        <f>IFERROR(__xludf.DUMMYFUNCTION("""COMPUTED_VALUE"""),"Libro B")</f>
        <v>Libro B</v>
      </c>
      <c r="N58" s="4" t="str">
        <f>IFERROR(__xludf.DUMMYFUNCTION("""COMPUTED_VALUE"""),"Solicitud Patente de invención y-o modelo de utitlidad")</f>
        <v>Solicitud Patente de invención y-o modelo de utitlidad</v>
      </c>
      <c r="O58" s="4" t="str">
        <f>IFERROR(__xludf.DUMMYFUNCTION("""COMPUTED_VALUE"""),"Patente de invención")</f>
        <v>Patente de invención</v>
      </c>
      <c r="P58" s="4" t="str">
        <f>IFERROR(__xludf.DUMMYFUNCTION("""COMPUTED_VALUE"""),"Patente de modelo de utilidad")</f>
        <v>Patente de modelo de utilidad</v>
      </c>
      <c r="Q58" s="4" t="str">
        <f>IFERROR(__xludf.DUMMYFUNCTION("""COMPUTED_VALUE"""),"Artículo sin clasificar")</f>
        <v>Artículo sin clasificar</v>
      </c>
      <c r="R58" s="4" t="str">
        <f>IFERROR(__xludf.DUMMYFUNCTION("""COMPUTED_VALUE"""),"Capítulo sin clasificar")</f>
        <v>Capítulo sin clasificar</v>
      </c>
      <c r="S58" s="4"/>
      <c r="T58" s="4"/>
      <c r="U58" s="4" t="str">
        <f>IFERROR(__xludf.DUMMYFUNCTION("""COMPUTED_VALUE"""),"Otros actores")</f>
        <v>Otros actores</v>
      </c>
      <c r="V58" s="4" t="str">
        <f>IFERROR(__xludf.DUMMYFUNCTION("""COMPUTED_VALUE"""),"Universidad Jaume I, Yeungnam University, Universidad de Valencia")</f>
        <v>Universidad Jaume I, Yeungnam University, Universidad de Valencia</v>
      </c>
      <c r="W58" s="4" t="str">
        <f>IFERROR(__xludf.DUMMYFUNCTION("""COMPUTED_VALUE"""),"Proyecto")</f>
        <v>Proyecto</v>
      </c>
      <c r="X58" s="4" t="str">
        <f>IFERROR(__xludf.DUMMYFUNCTION("""COMPUTED_VALUE"""),"UdeA, Universidad de Pamplona")</f>
        <v>UdeA, Universidad de Pamplona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 t="str">
        <f>IFERROR(__xludf.DUMMYFUNCTION("""COMPUTED_VALUE"""),"Universidad Industrial de Santander")</f>
        <v>Universidad Industrial de Santander</v>
      </c>
      <c r="AK58" s="4" t="str">
        <f>IFERROR(__xludf.DUMMYFUNCTION("""COMPUTED_VALUE"""),"Ninguna")</f>
        <v>Ninguna</v>
      </c>
      <c r="AL58" s="4"/>
      <c r="AM58" s="4" t="str">
        <f>IFERROR(__xludf.DUMMYFUNCTION("""COMPUTED_VALUE"""),"Obligatorio")</f>
        <v>Obligatorio</v>
      </c>
      <c r="AN58" s="4">
        <f>IFERROR(__xludf.DUMMYFUNCTION("""COMPUTED_VALUE"""),13.0)</f>
        <v>13</v>
      </c>
      <c r="AO58" s="4">
        <f>IFERROR(__xludf.DUMMYFUNCTION("""COMPUTED_VALUE"""),3.0)</f>
        <v>3</v>
      </c>
      <c r="AP58" s="4">
        <f>IFERROR(__xludf.DUMMYFUNCTION("""COMPUTED_VALUE"""),8.0)</f>
        <v>8</v>
      </c>
      <c r="AQ58" s="4">
        <f>IFERROR(__xludf.DUMMYFUNCTION("""COMPUTED_VALUE"""),2.0)</f>
        <v>2</v>
      </c>
      <c r="AR58" s="4">
        <f>IFERROR(__xludf.DUMMYFUNCTION("""COMPUTED_VALUE"""),8.0)</f>
        <v>8</v>
      </c>
      <c r="AS58" s="4">
        <f>IFERROR(__xludf.DUMMYFUNCTION("""COMPUTED_VALUE"""),2.0)</f>
        <v>2</v>
      </c>
      <c r="AT58" s="4" t="str">
        <f>IFERROR(__xludf.DUMMYFUNCTION("""COMPUTED_VALUE"""),"DOI: 10.1021/acsami.9b19374")</f>
        <v>DOI: 10.1021/acsami.9b19374</v>
      </c>
      <c r="AU58" s="5" t="str">
        <f>IFERROR(__xludf.DUMMYFUNCTION("""COMPUTED_VALUE"""),"https://drive.google.com/open?id=1iEmaJUcLzGw26dACp0RKbPEkNROhtYba")</f>
        <v>https://drive.google.com/open?id=1iEmaJUcLzGw26dACp0RKbPEkNROhtYba</v>
      </c>
      <c r="AV58" s="4"/>
      <c r="AW58" s="4"/>
      <c r="AX58" s="4">
        <f>IFERROR(__xludf.DUMMYFUNCTION("""COMPUTED_VALUE"""),4.0)</f>
        <v>4</v>
      </c>
      <c r="AY58" s="4" t="str">
        <f>IFERROR(__xludf.DUMMYFUNCTION("""COMPUTED_VALUE"""),"Unravelling the Photocatalytic Behavior of All-Inorganic Mixed Halide Perovskites: The Role of Surface Chemical States")</f>
        <v>Unravelling the Photocatalytic Behavior of All-Inorganic Mixed Halide Perovskites: The Role of Surface Chemical States</v>
      </c>
      <c r="AZ58" s="4"/>
      <c r="BA58" s="6" t="s">
        <v>117</v>
      </c>
      <c r="BB58" s="6" t="s">
        <v>95</v>
      </c>
      <c r="BC58" s="6" t="s">
        <v>118</v>
      </c>
      <c r="BD58" s="6" t="s">
        <v>119</v>
      </c>
      <c r="BE58" s="6" t="s">
        <v>120</v>
      </c>
      <c r="BF58" s="6" t="s">
        <v>121</v>
      </c>
      <c r="BG58" s="6" t="s">
        <v>122</v>
      </c>
      <c r="BH58" s="6" t="s">
        <v>95</v>
      </c>
      <c r="BI58" s="6" t="s">
        <v>118</v>
      </c>
      <c r="BJ58" s="6" t="s">
        <v>123</v>
      </c>
      <c r="BK58" s="6" t="s">
        <v>95</v>
      </c>
      <c r="BL58" s="6" t="s">
        <v>124</v>
      </c>
      <c r="BM58" s="6" t="s">
        <v>125</v>
      </c>
      <c r="BN58" s="6" t="s">
        <v>120</v>
      </c>
      <c r="BO58" s="6" t="s">
        <v>126</v>
      </c>
      <c r="BP58" s="6" t="s">
        <v>127</v>
      </c>
      <c r="BQ58" s="6" t="s">
        <v>128</v>
      </c>
      <c r="BR58" s="6" t="s">
        <v>129</v>
      </c>
      <c r="BS58" s="6" t="s">
        <v>130</v>
      </c>
      <c r="BT58" s="6" t="s">
        <v>131</v>
      </c>
      <c r="BV58" s="6" t="s">
        <v>70</v>
      </c>
      <c r="BW58" s="6" t="s">
        <v>45</v>
      </c>
      <c r="BX58" s="6" t="s">
        <v>71</v>
      </c>
      <c r="BY58" s="6" t="s">
        <v>81</v>
      </c>
      <c r="BZ58" s="6" t="s">
        <v>45</v>
      </c>
      <c r="CA58" s="6" t="s">
        <v>71</v>
      </c>
      <c r="CB58" s="6" t="s">
        <v>132</v>
      </c>
      <c r="CC58" s="6" t="s">
        <v>133</v>
      </c>
      <c r="CD58" s="6" t="s">
        <v>134</v>
      </c>
      <c r="CE58" s="6" t="s">
        <v>135</v>
      </c>
      <c r="CF58" s="6" t="s">
        <v>133</v>
      </c>
      <c r="CG58" s="6" t="s">
        <v>136</v>
      </c>
      <c r="CH58" s="6" t="s">
        <v>137</v>
      </c>
      <c r="CI58" s="6" t="s">
        <v>138</v>
      </c>
      <c r="CJ58" s="6" t="s">
        <v>136</v>
      </c>
      <c r="CK58" s="6" t="s">
        <v>139</v>
      </c>
      <c r="CL58" s="6" t="s">
        <v>138</v>
      </c>
      <c r="CM58" s="6" t="s">
        <v>136</v>
      </c>
      <c r="CQ58" s="6" t="s">
        <v>140</v>
      </c>
      <c r="CR58" s="6">
        <v>8.75</v>
      </c>
    </row>
    <row r="59">
      <c r="A59" s="4" t="str">
        <f>IFERROR(__xludf.DUMMYFUNCTION("""COMPUTED_VALUE"""),"Proy1")</f>
        <v>Proy1</v>
      </c>
      <c r="B59" s="4" t="str">
        <f>IFERROR(__xludf.DUMMYFUNCTION("""COMPUTED_VALUE"""),"Docencia")</f>
        <v>Docencia</v>
      </c>
      <c r="C59" s="4" t="str">
        <f>IFERROR(__xludf.DUMMYFUNCTION("""COMPUTED_VALUE"""),"Creación de doctorado")</f>
        <v>Creación de doctorado</v>
      </c>
      <c r="D59" s="4" t="str">
        <f>IFERROR(__xludf.DUMMYFUNCTION("""COMPUTED_VALUE"""),"Creación de cursos de Maestría")</f>
        <v>Creación de cursos de Maestría</v>
      </c>
      <c r="E59" s="4" t="str">
        <f>IFERROR(__xludf.DUMMYFUNCTION("""COMPUTED_VALUE"""),"Creación de cursos de pregrado")</f>
        <v>Creación de cursos de pregrado</v>
      </c>
      <c r="F59" s="4" t="str">
        <f>IFERROR(__xludf.DUMMYFUNCTION("""COMPUTED_VALUE"""),"Creación de maestría")</f>
        <v>Creación de maestría</v>
      </c>
      <c r="G59" s="4" t="str">
        <f>IFERROR(__xludf.DUMMYFUNCTION("""COMPUTED_VALUE"""),"Creación de doctorado")</f>
        <v>Creación de doctorado</v>
      </c>
      <c r="H59" s="4" t="str">
        <f>IFERROR(__xludf.DUMMYFUNCTION("""COMPUTED_VALUE"""),"Creación de cursos de Doctorado")</f>
        <v>Creación de cursos de Doctorado</v>
      </c>
      <c r="I59" s="4" t="str">
        <f>IFERROR(__xludf.DUMMYFUNCTION("""COMPUTED_VALUE"""),"Autoevaluación de programa de pregrado")</f>
        <v>Autoevaluación de programa de pregrado</v>
      </c>
      <c r="J59" s="4" t="str">
        <f>IFERROR(__xludf.DUMMYFUNCTION("""COMPUTED_VALUE"""),"Autoevaluación de programa de maestría")</f>
        <v>Autoevaluación de programa de maestría</v>
      </c>
      <c r="K59" s="4" t="str">
        <f>IFERROR(__xludf.DUMMYFUNCTION("""COMPUTED_VALUE"""),"Autoevaluación de programa de doctorado")</f>
        <v>Autoevaluación de programa de doctorado</v>
      </c>
      <c r="L59" s="4" t="str">
        <f>IFERROR(__xludf.DUMMYFUNCTION("""COMPUTED_VALUE"""),"Autoevaluación de universidad")</f>
        <v>Autoevaluación de universidad</v>
      </c>
      <c r="M59" s="4"/>
      <c r="N59" s="4"/>
      <c r="O59" s="4"/>
      <c r="P59" s="4"/>
      <c r="Q59" s="4"/>
      <c r="R59" s="4"/>
      <c r="S59" s="4"/>
      <c r="T59" s="4"/>
      <c r="U59" s="4" t="str">
        <f>IFERROR(__xludf.DUMMYFUNCTION("""COMPUTED_VALUE"""),"Ninguna")</f>
        <v>Ninguna</v>
      </c>
      <c r="V59" s="4"/>
      <c r="W59" s="4" t="str">
        <f>IFERROR(__xludf.DUMMYFUNCTION("""COMPUTED_VALUE"""),"Programa")</f>
        <v>Programa</v>
      </c>
      <c r="X59" s="4" t="str">
        <f>IFERROR(__xludf.DUMMYFUNCTION("""COMPUTED_VALUE"""),"UdeA")</f>
        <v>UdeA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 t="str">
        <f>IFERROR(__xludf.DUMMYFUNCTION("""COMPUTED_VALUE"""),"Ninguna")</f>
        <v>Ninguna</v>
      </c>
      <c r="AL59" s="4"/>
      <c r="AM59" s="4" t="str">
        <f>IFERROR(__xludf.DUMMYFUNCTION("""COMPUTED_VALUE"""),"Obligatorio")</f>
        <v>Obligatorio</v>
      </c>
      <c r="AN59" s="4"/>
      <c r="AO59" s="4"/>
      <c r="AP59" s="4"/>
      <c r="AQ59" s="4"/>
      <c r="AR59" s="4"/>
      <c r="AS59" s="4"/>
      <c r="AT59" s="4" t="str">
        <f>IFERROR(__xludf.DUMMYFUNCTION("""COMPUTED_VALUE"""),"Documento maestro sometido al MEN")</f>
        <v>Documento maestro sometido al MEN</v>
      </c>
      <c r="AU59" s="5" t="str">
        <f>IFERROR(__xludf.DUMMYFUNCTION("""COMPUTED_VALUE"""),"https://drive.google.com/open?id=1va_kpdwoTDVxmNvAfEIMAbx4K8S2NorY")</f>
        <v>https://drive.google.com/open?id=1va_kpdwoTDVxmNvAfEIMAbx4K8S2NorY</v>
      </c>
      <c r="AV59" s="4"/>
      <c r="AW59" s="4"/>
      <c r="AX59" s="4">
        <f>IFERROR(__xludf.DUMMYFUNCTION("""COMPUTED_VALUE"""),3.0)</f>
        <v>3</v>
      </c>
      <c r="AY59" s="4" t="str">
        <f>IFERROR(__xludf.DUMMYFUNCTION("""COMPUTED_VALUE"""),"Doctorado en Ingeniería Mecánica UdeA")</f>
        <v>Doctorado en Ingeniería Mecánica UdeA</v>
      </c>
      <c r="AZ59" s="4"/>
    </row>
    <row r="60">
      <c r="A60" s="4" t="str">
        <f>IFERROR(__xludf.DUMMYFUNCTION("""COMPUTED_VALUE"""),"Proy13")</f>
        <v>Proy13</v>
      </c>
      <c r="B60" s="4" t="str">
        <f>IFERROR(__xludf.DUMMYFUNCTION("""COMPUTED_VALUE"""),"Nuevo_Conocimiento")</f>
        <v>Nuevo_Conocimiento</v>
      </c>
      <c r="C60" s="4" t="str">
        <f>IFERROR(__xludf.DUMMYFUNCTION("""COMPUTED_VALUE"""),"Capítulo de libro A1")</f>
        <v>Capítulo de libro A1</v>
      </c>
      <c r="D60" s="4" t="str">
        <f>IFERROR(__xludf.DUMMYFUNCTION("""COMPUTED_VALUE"""),"Artículo A1")</f>
        <v>Artículo A1</v>
      </c>
      <c r="E60" s="4" t="str">
        <f>IFERROR(__xludf.DUMMYFUNCTION("""COMPUTED_VALUE"""),"Artículo A2")</f>
        <v>Artículo A2</v>
      </c>
      <c r="F60" s="4" t="str">
        <f>IFERROR(__xludf.DUMMYFUNCTION("""COMPUTED_VALUE"""),"Artículo B")</f>
        <v>Artículo B</v>
      </c>
      <c r="G60" s="4" t="str">
        <f>IFERROR(__xludf.DUMMYFUNCTION("""COMPUTED_VALUE"""),"Artículo C")</f>
        <v>Artículo C</v>
      </c>
      <c r="H60" s="4" t="str">
        <f>IFERROR(__xludf.DUMMYFUNCTION("""COMPUTED_VALUE"""),"Capítulo de libro A")</f>
        <v>Capítulo de libro A</v>
      </c>
      <c r="I60" s="4" t="str">
        <f>IFERROR(__xludf.DUMMYFUNCTION("""COMPUTED_VALUE"""),"Capítulo de libro A1")</f>
        <v>Capítulo de libro A1</v>
      </c>
      <c r="J60" s="4" t="str">
        <f>IFERROR(__xludf.DUMMYFUNCTION("""COMPUTED_VALUE"""),"Capítulo de libro B")</f>
        <v>Capítulo de libro B</v>
      </c>
      <c r="K60" s="4" t="str">
        <f>IFERROR(__xludf.DUMMYFUNCTION("""COMPUTED_VALUE"""),"Libro A")</f>
        <v>Libro A</v>
      </c>
      <c r="L60" s="4" t="str">
        <f>IFERROR(__xludf.DUMMYFUNCTION("""COMPUTED_VALUE"""),"Libro A1")</f>
        <v>Libro A1</v>
      </c>
      <c r="M60" s="4" t="str">
        <f>IFERROR(__xludf.DUMMYFUNCTION("""COMPUTED_VALUE"""),"Libro B")</f>
        <v>Libro B</v>
      </c>
      <c r="N60" s="4" t="str">
        <f>IFERROR(__xludf.DUMMYFUNCTION("""COMPUTED_VALUE"""),"Solicitud Patente de invención y-o modelo de utitlidad")</f>
        <v>Solicitud Patente de invención y-o modelo de utitlidad</v>
      </c>
      <c r="O60" s="4" t="str">
        <f>IFERROR(__xludf.DUMMYFUNCTION("""COMPUTED_VALUE"""),"Patente de invención")</f>
        <v>Patente de invención</v>
      </c>
      <c r="P60" s="4" t="str">
        <f>IFERROR(__xludf.DUMMYFUNCTION("""COMPUTED_VALUE"""),"Patente de modelo de utilidad")</f>
        <v>Patente de modelo de utilidad</v>
      </c>
      <c r="Q60" s="4" t="str">
        <f>IFERROR(__xludf.DUMMYFUNCTION("""COMPUTED_VALUE"""),"Artículo sin clasificar")</f>
        <v>Artículo sin clasificar</v>
      </c>
      <c r="R60" s="4" t="str">
        <f>IFERROR(__xludf.DUMMYFUNCTION("""COMPUTED_VALUE"""),"Capítulo sin clasificar")</f>
        <v>Capítulo sin clasificar</v>
      </c>
      <c r="S60" s="4"/>
      <c r="T60" s="4"/>
      <c r="U60" s="4" t="str">
        <f>IFERROR(__xludf.DUMMYFUNCTION("""COMPUTED_VALUE"""),"Ninguna")</f>
        <v>Ninguna</v>
      </c>
      <c r="V60" s="4"/>
      <c r="W60" s="4"/>
      <c r="X60" s="4" t="str">
        <f>IFERROR(__xludf.DUMMYFUNCTION("""COMPUTED_VALUE"""),"UdeA")</f>
        <v>UdeA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 t="str">
        <f>IFERROR(__xludf.DUMMYFUNCTION("""COMPUTED_VALUE"""),"Ninguna")</f>
        <v>Ninguna</v>
      </c>
      <c r="AL60" s="4"/>
      <c r="AM60" s="4" t="str">
        <f>IFERROR(__xludf.DUMMYFUNCTION("""COMPUTED_VALUE"""),"Adicional")</f>
        <v>Adicional</v>
      </c>
      <c r="AN60" s="4">
        <f>IFERROR(__xludf.DUMMYFUNCTION("""COMPUTED_VALUE"""),3.0)</f>
        <v>3</v>
      </c>
      <c r="AO60" s="4">
        <f>IFERROR(__xludf.DUMMYFUNCTION("""COMPUTED_VALUE"""),2.0)</f>
        <v>2</v>
      </c>
      <c r="AP60" s="4">
        <f>IFERROR(__xludf.DUMMYFUNCTION("""COMPUTED_VALUE"""),1.0)</f>
        <v>1</v>
      </c>
      <c r="AQ60" s="4">
        <f>IFERROR(__xludf.DUMMYFUNCTION("""COMPUTED_VALUE"""),1.0)</f>
        <v>1</v>
      </c>
      <c r="AR60" s="4">
        <f>IFERROR(__xludf.DUMMYFUNCTION("""COMPUTED_VALUE"""),1.0)</f>
        <v>1</v>
      </c>
      <c r="AS60" s="4">
        <f>IFERROR(__xludf.DUMMYFUNCTION("""COMPUTED_VALUE"""),1.0)</f>
        <v>1</v>
      </c>
      <c r="AT60" s="4" t="str">
        <f>IFERROR(__xludf.DUMMYFUNCTION("""COMPUTED_VALUE"""),"Computing the Global Irradiation
over the Plane of Photovoltaic
Arrays: A Step-by-Step
Methodology")</f>
        <v>Computing the Global Irradiation
over the Plane of Photovoltaic
Arrays: A Step-by-Step
Methodology</v>
      </c>
      <c r="AU60" s="5" t="str">
        <f>IFERROR(__xludf.DUMMYFUNCTION("""COMPUTED_VALUE"""),"https://drive.google.com/open?id=1URg0H6n_0-9CV0OjX6nBC1cawxSbYzVD")</f>
        <v>https://drive.google.com/open?id=1URg0H6n_0-9CV0OjX6nBC1cawxSbYzVD</v>
      </c>
      <c r="AV60" s="4"/>
      <c r="AW60" s="4"/>
      <c r="AX60" s="4">
        <f>IFERROR(__xludf.DUMMYFUNCTION("""COMPUTED_VALUE"""),4.0)</f>
        <v>4</v>
      </c>
      <c r="AY60" s="4" t="str">
        <f>IFERROR(__xludf.DUMMYFUNCTION("""COMPUTED_VALUE"""),"Computing the Global Irradiation over the Plane of Photovoltaic Arrays: A Step-by-Step Methodology")</f>
        <v>Computing the Global Irradiation over the Plane of Photovoltaic Arrays: A Step-by-Step Methodology</v>
      </c>
      <c r="AZ60" s="4"/>
    </row>
    <row r="61">
      <c r="A61" s="4" t="str">
        <f>IFERROR(__xludf.DUMMYFUNCTION("""COMPUTED_VALUE"""),"Proy13")</f>
        <v>Proy13</v>
      </c>
      <c r="B61" s="4" t="str">
        <f>IFERROR(__xludf.DUMMYFUNCTION("""COMPUTED_VALUE"""),"Nuevo_Conocimiento")</f>
        <v>Nuevo_Conocimiento</v>
      </c>
      <c r="C61" s="4" t="str">
        <f>IFERROR(__xludf.DUMMYFUNCTION("""COMPUTED_VALUE"""),"Artículo A1")</f>
        <v>Artículo A1</v>
      </c>
      <c r="D61" s="4" t="str">
        <f>IFERROR(__xludf.DUMMYFUNCTION("""COMPUTED_VALUE"""),"Artículo A1")</f>
        <v>Artículo A1</v>
      </c>
      <c r="E61" s="4" t="str">
        <f>IFERROR(__xludf.DUMMYFUNCTION("""COMPUTED_VALUE"""),"Artículo A2")</f>
        <v>Artículo A2</v>
      </c>
      <c r="F61" s="4" t="str">
        <f>IFERROR(__xludf.DUMMYFUNCTION("""COMPUTED_VALUE"""),"Artículo B")</f>
        <v>Artículo B</v>
      </c>
      <c r="G61" s="4" t="str">
        <f>IFERROR(__xludf.DUMMYFUNCTION("""COMPUTED_VALUE"""),"Artículo C")</f>
        <v>Artículo C</v>
      </c>
      <c r="H61" s="4" t="str">
        <f>IFERROR(__xludf.DUMMYFUNCTION("""COMPUTED_VALUE"""),"Capítulo de libro A")</f>
        <v>Capítulo de libro A</v>
      </c>
      <c r="I61" s="4" t="str">
        <f>IFERROR(__xludf.DUMMYFUNCTION("""COMPUTED_VALUE"""),"Capítulo de libro A1")</f>
        <v>Capítulo de libro A1</v>
      </c>
      <c r="J61" s="4" t="str">
        <f>IFERROR(__xludf.DUMMYFUNCTION("""COMPUTED_VALUE"""),"Capítulo de libro B")</f>
        <v>Capítulo de libro B</v>
      </c>
      <c r="K61" s="4" t="str">
        <f>IFERROR(__xludf.DUMMYFUNCTION("""COMPUTED_VALUE"""),"Libro A")</f>
        <v>Libro A</v>
      </c>
      <c r="L61" s="4" t="str">
        <f>IFERROR(__xludf.DUMMYFUNCTION("""COMPUTED_VALUE"""),"Libro A1")</f>
        <v>Libro A1</v>
      </c>
      <c r="M61" s="4" t="str">
        <f>IFERROR(__xludf.DUMMYFUNCTION("""COMPUTED_VALUE"""),"Libro B")</f>
        <v>Libro B</v>
      </c>
      <c r="N61" s="4" t="str">
        <f>IFERROR(__xludf.DUMMYFUNCTION("""COMPUTED_VALUE"""),"Solicitud Patente de invención y-o modelo de utitlidad")</f>
        <v>Solicitud Patente de invención y-o modelo de utitlidad</v>
      </c>
      <c r="O61" s="4" t="str">
        <f>IFERROR(__xludf.DUMMYFUNCTION("""COMPUTED_VALUE"""),"Patente de invención")</f>
        <v>Patente de invención</v>
      </c>
      <c r="P61" s="4" t="str">
        <f>IFERROR(__xludf.DUMMYFUNCTION("""COMPUTED_VALUE"""),"Patente de modelo de utilidad")</f>
        <v>Patente de modelo de utilidad</v>
      </c>
      <c r="Q61" s="4" t="str">
        <f>IFERROR(__xludf.DUMMYFUNCTION("""COMPUTED_VALUE"""),"Artículo sin clasificar")</f>
        <v>Artículo sin clasificar</v>
      </c>
      <c r="R61" s="4" t="str">
        <f>IFERROR(__xludf.DUMMYFUNCTION("""COMPUTED_VALUE"""),"Capítulo sin clasificar")</f>
        <v>Capítulo sin clasificar</v>
      </c>
      <c r="S61" s="4"/>
      <c r="T61" s="4"/>
      <c r="U61" s="4" t="str">
        <f>IFERROR(__xludf.DUMMYFUNCTION("""COMPUTED_VALUE"""),"Otros actores")</f>
        <v>Otros actores</v>
      </c>
      <c r="V61" s="4" t="str">
        <f>IFERROR(__xludf.DUMMYFUNCTION("""COMPUTED_VALUE"""),"Universidad Nacional de San Juan, Argentina")</f>
        <v>Universidad Nacional de San Juan, Argentina</v>
      </c>
      <c r="W61" s="4" t="str">
        <f>IFERROR(__xludf.DUMMYFUNCTION("""COMPUTED_VALUE"""),"Proyecto")</f>
        <v>Proyecto</v>
      </c>
      <c r="X61" s="4" t="str">
        <f>IFERROR(__xludf.DUMMYFUNCTION("""COMPUTED_VALUE"""),"UdeA")</f>
        <v>UdeA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 t="str">
        <f>IFERROR(__xludf.DUMMYFUNCTION("""COMPUTED_VALUE"""),"Ninguna")</f>
        <v>Ninguna</v>
      </c>
      <c r="AL61" s="4"/>
      <c r="AM61" s="4" t="str">
        <f>IFERROR(__xludf.DUMMYFUNCTION("""COMPUTED_VALUE"""),"Obligatorio")</f>
        <v>Obligatorio</v>
      </c>
      <c r="AN61" s="4">
        <f>IFERROR(__xludf.DUMMYFUNCTION("""COMPUTED_VALUE"""),3.0)</f>
        <v>3</v>
      </c>
      <c r="AO61" s="4">
        <f>IFERROR(__xludf.DUMMYFUNCTION("""COMPUTED_VALUE"""),2.0)</f>
        <v>2</v>
      </c>
      <c r="AP61" s="4">
        <f>IFERROR(__xludf.DUMMYFUNCTION("""COMPUTED_VALUE"""),2.0)</f>
        <v>2</v>
      </c>
      <c r="AQ61" s="4">
        <f>IFERROR(__xludf.DUMMYFUNCTION("""COMPUTED_VALUE"""),1.0)</f>
        <v>1</v>
      </c>
      <c r="AR61" s="4">
        <f>IFERROR(__xludf.DUMMYFUNCTION("""COMPUTED_VALUE"""),2.0)</f>
        <v>2</v>
      </c>
      <c r="AS61" s="4">
        <f>IFERROR(__xludf.DUMMYFUNCTION("""COMPUTED_VALUE"""),1.0)</f>
        <v>1</v>
      </c>
      <c r="AT61" s="4" t="str">
        <f>IFERROR(__xludf.DUMMYFUNCTION("""COMPUTED_VALUE"""),"DOI: doi.org/10.3390/en13040857")</f>
        <v>DOI: doi.org/10.3390/en13040857</v>
      </c>
      <c r="AU61" s="5" t="str">
        <f>IFERROR(__xludf.DUMMYFUNCTION("""COMPUTED_VALUE"""),"https://drive.google.com/open?id=1NYAwDCan9sVUZIrbn38RsGLZVT91xW9g")</f>
        <v>https://drive.google.com/open?id=1NYAwDCan9sVUZIrbn38RsGLZVT91xW9g</v>
      </c>
      <c r="AV61" s="4">
        <f>IFERROR(__xludf.DUMMYFUNCTION("""COMPUTED_VALUE"""),1299.0)</f>
        <v>1299</v>
      </c>
      <c r="AW61" s="4"/>
      <c r="AX61" s="4">
        <f>IFERROR(__xludf.DUMMYFUNCTION("""COMPUTED_VALUE"""),4.0)</f>
        <v>4</v>
      </c>
      <c r="AY61" s="4" t="str">
        <f>IFERROR(__xludf.DUMMYFUNCTION("""COMPUTED_VALUE"""),"Voltage Stability Margin Index Estimation Using a
Hybrid Kernel Extreme Learning Machine Approach")</f>
        <v>Voltage Stability Margin Index Estimation Using a
Hybrid Kernel Extreme Learning Machine Approach</v>
      </c>
      <c r="AZ61" s="4"/>
      <c r="BA61" s="6" t="s">
        <v>141</v>
      </c>
      <c r="BB61" s="6" t="s">
        <v>45</v>
      </c>
      <c r="BC61" s="6" t="s">
        <v>142</v>
      </c>
      <c r="BD61" s="6" t="s">
        <v>143</v>
      </c>
      <c r="BE61" s="6" t="s">
        <v>45</v>
      </c>
      <c r="BF61" s="6" t="s">
        <v>142</v>
      </c>
      <c r="BG61" s="6" t="s">
        <v>144</v>
      </c>
      <c r="BH61" s="6" t="s">
        <v>145</v>
      </c>
      <c r="BI61" s="6" t="s">
        <v>146</v>
      </c>
      <c r="CQ61" s="6" t="s">
        <v>60</v>
      </c>
      <c r="CR61" s="6">
        <v>2.7</v>
      </c>
    </row>
    <row r="62">
      <c r="A62" s="4" t="str">
        <f>IFERROR(__xludf.DUMMYFUNCTION("""COMPUTED_VALUE"""),"Proy13")</f>
        <v>Proy13</v>
      </c>
      <c r="B62" s="4" t="str">
        <f>IFERROR(__xludf.DUMMYFUNCTION("""COMPUTED_VALUE"""),"Nuevo_Conocimiento")</f>
        <v>Nuevo_Conocimiento</v>
      </c>
      <c r="C62" s="4" t="str">
        <f>IFERROR(__xludf.DUMMYFUNCTION("""COMPUTED_VALUE"""),"Artículo A1")</f>
        <v>Artículo A1</v>
      </c>
      <c r="D62" s="4" t="str">
        <f>IFERROR(__xludf.DUMMYFUNCTION("""COMPUTED_VALUE"""),"Artículo A1")</f>
        <v>Artículo A1</v>
      </c>
      <c r="E62" s="4" t="str">
        <f>IFERROR(__xludf.DUMMYFUNCTION("""COMPUTED_VALUE"""),"Artículo A2")</f>
        <v>Artículo A2</v>
      </c>
      <c r="F62" s="4" t="str">
        <f>IFERROR(__xludf.DUMMYFUNCTION("""COMPUTED_VALUE"""),"Artículo B")</f>
        <v>Artículo B</v>
      </c>
      <c r="G62" s="4" t="str">
        <f>IFERROR(__xludf.DUMMYFUNCTION("""COMPUTED_VALUE"""),"Artículo C")</f>
        <v>Artículo C</v>
      </c>
      <c r="H62" s="4" t="str">
        <f>IFERROR(__xludf.DUMMYFUNCTION("""COMPUTED_VALUE"""),"Capítulo de libro A")</f>
        <v>Capítulo de libro A</v>
      </c>
      <c r="I62" s="4" t="str">
        <f>IFERROR(__xludf.DUMMYFUNCTION("""COMPUTED_VALUE"""),"Capítulo de libro A1")</f>
        <v>Capítulo de libro A1</v>
      </c>
      <c r="J62" s="4" t="str">
        <f>IFERROR(__xludf.DUMMYFUNCTION("""COMPUTED_VALUE"""),"Capítulo de libro B")</f>
        <v>Capítulo de libro B</v>
      </c>
      <c r="K62" s="4" t="str">
        <f>IFERROR(__xludf.DUMMYFUNCTION("""COMPUTED_VALUE"""),"Libro A")</f>
        <v>Libro A</v>
      </c>
      <c r="L62" s="4" t="str">
        <f>IFERROR(__xludf.DUMMYFUNCTION("""COMPUTED_VALUE"""),"Libro A1")</f>
        <v>Libro A1</v>
      </c>
      <c r="M62" s="4" t="str">
        <f>IFERROR(__xludf.DUMMYFUNCTION("""COMPUTED_VALUE"""),"Libro B")</f>
        <v>Libro B</v>
      </c>
      <c r="N62" s="4" t="str">
        <f>IFERROR(__xludf.DUMMYFUNCTION("""COMPUTED_VALUE"""),"Solicitud Patente de invención y-o modelo de utitlidad")</f>
        <v>Solicitud Patente de invención y-o modelo de utitlidad</v>
      </c>
      <c r="O62" s="4" t="str">
        <f>IFERROR(__xludf.DUMMYFUNCTION("""COMPUTED_VALUE"""),"Patente de invención")</f>
        <v>Patente de invención</v>
      </c>
      <c r="P62" s="4" t="str">
        <f>IFERROR(__xludf.DUMMYFUNCTION("""COMPUTED_VALUE"""),"Patente de modelo de utilidad")</f>
        <v>Patente de modelo de utilidad</v>
      </c>
      <c r="Q62" s="4" t="str">
        <f>IFERROR(__xludf.DUMMYFUNCTION("""COMPUTED_VALUE"""),"Artículo sin clasificar")</f>
        <v>Artículo sin clasificar</v>
      </c>
      <c r="R62" s="4" t="str">
        <f>IFERROR(__xludf.DUMMYFUNCTION("""COMPUTED_VALUE"""),"Capítulo sin clasificar")</f>
        <v>Capítulo sin clasificar</v>
      </c>
      <c r="S62" s="4"/>
      <c r="T62" s="4"/>
      <c r="U62" s="4" t="str">
        <f>IFERROR(__xludf.DUMMYFUNCTION("""COMPUTED_VALUE"""),"Ninguna")</f>
        <v>Ninguna</v>
      </c>
      <c r="V62" s="4"/>
      <c r="W62" s="4" t="str">
        <f>IFERROR(__xludf.DUMMYFUNCTION("""COMPUTED_VALUE"""),"Proyecto")</f>
        <v>Proyecto</v>
      </c>
      <c r="X62" s="4" t="str">
        <f>IFERROR(__xludf.DUMMYFUNCTION("""COMPUTED_VALUE"""),"UdeA")</f>
        <v>UdeA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 t="str">
        <f>IFERROR(__xludf.DUMMYFUNCTION("""COMPUTED_VALUE"""),"Institución Universitaria Pascual Bravo")</f>
        <v>Institución Universitaria Pascual Bravo</v>
      </c>
      <c r="AK62" s="4" t="str">
        <f>IFERROR(__xludf.DUMMYFUNCTION("""COMPUTED_VALUE"""),"Ninguna")</f>
        <v>Ninguna</v>
      </c>
      <c r="AL62" s="4"/>
      <c r="AM62" s="4" t="str">
        <f>IFERROR(__xludf.DUMMYFUNCTION("""COMPUTED_VALUE"""),"Obligatorio")</f>
        <v>Obligatorio</v>
      </c>
      <c r="AN62" s="4">
        <f>IFERROR(__xludf.DUMMYFUNCTION("""COMPUTED_VALUE"""),3.0)</f>
        <v>3</v>
      </c>
      <c r="AO62" s="4">
        <f>IFERROR(__xludf.DUMMYFUNCTION("""COMPUTED_VALUE"""),2.0)</f>
        <v>2</v>
      </c>
      <c r="AP62" s="4">
        <f>IFERROR(__xludf.DUMMYFUNCTION("""COMPUTED_VALUE"""),2.0)</f>
        <v>2</v>
      </c>
      <c r="AQ62" s="4">
        <f>IFERROR(__xludf.DUMMYFUNCTION("""COMPUTED_VALUE"""),1.0)</f>
        <v>1</v>
      </c>
      <c r="AR62" s="4">
        <f>IFERROR(__xludf.DUMMYFUNCTION("""COMPUTED_VALUE"""),2.0)</f>
        <v>2</v>
      </c>
      <c r="AS62" s="4">
        <f>IFERROR(__xludf.DUMMYFUNCTION("""COMPUTED_VALUE"""),1.0)</f>
        <v>1</v>
      </c>
      <c r="AT62" s="4" t="str">
        <f>IFERROR(__xludf.DUMMYFUNCTION("""COMPUTED_VALUE"""),"doi:10.3390/en13040922")</f>
        <v>doi:10.3390/en13040922</v>
      </c>
      <c r="AU62" s="5" t="str">
        <f>IFERROR(__xludf.DUMMYFUNCTION("""COMPUTED_VALUE"""),"https://drive.google.com/open?id=1-chW1gKKhGkPpHE2bl2Vg0uaydhaJlS3")</f>
        <v>https://drive.google.com/open?id=1-chW1gKKhGkPpHE2bl2Vg0uaydhaJlS3</v>
      </c>
      <c r="AV62" s="4">
        <f>IFERROR(__xludf.DUMMYFUNCTION("""COMPUTED_VALUE"""),1302.0)</f>
        <v>1302</v>
      </c>
      <c r="AW62" s="4"/>
      <c r="AX62" s="4">
        <f>IFERROR(__xludf.DUMMYFUNCTION("""COMPUTED_VALUE"""),4.0)</f>
        <v>4</v>
      </c>
      <c r="AY62" s="4" t="str">
        <f>IFERROR(__xludf.DUMMYFUNCTION("""COMPUTED_VALUE"""),"Optimal Coordination of Overcurrent Relays in Microgrids Considering a Non-Standard Characteristic")</f>
        <v>Optimal Coordination of Overcurrent Relays in Microgrids Considering a Non-Standard Characteristic</v>
      </c>
      <c r="AZ62" s="4"/>
      <c r="BA62" s="6" t="s">
        <v>147</v>
      </c>
      <c r="BB62" s="6" t="s">
        <v>148</v>
      </c>
      <c r="BC62" s="6" t="s">
        <v>149</v>
      </c>
      <c r="BD62" s="6" t="s">
        <v>150</v>
      </c>
      <c r="BE62" s="6" t="s">
        <v>45</v>
      </c>
      <c r="BF62" s="6" t="s">
        <v>56</v>
      </c>
      <c r="BG62" s="6" t="s">
        <v>115</v>
      </c>
      <c r="BH62" s="6" t="s">
        <v>45</v>
      </c>
      <c r="BI62" s="6" t="s">
        <v>56</v>
      </c>
      <c r="CQ62" s="6" t="s">
        <v>60</v>
      </c>
      <c r="CR62" s="6">
        <v>2.7</v>
      </c>
    </row>
    <row r="63">
      <c r="A63" s="4" t="str">
        <f>IFERROR(__xludf.DUMMYFUNCTION("""COMPUTED_VALUE"""),"Proy4")</f>
        <v>Proy4</v>
      </c>
      <c r="B63" s="4" t="str">
        <f>IFERROR(__xludf.DUMMYFUNCTION("""COMPUTED_VALUE"""),"Nuevo_Conocimiento")</f>
        <v>Nuevo_Conocimiento</v>
      </c>
      <c r="C63" s="4" t="str">
        <f>IFERROR(__xludf.DUMMYFUNCTION("""COMPUTED_VALUE"""),"Artículo A1")</f>
        <v>Artículo A1</v>
      </c>
      <c r="D63" s="4" t="str">
        <f>IFERROR(__xludf.DUMMYFUNCTION("""COMPUTED_VALUE"""),"Artículo A1")</f>
        <v>Artículo A1</v>
      </c>
      <c r="E63" s="4" t="str">
        <f>IFERROR(__xludf.DUMMYFUNCTION("""COMPUTED_VALUE"""),"Artículo A2")</f>
        <v>Artículo A2</v>
      </c>
      <c r="F63" s="4" t="str">
        <f>IFERROR(__xludf.DUMMYFUNCTION("""COMPUTED_VALUE"""),"Artículo B")</f>
        <v>Artículo B</v>
      </c>
      <c r="G63" s="4" t="str">
        <f>IFERROR(__xludf.DUMMYFUNCTION("""COMPUTED_VALUE"""),"Artículo C")</f>
        <v>Artículo C</v>
      </c>
      <c r="H63" s="4" t="str">
        <f>IFERROR(__xludf.DUMMYFUNCTION("""COMPUTED_VALUE"""),"Capítulo de libro A")</f>
        <v>Capítulo de libro A</v>
      </c>
      <c r="I63" s="4" t="str">
        <f>IFERROR(__xludf.DUMMYFUNCTION("""COMPUTED_VALUE"""),"Capítulo de libro A1")</f>
        <v>Capítulo de libro A1</v>
      </c>
      <c r="J63" s="4" t="str">
        <f>IFERROR(__xludf.DUMMYFUNCTION("""COMPUTED_VALUE"""),"Capítulo de libro B")</f>
        <v>Capítulo de libro B</v>
      </c>
      <c r="K63" s="4" t="str">
        <f>IFERROR(__xludf.DUMMYFUNCTION("""COMPUTED_VALUE"""),"Libro A")</f>
        <v>Libro A</v>
      </c>
      <c r="L63" s="4" t="str">
        <f>IFERROR(__xludf.DUMMYFUNCTION("""COMPUTED_VALUE"""),"Libro A1")</f>
        <v>Libro A1</v>
      </c>
      <c r="M63" s="4" t="str">
        <f>IFERROR(__xludf.DUMMYFUNCTION("""COMPUTED_VALUE"""),"Libro B")</f>
        <v>Libro B</v>
      </c>
      <c r="N63" s="4" t="str">
        <f>IFERROR(__xludf.DUMMYFUNCTION("""COMPUTED_VALUE"""),"Solicitud Patente de invención y-o modelo de utitlidad")</f>
        <v>Solicitud Patente de invención y-o modelo de utitlidad</v>
      </c>
      <c r="O63" s="4" t="str">
        <f>IFERROR(__xludf.DUMMYFUNCTION("""COMPUTED_VALUE"""),"Patente de invención")</f>
        <v>Patente de invención</v>
      </c>
      <c r="P63" s="4" t="str">
        <f>IFERROR(__xludf.DUMMYFUNCTION("""COMPUTED_VALUE"""),"Patente de modelo de utilidad")</f>
        <v>Patente de modelo de utilidad</v>
      </c>
      <c r="Q63" s="4" t="str">
        <f>IFERROR(__xludf.DUMMYFUNCTION("""COMPUTED_VALUE"""),"Artículo sin clasificar")</f>
        <v>Artículo sin clasificar</v>
      </c>
      <c r="R63" s="4" t="str">
        <f>IFERROR(__xludf.DUMMYFUNCTION("""COMPUTED_VALUE"""),"Capítulo sin clasificar")</f>
        <v>Capítulo sin clasificar</v>
      </c>
      <c r="S63" s="4"/>
      <c r="T63" s="4"/>
      <c r="U63" s="4" t="str">
        <f>IFERROR(__xludf.DUMMYFUNCTION("""COMPUTED_VALUE"""),"Otros actores")</f>
        <v>Otros actores</v>
      </c>
      <c r="V63" s="4" t="str">
        <f>IFERROR(__xludf.DUMMYFUNCTION("""COMPUTED_VALUE"""),"YPF Tecnología S.A., Argentina")</f>
        <v>YPF Tecnología S.A., Argentina</v>
      </c>
      <c r="W63" s="4" t="str">
        <f>IFERROR(__xludf.DUMMYFUNCTION("""COMPUTED_VALUE"""),"Proyecto")</f>
        <v>Proyecto</v>
      </c>
      <c r="X63" s="4" t="str">
        <f>IFERROR(__xludf.DUMMYFUNCTION("""COMPUTED_VALUE"""),"UdeA")</f>
        <v>UdeA</v>
      </c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 t="str">
        <f>IFERROR(__xludf.DUMMYFUNCTION("""COMPUTED_VALUE"""),"Ninguna")</f>
        <v>Ninguna</v>
      </c>
      <c r="AL63" s="4"/>
      <c r="AM63" s="4" t="str">
        <f>IFERROR(__xludf.DUMMYFUNCTION("""COMPUTED_VALUE"""),"Obligatorio")</f>
        <v>Obligatorio</v>
      </c>
      <c r="AN63" s="4">
        <f>IFERROR(__xludf.DUMMYFUNCTION("""COMPUTED_VALUE"""),3.0)</f>
        <v>3</v>
      </c>
      <c r="AO63" s="4">
        <f>IFERROR(__xludf.DUMMYFUNCTION("""COMPUTED_VALUE"""),1.0)</f>
        <v>1</v>
      </c>
      <c r="AP63" s="4">
        <f>IFERROR(__xludf.DUMMYFUNCTION("""COMPUTED_VALUE"""),2.0)</f>
        <v>2</v>
      </c>
      <c r="AQ63" s="4">
        <f>IFERROR(__xludf.DUMMYFUNCTION("""COMPUTED_VALUE"""),1.0)</f>
        <v>1</v>
      </c>
      <c r="AR63" s="4">
        <f>IFERROR(__xludf.DUMMYFUNCTION("""COMPUTED_VALUE"""),2.0)</f>
        <v>2</v>
      </c>
      <c r="AS63" s="4">
        <f>IFERROR(__xludf.DUMMYFUNCTION("""COMPUTED_VALUE"""),1.0)</f>
        <v>1</v>
      </c>
      <c r="AT63" s="4" t="str">
        <f>IFERROR(__xludf.DUMMYFUNCTION("""COMPUTED_VALUE"""),"DOI: doi.org/10.1016/j.ssi.2019.115199")</f>
        <v>DOI: doi.org/10.1016/j.ssi.2019.115199</v>
      </c>
      <c r="AU63" s="5" t="str">
        <f>IFERROR(__xludf.DUMMYFUNCTION("""COMPUTED_VALUE"""),"https://drive.google.com/open?id=1VxkE9IpUR1-UXRg9q-DpXdx7qlUJZ1jE")</f>
        <v>https://drive.google.com/open?id=1VxkE9IpUR1-UXRg9q-DpXdx7qlUJZ1jE</v>
      </c>
      <c r="AV63" s="4">
        <f>IFERROR(__xludf.DUMMYFUNCTION("""COMPUTED_VALUE"""),1301.0)</f>
        <v>1301</v>
      </c>
      <c r="AW63" s="4"/>
      <c r="AX63" s="4">
        <f>IFERROR(__xludf.DUMMYFUNCTION("""COMPUTED_VALUE"""),4.0)</f>
        <v>4</v>
      </c>
      <c r="AY63" s="4" t="str">
        <f>IFERROR(__xludf.DUMMYFUNCTION("""COMPUTED_VALUE"""),"Enhanced rate capability of lithium deficient spinel via controlling cooling rate")</f>
        <v>Enhanced rate capability of lithium deficient spinel via controlling cooling rate</v>
      </c>
      <c r="AZ63" s="4"/>
      <c r="BA63" s="6" t="s">
        <v>151</v>
      </c>
      <c r="BB63" s="6" t="s">
        <v>45</v>
      </c>
      <c r="BC63" s="6" t="s">
        <v>71</v>
      </c>
      <c r="BD63" s="6" t="s">
        <v>152</v>
      </c>
      <c r="BE63" s="6" t="s">
        <v>153</v>
      </c>
      <c r="BG63" s="6" t="s">
        <v>154</v>
      </c>
      <c r="BH63" s="6" t="s">
        <v>45</v>
      </c>
      <c r="BI63" s="6" t="s">
        <v>71</v>
      </c>
      <c r="CQ63" s="6" t="s">
        <v>155</v>
      </c>
      <c r="CR63" s="6">
        <v>2.88</v>
      </c>
    </row>
    <row r="64">
      <c r="A64" s="4" t="str">
        <f>IFERROR(__xludf.DUMMYFUNCTION("""COMPUTED_VALUE"""),"Proy12")</f>
        <v>Proy12</v>
      </c>
      <c r="B64" s="4" t="str">
        <f>IFERROR(__xludf.DUMMYFUNCTION("""COMPUTED_VALUE"""),"Formación_RH")</f>
        <v>Formación_RH</v>
      </c>
      <c r="C64" s="4" t="str">
        <f>IFERROR(__xludf.DUMMYFUNCTION("""COMPUTED_VALUE"""),"Vinculación de estudiante de maestría")</f>
        <v>Vinculación de estudiante de maestría</v>
      </c>
      <c r="D64" s="4" t="str">
        <f>IFERROR(__xludf.DUMMYFUNCTION("""COMPUTED_VALUE"""),"Vinculación de estudiante de doctorado")</f>
        <v>Vinculación de estudiante de doctorado</v>
      </c>
      <c r="E64" s="4" t="str">
        <f>IFERROR(__xludf.DUMMYFUNCTION("""COMPUTED_VALUE"""),"Formación de estudiante de doctorado")</f>
        <v>Formación de estudiante de doctorado</v>
      </c>
      <c r="F64" s="4" t="str">
        <f>IFERROR(__xludf.DUMMYFUNCTION("""COMPUTED_VALUE"""),"Vinculación de estudiante de maestría")</f>
        <v>Vinculación de estudiante de maestría</v>
      </c>
      <c r="G64" s="4" t="str">
        <f>IFERROR(__xludf.DUMMYFUNCTION("""COMPUTED_VALUE"""),"Formación de estudiante de maestría")</f>
        <v>Formación de estudiante de maestría</v>
      </c>
      <c r="H64" s="4" t="str">
        <f>IFERROR(__xludf.DUMMYFUNCTION("""COMPUTED_VALUE"""),"Vinculación de estudiante de pregrado")</f>
        <v>Vinculación de estudiante de pregrado</v>
      </c>
      <c r="I64" s="4" t="str">
        <f>IFERROR(__xludf.DUMMYFUNCTION("""COMPUTED_VALUE"""),"Formación de estudiante de pregrado")</f>
        <v>Formación de estudiante de pregrado</v>
      </c>
      <c r="J64" s="4" t="str">
        <f>IFERROR(__xludf.DUMMYFUNCTION("""COMPUTED_VALUE"""),"Joven investigador")</f>
        <v>Joven investigador</v>
      </c>
      <c r="K64" s="4" t="str">
        <f>IFERROR(__xludf.DUMMYFUNCTION("""COMPUTED_VALUE"""),"Pasantía nacional")</f>
        <v>Pasantía nacional</v>
      </c>
      <c r="L64" s="4" t="str">
        <f>IFERROR(__xludf.DUMMYFUNCTION("""COMPUTED_VALUE"""),"Pasantía internacional")</f>
        <v>Pasantía internacional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 t="str">
        <f>IFERROR(__xludf.DUMMYFUNCTION("""COMPUTED_VALUE"""),"Obligatorio")</f>
        <v>Obligatorio</v>
      </c>
      <c r="AN64" s="4"/>
      <c r="AO64" s="4"/>
      <c r="AP64" s="4"/>
      <c r="AQ64" s="4"/>
      <c r="AR64" s="4"/>
      <c r="AS64" s="4"/>
      <c r="AT64" s="4" t="str">
        <f>IFERROR(__xludf.DUMMYFUNCTION("""COMPUTED_VALUE"""),"Yina Fernanda Jiménez Cerón")</f>
        <v>Yina Fernanda Jiménez Cerón</v>
      </c>
      <c r="AU64" s="5" t="str">
        <f>IFERROR(__xludf.DUMMYFUNCTION("""COMPUTED_VALUE"""),"https://drive.google.com/open?id=1bA_y8fXI_vJNx8Z8X-GyXW0R8gfO7C6t")</f>
        <v>https://drive.google.com/open?id=1bA_y8fXI_vJNx8Z8X-GyXW0R8gfO7C6t</v>
      </c>
      <c r="AV64" s="4">
        <f>IFERROR(__xludf.DUMMYFUNCTION("""COMPUTED_VALUE"""),1298.0)</f>
        <v>1298</v>
      </c>
      <c r="AW64" s="4" t="str">
        <f>IFERROR(__xludf.DUMMYFUNCTION("""COMPUTED_VALUE"""),"En Curso")</f>
        <v>En Curso</v>
      </c>
      <c r="AX64" s="4">
        <f>IFERROR(__xludf.DUMMYFUNCTION("""COMPUTED_VALUE"""),4.0)</f>
        <v>4</v>
      </c>
      <c r="AY64" s="4" t="str">
        <f>IFERROR(__xludf.DUMMYFUNCTION("""COMPUTED_VALUE"""),"Maestría en Ingneniería Ambiental UdeA")</f>
        <v>Maestría en Ingneniería Ambiental UdeA</v>
      </c>
      <c r="AZ64" s="4"/>
    </row>
    <row r="65">
      <c r="A65" s="4" t="str">
        <f>IFERROR(__xludf.DUMMYFUNCTION("""COMPUTED_VALUE"""),"Proy2")</f>
        <v>Proy2</v>
      </c>
      <c r="B65" s="4" t="str">
        <f>IFERROR(__xludf.DUMMYFUNCTION("""COMPUTED_VALUE"""),"Formación_RH")</f>
        <v>Formación_RH</v>
      </c>
      <c r="C65" s="4" t="str">
        <f>IFERROR(__xludf.DUMMYFUNCTION("""COMPUTED_VALUE"""),"Vinculación de estudiante de doctorado")</f>
        <v>Vinculación de estudiante de doctorado</v>
      </c>
      <c r="D65" s="4" t="str">
        <f>IFERROR(__xludf.DUMMYFUNCTION("""COMPUTED_VALUE"""),"Vinculación de estudiante de doctorado")</f>
        <v>Vinculación de estudiante de doctorado</v>
      </c>
      <c r="E65" s="4" t="str">
        <f>IFERROR(__xludf.DUMMYFUNCTION("""COMPUTED_VALUE"""),"Formación de estudiante de doctorado")</f>
        <v>Formación de estudiante de doctorado</v>
      </c>
      <c r="F65" s="4" t="str">
        <f>IFERROR(__xludf.DUMMYFUNCTION("""COMPUTED_VALUE"""),"Vinculación de estudiante de maestría")</f>
        <v>Vinculación de estudiante de maestría</v>
      </c>
      <c r="G65" s="4" t="str">
        <f>IFERROR(__xludf.DUMMYFUNCTION("""COMPUTED_VALUE"""),"Formación de estudiante de maestría")</f>
        <v>Formación de estudiante de maestría</v>
      </c>
      <c r="H65" s="4" t="str">
        <f>IFERROR(__xludf.DUMMYFUNCTION("""COMPUTED_VALUE"""),"Vinculación de estudiante de pregrado")</f>
        <v>Vinculación de estudiante de pregrado</v>
      </c>
      <c r="I65" s="4" t="str">
        <f>IFERROR(__xludf.DUMMYFUNCTION("""COMPUTED_VALUE"""),"Formación de estudiante de pregrado")</f>
        <v>Formación de estudiante de pregrado</v>
      </c>
      <c r="J65" s="4" t="str">
        <f>IFERROR(__xludf.DUMMYFUNCTION("""COMPUTED_VALUE"""),"Joven investigador")</f>
        <v>Joven investigador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 t="str">
        <f>IFERROR(__xludf.DUMMYFUNCTION("""COMPUTED_VALUE"""),"Ninguna")</f>
        <v>Ninguna</v>
      </c>
      <c r="V65" s="4"/>
      <c r="W65" s="4" t="str">
        <f>IFERROR(__xludf.DUMMYFUNCTION("""COMPUTED_VALUE"""),"Programa")</f>
        <v>Programa</v>
      </c>
      <c r="X65" s="4" t="str">
        <f>IFERROR(__xludf.DUMMYFUNCTION("""COMPUTED_VALUE"""),"UdeA")</f>
        <v>UdeA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 t="str">
        <f>IFERROR(__xludf.DUMMYFUNCTION("""COMPUTED_VALUE"""),"Colaboración")</f>
        <v>Colaboración</v>
      </c>
      <c r="AL65" s="4" t="str">
        <f>IFERROR(__xludf.DUMMYFUNCTION("""COMPUTED_VALUE"""),"Proy13")</f>
        <v>Proy13</v>
      </c>
      <c r="AM65" s="4" t="str">
        <f>IFERROR(__xludf.DUMMYFUNCTION("""COMPUTED_VALUE"""),"Obligatorio")</f>
        <v>Obligatorio</v>
      </c>
      <c r="AN65" s="4"/>
      <c r="AO65" s="4"/>
      <c r="AP65" s="4"/>
      <c r="AQ65" s="4"/>
      <c r="AR65" s="4"/>
      <c r="AS65" s="4"/>
      <c r="AT65" s="4" t="str">
        <f>IFERROR(__xludf.DUMMYFUNCTION("""COMPUTED_VALUE"""),"Esteban Velilla")</f>
        <v>Esteban Velilla</v>
      </c>
      <c r="AU65" s="4"/>
      <c r="AV65" s="4"/>
      <c r="AW65" s="4" t="str">
        <f>IFERROR(__xludf.DUMMYFUNCTION("""COMPUTED_VALUE"""),"En Curso")</f>
        <v>En Curso</v>
      </c>
      <c r="AX65" s="4">
        <f>IFERROR(__xludf.DUMMYFUNCTION("""COMPUTED_VALUE"""),4.0)</f>
        <v>4</v>
      </c>
      <c r="AY65" s="4" t="str">
        <f>IFERROR(__xludf.DUMMYFUNCTION("""COMPUTED_VALUE"""),"Doctorado en Ingeniería de Materiales  -UdEA")</f>
        <v>Doctorado en Ingeniería de Materiales  -UdEA</v>
      </c>
      <c r="AZ65" s="4"/>
    </row>
    <row r="66">
      <c r="A66" s="4" t="str">
        <f>IFERROR(__xludf.DUMMYFUNCTION("""COMPUTED_VALUE"""),"Proy2")</f>
        <v>Proy2</v>
      </c>
      <c r="B66" s="4" t="str">
        <f>IFERROR(__xludf.DUMMYFUNCTION("""COMPUTED_VALUE"""),"Formación_RH")</f>
        <v>Formación_RH</v>
      </c>
      <c r="C66" s="4" t="str">
        <f>IFERROR(__xludf.DUMMYFUNCTION("""COMPUTED_VALUE"""),"Vinculación de estudiante de doctorado")</f>
        <v>Vinculación de estudiante de doctorado</v>
      </c>
      <c r="D66" s="4" t="str">
        <f>IFERROR(__xludf.DUMMYFUNCTION("""COMPUTED_VALUE"""),"Vinculación de estudiante de doctorado")</f>
        <v>Vinculación de estudiante de doctorado</v>
      </c>
      <c r="E66" s="4" t="str">
        <f>IFERROR(__xludf.DUMMYFUNCTION("""COMPUTED_VALUE"""),"Formación de estudiante de doctorado")</f>
        <v>Formación de estudiante de doctorado</v>
      </c>
      <c r="F66" s="4" t="str">
        <f>IFERROR(__xludf.DUMMYFUNCTION("""COMPUTED_VALUE"""),"Vinculación de estudiante de maestría")</f>
        <v>Vinculación de estudiante de maestría</v>
      </c>
      <c r="G66" s="4" t="str">
        <f>IFERROR(__xludf.DUMMYFUNCTION("""COMPUTED_VALUE"""),"Formación de estudiante de maestría")</f>
        <v>Formación de estudiante de maestría</v>
      </c>
      <c r="H66" s="4" t="str">
        <f>IFERROR(__xludf.DUMMYFUNCTION("""COMPUTED_VALUE"""),"Vinculación de estudiante de pregrado")</f>
        <v>Vinculación de estudiante de pregrado</v>
      </c>
      <c r="I66" s="4" t="str">
        <f>IFERROR(__xludf.DUMMYFUNCTION("""COMPUTED_VALUE"""),"Formación de estudiante de pregrado")</f>
        <v>Formación de estudiante de pregrado</v>
      </c>
      <c r="J66" s="4" t="str">
        <f>IFERROR(__xludf.DUMMYFUNCTION("""COMPUTED_VALUE"""),"Joven investigador")</f>
        <v>Joven investigador</v>
      </c>
      <c r="K66" s="4" t="str">
        <f>IFERROR(__xludf.DUMMYFUNCTION("""COMPUTED_VALUE"""),"Pasantía nacional")</f>
        <v>Pasantía nacional</v>
      </c>
      <c r="L66" s="4" t="str">
        <f>IFERROR(__xludf.DUMMYFUNCTION("""COMPUTED_VALUE"""),"Pasantía internacional")</f>
        <v>Pasantía internacional</v>
      </c>
      <c r="M66" s="4"/>
      <c r="N66" s="4"/>
      <c r="O66" s="4"/>
      <c r="P66" s="4"/>
      <c r="Q66" s="4"/>
      <c r="R66" s="4"/>
      <c r="S66" s="4"/>
      <c r="T66" s="4"/>
      <c r="U66" s="4" t="str">
        <f>IFERROR(__xludf.DUMMYFUNCTION("""COMPUTED_VALUE"""),"Ninguna")</f>
        <v>Ninguna</v>
      </c>
      <c r="V66" s="4"/>
      <c r="W66" s="4" t="str">
        <f>IFERROR(__xludf.DUMMYFUNCTION("""COMPUTED_VALUE"""),"Proyecto")</f>
        <v>Proyecto</v>
      </c>
      <c r="X66" s="4" t="str">
        <f>IFERROR(__xludf.DUMMYFUNCTION("""COMPUTED_VALUE"""),"UdeA")</f>
        <v>UdeA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 t="str">
        <f>IFERROR(__xludf.DUMMYFUNCTION("""COMPUTED_VALUE"""),"Obligatorio")</f>
        <v>Obligatorio</v>
      </c>
      <c r="AN66" s="4"/>
      <c r="AO66" s="4"/>
      <c r="AP66" s="4"/>
      <c r="AQ66" s="4"/>
      <c r="AR66" s="4"/>
      <c r="AS66" s="4"/>
      <c r="AT66" s="4" t="str">
        <f>IFERROR(__xludf.DUMMYFUNCTION("""COMPUTED_VALUE"""),"Marllory Isaza")</f>
        <v>Marllory Isaza</v>
      </c>
      <c r="AU66" s="4"/>
      <c r="AV66" s="4"/>
      <c r="AW66" s="4" t="str">
        <f>IFERROR(__xludf.DUMMYFUNCTION("""COMPUTED_VALUE"""),"En Curso")</f>
        <v>En Curso</v>
      </c>
      <c r="AX66" s="4">
        <f>IFERROR(__xludf.DUMMYFUNCTION("""COMPUTED_VALUE"""),4.0)</f>
        <v>4</v>
      </c>
      <c r="AY66" s="4" t="str">
        <f>IFERROR(__xludf.DUMMYFUNCTION("""COMPUTED_VALUE"""),"Doctorado en Ingeniería de Materiales  -UdEA")</f>
        <v>Doctorado en Ingeniería de Materiales  -UdEA</v>
      </c>
      <c r="AZ66" s="4"/>
    </row>
    <row r="67">
      <c r="A67" s="4" t="str">
        <f>IFERROR(__xludf.DUMMYFUNCTION("""COMPUTED_VALUE"""),"Proy1")</f>
        <v>Proy1</v>
      </c>
      <c r="B67" s="4" t="str">
        <f>IFERROR(__xludf.DUMMYFUNCTION("""COMPUTED_VALUE"""),"Formación_RH")</f>
        <v>Formación_RH</v>
      </c>
      <c r="C67" s="4" t="str">
        <f>IFERROR(__xludf.DUMMYFUNCTION("""COMPUTED_VALUE"""),"Vinculación de estudiante de pregrado")</f>
        <v>Vinculación de estudiante de pregrado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 t="str">
        <f>IFERROR(__xludf.DUMMYFUNCTION("""COMPUTED_VALUE"""),"Ninguna")</f>
        <v>Ninguna</v>
      </c>
      <c r="V67" s="4"/>
      <c r="W67" s="4" t="str">
        <f>IFERROR(__xludf.DUMMYFUNCTION("""COMPUTED_VALUE"""),"Proyecto")</f>
        <v>Proyecto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 t="str">
        <f>IFERROR(__xludf.DUMMYFUNCTION("""COMPUTED_VALUE"""),"Obligatorio")</f>
        <v>Obligatorio</v>
      </c>
      <c r="AN67" s="4"/>
      <c r="AO67" s="4"/>
      <c r="AP67" s="4"/>
      <c r="AQ67" s="4"/>
      <c r="AR67" s="4"/>
      <c r="AS67" s="4"/>
      <c r="AT67" s="4" t="str">
        <f>IFERROR(__xludf.DUMMYFUNCTION("""COMPUTED_VALUE"""),"Pablo González Días")</f>
        <v>Pablo González Días</v>
      </c>
      <c r="AU67" s="4"/>
      <c r="AV67" s="4"/>
      <c r="AW67" s="4" t="str">
        <f>IFERROR(__xludf.DUMMYFUNCTION("""COMPUTED_VALUE"""),"En Curso")</f>
        <v>En Curso</v>
      </c>
      <c r="AX67" s="4">
        <f>IFERROR(__xludf.DUMMYFUNCTION("""COMPUTED_VALUE"""),3.0)</f>
        <v>3</v>
      </c>
      <c r="AY67" s="4" t="str">
        <f>IFERROR(__xludf.DUMMYFUNCTION("""COMPUTED_VALUE"""),"Ingeniería Mecánica - UdeA")</f>
        <v>Ingeniería Mecánica - UdeA</v>
      </c>
      <c r="AZ67" s="4"/>
    </row>
    <row r="68">
      <c r="A68" s="4" t="str">
        <f>IFERROR(__xludf.DUMMYFUNCTION("""COMPUTED_VALUE"""),"Proy2")</f>
        <v>Proy2</v>
      </c>
      <c r="B68" s="4" t="str">
        <f>IFERROR(__xludf.DUMMYFUNCTION("""COMPUTED_VALUE"""),"Formación_RH")</f>
        <v>Formación_RH</v>
      </c>
      <c r="C68" s="4" t="str">
        <f>IFERROR(__xludf.DUMMYFUNCTION("""COMPUTED_VALUE"""),"Vinculación de estudiante de maestría")</f>
        <v>Vinculación de estudiante de maestría</v>
      </c>
      <c r="D68" s="4" t="str">
        <f>IFERROR(__xludf.DUMMYFUNCTION("""COMPUTED_VALUE"""),"Vinculación de estudiante de doctorado")</f>
        <v>Vinculación de estudiante de doctorado</v>
      </c>
      <c r="E68" s="4" t="str">
        <f>IFERROR(__xludf.DUMMYFUNCTION("""COMPUTED_VALUE"""),"Formación de estudiante de doctorado")</f>
        <v>Formación de estudiante de doctorado</v>
      </c>
      <c r="F68" s="4" t="str">
        <f>IFERROR(__xludf.DUMMYFUNCTION("""COMPUTED_VALUE"""),"Vinculación de estudiante de maestría")</f>
        <v>Vinculación de estudiante de maestría</v>
      </c>
      <c r="G68" s="4" t="str">
        <f>IFERROR(__xludf.DUMMYFUNCTION("""COMPUTED_VALUE"""),"Formación de estudiante de maestría")</f>
        <v>Formación de estudiante de maestría</v>
      </c>
      <c r="H68" s="4" t="str">
        <f>IFERROR(__xludf.DUMMYFUNCTION("""COMPUTED_VALUE"""),"Vinculación de estudiante de pregrado")</f>
        <v>Vinculación de estudiante de pregrado</v>
      </c>
      <c r="I68" s="4" t="str">
        <f>IFERROR(__xludf.DUMMYFUNCTION("""COMPUTED_VALUE"""),"Formación de estudiante de pregrado")</f>
        <v>Formación de estudiante de pregrado</v>
      </c>
      <c r="J68" s="4" t="str">
        <f>IFERROR(__xludf.DUMMYFUNCTION("""COMPUTED_VALUE"""),"Joven investigador")</f>
        <v>Joven investigador</v>
      </c>
      <c r="K68" s="4" t="str">
        <f>IFERROR(__xludf.DUMMYFUNCTION("""COMPUTED_VALUE"""),"Pasantía nacional")</f>
        <v>Pasantía nacional</v>
      </c>
      <c r="L68" s="4" t="str">
        <f>IFERROR(__xludf.DUMMYFUNCTION("""COMPUTED_VALUE"""),"Pasantía internacional")</f>
        <v>Pasantía internacional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 t="str">
        <f>IFERROR(__xludf.DUMMYFUNCTION("""COMPUTED_VALUE"""),"Proyecto")</f>
        <v>Proyecto</v>
      </c>
      <c r="X68" s="4" t="str">
        <f>IFERROR(__xludf.DUMMYFUNCTION("""COMPUTED_VALUE"""),"UdeA, UAC")</f>
        <v>UdeA, UAC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 t="str">
        <f>IFERROR(__xludf.DUMMYFUNCTION("""COMPUTED_VALUE"""),"Adicional")</f>
        <v>Adicional</v>
      </c>
      <c r="AN68" s="4"/>
      <c r="AO68" s="4"/>
      <c r="AP68" s="4"/>
      <c r="AQ68" s="4"/>
      <c r="AR68" s="4"/>
      <c r="AS68" s="4"/>
      <c r="AT68" s="4" t="str">
        <f>IFERROR(__xludf.DUMMYFUNCTION("""COMPUTED_VALUE"""),"Andrés Padilla")</f>
        <v>Andrés Padilla</v>
      </c>
      <c r="AU68" s="4"/>
      <c r="AV68" s="4"/>
      <c r="AW68" s="4" t="str">
        <f>IFERROR(__xludf.DUMMYFUNCTION("""COMPUTED_VALUE"""),"En Curso")</f>
        <v>En Curso</v>
      </c>
      <c r="AX68" s="4">
        <f>IFERROR(__xludf.DUMMYFUNCTION("""COMPUTED_VALUE"""),4.0)</f>
        <v>4</v>
      </c>
      <c r="AY68" s="4" t="str">
        <f>IFERROR(__xludf.DUMMYFUNCTION("""COMPUTED_VALUE"""),"Maestría en Ingeniería Mecánica  - UAC")</f>
        <v>Maestría en Ingeniería Mecánica  - UAC</v>
      </c>
      <c r="AZ68" s="4"/>
    </row>
    <row r="69">
      <c r="A69" s="4" t="str">
        <f>IFERROR(__xludf.DUMMYFUNCTION("""COMPUTED_VALUE"""),"Proy4")</f>
        <v>Proy4</v>
      </c>
      <c r="B69" s="4" t="str">
        <f>IFERROR(__xludf.DUMMYFUNCTION("""COMPUTED_VALUE"""),"Formación_RH")</f>
        <v>Formación_RH</v>
      </c>
      <c r="C69" s="4" t="str">
        <f>IFERROR(__xludf.DUMMYFUNCTION("""COMPUTED_VALUE"""),"Vinculación de estudiante de doctorado")</f>
        <v>Vinculación de estudiante de doctorado</v>
      </c>
      <c r="D69" s="4" t="str">
        <f>IFERROR(__xludf.DUMMYFUNCTION("""COMPUTED_VALUE"""),"Vinculación de estudiante de doctorado")</f>
        <v>Vinculación de estudiante de doctorado</v>
      </c>
      <c r="E69" s="4" t="str">
        <f>IFERROR(__xludf.DUMMYFUNCTION("""COMPUTED_VALUE"""),"Formación de estudiante de doctorado")</f>
        <v>Formación de estudiante de doctorado</v>
      </c>
      <c r="F69" s="4" t="str">
        <f>IFERROR(__xludf.DUMMYFUNCTION("""COMPUTED_VALUE"""),"Vinculación de estudiante de maestría")</f>
        <v>Vinculación de estudiante de maestría</v>
      </c>
      <c r="G69" s="4" t="str">
        <f>IFERROR(__xludf.DUMMYFUNCTION("""COMPUTED_VALUE"""),"Formación de estudiante de maestría")</f>
        <v>Formación de estudiante de maestría</v>
      </c>
      <c r="H69" s="4" t="str">
        <f>IFERROR(__xludf.DUMMYFUNCTION("""COMPUTED_VALUE"""),"Vinculación de estudiante de pregrado")</f>
        <v>Vinculación de estudiante de pregrado</v>
      </c>
      <c r="I69" s="4" t="str">
        <f>IFERROR(__xludf.DUMMYFUNCTION("""COMPUTED_VALUE"""),"Formación de estudiante de pregrado")</f>
        <v>Formación de estudiante de pregrado</v>
      </c>
      <c r="J69" s="4" t="str">
        <f>IFERROR(__xludf.DUMMYFUNCTION("""COMPUTED_VALUE"""),"Joven investigador")</f>
        <v>Joven investigador</v>
      </c>
      <c r="K69" s="4" t="str">
        <f>IFERROR(__xludf.DUMMYFUNCTION("""COMPUTED_VALUE"""),"Pasantía nacional")</f>
        <v>Pasantía nacional</v>
      </c>
      <c r="L69" s="4" t="str">
        <f>IFERROR(__xludf.DUMMYFUNCTION("""COMPUTED_VALUE"""),"Pasantía internacional")</f>
        <v>Pasantía internacional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 t="str">
        <f>IFERROR(__xludf.DUMMYFUNCTION("""COMPUTED_VALUE"""),"Obligatorio")</f>
        <v>Obligatorio</v>
      </c>
      <c r="AN69" s="4"/>
      <c r="AO69" s="4"/>
      <c r="AP69" s="4"/>
      <c r="AQ69" s="4"/>
      <c r="AR69" s="4"/>
      <c r="AS69" s="4"/>
      <c r="AT69" s="4" t="str">
        <f>IFERROR(__xludf.DUMMYFUNCTION("""COMPUTED_VALUE"""),"Maycol Francisco Mena Palacio")</f>
        <v>Maycol Francisco Mena Palacio</v>
      </c>
      <c r="AU69" s="4"/>
      <c r="AV69" s="4"/>
      <c r="AW69" s="4" t="str">
        <f>IFERROR(__xludf.DUMMYFUNCTION("""COMPUTED_VALUE"""),"En Curso")</f>
        <v>En Curso</v>
      </c>
      <c r="AX69" s="4">
        <f>IFERROR(__xludf.DUMMYFUNCTION("""COMPUTED_VALUE"""),4.0)</f>
        <v>4</v>
      </c>
      <c r="AY69" s="4" t="str">
        <f>IFERROR(__xludf.DUMMYFUNCTION("""COMPUTED_VALUE"""),"Doctorado en Ingeniería de Materiales")</f>
        <v>Doctorado en Ingeniería de Materiales</v>
      </c>
      <c r="AZ69" s="4"/>
    </row>
    <row r="70">
      <c r="A70" s="4" t="str">
        <f>IFERROR(__xludf.DUMMYFUNCTION("""COMPUTED_VALUE"""),"Proy4")</f>
        <v>Proy4</v>
      </c>
      <c r="B70" s="4" t="str">
        <f>IFERROR(__xludf.DUMMYFUNCTION("""COMPUTED_VALUE"""),"Formación_RH")</f>
        <v>Formación_RH</v>
      </c>
      <c r="C70" s="4" t="str">
        <f>IFERROR(__xludf.DUMMYFUNCTION("""COMPUTED_VALUE"""),"Vinculación de estudiante de pregrado")</f>
        <v>Vinculación de estudiante de pregrado</v>
      </c>
      <c r="D70" s="4" t="str">
        <f>IFERROR(__xludf.DUMMYFUNCTION("""COMPUTED_VALUE"""),"Vinculación de estudiante de doctorado")</f>
        <v>Vinculación de estudiante de doctorado</v>
      </c>
      <c r="E70" s="4" t="str">
        <f>IFERROR(__xludf.DUMMYFUNCTION("""COMPUTED_VALUE"""),"Formación de estudiante de doctorado")</f>
        <v>Formación de estudiante de doctorado</v>
      </c>
      <c r="F70" s="4" t="str">
        <f>IFERROR(__xludf.DUMMYFUNCTION("""COMPUTED_VALUE"""),"Vinculación de estudiante de maestría")</f>
        <v>Vinculación de estudiante de maestría</v>
      </c>
      <c r="G70" s="4" t="str">
        <f>IFERROR(__xludf.DUMMYFUNCTION("""COMPUTED_VALUE"""),"Formación de estudiante de maestría")</f>
        <v>Formación de estudiante de maestría</v>
      </c>
      <c r="H70" s="4" t="str">
        <f>IFERROR(__xludf.DUMMYFUNCTION("""COMPUTED_VALUE"""),"Vinculación de estudiante de pregrado")</f>
        <v>Vinculación de estudiante de pregrado</v>
      </c>
      <c r="I70" s="4" t="str">
        <f>IFERROR(__xludf.DUMMYFUNCTION("""COMPUTED_VALUE"""),"Formación de estudiante de pregrado")</f>
        <v>Formación de estudiante de pregrado</v>
      </c>
      <c r="J70" s="4" t="str">
        <f>IFERROR(__xludf.DUMMYFUNCTION("""COMPUTED_VALUE"""),"Joven investigador")</f>
        <v>Joven investigador</v>
      </c>
      <c r="K70" s="4" t="str">
        <f>IFERROR(__xludf.DUMMYFUNCTION("""COMPUTED_VALUE"""),"Pasantía nacional")</f>
        <v>Pasantía nacional</v>
      </c>
      <c r="L70" s="4" t="str">
        <f>IFERROR(__xludf.DUMMYFUNCTION("""COMPUTED_VALUE"""),"Pasantía internacional")</f>
        <v>Pasantía internacional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 t="str">
        <f>IFERROR(__xludf.DUMMYFUNCTION("""COMPUTED_VALUE"""),"Obligatorio")</f>
        <v>Obligatorio</v>
      </c>
      <c r="AN70" s="4"/>
      <c r="AO70" s="4"/>
      <c r="AP70" s="4"/>
      <c r="AQ70" s="4"/>
      <c r="AR70" s="4"/>
      <c r="AS70" s="4"/>
      <c r="AT70" s="4" t="str">
        <f>IFERROR(__xludf.DUMMYFUNCTION("""COMPUTED_VALUE"""),"Jhaniel Osorio Silva")</f>
        <v>Jhaniel Osorio Silva</v>
      </c>
      <c r="AU70" s="4"/>
      <c r="AV70" s="4"/>
      <c r="AW70" s="4" t="str">
        <f>IFERROR(__xludf.DUMMYFUNCTION("""COMPUTED_VALUE"""),"En Curso")</f>
        <v>En Curso</v>
      </c>
      <c r="AX70" s="4">
        <f>IFERROR(__xludf.DUMMYFUNCTION("""COMPUTED_VALUE"""),4.0)</f>
        <v>4</v>
      </c>
      <c r="AY70" s="4" t="str">
        <f>IFERROR(__xludf.DUMMYFUNCTION("""COMPUTED_VALUE"""),"Ingeniería de Materiales - UdeA")</f>
        <v>Ingeniería de Materiales - UdeA</v>
      </c>
      <c r="AZ70" s="4"/>
    </row>
    <row r="71">
      <c r="A71" s="4" t="str">
        <f>IFERROR(__xludf.DUMMYFUNCTION("""COMPUTED_VALUE"""),"Proy4")</f>
        <v>Proy4</v>
      </c>
      <c r="B71" s="4" t="str">
        <f>IFERROR(__xludf.DUMMYFUNCTION("""COMPUTED_VALUE"""),"Formación_RH")</f>
        <v>Formación_RH</v>
      </c>
      <c r="C71" s="4" t="str">
        <f>IFERROR(__xludf.DUMMYFUNCTION("""COMPUTED_VALUE"""),"Vinculación de estudiante de pregrado")</f>
        <v>Vinculación de estudiante de pregrado</v>
      </c>
      <c r="D71" s="4" t="str">
        <f>IFERROR(__xludf.DUMMYFUNCTION("""COMPUTED_VALUE"""),"Vinculación de estudiante de doctorado")</f>
        <v>Vinculación de estudiante de doctorado</v>
      </c>
      <c r="E71" s="4" t="str">
        <f>IFERROR(__xludf.DUMMYFUNCTION("""COMPUTED_VALUE"""),"Formación de estudiante de doctorado")</f>
        <v>Formación de estudiante de doctorado</v>
      </c>
      <c r="F71" s="4" t="str">
        <f>IFERROR(__xludf.DUMMYFUNCTION("""COMPUTED_VALUE"""),"Vinculación de estudiante de maestría")</f>
        <v>Vinculación de estudiante de maestría</v>
      </c>
      <c r="G71" s="4" t="str">
        <f>IFERROR(__xludf.DUMMYFUNCTION("""COMPUTED_VALUE"""),"Formación de estudiante de maestría")</f>
        <v>Formación de estudiante de maestría</v>
      </c>
      <c r="H71" s="4" t="str">
        <f>IFERROR(__xludf.DUMMYFUNCTION("""COMPUTED_VALUE"""),"Vinculación de estudiante de pregrado")</f>
        <v>Vinculación de estudiante de pregrado</v>
      </c>
      <c r="I71" s="4" t="str">
        <f>IFERROR(__xludf.DUMMYFUNCTION("""COMPUTED_VALUE"""),"Formación de estudiante de pregrado")</f>
        <v>Formación de estudiante de pregrado</v>
      </c>
      <c r="J71" s="4" t="str">
        <f>IFERROR(__xludf.DUMMYFUNCTION("""COMPUTED_VALUE"""),"Joven investigador")</f>
        <v>Joven investigador</v>
      </c>
      <c r="K71" s="4" t="str">
        <f>IFERROR(__xludf.DUMMYFUNCTION("""COMPUTED_VALUE"""),"Pasantía nacional")</f>
        <v>Pasantía nacional</v>
      </c>
      <c r="L71" s="4" t="str">
        <f>IFERROR(__xludf.DUMMYFUNCTION("""COMPUTED_VALUE"""),"Pasantía internacional")</f>
        <v>Pasantía internacional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 t="str">
        <f>IFERROR(__xludf.DUMMYFUNCTION("""COMPUTED_VALUE"""),"Obligatorio")</f>
        <v>Obligatorio</v>
      </c>
      <c r="AN71" s="4"/>
      <c r="AO71" s="4"/>
      <c r="AP71" s="4"/>
      <c r="AQ71" s="4"/>
      <c r="AR71" s="4"/>
      <c r="AS71" s="4"/>
      <c r="AT71" s="4" t="str">
        <f>IFERROR(__xludf.DUMMYFUNCTION("""COMPUTED_VALUE"""),"Victoria Andrea Vásquez")</f>
        <v>Victoria Andrea Vásquez</v>
      </c>
      <c r="AU71" s="4"/>
      <c r="AV71" s="4"/>
      <c r="AW71" s="4" t="str">
        <f>IFERROR(__xludf.DUMMYFUNCTION("""COMPUTED_VALUE"""),"En Curso")</f>
        <v>En Curso</v>
      </c>
      <c r="AX71" s="4">
        <f>IFERROR(__xludf.DUMMYFUNCTION("""COMPUTED_VALUE"""),4.0)</f>
        <v>4</v>
      </c>
      <c r="AY71" s="4" t="str">
        <f>IFERROR(__xludf.DUMMYFUNCTION("""COMPUTED_VALUE"""),"Ingeniería Química - UdeA")</f>
        <v>Ingeniería Química - UdeA</v>
      </c>
      <c r="AZ71" s="4"/>
    </row>
    <row r="72">
      <c r="A72" s="4" t="str">
        <f>IFERROR(__xludf.DUMMYFUNCTION("""COMPUTED_VALUE"""),"Proy5")</f>
        <v>Proy5</v>
      </c>
      <c r="B72" s="4" t="str">
        <f>IFERROR(__xludf.DUMMYFUNCTION("""COMPUTED_VALUE"""),"Formación_RH")</f>
        <v>Formación_RH</v>
      </c>
      <c r="C72" s="4" t="str">
        <f>IFERROR(__xludf.DUMMYFUNCTION("""COMPUTED_VALUE"""),"Vinculación de estudiante de maestría")</f>
        <v>Vinculación de estudiante de maestría</v>
      </c>
      <c r="D72" s="4" t="str">
        <f>IFERROR(__xludf.DUMMYFUNCTION("""COMPUTED_VALUE"""),"Vinculación de estudiante de doctorado")</f>
        <v>Vinculación de estudiante de doctorado</v>
      </c>
      <c r="E72" s="4" t="str">
        <f>IFERROR(__xludf.DUMMYFUNCTION("""COMPUTED_VALUE"""),"Formación de estudiante de doctorado")</f>
        <v>Formación de estudiante de doctorado</v>
      </c>
      <c r="F72" s="4" t="str">
        <f>IFERROR(__xludf.DUMMYFUNCTION("""COMPUTED_VALUE"""),"Vinculación de estudiante de maestría")</f>
        <v>Vinculación de estudiante de maestría</v>
      </c>
      <c r="G72" s="4" t="str">
        <f>IFERROR(__xludf.DUMMYFUNCTION("""COMPUTED_VALUE"""),"Formación de estudiante de maestría")</f>
        <v>Formación de estudiante de maestría</v>
      </c>
      <c r="H72" s="4" t="str">
        <f>IFERROR(__xludf.DUMMYFUNCTION("""COMPUTED_VALUE"""),"Vinculación de estudiante de pregrado")</f>
        <v>Vinculación de estudiante de pregrado</v>
      </c>
      <c r="I72" s="4" t="str">
        <f>IFERROR(__xludf.DUMMYFUNCTION("""COMPUTED_VALUE"""),"Formación de estudiante de pregrado")</f>
        <v>Formación de estudiante de pregrado</v>
      </c>
      <c r="J72" s="4" t="str">
        <f>IFERROR(__xludf.DUMMYFUNCTION("""COMPUTED_VALUE"""),"Joven investigador")</f>
        <v>Joven investigador</v>
      </c>
      <c r="K72" s="4" t="str">
        <f>IFERROR(__xludf.DUMMYFUNCTION("""COMPUTED_VALUE"""),"Pasantía nacional")</f>
        <v>Pasantía nacional</v>
      </c>
      <c r="L72" s="4" t="str">
        <f>IFERROR(__xludf.DUMMYFUNCTION("""COMPUTED_VALUE"""),"Pasantía internacional")</f>
        <v>Pasantía internacional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 t="str">
        <f>IFERROR(__xludf.DUMMYFUNCTION("""COMPUTED_VALUE"""),"Obligatorio")</f>
        <v>Obligatorio</v>
      </c>
      <c r="AN72" s="4"/>
      <c r="AO72" s="4"/>
      <c r="AP72" s="4"/>
      <c r="AQ72" s="4"/>
      <c r="AR72" s="4"/>
      <c r="AS72" s="4"/>
      <c r="AT72" s="4" t="str">
        <f>IFERROR(__xludf.DUMMYFUNCTION("""COMPUTED_VALUE"""),"Joan Sebastián  Viveros")</f>
        <v>Joan Sebastián  Viveros</v>
      </c>
      <c r="AU72" s="4"/>
      <c r="AV72" s="4"/>
      <c r="AW72" s="4" t="str">
        <f>IFERROR(__xludf.DUMMYFUNCTION("""COMPUTED_VALUE"""),"En Curso")</f>
        <v>En Curso</v>
      </c>
      <c r="AX72" s="4">
        <f>IFERROR(__xludf.DUMMYFUNCTION("""COMPUTED_VALUE"""),4.0)</f>
        <v>4</v>
      </c>
      <c r="AY72" s="4" t="str">
        <f>IFERROR(__xludf.DUMMYFUNCTION("""COMPUTED_VALUE"""),"MAESTRÍA EN INGENIERÍA - ÉNFASIS EN INGENIERÍA QUÍMICA UniValle")</f>
        <v>MAESTRÍA EN INGENIERÍA - ÉNFASIS EN INGENIERÍA QUÍMICA UniValle</v>
      </c>
      <c r="AZ72" s="4"/>
    </row>
    <row r="73">
      <c r="A73" s="4" t="str">
        <f>IFERROR(__xludf.DUMMYFUNCTION("""COMPUTED_VALUE"""),"Proy5")</f>
        <v>Proy5</v>
      </c>
      <c r="B73" s="4" t="str">
        <f>IFERROR(__xludf.DUMMYFUNCTION("""COMPUTED_VALUE"""),"Formación_RH")</f>
        <v>Formación_RH</v>
      </c>
      <c r="C73" s="4" t="str">
        <f>IFERROR(__xludf.DUMMYFUNCTION("""COMPUTED_VALUE"""),"Vinculación de estudiante de maestría")</f>
        <v>Vinculación de estudiante de maestría</v>
      </c>
      <c r="D73" s="4" t="str">
        <f>IFERROR(__xludf.DUMMYFUNCTION("""COMPUTED_VALUE"""),"Vinculación de estudiante de doctorado")</f>
        <v>Vinculación de estudiante de doctorado</v>
      </c>
      <c r="E73" s="4" t="str">
        <f>IFERROR(__xludf.DUMMYFUNCTION("""COMPUTED_VALUE"""),"Formación de estudiante de doctorado")</f>
        <v>Formación de estudiante de doctorado</v>
      </c>
      <c r="F73" s="4" t="str">
        <f>IFERROR(__xludf.DUMMYFUNCTION("""COMPUTED_VALUE"""),"Vinculación de estudiante de maestría")</f>
        <v>Vinculación de estudiante de maestría</v>
      </c>
      <c r="G73" s="4" t="str">
        <f>IFERROR(__xludf.DUMMYFUNCTION("""COMPUTED_VALUE"""),"Formación de estudiante de maestría")</f>
        <v>Formación de estudiante de maestría</v>
      </c>
      <c r="H73" s="4" t="str">
        <f>IFERROR(__xludf.DUMMYFUNCTION("""COMPUTED_VALUE"""),"Vinculación de estudiante de pregrado")</f>
        <v>Vinculación de estudiante de pregrado</v>
      </c>
      <c r="I73" s="4" t="str">
        <f>IFERROR(__xludf.DUMMYFUNCTION("""COMPUTED_VALUE"""),"Formación de estudiante de pregrado")</f>
        <v>Formación de estudiante de pregrado</v>
      </c>
      <c r="J73" s="4" t="str">
        <f>IFERROR(__xludf.DUMMYFUNCTION("""COMPUTED_VALUE"""),"Joven investigador")</f>
        <v>Joven investigador</v>
      </c>
      <c r="K73" s="4" t="str">
        <f>IFERROR(__xludf.DUMMYFUNCTION("""COMPUTED_VALUE"""),"Pasantía nacional")</f>
        <v>Pasantía nacional</v>
      </c>
      <c r="L73" s="4" t="str">
        <f>IFERROR(__xludf.DUMMYFUNCTION("""COMPUTED_VALUE"""),"Pasantía internacional")</f>
        <v>Pasantía internacional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 t="str">
        <f>IFERROR(__xludf.DUMMYFUNCTION("""COMPUTED_VALUE"""),"Obligatorio")</f>
        <v>Obligatorio</v>
      </c>
      <c r="AN73" s="4"/>
      <c r="AO73" s="4"/>
      <c r="AP73" s="4"/>
      <c r="AQ73" s="4"/>
      <c r="AR73" s="4"/>
      <c r="AS73" s="4"/>
      <c r="AT73" s="4" t="str">
        <f>IFERROR(__xludf.DUMMYFUNCTION("""COMPUTED_VALUE"""),"JHONATHAN ALEXANDER DUQUE OROBIO")</f>
        <v>JHONATHAN ALEXANDER DUQUE OROBIO</v>
      </c>
      <c r="AU73" s="4"/>
      <c r="AV73" s="4"/>
      <c r="AW73" s="4" t="str">
        <f>IFERROR(__xludf.DUMMYFUNCTION("""COMPUTED_VALUE"""),"En Curso")</f>
        <v>En Curso</v>
      </c>
      <c r="AX73" s="4">
        <f>IFERROR(__xludf.DUMMYFUNCTION("""COMPUTED_VALUE"""),4.0)</f>
        <v>4</v>
      </c>
      <c r="AY73" s="4" t="str">
        <f>IFERROR(__xludf.DUMMYFUNCTION("""COMPUTED_VALUE"""),"Maestria en Ingeniería - Énfasis en Mecánica - UniValle")</f>
        <v>Maestria en Ingeniería - Énfasis en Mecánica - UniValle</v>
      </c>
      <c r="AZ73" s="4"/>
    </row>
    <row r="74">
      <c r="A74" s="4" t="str">
        <f>IFERROR(__xludf.DUMMYFUNCTION("""COMPUTED_VALUE"""),"Proy5")</f>
        <v>Proy5</v>
      </c>
      <c r="B74" s="4" t="str">
        <f>IFERROR(__xludf.DUMMYFUNCTION("""COMPUTED_VALUE"""),"Formación_RH")</f>
        <v>Formación_RH</v>
      </c>
      <c r="C74" s="4" t="str">
        <f>IFERROR(__xludf.DUMMYFUNCTION("""COMPUTED_VALUE"""),"Vinculación de estudiante de pregrado")</f>
        <v>Vinculación de estudiante de pregrado</v>
      </c>
      <c r="D74" s="4" t="str">
        <f>IFERROR(__xludf.DUMMYFUNCTION("""COMPUTED_VALUE"""),"Vinculación de estudiante de doctorado")</f>
        <v>Vinculación de estudiante de doctorado</v>
      </c>
      <c r="E74" s="4" t="str">
        <f>IFERROR(__xludf.DUMMYFUNCTION("""COMPUTED_VALUE"""),"Formación de estudiante de doctorado")</f>
        <v>Formación de estudiante de doctorado</v>
      </c>
      <c r="F74" s="4" t="str">
        <f>IFERROR(__xludf.DUMMYFUNCTION("""COMPUTED_VALUE"""),"Vinculación de estudiante de maestría")</f>
        <v>Vinculación de estudiante de maestría</v>
      </c>
      <c r="G74" s="4" t="str">
        <f>IFERROR(__xludf.DUMMYFUNCTION("""COMPUTED_VALUE"""),"Formación de estudiante de maestría")</f>
        <v>Formación de estudiante de maestría</v>
      </c>
      <c r="H74" s="4" t="str">
        <f>IFERROR(__xludf.DUMMYFUNCTION("""COMPUTED_VALUE"""),"Vinculación de estudiante de pregrado")</f>
        <v>Vinculación de estudiante de pregrado</v>
      </c>
      <c r="I74" s="4" t="str">
        <f>IFERROR(__xludf.DUMMYFUNCTION("""COMPUTED_VALUE"""),"Formación de estudiante de pregrado")</f>
        <v>Formación de estudiante de pregrado</v>
      </c>
      <c r="J74" s="4" t="str">
        <f>IFERROR(__xludf.DUMMYFUNCTION("""COMPUTED_VALUE"""),"Joven investigador")</f>
        <v>Joven investigador</v>
      </c>
      <c r="K74" s="4" t="str">
        <f>IFERROR(__xludf.DUMMYFUNCTION("""COMPUTED_VALUE"""),"Pasantía nacional")</f>
        <v>Pasantía nacional</v>
      </c>
      <c r="L74" s="4" t="str">
        <f>IFERROR(__xludf.DUMMYFUNCTION("""COMPUTED_VALUE"""),"Pasantía internacional")</f>
        <v>Pasantía internacional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 t="str">
        <f>IFERROR(__xludf.DUMMYFUNCTION("""COMPUTED_VALUE"""),"Obligatorio")</f>
        <v>Obligatorio</v>
      </c>
      <c r="AN74" s="4"/>
      <c r="AO74" s="4"/>
      <c r="AP74" s="4"/>
      <c r="AQ74" s="4"/>
      <c r="AR74" s="4"/>
      <c r="AS74" s="4"/>
      <c r="AT74" s="4" t="str">
        <f>IFERROR(__xludf.DUMMYFUNCTION("""COMPUTED_VALUE"""),"NATALIA CAROLINA LÓPEZ MELO")</f>
        <v>NATALIA CAROLINA LÓPEZ MELO</v>
      </c>
      <c r="AU74" s="4"/>
      <c r="AV74" s="4"/>
      <c r="AW74" s="4" t="str">
        <f>IFERROR(__xludf.DUMMYFUNCTION("""COMPUTED_VALUE"""),"En Curso")</f>
        <v>En Curso</v>
      </c>
      <c r="AX74" s="4">
        <f>IFERROR(__xludf.DUMMYFUNCTION("""COMPUTED_VALUE"""),2.0)</f>
        <v>2</v>
      </c>
      <c r="AY74" s="4" t="str">
        <f>IFERROR(__xludf.DUMMYFUNCTION("""COMPUTED_VALUE"""),"INGENIERÍA MECÁNICA - UniValle")</f>
        <v>INGENIERÍA MECÁNICA - UniValle</v>
      </c>
      <c r="AZ74" s="4"/>
    </row>
    <row r="75">
      <c r="A75" s="4" t="str">
        <f>IFERROR(__xludf.DUMMYFUNCTION("""COMPUTED_VALUE"""),"Proy5")</f>
        <v>Proy5</v>
      </c>
      <c r="B75" s="4" t="str">
        <f>IFERROR(__xludf.DUMMYFUNCTION("""COMPUTED_VALUE"""),"Formación_RH")</f>
        <v>Formación_RH</v>
      </c>
      <c r="C75" s="4" t="str">
        <f>IFERROR(__xludf.DUMMYFUNCTION("""COMPUTED_VALUE"""),"Vinculación de estudiante de pregrado")</f>
        <v>Vinculación de estudiante de pregrado</v>
      </c>
      <c r="D75" s="4" t="str">
        <f>IFERROR(__xludf.DUMMYFUNCTION("""COMPUTED_VALUE"""),"Vinculación de estudiante de doctorado")</f>
        <v>Vinculación de estudiante de doctorado</v>
      </c>
      <c r="E75" s="4" t="str">
        <f>IFERROR(__xludf.DUMMYFUNCTION("""COMPUTED_VALUE"""),"Formación de estudiante de doctorado")</f>
        <v>Formación de estudiante de doctorado</v>
      </c>
      <c r="F75" s="4" t="str">
        <f>IFERROR(__xludf.DUMMYFUNCTION("""COMPUTED_VALUE"""),"Vinculación de estudiante de maestría")</f>
        <v>Vinculación de estudiante de maestría</v>
      </c>
      <c r="G75" s="4" t="str">
        <f>IFERROR(__xludf.DUMMYFUNCTION("""COMPUTED_VALUE"""),"Formación de estudiante de maestría")</f>
        <v>Formación de estudiante de maestría</v>
      </c>
      <c r="H75" s="4" t="str">
        <f>IFERROR(__xludf.DUMMYFUNCTION("""COMPUTED_VALUE"""),"Vinculación de estudiante de pregrado")</f>
        <v>Vinculación de estudiante de pregrado</v>
      </c>
      <c r="I75" s="4" t="str">
        <f>IFERROR(__xludf.DUMMYFUNCTION("""COMPUTED_VALUE"""),"Formación de estudiante de pregrado")</f>
        <v>Formación de estudiante de pregrado</v>
      </c>
      <c r="J75" s="4" t="str">
        <f>IFERROR(__xludf.DUMMYFUNCTION("""COMPUTED_VALUE"""),"Joven investigador")</f>
        <v>Joven investigador</v>
      </c>
      <c r="K75" s="4" t="str">
        <f>IFERROR(__xludf.DUMMYFUNCTION("""COMPUTED_VALUE"""),"Pasantía nacional")</f>
        <v>Pasantía nacional</v>
      </c>
      <c r="L75" s="4" t="str">
        <f>IFERROR(__xludf.DUMMYFUNCTION("""COMPUTED_VALUE"""),"Pasantía internacional")</f>
        <v>Pasantía internacional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 t="str">
        <f>IFERROR(__xludf.DUMMYFUNCTION("""COMPUTED_VALUE"""),"Obligatorio")</f>
        <v>Obligatorio</v>
      </c>
      <c r="AN75" s="4"/>
      <c r="AO75" s="4"/>
      <c r="AP75" s="4"/>
      <c r="AQ75" s="4"/>
      <c r="AR75" s="4"/>
      <c r="AS75" s="4"/>
      <c r="AT75" s="4" t="str">
        <f>IFERROR(__xludf.DUMMYFUNCTION("""COMPUTED_VALUE"""),"JUAN DAVID SARMIENTO GÓMEZ")</f>
        <v>JUAN DAVID SARMIENTO GÓMEZ</v>
      </c>
      <c r="AU75" s="4"/>
      <c r="AV75" s="4"/>
      <c r="AW75" s="4" t="str">
        <f>IFERROR(__xludf.DUMMYFUNCTION("""COMPUTED_VALUE"""),"En Curso")</f>
        <v>En Curso</v>
      </c>
      <c r="AX75" s="4">
        <f>IFERROR(__xludf.DUMMYFUNCTION("""COMPUTED_VALUE"""),4.0)</f>
        <v>4</v>
      </c>
      <c r="AY75" s="4" t="str">
        <f>IFERROR(__xludf.DUMMYFUNCTION("""COMPUTED_VALUE"""),"INGENIERÍA QUÍMICA - UniValle")</f>
        <v>INGENIERÍA QUÍMICA - UniValle</v>
      </c>
      <c r="AZ75" s="4"/>
    </row>
    <row r="76">
      <c r="A76" s="4" t="str">
        <f>IFERROR(__xludf.DUMMYFUNCTION("""COMPUTED_VALUE"""),"Proy6")</f>
        <v>Proy6</v>
      </c>
      <c r="B76" s="4" t="str">
        <f>IFERROR(__xludf.DUMMYFUNCTION("""COMPUTED_VALUE"""),"Formación_RH")</f>
        <v>Formación_RH</v>
      </c>
      <c r="C76" s="4" t="str">
        <f>IFERROR(__xludf.DUMMYFUNCTION("""COMPUTED_VALUE"""),"Vinculación de estudiante de pregrado")</f>
        <v>Vinculación de estudiante de pregrado</v>
      </c>
      <c r="D76" s="4" t="str">
        <f>IFERROR(__xludf.DUMMYFUNCTION("""COMPUTED_VALUE"""),"Vinculación de estudiante de doctorado")</f>
        <v>Vinculación de estudiante de doctorado</v>
      </c>
      <c r="E76" s="4" t="str">
        <f>IFERROR(__xludf.DUMMYFUNCTION("""COMPUTED_VALUE"""),"Formación de estudiante de doctorado")</f>
        <v>Formación de estudiante de doctorado</v>
      </c>
      <c r="F76" s="4" t="str">
        <f>IFERROR(__xludf.DUMMYFUNCTION("""COMPUTED_VALUE"""),"Vinculación de estudiante de maestría")</f>
        <v>Vinculación de estudiante de maestría</v>
      </c>
      <c r="G76" s="4" t="str">
        <f>IFERROR(__xludf.DUMMYFUNCTION("""COMPUTED_VALUE"""),"Formación de estudiante de maestría")</f>
        <v>Formación de estudiante de maestría</v>
      </c>
      <c r="H76" s="4" t="str">
        <f>IFERROR(__xludf.DUMMYFUNCTION("""COMPUTED_VALUE"""),"Vinculación de estudiante de pregrado")</f>
        <v>Vinculación de estudiante de pregrado</v>
      </c>
      <c r="I76" s="4" t="str">
        <f>IFERROR(__xludf.DUMMYFUNCTION("""COMPUTED_VALUE"""),"Formación de estudiante de pregrado")</f>
        <v>Formación de estudiante de pregrado</v>
      </c>
      <c r="J76" s="4" t="str">
        <f>IFERROR(__xludf.DUMMYFUNCTION("""COMPUTED_VALUE"""),"Joven investigador")</f>
        <v>Joven investigador</v>
      </c>
      <c r="K76" s="4" t="str">
        <f>IFERROR(__xludf.DUMMYFUNCTION("""COMPUTED_VALUE"""),"Pasantía nacional")</f>
        <v>Pasantía nacional</v>
      </c>
      <c r="L76" s="4" t="str">
        <f>IFERROR(__xludf.DUMMYFUNCTION("""COMPUTED_VALUE"""),"Pasantía internacional")</f>
        <v>Pasantía internacional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 t="str">
        <f>IFERROR(__xludf.DUMMYFUNCTION("""COMPUTED_VALUE"""),"Obligatorio")</f>
        <v>Obligatorio</v>
      </c>
      <c r="AN76" s="4"/>
      <c r="AO76" s="4"/>
      <c r="AP76" s="4"/>
      <c r="AQ76" s="4"/>
      <c r="AR76" s="4"/>
      <c r="AS76" s="4"/>
      <c r="AT76" s="4" t="str">
        <f>IFERROR(__xludf.DUMMYFUNCTION("""COMPUTED_VALUE"""),"ANA MARCELA MOSQUERA MENA")</f>
        <v>ANA MARCELA MOSQUERA MENA</v>
      </c>
      <c r="AU76" s="5" t="str">
        <f>IFERROR(__xludf.DUMMYFUNCTION("""COMPUTED_VALUE"""),"https://drive.google.com/file/d/1a7Lu4XRV2gIBmq1XLsJXeoEMsJVHbMQH/view?usp=sharing")</f>
        <v>https://drive.google.com/file/d/1a7Lu4XRV2gIBmq1XLsJXeoEMsJVHbMQH/view?usp=sharing</v>
      </c>
      <c r="AV76" s="4"/>
      <c r="AW76" s="4" t="str">
        <f>IFERROR(__xludf.DUMMYFUNCTION("""COMPUTED_VALUE"""),"En Curso")</f>
        <v>En Curso</v>
      </c>
      <c r="AX76" s="4">
        <f>IFERROR(__xludf.DUMMYFUNCTION("""COMPUTED_VALUE"""),4.0)</f>
        <v>4</v>
      </c>
      <c r="AY76" s="4" t="str">
        <f>IFERROR(__xludf.DUMMYFUNCTION("""COMPUTED_VALUE"""),"INGENIERÍA QUÍMICA - UdeA")</f>
        <v>INGENIERÍA QUÍMICA - UdeA</v>
      </c>
      <c r="AZ76" s="4"/>
    </row>
    <row r="77">
      <c r="A77" s="4" t="str">
        <f>IFERROR(__xludf.DUMMYFUNCTION("""COMPUTED_VALUE"""),"Proy6")</f>
        <v>Proy6</v>
      </c>
      <c r="B77" s="4" t="str">
        <f>IFERROR(__xludf.DUMMYFUNCTION("""COMPUTED_VALUE"""),"Formación_RH")</f>
        <v>Formación_RH</v>
      </c>
      <c r="C77" s="4" t="str">
        <f>IFERROR(__xludf.DUMMYFUNCTION("""COMPUTED_VALUE"""),"Vinculación de estudiante de maestría")</f>
        <v>Vinculación de estudiante de maestría</v>
      </c>
      <c r="D77" s="4" t="str">
        <f>IFERROR(__xludf.DUMMYFUNCTION("""COMPUTED_VALUE"""),"Vinculación de estudiante de doctorado")</f>
        <v>Vinculación de estudiante de doctorado</v>
      </c>
      <c r="E77" s="4" t="str">
        <f>IFERROR(__xludf.DUMMYFUNCTION("""COMPUTED_VALUE"""),"Formación de estudiante de doctorado")</f>
        <v>Formación de estudiante de doctorado</v>
      </c>
      <c r="F77" s="4" t="str">
        <f>IFERROR(__xludf.DUMMYFUNCTION("""COMPUTED_VALUE"""),"Vinculación de estudiante de maestría")</f>
        <v>Vinculación de estudiante de maestría</v>
      </c>
      <c r="G77" s="4" t="str">
        <f>IFERROR(__xludf.DUMMYFUNCTION("""COMPUTED_VALUE"""),"Formación de estudiante de maestría")</f>
        <v>Formación de estudiante de maestría</v>
      </c>
      <c r="H77" s="4" t="str">
        <f>IFERROR(__xludf.DUMMYFUNCTION("""COMPUTED_VALUE"""),"Vinculación de estudiante de pregrado")</f>
        <v>Vinculación de estudiante de pregrado</v>
      </c>
      <c r="I77" s="4" t="str">
        <f>IFERROR(__xludf.DUMMYFUNCTION("""COMPUTED_VALUE"""),"Formación de estudiante de pregrado")</f>
        <v>Formación de estudiante de pregrado</v>
      </c>
      <c r="J77" s="4" t="str">
        <f>IFERROR(__xludf.DUMMYFUNCTION("""COMPUTED_VALUE"""),"Joven investigador")</f>
        <v>Joven investigador</v>
      </c>
      <c r="K77" s="4" t="str">
        <f>IFERROR(__xludf.DUMMYFUNCTION("""COMPUTED_VALUE"""),"Pasantía nacional")</f>
        <v>Pasantía nacional</v>
      </c>
      <c r="L77" s="4" t="str">
        <f>IFERROR(__xludf.DUMMYFUNCTION("""COMPUTED_VALUE"""),"Pasantía internacional")</f>
        <v>Pasantía internacional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 t="str">
        <f>IFERROR(__xludf.DUMMYFUNCTION("""COMPUTED_VALUE"""),"Obligatorio")</f>
        <v>Obligatorio</v>
      </c>
      <c r="AN77" s="4"/>
      <c r="AO77" s="4"/>
      <c r="AP77" s="4"/>
      <c r="AQ77" s="4"/>
      <c r="AR77" s="4"/>
      <c r="AS77" s="4"/>
      <c r="AT77" s="4" t="str">
        <f>IFERROR(__xludf.DUMMYFUNCTION("""COMPUTED_VALUE"""),"JOHN ALEJANDRO RUIZ PULGARIN")</f>
        <v>JOHN ALEJANDRO RUIZ PULGARIN</v>
      </c>
      <c r="AU77" s="5" t="str">
        <f>IFERROR(__xludf.DUMMYFUNCTION("""COMPUTED_VALUE"""),"https://drive.google.com/file/d/1HeK1VVJnNU7D_sJrgbEWvEgABplc-Yeo/view?usp=sharing")</f>
        <v>https://drive.google.com/file/d/1HeK1VVJnNU7D_sJrgbEWvEgABplc-Yeo/view?usp=sharing</v>
      </c>
      <c r="AV77" s="4"/>
      <c r="AW77" s="4" t="str">
        <f>IFERROR(__xludf.DUMMYFUNCTION("""COMPUTED_VALUE"""),"En Curso")</f>
        <v>En Curso</v>
      </c>
      <c r="AX77" s="4">
        <f>IFERROR(__xludf.DUMMYFUNCTION("""COMPUTED_VALUE"""),4.0)</f>
        <v>4</v>
      </c>
      <c r="AY77" s="4" t="str">
        <f>IFERROR(__xludf.DUMMYFUNCTION("""COMPUTED_VALUE"""),"MSc en Ingeniería - UdeA")</f>
        <v>MSc en Ingeniería - UdeA</v>
      </c>
      <c r="AZ77" s="4"/>
    </row>
    <row r="78">
      <c r="A78" s="4" t="str">
        <f>IFERROR(__xludf.DUMMYFUNCTION("""COMPUTED_VALUE"""),"Proy7")</f>
        <v>Proy7</v>
      </c>
      <c r="B78" s="4" t="str">
        <f>IFERROR(__xludf.DUMMYFUNCTION("""COMPUTED_VALUE"""),"Formación_RH")</f>
        <v>Formación_RH</v>
      </c>
      <c r="C78" s="4" t="str">
        <f>IFERROR(__xludf.DUMMYFUNCTION("""COMPUTED_VALUE"""),"Vinculación de estudiante de maestría")</f>
        <v>Vinculación de estudiante de maestría</v>
      </c>
      <c r="D78" s="4" t="str">
        <f>IFERROR(__xludf.DUMMYFUNCTION("""COMPUTED_VALUE"""),"Vinculación de estudiante de doctorado")</f>
        <v>Vinculación de estudiante de doctorado</v>
      </c>
      <c r="E78" s="4" t="str">
        <f>IFERROR(__xludf.DUMMYFUNCTION("""COMPUTED_VALUE"""),"Formación de estudiante de doctorado")</f>
        <v>Formación de estudiante de doctorado</v>
      </c>
      <c r="F78" s="4" t="str">
        <f>IFERROR(__xludf.DUMMYFUNCTION("""COMPUTED_VALUE"""),"Vinculación de estudiante de maestría")</f>
        <v>Vinculación de estudiante de maestría</v>
      </c>
      <c r="G78" s="4" t="str">
        <f>IFERROR(__xludf.DUMMYFUNCTION("""COMPUTED_VALUE"""),"Formación de estudiante de maestría")</f>
        <v>Formación de estudiante de maestría</v>
      </c>
      <c r="H78" s="4" t="str">
        <f>IFERROR(__xludf.DUMMYFUNCTION("""COMPUTED_VALUE"""),"Vinculación de estudiante de pregrado")</f>
        <v>Vinculación de estudiante de pregrado</v>
      </c>
      <c r="I78" s="4" t="str">
        <f>IFERROR(__xludf.DUMMYFUNCTION("""COMPUTED_VALUE"""),"Formación de estudiante de pregrado")</f>
        <v>Formación de estudiante de pregrado</v>
      </c>
      <c r="J78" s="4" t="str">
        <f>IFERROR(__xludf.DUMMYFUNCTION("""COMPUTED_VALUE"""),"Joven investigador")</f>
        <v>Joven investigador</v>
      </c>
      <c r="K78" s="4" t="str">
        <f>IFERROR(__xludf.DUMMYFUNCTION("""COMPUTED_VALUE"""),"Pasantía nacional")</f>
        <v>Pasantía nacional</v>
      </c>
      <c r="L78" s="4" t="str">
        <f>IFERROR(__xludf.DUMMYFUNCTION("""COMPUTED_VALUE"""),"Pasantía internacional")</f>
        <v>Pasantía internacional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 t="str">
        <f>IFERROR(__xludf.DUMMYFUNCTION("""COMPUTED_VALUE"""),"Obligatorio")</f>
        <v>Obligatorio</v>
      </c>
      <c r="AN78" s="4"/>
      <c r="AO78" s="4"/>
      <c r="AP78" s="4"/>
      <c r="AQ78" s="4"/>
      <c r="AR78" s="4"/>
      <c r="AS78" s="4"/>
      <c r="AT78" s="4" t="str">
        <f>IFERROR(__xludf.DUMMYFUNCTION("""COMPUTED_VALUE"""),"OSCAR ALONSO TORRES MERCADO")</f>
        <v>OSCAR ALONSO TORRES MERCADO</v>
      </c>
      <c r="AU78" s="5" t="str">
        <f>IFERROR(__xludf.DUMMYFUNCTION("""COMPUTED_VALUE"""),"https://drive.google.com/file/d/1naHpY3Om1kDsdS-FtYsbd6GVO8pVUKn5/view?usp=sharing")</f>
        <v>https://drive.google.com/file/d/1naHpY3Om1kDsdS-FtYsbd6GVO8pVUKn5/view?usp=sharing</v>
      </c>
      <c r="AV78" s="4"/>
      <c r="AW78" s="4" t="str">
        <f>IFERROR(__xludf.DUMMYFUNCTION("""COMPUTED_VALUE"""),"En Curso")</f>
        <v>En Curso</v>
      </c>
      <c r="AX78" s="4">
        <f>IFERROR(__xludf.DUMMYFUNCTION("""COMPUTED_VALUE"""),4.0)</f>
        <v>4</v>
      </c>
      <c r="AY78" s="4" t="str">
        <f>IFERROR(__xludf.DUMMYFUNCTION("""COMPUTED_VALUE"""),"Maestría en Ingeniería Mecánica UdeA")</f>
        <v>Maestría en Ingeniería Mecánica UdeA</v>
      </c>
      <c r="AZ78" s="4"/>
    </row>
    <row r="79">
      <c r="A79" s="4" t="str">
        <f>IFERROR(__xludf.DUMMYFUNCTION("""COMPUTED_VALUE"""),"Proy8")</f>
        <v>Proy8</v>
      </c>
      <c r="B79" s="4" t="str">
        <f>IFERROR(__xludf.DUMMYFUNCTION("""COMPUTED_VALUE"""),"Formación_RH")</f>
        <v>Formación_RH</v>
      </c>
      <c r="C79" s="4" t="str">
        <f>IFERROR(__xludf.DUMMYFUNCTION("""COMPUTED_VALUE"""),"Vinculación de estudiante de doctorado")</f>
        <v>Vinculación de estudiante de doctorado</v>
      </c>
      <c r="D79" s="4" t="str">
        <f>IFERROR(__xludf.DUMMYFUNCTION("""COMPUTED_VALUE"""),"Vinculación de estudiante de doctorado")</f>
        <v>Vinculación de estudiante de doctorado</v>
      </c>
      <c r="E79" s="4" t="str">
        <f>IFERROR(__xludf.DUMMYFUNCTION("""COMPUTED_VALUE"""),"Formación de estudiante de doctorado")</f>
        <v>Formación de estudiante de doctorado</v>
      </c>
      <c r="F79" s="4" t="str">
        <f>IFERROR(__xludf.DUMMYFUNCTION("""COMPUTED_VALUE"""),"Vinculación de estudiante de maestría")</f>
        <v>Vinculación de estudiante de maestría</v>
      </c>
      <c r="G79" s="4" t="str">
        <f>IFERROR(__xludf.DUMMYFUNCTION("""COMPUTED_VALUE"""),"Formación de estudiante de maestría")</f>
        <v>Formación de estudiante de maestría</v>
      </c>
      <c r="H79" s="4" t="str">
        <f>IFERROR(__xludf.DUMMYFUNCTION("""COMPUTED_VALUE"""),"Vinculación de estudiante de pregrado")</f>
        <v>Vinculación de estudiante de pregrado</v>
      </c>
      <c r="I79" s="4" t="str">
        <f>IFERROR(__xludf.DUMMYFUNCTION("""COMPUTED_VALUE"""),"Formación de estudiante de pregrado")</f>
        <v>Formación de estudiante de pregrado</v>
      </c>
      <c r="J79" s="4" t="str">
        <f>IFERROR(__xludf.DUMMYFUNCTION("""COMPUTED_VALUE"""),"Joven investigador")</f>
        <v>Joven investigador</v>
      </c>
      <c r="K79" s="4" t="str">
        <f>IFERROR(__xludf.DUMMYFUNCTION("""COMPUTED_VALUE"""),"Pasantía nacional")</f>
        <v>Pasantía nacional</v>
      </c>
      <c r="L79" s="4" t="str">
        <f>IFERROR(__xludf.DUMMYFUNCTION("""COMPUTED_VALUE"""),"Pasantía internacional")</f>
        <v>Pasantía internacional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 t="str">
        <f>IFERROR(__xludf.DUMMYFUNCTION("""COMPUTED_VALUE"""),"Adicional")</f>
        <v>Adicional</v>
      </c>
      <c r="AN79" s="4"/>
      <c r="AO79" s="4"/>
      <c r="AP79" s="4"/>
      <c r="AQ79" s="4"/>
      <c r="AR79" s="4"/>
      <c r="AS79" s="4"/>
      <c r="AT79" s="4" t="str">
        <f>IFERROR(__xludf.DUMMYFUNCTION("""COMPUTED_VALUE"""),"OTTO ARMANDO ORTIZ OYOLA")</f>
        <v>OTTO ARMANDO ORTIZ OYOLA</v>
      </c>
      <c r="AU79" s="4"/>
      <c r="AV79" s="4"/>
      <c r="AW79" s="4" t="str">
        <f>IFERROR(__xludf.DUMMYFUNCTION("""COMPUTED_VALUE"""),"En Curso")</f>
        <v>En Curso</v>
      </c>
      <c r="AX79" s="4">
        <f>IFERROR(__xludf.DUMMYFUNCTION("""COMPUTED_VALUE"""),4.0)</f>
        <v>4</v>
      </c>
      <c r="AY79" s="4" t="str">
        <f>IFERROR(__xludf.DUMMYFUNCTION("""COMPUTED_VALUE"""),"Doctorado en Ingeniería Ambiental UdeA")</f>
        <v>Doctorado en Ingeniería Ambiental UdeA</v>
      </c>
      <c r="AZ79" s="4"/>
    </row>
    <row r="80">
      <c r="A80" s="4" t="str">
        <f>IFERROR(__xludf.DUMMYFUNCTION("""COMPUTED_VALUE"""),"Proy9")</f>
        <v>Proy9</v>
      </c>
      <c r="B80" s="4" t="str">
        <f>IFERROR(__xludf.DUMMYFUNCTION("""COMPUTED_VALUE"""),"Formación_RH")</f>
        <v>Formación_RH</v>
      </c>
      <c r="C80" s="4" t="str">
        <f>IFERROR(__xludf.DUMMYFUNCTION("""COMPUTED_VALUE"""),"Vinculación de estudiante de doctorado")</f>
        <v>Vinculación de estudiante de doctorado</v>
      </c>
      <c r="D80" s="4" t="str">
        <f>IFERROR(__xludf.DUMMYFUNCTION("""COMPUTED_VALUE"""),"Vinculación de estudiante de doctorado")</f>
        <v>Vinculación de estudiante de doctorado</v>
      </c>
      <c r="E80" s="4" t="str">
        <f>IFERROR(__xludf.DUMMYFUNCTION("""COMPUTED_VALUE"""),"Formación de estudiante de doctorado")</f>
        <v>Formación de estudiante de doctorado</v>
      </c>
      <c r="F80" s="4" t="str">
        <f>IFERROR(__xludf.DUMMYFUNCTION("""COMPUTED_VALUE"""),"Vinculación de estudiante de maestría")</f>
        <v>Vinculación de estudiante de maestría</v>
      </c>
      <c r="G80" s="4" t="str">
        <f>IFERROR(__xludf.DUMMYFUNCTION("""COMPUTED_VALUE"""),"Formación de estudiante de maestría")</f>
        <v>Formación de estudiante de maestría</v>
      </c>
      <c r="H80" s="4" t="str">
        <f>IFERROR(__xludf.DUMMYFUNCTION("""COMPUTED_VALUE"""),"Vinculación de estudiante de pregrado")</f>
        <v>Vinculación de estudiante de pregrado</v>
      </c>
      <c r="I80" s="4" t="str">
        <f>IFERROR(__xludf.DUMMYFUNCTION("""COMPUTED_VALUE"""),"Formación de estudiante de pregrado")</f>
        <v>Formación de estudiante de pregrado</v>
      </c>
      <c r="J80" s="4" t="str">
        <f>IFERROR(__xludf.DUMMYFUNCTION("""COMPUTED_VALUE"""),"Joven investigador")</f>
        <v>Joven investigador</v>
      </c>
      <c r="K80" s="4" t="str">
        <f>IFERROR(__xludf.DUMMYFUNCTION("""COMPUTED_VALUE"""),"Pasantía nacional")</f>
        <v>Pasantía nacional</v>
      </c>
      <c r="L80" s="4" t="str">
        <f>IFERROR(__xludf.DUMMYFUNCTION("""COMPUTED_VALUE"""),"Pasantía internacional")</f>
        <v>Pasantía internacional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 t="str">
        <f>IFERROR(__xludf.DUMMYFUNCTION("""COMPUTED_VALUE"""),"Obligatorio")</f>
        <v>Obligatorio</v>
      </c>
      <c r="AN80" s="4"/>
      <c r="AO80" s="4"/>
      <c r="AP80" s="4"/>
      <c r="AQ80" s="4"/>
      <c r="AR80" s="4"/>
      <c r="AS80" s="4"/>
      <c r="AT80" s="4" t="str">
        <f>IFERROR(__xludf.DUMMYFUNCTION("""COMPUTED_VALUE"""),"JHON JAIRO DITTA GRANADOS")</f>
        <v>JHON JAIRO DITTA GRANADOS</v>
      </c>
      <c r="AU80" s="5" t="str">
        <f>IFERROR(__xludf.DUMMYFUNCTION("""COMPUTED_VALUE"""),"https://drive.google.com/file/d/1e-iM2tkhsKIaOWjhLvZKHbcdvwGFt00x/view?usp=sharing")</f>
        <v>https://drive.google.com/file/d/1e-iM2tkhsKIaOWjhLvZKHbcdvwGFt00x/view?usp=sharing</v>
      </c>
      <c r="AV80" s="4"/>
      <c r="AW80" s="4" t="str">
        <f>IFERROR(__xludf.DUMMYFUNCTION("""COMPUTED_VALUE"""),"En Curso")</f>
        <v>En Curso</v>
      </c>
      <c r="AX80" s="4">
        <f>IFERROR(__xludf.DUMMYFUNCTION("""COMPUTED_VALUE"""),4.0)</f>
        <v>4</v>
      </c>
      <c r="AY80" s="4" t="str">
        <f>IFERROR(__xludf.DUMMYFUNCTION("""COMPUTED_VALUE"""),"Doctorado en Ingeniería Ambiental UdeA")</f>
        <v>Doctorado en Ingeniería Ambiental UdeA</v>
      </c>
      <c r="AZ80" s="4" t="str">
        <f>IFERROR(__xludf.DUMMYFUNCTION("""COMPUTED_VALUE"""),"Profesor de U. Guajira")</f>
        <v>Profesor de U. Guajira</v>
      </c>
    </row>
    <row r="81">
      <c r="A81" s="4" t="str">
        <f>IFERROR(__xludf.DUMMYFUNCTION("""COMPUTED_VALUE"""),"Proy9")</f>
        <v>Proy9</v>
      </c>
      <c r="B81" s="4" t="str">
        <f>IFERROR(__xludf.DUMMYFUNCTION("""COMPUTED_VALUE"""),"Formación_RH")</f>
        <v>Formación_RH</v>
      </c>
      <c r="C81" s="4" t="str">
        <f>IFERROR(__xludf.DUMMYFUNCTION("""COMPUTED_VALUE"""),"Vinculación de estudiante de doctorado")</f>
        <v>Vinculación de estudiante de doctorado</v>
      </c>
      <c r="D81" s="4" t="str">
        <f>IFERROR(__xludf.DUMMYFUNCTION("""COMPUTED_VALUE"""),"Vinculación de estudiante de doctorado")</f>
        <v>Vinculación de estudiante de doctorado</v>
      </c>
      <c r="E81" s="4" t="str">
        <f>IFERROR(__xludf.DUMMYFUNCTION("""COMPUTED_VALUE"""),"Formación de estudiante de doctorado")</f>
        <v>Formación de estudiante de doctorado</v>
      </c>
      <c r="F81" s="4" t="str">
        <f>IFERROR(__xludf.DUMMYFUNCTION("""COMPUTED_VALUE"""),"Vinculación de estudiante de maestría")</f>
        <v>Vinculación de estudiante de maestría</v>
      </c>
      <c r="G81" s="4" t="str">
        <f>IFERROR(__xludf.DUMMYFUNCTION("""COMPUTED_VALUE"""),"Formación de estudiante de maestría")</f>
        <v>Formación de estudiante de maestría</v>
      </c>
      <c r="H81" s="4" t="str">
        <f>IFERROR(__xludf.DUMMYFUNCTION("""COMPUTED_VALUE"""),"Vinculación de estudiante de pregrado")</f>
        <v>Vinculación de estudiante de pregrado</v>
      </c>
      <c r="I81" s="4" t="str">
        <f>IFERROR(__xludf.DUMMYFUNCTION("""COMPUTED_VALUE"""),"Formación de estudiante de pregrado")</f>
        <v>Formación de estudiante de pregrado</v>
      </c>
      <c r="J81" s="4" t="str">
        <f>IFERROR(__xludf.DUMMYFUNCTION("""COMPUTED_VALUE"""),"Joven investigador")</f>
        <v>Joven investigador</v>
      </c>
      <c r="K81" s="4" t="str">
        <f>IFERROR(__xludf.DUMMYFUNCTION("""COMPUTED_VALUE"""),"Pasantía nacional")</f>
        <v>Pasantía nacional</v>
      </c>
      <c r="L81" s="4" t="str">
        <f>IFERROR(__xludf.DUMMYFUNCTION("""COMPUTED_VALUE"""),"Pasantía internacional")</f>
        <v>Pasantía internacional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 t="str">
        <f>IFERROR(__xludf.DUMMYFUNCTION("""COMPUTED_VALUE"""),"Obligatorio")</f>
        <v>Obligatorio</v>
      </c>
      <c r="AN81" s="4"/>
      <c r="AO81" s="4"/>
      <c r="AP81" s="4"/>
      <c r="AQ81" s="4"/>
      <c r="AR81" s="4"/>
      <c r="AS81" s="4"/>
      <c r="AT81" s="4" t="str">
        <f>IFERROR(__xludf.DUMMYFUNCTION("""COMPUTED_VALUE"""),"CARLOS DAVID VIDES PRADO")</f>
        <v>CARLOS DAVID VIDES PRADO</v>
      </c>
      <c r="AU81" s="5" t="str">
        <f>IFERROR(__xludf.DUMMYFUNCTION("""COMPUTED_VALUE"""),"https://drive.google.com/file/d/1qnA61cBM0VWJh-IYfjib2bz3gOG44jwr/view?usp=sharing")</f>
        <v>https://drive.google.com/file/d/1qnA61cBM0VWJh-IYfjib2bz3gOG44jwr/view?usp=sharing</v>
      </c>
      <c r="AV81" s="4"/>
      <c r="AW81" s="4" t="str">
        <f>IFERROR(__xludf.DUMMYFUNCTION("""COMPUTED_VALUE"""),"En Curso")</f>
        <v>En Curso</v>
      </c>
      <c r="AX81" s="4">
        <f>IFERROR(__xludf.DUMMYFUNCTION("""COMPUTED_VALUE"""),4.0)</f>
        <v>4</v>
      </c>
      <c r="AY81" s="4" t="str">
        <f>IFERROR(__xludf.DUMMYFUNCTION("""COMPUTED_VALUE"""),"Doctorado en Ingeniería Ambiental UdeA")</f>
        <v>Doctorado en Ingeniería Ambiental UdeA</v>
      </c>
      <c r="AZ81" s="4" t="str">
        <f>IFERROR(__xludf.DUMMYFUNCTION("""COMPUTED_VALUE"""),"Profesor de U. Guajira")</f>
        <v>Profesor de U. Guajira</v>
      </c>
    </row>
    <row r="82">
      <c r="A82" s="4" t="str">
        <f>IFERROR(__xludf.DUMMYFUNCTION("""COMPUTED_VALUE"""),"Proy10")</f>
        <v>Proy10</v>
      </c>
      <c r="B82" s="4" t="str">
        <f>IFERROR(__xludf.DUMMYFUNCTION("""COMPUTED_VALUE"""),"Formación_RH")</f>
        <v>Formación_RH</v>
      </c>
      <c r="C82" s="4" t="str">
        <f>IFERROR(__xludf.DUMMYFUNCTION("""COMPUTED_VALUE"""),"Vinculación de estudiante de pregrado")</f>
        <v>Vinculación de estudiante de pregrado</v>
      </c>
      <c r="D82" s="4" t="str">
        <f>IFERROR(__xludf.DUMMYFUNCTION("""COMPUTED_VALUE"""),"Vinculación de estudiante de doctorado")</f>
        <v>Vinculación de estudiante de doctorado</v>
      </c>
      <c r="E82" s="4" t="str">
        <f>IFERROR(__xludf.DUMMYFUNCTION("""COMPUTED_VALUE"""),"Formación de estudiante de doctorado")</f>
        <v>Formación de estudiante de doctorado</v>
      </c>
      <c r="F82" s="4" t="str">
        <f>IFERROR(__xludf.DUMMYFUNCTION("""COMPUTED_VALUE"""),"Vinculación de estudiante de maestría")</f>
        <v>Vinculación de estudiante de maestría</v>
      </c>
      <c r="G82" s="4" t="str">
        <f>IFERROR(__xludf.DUMMYFUNCTION("""COMPUTED_VALUE"""),"Formación de estudiante de maestría")</f>
        <v>Formación de estudiante de maestría</v>
      </c>
      <c r="H82" s="4" t="str">
        <f>IFERROR(__xludf.DUMMYFUNCTION("""COMPUTED_VALUE"""),"Vinculación de estudiante de pregrado")</f>
        <v>Vinculación de estudiante de pregrado</v>
      </c>
      <c r="I82" s="4" t="str">
        <f>IFERROR(__xludf.DUMMYFUNCTION("""COMPUTED_VALUE"""),"Formación de estudiante de pregrado")</f>
        <v>Formación de estudiante de pregrado</v>
      </c>
      <c r="J82" s="4" t="str">
        <f>IFERROR(__xludf.DUMMYFUNCTION("""COMPUTED_VALUE"""),"Joven investigador")</f>
        <v>Joven investigador</v>
      </c>
      <c r="K82" s="4" t="str">
        <f>IFERROR(__xludf.DUMMYFUNCTION("""COMPUTED_VALUE"""),"Pasantía nacional")</f>
        <v>Pasantía nacional</v>
      </c>
      <c r="L82" s="4" t="str">
        <f>IFERROR(__xludf.DUMMYFUNCTION("""COMPUTED_VALUE"""),"Pasantía internacional")</f>
        <v>Pasantía internacional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 t="str">
        <f>IFERROR(__xludf.DUMMYFUNCTION("""COMPUTED_VALUE"""),"Obligatorio")</f>
        <v>Obligatorio</v>
      </c>
      <c r="AN82" s="4"/>
      <c r="AO82" s="4"/>
      <c r="AP82" s="4"/>
      <c r="AQ82" s="4"/>
      <c r="AR82" s="4"/>
      <c r="AS82" s="4"/>
      <c r="AT82" s="4" t="str">
        <f>IFERROR(__xludf.DUMMYFUNCTION("""COMPUTED_VALUE"""),"LUISA FERNANDA MAYA MURCIA")</f>
        <v>LUISA FERNANDA MAYA MURCIA</v>
      </c>
      <c r="AU82" s="4"/>
      <c r="AV82" s="4"/>
      <c r="AW82" s="4"/>
      <c r="AX82" s="4">
        <f>IFERROR(__xludf.DUMMYFUNCTION("""COMPUTED_VALUE"""),4.0)</f>
        <v>4</v>
      </c>
      <c r="AY82" s="4" t="str">
        <f>IFERROR(__xludf.DUMMYFUNCTION("""COMPUTED_VALUE"""),"Ingeniería Mecánica UdeA")</f>
        <v>Ingeniería Mecánica UdeA</v>
      </c>
      <c r="AZ82" s="4"/>
    </row>
    <row r="83">
      <c r="A83" s="4" t="str">
        <f>IFERROR(__xludf.DUMMYFUNCTION("""COMPUTED_VALUE"""),"Proy10")</f>
        <v>Proy10</v>
      </c>
      <c r="B83" s="4" t="str">
        <f>IFERROR(__xludf.DUMMYFUNCTION("""COMPUTED_VALUE"""),"Formación_RH")</f>
        <v>Formación_RH</v>
      </c>
      <c r="C83" s="4" t="str">
        <f>IFERROR(__xludf.DUMMYFUNCTION("""COMPUTED_VALUE"""),"Vinculación de estudiante de maestría")</f>
        <v>Vinculación de estudiante de maestría</v>
      </c>
      <c r="D83" s="4" t="str">
        <f>IFERROR(__xludf.DUMMYFUNCTION("""COMPUTED_VALUE"""),"Vinculación de estudiante de doctorado")</f>
        <v>Vinculación de estudiante de doctorado</v>
      </c>
      <c r="E83" s="4" t="str">
        <f>IFERROR(__xludf.DUMMYFUNCTION("""COMPUTED_VALUE"""),"Formación de estudiante de doctorado")</f>
        <v>Formación de estudiante de doctorado</v>
      </c>
      <c r="F83" s="4" t="str">
        <f>IFERROR(__xludf.DUMMYFUNCTION("""COMPUTED_VALUE"""),"Vinculación de estudiante de maestría")</f>
        <v>Vinculación de estudiante de maestría</v>
      </c>
      <c r="G83" s="4" t="str">
        <f>IFERROR(__xludf.DUMMYFUNCTION("""COMPUTED_VALUE"""),"Formación de estudiante de maestría")</f>
        <v>Formación de estudiante de maestría</v>
      </c>
      <c r="H83" s="4" t="str">
        <f>IFERROR(__xludf.DUMMYFUNCTION("""COMPUTED_VALUE"""),"Vinculación de estudiante de pregrado")</f>
        <v>Vinculación de estudiante de pregrado</v>
      </c>
      <c r="I83" s="4" t="str">
        <f>IFERROR(__xludf.DUMMYFUNCTION("""COMPUTED_VALUE"""),"Formación de estudiante de pregrado")</f>
        <v>Formación de estudiante de pregrado</v>
      </c>
      <c r="J83" s="4" t="str">
        <f>IFERROR(__xludf.DUMMYFUNCTION("""COMPUTED_VALUE"""),"Joven investigador")</f>
        <v>Joven investigador</v>
      </c>
      <c r="K83" s="4" t="str">
        <f>IFERROR(__xludf.DUMMYFUNCTION("""COMPUTED_VALUE"""),"Pasantía nacional")</f>
        <v>Pasantía nacional</v>
      </c>
      <c r="L83" s="4" t="str">
        <f>IFERROR(__xludf.DUMMYFUNCTION("""COMPUTED_VALUE"""),"Pasantía internacional")</f>
        <v>Pasantía internacional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 t="str">
        <f>IFERROR(__xludf.DUMMYFUNCTION("""COMPUTED_VALUE"""),"Obligatorio")</f>
        <v>Obligatorio</v>
      </c>
      <c r="AN83" s="4"/>
      <c r="AO83" s="4"/>
      <c r="AP83" s="4"/>
      <c r="AQ83" s="4"/>
      <c r="AR83" s="4"/>
      <c r="AS83" s="4"/>
      <c r="AT83" s="4" t="str">
        <f>IFERROR(__xludf.DUMMYFUNCTION("""COMPUTED_VALUE"""),"MANUELA CASTAÑEDA MONTOYA")</f>
        <v>MANUELA CASTAÑEDA MONTOYA</v>
      </c>
      <c r="AU83" s="4"/>
      <c r="AV83" s="4"/>
      <c r="AW83" s="4"/>
      <c r="AX83" s="4">
        <f>IFERROR(__xludf.DUMMYFUNCTION("""COMPUTED_VALUE"""),4.0)</f>
        <v>4</v>
      </c>
      <c r="AY83" s="4" t="str">
        <f>IFERROR(__xludf.DUMMYFUNCTION("""COMPUTED_VALUE"""),"Maestría en Ingeniería Mecánica UdeA")</f>
        <v>Maestría en Ingeniería Mecánica UdeA</v>
      </c>
      <c r="AZ83" s="4"/>
    </row>
    <row r="84">
      <c r="A84" s="4" t="str">
        <f>IFERROR(__xludf.DUMMYFUNCTION("""COMPUTED_VALUE"""),"Proy13")</f>
        <v>Proy13</v>
      </c>
      <c r="B84" s="4" t="str">
        <f>IFERROR(__xludf.DUMMYFUNCTION("""COMPUTED_VALUE"""),"Formación_RH")</f>
        <v>Formación_RH</v>
      </c>
      <c r="C84" s="4" t="str">
        <f>IFERROR(__xludf.DUMMYFUNCTION("""COMPUTED_VALUE"""),"Vinculación de estudiante de pregrado")</f>
        <v>Vinculación de estudiante de pregrado</v>
      </c>
      <c r="D84" s="4" t="str">
        <f>IFERROR(__xludf.DUMMYFUNCTION("""COMPUTED_VALUE"""),"Vinculación de estudiante de doctorado")</f>
        <v>Vinculación de estudiante de doctorado</v>
      </c>
      <c r="E84" s="4" t="str">
        <f>IFERROR(__xludf.DUMMYFUNCTION("""COMPUTED_VALUE"""),"Formación de estudiante de doctorado")</f>
        <v>Formación de estudiante de doctorado</v>
      </c>
      <c r="F84" s="4" t="str">
        <f>IFERROR(__xludf.DUMMYFUNCTION("""COMPUTED_VALUE"""),"Vinculación de estudiante de maestría")</f>
        <v>Vinculación de estudiante de maestría</v>
      </c>
      <c r="G84" s="4" t="str">
        <f>IFERROR(__xludf.DUMMYFUNCTION("""COMPUTED_VALUE"""),"Formación de estudiante de maestría")</f>
        <v>Formación de estudiante de maestría</v>
      </c>
      <c r="H84" s="4" t="str">
        <f>IFERROR(__xludf.DUMMYFUNCTION("""COMPUTED_VALUE"""),"Vinculación de estudiante de pregrado")</f>
        <v>Vinculación de estudiante de pregrado</v>
      </c>
      <c r="I84" s="4" t="str">
        <f>IFERROR(__xludf.DUMMYFUNCTION("""COMPUTED_VALUE"""),"Formación de estudiante de pregrado")</f>
        <v>Formación de estudiante de pregrado</v>
      </c>
      <c r="J84" s="4" t="str">
        <f>IFERROR(__xludf.DUMMYFUNCTION("""COMPUTED_VALUE"""),"Joven investigador")</f>
        <v>Joven investigador</v>
      </c>
      <c r="K84" s="4" t="str">
        <f>IFERROR(__xludf.DUMMYFUNCTION("""COMPUTED_VALUE"""),"Pasantía nacional")</f>
        <v>Pasantía nacional</v>
      </c>
      <c r="L84" s="4" t="str">
        <f>IFERROR(__xludf.DUMMYFUNCTION("""COMPUTED_VALUE"""),"Pasantía internacional")</f>
        <v>Pasantía internacional</v>
      </c>
      <c r="M84" s="4"/>
      <c r="N84" s="4"/>
      <c r="O84" s="4"/>
      <c r="P84" s="4"/>
      <c r="Q84" s="4"/>
      <c r="R84" s="4"/>
      <c r="S84" s="4"/>
      <c r="T84" s="4"/>
      <c r="U84" s="4" t="str">
        <f>IFERROR(__xludf.DUMMYFUNCTION("""COMPUTED_VALUE"""),"Ninguna")</f>
        <v>Ninguna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 t="str">
        <f>IFERROR(__xludf.DUMMYFUNCTION("""COMPUTED_VALUE"""),"Obligatorio")</f>
        <v>Obligatorio</v>
      </c>
      <c r="AN84" s="4"/>
      <c r="AO84" s="4"/>
      <c r="AP84" s="4"/>
      <c r="AQ84" s="4"/>
      <c r="AR84" s="4"/>
      <c r="AS84" s="4"/>
      <c r="AT84" s="4" t="str">
        <f>IFERROR(__xludf.DUMMYFUNCTION("""COMPUTED_VALUE"""),"ASTRID ALEJANDRA ROCA SALAZAR")</f>
        <v>ASTRID ALEJANDRA ROCA SALAZAR</v>
      </c>
      <c r="AU84" s="4"/>
      <c r="AV84" s="4"/>
      <c r="AW84" s="4"/>
      <c r="AX84" s="4">
        <f>IFERROR(__xludf.DUMMYFUNCTION("""COMPUTED_VALUE"""),4.0)</f>
        <v>4</v>
      </c>
      <c r="AY84" s="4" t="str">
        <f>IFERROR(__xludf.DUMMYFUNCTION("""COMPUTED_VALUE"""),"Ingeniería Eléctrica UdeA")</f>
        <v>Ingeniería Eléctrica UdeA</v>
      </c>
      <c r="AZ84" s="4"/>
    </row>
    <row r="85">
      <c r="A85" s="4" t="str">
        <f>IFERROR(__xludf.DUMMYFUNCTION("""COMPUTED_VALUE"""),"Proy13")</f>
        <v>Proy13</v>
      </c>
      <c r="B85" s="4" t="str">
        <f>IFERROR(__xludf.DUMMYFUNCTION("""COMPUTED_VALUE"""),"Formación_RH")</f>
        <v>Formación_RH</v>
      </c>
      <c r="C85" s="4" t="str">
        <f>IFERROR(__xludf.DUMMYFUNCTION("""COMPUTED_VALUE"""),"Vinculación de estudiante de pregrado")</f>
        <v>Vinculación de estudiante de pregrado</v>
      </c>
      <c r="D85" s="4" t="str">
        <f>IFERROR(__xludf.DUMMYFUNCTION("""COMPUTED_VALUE"""),"Vinculación de estudiante de doctorado")</f>
        <v>Vinculación de estudiante de doctorado</v>
      </c>
      <c r="E85" s="4" t="str">
        <f>IFERROR(__xludf.DUMMYFUNCTION("""COMPUTED_VALUE"""),"Formación de estudiante de doctorado")</f>
        <v>Formación de estudiante de doctorado</v>
      </c>
      <c r="F85" s="4" t="str">
        <f>IFERROR(__xludf.DUMMYFUNCTION("""COMPUTED_VALUE"""),"Vinculación de estudiante de maestría")</f>
        <v>Vinculación de estudiante de maestría</v>
      </c>
      <c r="G85" s="4" t="str">
        <f>IFERROR(__xludf.DUMMYFUNCTION("""COMPUTED_VALUE"""),"Formación de estudiante de maestría")</f>
        <v>Formación de estudiante de maestría</v>
      </c>
      <c r="H85" s="4" t="str">
        <f>IFERROR(__xludf.DUMMYFUNCTION("""COMPUTED_VALUE"""),"Vinculación de estudiante de pregrado")</f>
        <v>Vinculación de estudiante de pregrado</v>
      </c>
      <c r="I85" s="4" t="str">
        <f>IFERROR(__xludf.DUMMYFUNCTION("""COMPUTED_VALUE"""),"Formación de estudiante de pregrado")</f>
        <v>Formación de estudiante de pregrado</v>
      </c>
      <c r="J85" s="4" t="str">
        <f>IFERROR(__xludf.DUMMYFUNCTION("""COMPUTED_VALUE"""),"Joven investigador")</f>
        <v>Joven investigador</v>
      </c>
      <c r="K85" s="4" t="str">
        <f>IFERROR(__xludf.DUMMYFUNCTION("""COMPUTED_VALUE"""),"Pasantía nacional")</f>
        <v>Pasantía nacional</v>
      </c>
      <c r="L85" s="4" t="str">
        <f>IFERROR(__xludf.DUMMYFUNCTION("""COMPUTED_VALUE"""),"Pasantía internacional")</f>
        <v>Pasantía internacional</v>
      </c>
      <c r="M85" s="4"/>
      <c r="N85" s="4"/>
      <c r="O85" s="4"/>
      <c r="P85" s="4"/>
      <c r="Q85" s="4"/>
      <c r="R85" s="4"/>
      <c r="S85" s="4"/>
      <c r="T85" s="4"/>
      <c r="U85" s="4" t="str">
        <f>IFERROR(__xludf.DUMMYFUNCTION("""COMPUTED_VALUE"""),"Ninguna")</f>
        <v>Ninguna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 t="str">
        <f>IFERROR(__xludf.DUMMYFUNCTION("""COMPUTED_VALUE"""),"Obligatorio")</f>
        <v>Obligatorio</v>
      </c>
      <c r="AN85" s="4"/>
      <c r="AO85" s="4"/>
      <c r="AP85" s="4"/>
      <c r="AQ85" s="4"/>
      <c r="AR85" s="4"/>
      <c r="AS85" s="4"/>
      <c r="AT85" s="4" t="str">
        <f>IFERROR(__xludf.DUMMYFUNCTION("""COMPUTED_VALUE"""),"DANIELA TORO MONSALVE")</f>
        <v>DANIELA TORO MONSALVE</v>
      </c>
      <c r="AU85" s="4"/>
      <c r="AV85" s="4"/>
      <c r="AW85" s="4"/>
      <c r="AX85" s="4">
        <f>IFERROR(__xludf.DUMMYFUNCTION("""COMPUTED_VALUE"""),4.0)</f>
        <v>4</v>
      </c>
      <c r="AY85" s="4" t="str">
        <f>IFERROR(__xludf.DUMMYFUNCTION("""COMPUTED_VALUE"""),"INGENIERÍA INDUSTRIAL")</f>
        <v>INGENIERÍA INDUSTRIAL</v>
      </c>
      <c r="AZ85" s="4"/>
    </row>
    <row r="86">
      <c r="A86" s="4" t="str">
        <f>IFERROR(__xludf.DUMMYFUNCTION("""COMPUTED_VALUE"""),"Proy13")</f>
        <v>Proy13</v>
      </c>
      <c r="B86" s="4" t="str">
        <f>IFERROR(__xludf.DUMMYFUNCTION("""COMPUTED_VALUE"""),"Formación_RH")</f>
        <v>Formación_RH</v>
      </c>
      <c r="C86" s="4" t="str">
        <f>IFERROR(__xludf.DUMMYFUNCTION("""COMPUTED_VALUE"""),"Vinculación de estudiante de pregrado")</f>
        <v>Vinculación de estudiante de pregrado</v>
      </c>
      <c r="D86" s="4" t="str">
        <f>IFERROR(__xludf.DUMMYFUNCTION("""COMPUTED_VALUE"""),"Vinculación de estudiante de doctorado")</f>
        <v>Vinculación de estudiante de doctorado</v>
      </c>
      <c r="E86" s="4" t="str">
        <f>IFERROR(__xludf.DUMMYFUNCTION("""COMPUTED_VALUE"""),"Formación de estudiante de doctorado")</f>
        <v>Formación de estudiante de doctorado</v>
      </c>
      <c r="F86" s="4" t="str">
        <f>IFERROR(__xludf.DUMMYFUNCTION("""COMPUTED_VALUE"""),"Vinculación de estudiante de maestría")</f>
        <v>Vinculación de estudiante de maestría</v>
      </c>
      <c r="G86" s="4" t="str">
        <f>IFERROR(__xludf.DUMMYFUNCTION("""COMPUTED_VALUE"""),"Formación de estudiante de maestría")</f>
        <v>Formación de estudiante de maestría</v>
      </c>
      <c r="H86" s="4" t="str">
        <f>IFERROR(__xludf.DUMMYFUNCTION("""COMPUTED_VALUE"""),"Vinculación de estudiante de pregrado")</f>
        <v>Vinculación de estudiante de pregrado</v>
      </c>
      <c r="I86" s="4" t="str">
        <f>IFERROR(__xludf.DUMMYFUNCTION("""COMPUTED_VALUE"""),"Formación de estudiante de pregrado")</f>
        <v>Formación de estudiante de pregrado</v>
      </c>
      <c r="J86" s="4" t="str">
        <f>IFERROR(__xludf.DUMMYFUNCTION("""COMPUTED_VALUE"""),"Joven investigador")</f>
        <v>Joven investigador</v>
      </c>
      <c r="K86" s="4" t="str">
        <f>IFERROR(__xludf.DUMMYFUNCTION("""COMPUTED_VALUE"""),"Pasantía nacional")</f>
        <v>Pasantía nacional</v>
      </c>
      <c r="L86" s="4" t="str">
        <f>IFERROR(__xludf.DUMMYFUNCTION("""COMPUTED_VALUE"""),"Pasantía internacional")</f>
        <v>Pasantía internacional</v>
      </c>
      <c r="M86" s="4"/>
      <c r="N86" s="4"/>
      <c r="O86" s="4"/>
      <c r="P86" s="4"/>
      <c r="Q86" s="4"/>
      <c r="R86" s="4"/>
      <c r="S86" s="4"/>
      <c r="T86" s="4"/>
      <c r="U86" s="4" t="str">
        <f>IFERROR(__xludf.DUMMYFUNCTION("""COMPUTED_VALUE"""),"Ninguna")</f>
        <v>Ninguna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 t="str">
        <f>IFERROR(__xludf.DUMMYFUNCTION("""COMPUTED_VALUE"""),"Obligatorio")</f>
        <v>Obligatorio</v>
      </c>
      <c r="AN86" s="4"/>
      <c r="AO86" s="4"/>
      <c r="AP86" s="4"/>
      <c r="AQ86" s="4"/>
      <c r="AR86" s="4"/>
      <c r="AS86" s="4"/>
      <c r="AT86" s="4" t="str">
        <f>IFERROR(__xludf.DUMMYFUNCTION("""COMPUTED_VALUE"""),"FABIAN ALEXIS ECHAVARRÍA GONZÁLEZ")</f>
        <v>FABIAN ALEXIS ECHAVARRÍA GONZÁLEZ</v>
      </c>
      <c r="AU86" s="4"/>
      <c r="AV86" s="4"/>
      <c r="AW86" s="4"/>
      <c r="AX86" s="4">
        <f>IFERROR(__xludf.DUMMYFUNCTION("""COMPUTED_VALUE"""),4.0)</f>
        <v>4</v>
      </c>
      <c r="AY86" s="4" t="str">
        <f>IFERROR(__xludf.DUMMYFUNCTION("""COMPUTED_VALUE"""),"INGENIERÍA ELÉCTRICA")</f>
        <v>INGENIERÍA ELÉCTRICA</v>
      </c>
      <c r="AZ86" s="4"/>
    </row>
    <row r="87">
      <c r="A87" s="4" t="str">
        <f>IFERROR(__xludf.DUMMYFUNCTION("""COMPUTED_VALUE"""),"Proy13")</f>
        <v>Proy13</v>
      </c>
      <c r="B87" s="4" t="str">
        <f>IFERROR(__xludf.DUMMYFUNCTION("""COMPUTED_VALUE"""),"Formación_RH")</f>
        <v>Formación_RH</v>
      </c>
      <c r="C87" s="4" t="str">
        <f>IFERROR(__xludf.DUMMYFUNCTION("""COMPUTED_VALUE"""),"Vinculación de estudiante de pregrado")</f>
        <v>Vinculación de estudiante de pregrado</v>
      </c>
      <c r="D87" s="4" t="str">
        <f>IFERROR(__xludf.DUMMYFUNCTION("""COMPUTED_VALUE"""),"Vinculación de estudiante de doctorado")</f>
        <v>Vinculación de estudiante de doctorado</v>
      </c>
      <c r="E87" s="4" t="str">
        <f>IFERROR(__xludf.DUMMYFUNCTION("""COMPUTED_VALUE"""),"Formación de estudiante de doctorado")</f>
        <v>Formación de estudiante de doctorado</v>
      </c>
      <c r="F87" s="4" t="str">
        <f>IFERROR(__xludf.DUMMYFUNCTION("""COMPUTED_VALUE"""),"Vinculación de estudiante de maestría")</f>
        <v>Vinculación de estudiante de maestría</v>
      </c>
      <c r="G87" s="4" t="str">
        <f>IFERROR(__xludf.DUMMYFUNCTION("""COMPUTED_VALUE"""),"Formación de estudiante de maestría")</f>
        <v>Formación de estudiante de maestría</v>
      </c>
      <c r="H87" s="4" t="str">
        <f>IFERROR(__xludf.DUMMYFUNCTION("""COMPUTED_VALUE"""),"Vinculación de estudiante de pregrado")</f>
        <v>Vinculación de estudiante de pregrado</v>
      </c>
      <c r="I87" s="4" t="str">
        <f>IFERROR(__xludf.DUMMYFUNCTION("""COMPUTED_VALUE"""),"Formación de estudiante de pregrado")</f>
        <v>Formación de estudiante de pregrado</v>
      </c>
      <c r="J87" s="4" t="str">
        <f>IFERROR(__xludf.DUMMYFUNCTION("""COMPUTED_VALUE"""),"Joven investigador")</f>
        <v>Joven investigador</v>
      </c>
      <c r="K87" s="4" t="str">
        <f>IFERROR(__xludf.DUMMYFUNCTION("""COMPUTED_VALUE"""),"Pasantía nacional")</f>
        <v>Pasantía nacional</v>
      </c>
      <c r="L87" s="4" t="str">
        <f>IFERROR(__xludf.DUMMYFUNCTION("""COMPUTED_VALUE"""),"Pasantía internacional")</f>
        <v>Pasantía internacional</v>
      </c>
      <c r="M87" s="4"/>
      <c r="N87" s="4"/>
      <c r="O87" s="4"/>
      <c r="P87" s="4"/>
      <c r="Q87" s="4"/>
      <c r="R87" s="4"/>
      <c r="S87" s="4"/>
      <c r="T87" s="4"/>
      <c r="U87" s="4" t="str">
        <f>IFERROR(__xludf.DUMMYFUNCTION("""COMPUTED_VALUE"""),"Ninguna")</f>
        <v>Ninguna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 t="str">
        <f>IFERROR(__xludf.DUMMYFUNCTION("""COMPUTED_VALUE"""),"Obligatorio")</f>
        <v>Obligatorio</v>
      </c>
      <c r="AN87" s="4"/>
      <c r="AO87" s="4"/>
      <c r="AP87" s="4"/>
      <c r="AQ87" s="4"/>
      <c r="AR87" s="4"/>
      <c r="AS87" s="4"/>
      <c r="AT87" s="4" t="str">
        <f>IFERROR(__xludf.DUMMYFUNCTION("""COMPUTED_VALUE"""),"LUISA MARIA CANO URIBE")</f>
        <v>LUISA MARIA CANO URIBE</v>
      </c>
      <c r="AU87" s="4"/>
      <c r="AV87" s="4"/>
      <c r="AW87" s="4"/>
      <c r="AX87" s="4">
        <f>IFERROR(__xludf.DUMMYFUNCTION("""COMPUTED_VALUE"""),4.0)</f>
        <v>4</v>
      </c>
      <c r="AY87" s="4" t="str">
        <f>IFERROR(__xludf.DUMMYFUNCTION("""COMPUTED_VALUE"""),"INGENIERÍA ELÉCTRICA")</f>
        <v>INGENIERÍA ELÉCTRICA</v>
      </c>
      <c r="AZ87" s="4"/>
    </row>
    <row r="88">
      <c r="A88" s="4" t="str">
        <f>IFERROR(__xludf.DUMMYFUNCTION("""COMPUTED_VALUE"""),"Proy13")</f>
        <v>Proy13</v>
      </c>
      <c r="B88" s="4" t="str">
        <f>IFERROR(__xludf.DUMMYFUNCTION("""COMPUTED_VALUE"""),"Formación_RH")</f>
        <v>Formación_RH</v>
      </c>
      <c r="C88" s="4" t="str">
        <f>IFERROR(__xludf.DUMMYFUNCTION("""COMPUTED_VALUE"""),"Vinculación de estudiante de pregrado")</f>
        <v>Vinculación de estudiante de pregrado</v>
      </c>
      <c r="D88" s="4" t="str">
        <f>IFERROR(__xludf.DUMMYFUNCTION("""COMPUTED_VALUE"""),"Vinculación de estudiante de doctorado")</f>
        <v>Vinculación de estudiante de doctorado</v>
      </c>
      <c r="E88" s="4" t="str">
        <f>IFERROR(__xludf.DUMMYFUNCTION("""COMPUTED_VALUE"""),"Formación de estudiante de doctorado")</f>
        <v>Formación de estudiante de doctorado</v>
      </c>
      <c r="F88" s="4" t="str">
        <f>IFERROR(__xludf.DUMMYFUNCTION("""COMPUTED_VALUE"""),"Vinculación de estudiante de maestría")</f>
        <v>Vinculación de estudiante de maestría</v>
      </c>
      <c r="G88" s="4" t="str">
        <f>IFERROR(__xludf.DUMMYFUNCTION("""COMPUTED_VALUE"""),"Formación de estudiante de maestría")</f>
        <v>Formación de estudiante de maestría</v>
      </c>
      <c r="H88" s="4" t="str">
        <f>IFERROR(__xludf.DUMMYFUNCTION("""COMPUTED_VALUE"""),"Vinculación de estudiante de pregrado")</f>
        <v>Vinculación de estudiante de pregrado</v>
      </c>
      <c r="I88" s="4" t="str">
        <f>IFERROR(__xludf.DUMMYFUNCTION("""COMPUTED_VALUE"""),"Formación de estudiante de pregrado")</f>
        <v>Formación de estudiante de pregrado</v>
      </c>
      <c r="J88" s="4" t="str">
        <f>IFERROR(__xludf.DUMMYFUNCTION("""COMPUTED_VALUE"""),"Joven investigador")</f>
        <v>Joven investigador</v>
      </c>
      <c r="K88" s="4" t="str">
        <f>IFERROR(__xludf.DUMMYFUNCTION("""COMPUTED_VALUE"""),"Pasantía nacional")</f>
        <v>Pasantía nacional</v>
      </c>
      <c r="L88" s="4" t="str">
        <f>IFERROR(__xludf.DUMMYFUNCTION("""COMPUTED_VALUE"""),"Pasantía internacional")</f>
        <v>Pasantía internacional</v>
      </c>
      <c r="M88" s="4"/>
      <c r="N88" s="4"/>
      <c r="O88" s="4"/>
      <c r="P88" s="4"/>
      <c r="Q88" s="4"/>
      <c r="R88" s="4"/>
      <c r="S88" s="4"/>
      <c r="T88" s="4"/>
      <c r="U88" s="4" t="str">
        <f>IFERROR(__xludf.DUMMYFUNCTION("""COMPUTED_VALUE"""),"Ninguna")</f>
        <v>Ninguna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 t="str">
        <f>IFERROR(__xludf.DUMMYFUNCTION("""COMPUTED_VALUE"""),"Obligatorio")</f>
        <v>Obligatorio</v>
      </c>
      <c r="AN88" s="4"/>
      <c r="AO88" s="4"/>
      <c r="AP88" s="4"/>
      <c r="AQ88" s="4"/>
      <c r="AR88" s="4"/>
      <c r="AS88" s="4"/>
      <c r="AT88" s="4" t="str">
        <f>IFERROR(__xludf.DUMMYFUNCTION("""COMPUTED_VALUE"""),"MARIA ALEJANDRA CARMONA RIVERA")</f>
        <v>MARIA ALEJANDRA CARMONA RIVERA</v>
      </c>
      <c r="AU88" s="4"/>
      <c r="AV88" s="4"/>
      <c r="AW88" s="4"/>
      <c r="AX88" s="4">
        <f>IFERROR(__xludf.DUMMYFUNCTION("""COMPUTED_VALUE"""),4.0)</f>
        <v>4</v>
      </c>
      <c r="AY88" s="4" t="str">
        <f>IFERROR(__xludf.DUMMYFUNCTION("""COMPUTED_VALUE"""),"INGENIERÍA AMBIENTAL")</f>
        <v>INGENIERÍA AMBIENTAL</v>
      </c>
      <c r="AZ88" s="4"/>
    </row>
    <row r="89">
      <c r="A89" s="4" t="str">
        <f>IFERROR(__xludf.DUMMYFUNCTION("""COMPUTED_VALUE"""),"Proy13")</f>
        <v>Proy13</v>
      </c>
      <c r="B89" s="4" t="str">
        <f>IFERROR(__xludf.DUMMYFUNCTION("""COMPUTED_VALUE"""),"Formación_RH")</f>
        <v>Formación_RH</v>
      </c>
      <c r="C89" s="4" t="str">
        <f>IFERROR(__xludf.DUMMYFUNCTION("""COMPUTED_VALUE"""),"Vinculación de estudiante de pregrado")</f>
        <v>Vinculación de estudiante de pregrado</v>
      </c>
      <c r="D89" s="4" t="str">
        <f>IFERROR(__xludf.DUMMYFUNCTION("""COMPUTED_VALUE"""),"Vinculación de estudiante de doctorado")</f>
        <v>Vinculación de estudiante de doctorado</v>
      </c>
      <c r="E89" s="4" t="str">
        <f>IFERROR(__xludf.DUMMYFUNCTION("""COMPUTED_VALUE"""),"Formación de estudiante de doctorado")</f>
        <v>Formación de estudiante de doctorado</v>
      </c>
      <c r="F89" s="4" t="str">
        <f>IFERROR(__xludf.DUMMYFUNCTION("""COMPUTED_VALUE"""),"Vinculación de estudiante de maestría")</f>
        <v>Vinculación de estudiante de maestría</v>
      </c>
      <c r="G89" s="4" t="str">
        <f>IFERROR(__xludf.DUMMYFUNCTION("""COMPUTED_VALUE"""),"Formación de estudiante de maestría")</f>
        <v>Formación de estudiante de maestría</v>
      </c>
      <c r="H89" s="4" t="str">
        <f>IFERROR(__xludf.DUMMYFUNCTION("""COMPUTED_VALUE"""),"Vinculación de estudiante de pregrado")</f>
        <v>Vinculación de estudiante de pregrado</v>
      </c>
      <c r="I89" s="4" t="str">
        <f>IFERROR(__xludf.DUMMYFUNCTION("""COMPUTED_VALUE"""),"Formación de estudiante de pregrado")</f>
        <v>Formación de estudiante de pregrado</v>
      </c>
      <c r="J89" s="4" t="str">
        <f>IFERROR(__xludf.DUMMYFUNCTION("""COMPUTED_VALUE"""),"Joven investigador")</f>
        <v>Joven investigador</v>
      </c>
      <c r="K89" s="4" t="str">
        <f>IFERROR(__xludf.DUMMYFUNCTION("""COMPUTED_VALUE"""),"Pasantía nacional")</f>
        <v>Pasantía nacional</v>
      </c>
      <c r="L89" s="4" t="str">
        <f>IFERROR(__xludf.DUMMYFUNCTION("""COMPUTED_VALUE"""),"Pasantía internacional")</f>
        <v>Pasantía internacional</v>
      </c>
      <c r="M89" s="4"/>
      <c r="N89" s="4"/>
      <c r="O89" s="4"/>
      <c r="P89" s="4"/>
      <c r="Q89" s="4"/>
      <c r="R89" s="4"/>
      <c r="S89" s="4"/>
      <c r="T89" s="4"/>
      <c r="U89" s="4" t="str">
        <f>IFERROR(__xludf.DUMMYFUNCTION("""COMPUTED_VALUE"""),"Ninguna")</f>
        <v>Ninguna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 t="str">
        <f>IFERROR(__xludf.DUMMYFUNCTION("""COMPUTED_VALUE"""),"Obligatorio")</f>
        <v>Obligatorio</v>
      </c>
      <c r="AN89" s="4"/>
      <c r="AO89" s="4"/>
      <c r="AP89" s="4"/>
      <c r="AQ89" s="4"/>
      <c r="AR89" s="4"/>
      <c r="AS89" s="4"/>
      <c r="AT89" s="4" t="str">
        <f>IFERROR(__xludf.DUMMYFUNCTION("""COMPUTED_VALUE"""),"MATEO AGUDELO RINCÓN")</f>
        <v>MATEO AGUDELO RINCÓN</v>
      </c>
      <c r="AU89" s="4"/>
      <c r="AV89" s="4"/>
      <c r="AW89" s="4"/>
      <c r="AX89" s="4">
        <f>IFERROR(__xludf.DUMMYFUNCTION("""COMPUTED_VALUE"""),4.0)</f>
        <v>4</v>
      </c>
      <c r="AY89" s="4" t="str">
        <f>IFERROR(__xludf.DUMMYFUNCTION("""COMPUTED_VALUE"""),"INGENIERÍA ELÉCTRICA")</f>
        <v>INGENIERÍA ELÉCTRICA</v>
      </c>
      <c r="AZ89" s="4"/>
    </row>
    <row r="90">
      <c r="A90" s="4" t="str">
        <f>IFERROR(__xludf.DUMMYFUNCTION("""COMPUTED_VALUE"""),"Proy13")</f>
        <v>Proy13</v>
      </c>
      <c r="B90" s="4" t="str">
        <f>IFERROR(__xludf.DUMMYFUNCTION("""COMPUTED_VALUE"""),"Formación_RH")</f>
        <v>Formación_RH</v>
      </c>
      <c r="C90" s="4" t="str">
        <f>IFERROR(__xludf.DUMMYFUNCTION("""COMPUTED_VALUE"""),"Vinculación de estudiante de pregrado")</f>
        <v>Vinculación de estudiante de pregrado</v>
      </c>
      <c r="D90" s="4" t="str">
        <f>IFERROR(__xludf.DUMMYFUNCTION("""COMPUTED_VALUE"""),"Vinculación de estudiante de doctorado")</f>
        <v>Vinculación de estudiante de doctorado</v>
      </c>
      <c r="E90" s="4" t="str">
        <f>IFERROR(__xludf.DUMMYFUNCTION("""COMPUTED_VALUE"""),"Formación de estudiante de doctorado")</f>
        <v>Formación de estudiante de doctorado</v>
      </c>
      <c r="F90" s="4" t="str">
        <f>IFERROR(__xludf.DUMMYFUNCTION("""COMPUTED_VALUE"""),"Vinculación de estudiante de maestría")</f>
        <v>Vinculación de estudiante de maestría</v>
      </c>
      <c r="G90" s="4" t="str">
        <f>IFERROR(__xludf.DUMMYFUNCTION("""COMPUTED_VALUE"""),"Formación de estudiante de maestría")</f>
        <v>Formación de estudiante de maestría</v>
      </c>
      <c r="H90" s="4" t="str">
        <f>IFERROR(__xludf.DUMMYFUNCTION("""COMPUTED_VALUE"""),"Vinculación de estudiante de pregrado")</f>
        <v>Vinculación de estudiante de pregrado</v>
      </c>
      <c r="I90" s="4" t="str">
        <f>IFERROR(__xludf.DUMMYFUNCTION("""COMPUTED_VALUE"""),"Formación de estudiante de pregrado")</f>
        <v>Formación de estudiante de pregrado</v>
      </c>
      <c r="J90" s="4" t="str">
        <f>IFERROR(__xludf.DUMMYFUNCTION("""COMPUTED_VALUE"""),"Joven investigador")</f>
        <v>Joven investigador</v>
      </c>
      <c r="K90" s="4" t="str">
        <f>IFERROR(__xludf.DUMMYFUNCTION("""COMPUTED_VALUE"""),"Pasantía nacional")</f>
        <v>Pasantía nacional</v>
      </c>
      <c r="L90" s="4" t="str">
        <f>IFERROR(__xludf.DUMMYFUNCTION("""COMPUTED_VALUE"""),"Pasantía internacional")</f>
        <v>Pasantía internacional</v>
      </c>
      <c r="M90" s="4"/>
      <c r="N90" s="4"/>
      <c r="O90" s="4"/>
      <c r="P90" s="4"/>
      <c r="Q90" s="4"/>
      <c r="R90" s="4"/>
      <c r="S90" s="4"/>
      <c r="T90" s="4"/>
      <c r="U90" s="4" t="str">
        <f>IFERROR(__xludf.DUMMYFUNCTION("""COMPUTED_VALUE"""),"Ninguna")</f>
        <v>Ninguna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 t="str">
        <f>IFERROR(__xludf.DUMMYFUNCTION("""COMPUTED_VALUE"""),"Obligatorio")</f>
        <v>Obligatorio</v>
      </c>
      <c r="AN90" s="4"/>
      <c r="AO90" s="4"/>
      <c r="AP90" s="4"/>
      <c r="AQ90" s="4"/>
      <c r="AR90" s="4"/>
      <c r="AS90" s="4"/>
      <c r="AT90" s="4" t="str">
        <f>IFERROR(__xludf.DUMMYFUNCTION("""COMPUTED_VALUE"""),"SANTIAGO LÓPEZ URREGO")</f>
        <v>SANTIAGO LÓPEZ URREGO</v>
      </c>
      <c r="AU90" s="4"/>
      <c r="AV90" s="4"/>
      <c r="AW90" s="4"/>
      <c r="AX90" s="4">
        <f>IFERROR(__xludf.DUMMYFUNCTION("""COMPUTED_VALUE"""),4.0)</f>
        <v>4</v>
      </c>
      <c r="AY90" s="4" t="str">
        <f>IFERROR(__xludf.DUMMYFUNCTION("""COMPUTED_VALUE"""),"INGENIERÍA ELÉCTRICA")</f>
        <v>INGENIERÍA ELÉCTRICA</v>
      </c>
      <c r="AZ90" s="4"/>
    </row>
    <row r="91">
      <c r="A91" s="4" t="str">
        <f>IFERROR(__xludf.DUMMYFUNCTION("""COMPUTED_VALUE"""),"Proy13")</f>
        <v>Proy13</v>
      </c>
      <c r="B91" s="4" t="str">
        <f>IFERROR(__xludf.DUMMYFUNCTION("""COMPUTED_VALUE"""),"Formación_RH")</f>
        <v>Formación_RH</v>
      </c>
      <c r="C91" s="4" t="str">
        <f>IFERROR(__xludf.DUMMYFUNCTION("""COMPUTED_VALUE"""),"Vinculación de estudiante de pregrado")</f>
        <v>Vinculación de estudiante de pregrado</v>
      </c>
      <c r="D91" s="4" t="str">
        <f>IFERROR(__xludf.DUMMYFUNCTION("""COMPUTED_VALUE"""),"Vinculación de estudiante de doctorado")</f>
        <v>Vinculación de estudiante de doctorado</v>
      </c>
      <c r="E91" s="4" t="str">
        <f>IFERROR(__xludf.DUMMYFUNCTION("""COMPUTED_VALUE"""),"Formación de estudiante de doctorado")</f>
        <v>Formación de estudiante de doctorado</v>
      </c>
      <c r="F91" s="4" t="str">
        <f>IFERROR(__xludf.DUMMYFUNCTION("""COMPUTED_VALUE"""),"Vinculación de estudiante de maestría")</f>
        <v>Vinculación de estudiante de maestría</v>
      </c>
      <c r="G91" s="4" t="str">
        <f>IFERROR(__xludf.DUMMYFUNCTION("""COMPUTED_VALUE"""),"Formación de estudiante de maestría")</f>
        <v>Formación de estudiante de maestría</v>
      </c>
      <c r="H91" s="4" t="str">
        <f>IFERROR(__xludf.DUMMYFUNCTION("""COMPUTED_VALUE"""),"Vinculación de estudiante de pregrado")</f>
        <v>Vinculación de estudiante de pregrado</v>
      </c>
      <c r="I91" s="4" t="str">
        <f>IFERROR(__xludf.DUMMYFUNCTION("""COMPUTED_VALUE"""),"Formación de estudiante de pregrado")</f>
        <v>Formación de estudiante de pregrado</v>
      </c>
      <c r="J91" s="4" t="str">
        <f>IFERROR(__xludf.DUMMYFUNCTION("""COMPUTED_VALUE"""),"Joven investigador")</f>
        <v>Joven investigador</v>
      </c>
      <c r="K91" s="4" t="str">
        <f>IFERROR(__xludf.DUMMYFUNCTION("""COMPUTED_VALUE"""),"Pasantía nacional")</f>
        <v>Pasantía nacional</v>
      </c>
      <c r="L91" s="4" t="str">
        <f>IFERROR(__xludf.DUMMYFUNCTION("""COMPUTED_VALUE"""),"Pasantía internacional")</f>
        <v>Pasantía internacional</v>
      </c>
      <c r="M91" s="4"/>
      <c r="N91" s="4"/>
      <c r="O91" s="4"/>
      <c r="P91" s="4"/>
      <c r="Q91" s="4"/>
      <c r="R91" s="4"/>
      <c r="S91" s="4"/>
      <c r="T91" s="4"/>
      <c r="U91" s="4" t="str">
        <f>IFERROR(__xludf.DUMMYFUNCTION("""COMPUTED_VALUE"""),"Ninguna")</f>
        <v>Ninguna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 t="str">
        <f>IFERROR(__xludf.DUMMYFUNCTION("""COMPUTED_VALUE"""),"Obligatorio")</f>
        <v>Obligatorio</v>
      </c>
      <c r="AN91" s="4"/>
      <c r="AO91" s="4"/>
      <c r="AP91" s="4"/>
      <c r="AQ91" s="4"/>
      <c r="AR91" s="4"/>
      <c r="AS91" s="4"/>
      <c r="AT91" s="4" t="str">
        <f>IFERROR(__xludf.DUMMYFUNCTION("""COMPUTED_VALUE"""),"SANTIAGO RIOS OLAYA")</f>
        <v>SANTIAGO RIOS OLAYA</v>
      </c>
      <c r="AU91" s="4"/>
      <c r="AV91" s="4"/>
      <c r="AW91" s="4"/>
      <c r="AX91" s="4">
        <f>IFERROR(__xludf.DUMMYFUNCTION("""COMPUTED_VALUE"""),4.0)</f>
        <v>4</v>
      </c>
      <c r="AY91" s="4" t="str">
        <f>IFERROR(__xludf.DUMMYFUNCTION("""COMPUTED_VALUE"""),"INGENIERÍA ELÉCTRICA")</f>
        <v>INGENIERÍA ELÉCTRICA</v>
      </c>
      <c r="AZ91" s="4"/>
    </row>
    <row r="92">
      <c r="A92" s="4" t="str">
        <f>IFERROR(__xludf.DUMMYFUNCTION("""COMPUTED_VALUE"""),"Proy13")</f>
        <v>Proy13</v>
      </c>
      <c r="B92" s="4" t="str">
        <f>IFERROR(__xludf.DUMMYFUNCTION("""COMPUTED_VALUE"""),"Formación_RH")</f>
        <v>Formación_RH</v>
      </c>
      <c r="C92" s="4" t="str">
        <f>IFERROR(__xludf.DUMMYFUNCTION("""COMPUTED_VALUE"""),"Vinculación de estudiante de pregrado")</f>
        <v>Vinculación de estudiante de pregrado</v>
      </c>
      <c r="D92" s="4" t="str">
        <f>IFERROR(__xludf.DUMMYFUNCTION("""COMPUTED_VALUE"""),"Vinculación de estudiante de doctorado")</f>
        <v>Vinculación de estudiante de doctorado</v>
      </c>
      <c r="E92" s="4" t="str">
        <f>IFERROR(__xludf.DUMMYFUNCTION("""COMPUTED_VALUE"""),"Formación de estudiante de doctorado")</f>
        <v>Formación de estudiante de doctorado</v>
      </c>
      <c r="F92" s="4" t="str">
        <f>IFERROR(__xludf.DUMMYFUNCTION("""COMPUTED_VALUE"""),"Vinculación de estudiante de maestría")</f>
        <v>Vinculación de estudiante de maestría</v>
      </c>
      <c r="G92" s="4" t="str">
        <f>IFERROR(__xludf.DUMMYFUNCTION("""COMPUTED_VALUE"""),"Formación de estudiante de maestría")</f>
        <v>Formación de estudiante de maestría</v>
      </c>
      <c r="H92" s="4" t="str">
        <f>IFERROR(__xludf.DUMMYFUNCTION("""COMPUTED_VALUE"""),"Vinculación de estudiante de pregrado")</f>
        <v>Vinculación de estudiante de pregrado</v>
      </c>
      <c r="I92" s="4" t="str">
        <f>IFERROR(__xludf.DUMMYFUNCTION("""COMPUTED_VALUE"""),"Formación de estudiante de pregrado")</f>
        <v>Formación de estudiante de pregrado</v>
      </c>
      <c r="J92" s="4" t="str">
        <f>IFERROR(__xludf.DUMMYFUNCTION("""COMPUTED_VALUE"""),"Joven investigador")</f>
        <v>Joven investigador</v>
      </c>
      <c r="K92" s="4" t="str">
        <f>IFERROR(__xludf.DUMMYFUNCTION("""COMPUTED_VALUE"""),"Pasantía nacional")</f>
        <v>Pasantía nacional</v>
      </c>
      <c r="L92" s="4" t="str">
        <f>IFERROR(__xludf.DUMMYFUNCTION("""COMPUTED_VALUE"""),"Pasantía internacional")</f>
        <v>Pasantía internacional</v>
      </c>
      <c r="M92" s="4"/>
      <c r="N92" s="4"/>
      <c r="O92" s="4"/>
      <c r="P92" s="4"/>
      <c r="Q92" s="4"/>
      <c r="R92" s="4"/>
      <c r="S92" s="4"/>
      <c r="T92" s="4"/>
      <c r="U92" s="4" t="str">
        <f>IFERROR(__xludf.DUMMYFUNCTION("""COMPUTED_VALUE"""),"Ninguna")</f>
        <v>Ninguna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 t="str">
        <f>IFERROR(__xludf.DUMMYFUNCTION("""COMPUTED_VALUE"""),"Obligatorio")</f>
        <v>Obligatorio</v>
      </c>
      <c r="AN92" s="4"/>
      <c r="AO92" s="4"/>
      <c r="AP92" s="4"/>
      <c r="AQ92" s="4"/>
      <c r="AR92" s="4"/>
      <c r="AS92" s="4"/>
      <c r="AT92" s="4" t="str">
        <f>IFERROR(__xludf.DUMMYFUNCTION("""COMPUTED_VALUE"""),"YESIKA ANDREA GUTIERREZ VILLA")</f>
        <v>YESIKA ANDREA GUTIERREZ VILLA</v>
      </c>
      <c r="AU92" s="4"/>
      <c r="AV92" s="4"/>
      <c r="AW92" s="4"/>
      <c r="AX92" s="4">
        <f>IFERROR(__xludf.DUMMYFUNCTION("""COMPUTED_VALUE"""),4.0)</f>
        <v>4</v>
      </c>
      <c r="AY92" s="4" t="str">
        <f>IFERROR(__xludf.DUMMYFUNCTION("""COMPUTED_VALUE"""),"INGENIERÍA ELÉCTRICA")</f>
        <v>INGENIERÍA ELÉCTRICA</v>
      </c>
      <c r="AZ92" s="4"/>
    </row>
    <row r="93">
      <c r="A93" s="4" t="str">
        <f>IFERROR(__xludf.DUMMYFUNCTION("""COMPUTED_VALUE"""),"Proy13")</f>
        <v>Proy13</v>
      </c>
      <c r="B93" s="4" t="str">
        <f>IFERROR(__xludf.DUMMYFUNCTION("""COMPUTED_VALUE"""),"Nuevo_Conocimiento")</f>
        <v>Nuevo_Conocimiento</v>
      </c>
      <c r="C93" s="4" t="str">
        <f>IFERROR(__xludf.DUMMYFUNCTION("""COMPUTED_VALUE"""),"Artículo A1")</f>
        <v>Artículo A1</v>
      </c>
      <c r="D93" s="4" t="str">
        <f>IFERROR(__xludf.DUMMYFUNCTION("""COMPUTED_VALUE"""),"Artículo A1")</f>
        <v>Artículo A1</v>
      </c>
      <c r="E93" s="4" t="str">
        <f>IFERROR(__xludf.DUMMYFUNCTION("""COMPUTED_VALUE"""),"Artículo A2")</f>
        <v>Artículo A2</v>
      </c>
      <c r="F93" s="4" t="str">
        <f>IFERROR(__xludf.DUMMYFUNCTION("""COMPUTED_VALUE"""),"Artículo B")</f>
        <v>Artículo B</v>
      </c>
      <c r="G93" s="4" t="str">
        <f>IFERROR(__xludf.DUMMYFUNCTION("""COMPUTED_VALUE"""),"Artículo C")</f>
        <v>Artículo C</v>
      </c>
      <c r="H93" s="4" t="str">
        <f>IFERROR(__xludf.DUMMYFUNCTION("""COMPUTED_VALUE"""),"Capítulo de libro A")</f>
        <v>Capítulo de libro A</v>
      </c>
      <c r="I93" s="4" t="str">
        <f>IFERROR(__xludf.DUMMYFUNCTION("""COMPUTED_VALUE"""),"Capítulo de libro A1")</f>
        <v>Capítulo de libro A1</v>
      </c>
      <c r="J93" s="4" t="str">
        <f>IFERROR(__xludf.DUMMYFUNCTION("""COMPUTED_VALUE"""),"Capítulo de libro B")</f>
        <v>Capítulo de libro B</v>
      </c>
      <c r="K93" s="4" t="str">
        <f>IFERROR(__xludf.DUMMYFUNCTION("""COMPUTED_VALUE"""),"Libro A")</f>
        <v>Libro A</v>
      </c>
      <c r="L93" s="4" t="str">
        <f>IFERROR(__xludf.DUMMYFUNCTION("""COMPUTED_VALUE"""),"Libro A1")</f>
        <v>Libro A1</v>
      </c>
      <c r="M93" s="4" t="str">
        <f>IFERROR(__xludf.DUMMYFUNCTION("""COMPUTED_VALUE"""),"Libro B")</f>
        <v>Libro B</v>
      </c>
      <c r="N93" s="4" t="str">
        <f>IFERROR(__xludf.DUMMYFUNCTION("""COMPUTED_VALUE"""),"Solicitud Patente de invención y-o modelo de utitlidad")</f>
        <v>Solicitud Patente de invención y-o modelo de utitlidad</v>
      </c>
      <c r="O93" s="4" t="str">
        <f>IFERROR(__xludf.DUMMYFUNCTION("""COMPUTED_VALUE"""),"Patente de invención")</f>
        <v>Patente de invención</v>
      </c>
      <c r="P93" s="4" t="str">
        <f>IFERROR(__xludf.DUMMYFUNCTION("""COMPUTED_VALUE"""),"Patente de modelo de utilidad")</f>
        <v>Patente de modelo de utilidad</v>
      </c>
      <c r="Q93" s="4" t="str">
        <f>IFERROR(__xludf.DUMMYFUNCTION("""COMPUTED_VALUE"""),"Artículo sin clasificar")</f>
        <v>Artículo sin clasificar</v>
      </c>
      <c r="R93" s="4" t="str">
        <f>IFERROR(__xludf.DUMMYFUNCTION("""COMPUTED_VALUE"""),"Capítulo sin clasificar")</f>
        <v>Capítulo sin clasificar</v>
      </c>
      <c r="S93" s="4"/>
      <c r="T93" s="4"/>
      <c r="U93" s="4" t="str">
        <f>IFERROR(__xludf.DUMMYFUNCTION("""COMPUTED_VALUE"""),"Ninguna")</f>
        <v>Ninguna</v>
      </c>
      <c r="V93" s="4"/>
      <c r="W93" s="4" t="str">
        <f>IFERROR(__xludf.DUMMYFUNCTION("""COMPUTED_VALUE"""),"Proyecto")</f>
        <v>Proyecto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 t="str">
        <f>IFERROR(__xludf.DUMMYFUNCTION("""COMPUTED_VALUE"""),"Ninguna")</f>
        <v>Ninguna</v>
      </c>
      <c r="AL93" s="4"/>
      <c r="AM93" s="4" t="str">
        <f>IFERROR(__xludf.DUMMYFUNCTION("""COMPUTED_VALUE"""),"Obligatorio")</f>
        <v>Obligatorio</v>
      </c>
      <c r="AN93" s="4"/>
      <c r="AO93" s="4"/>
      <c r="AP93" s="4"/>
      <c r="AQ93" s="4"/>
      <c r="AR93" s="4"/>
      <c r="AS93" s="4"/>
      <c r="AT93" s="4" t="str">
        <f>IFERROR(__xludf.DUMMYFUNCTION("""COMPUTED_VALUE"""),"DOI: doi.org/10.1016/j.dib.2020.105375")</f>
        <v>DOI: doi.org/10.1016/j.dib.2020.105375</v>
      </c>
      <c r="AU93" s="4"/>
      <c r="AV93" s="4"/>
      <c r="AW93" s="4"/>
      <c r="AX93" s="4">
        <f>IFERROR(__xludf.DUMMYFUNCTION("""COMPUTED_VALUE"""),4.0)</f>
        <v>4</v>
      </c>
      <c r="AY93" s="4" t="str">
        <f>IFERROR(__xludf.DUMMYFUNCTION("""COMPUTED_VALUE"""),"Data for numerical solution of Caputo’s and Riemann–Liouville’s fractional differential equations")</f>
        <v>Data for numerical solution of Caputo’s and Riemann–Liouville’s fractional differential equations</v>
      </c>
      <c r="AZ93" s="4"/>
      <c r="BA93" s="6" t="s">
        <v>156</v>
      </c>
      <c r="BB93" s="6" t="s">
        <v>45</v>
      </c>
      <c r="BC93" s="6" t="s">
        <v>56</v>
      </c>
      <c r="BD93" s="6" t="s">
        <v>157</v>
      </c>
      <c r="BE93" s="6" t="s">
        <v>45</v>
      </c>
      <c r="BF93" s="6" t="s">
        <v>56</v>
      </c>
      <c r="CQ93" s="6" t="s">
        <v>158</v>
      </c>
      <c r="CR93" s="6" t="s">
        <v>159</v>
      </c>
    </row>
    <row r="94">
      <c r="A94" s="4" t="str">
        <f>IFERROR(__xludf.DUMMYFUNCTION("""COMPUTED_VALUE"""),"Proy1")</f>
        <v>Proy1</v>
      </c>
      <c r="B94" s="4" t="str">
        <f>IFERROR(__xludf.DUMMYFUNCTION("""COMPUTED_VALUE"""),"Nuevo_Conocimiento")</f>
        <v>Nuevo_Conocimiento</v>
      </c>
      <c r="C94" s="4" t="str">
        <f>IFERROR(__xludf.DUMMYFUNCTION("""COMPUTED_VALUE"""),"Artículo A2")</f>
        <v>Artículo A2</v>
      </c>
      <c r="D94" s="4" t="str">
        <f>IFERROR(__xludf.DUMMYFUNCTION("""COMPUTED_VALUE"""),"Artículo A1")</f>
        <v>Artículo A1</v>
      </c>
      <c r="E94" s="4" t="str">
        <f>IFERROR(__xludf.DUMMYFUNCTION("""COMPUTED_VALUE"""),"Artículo A2")</f>
        <v>Artículo A2</v>
      </c>
      <c r="F94" s="4" t="str">
        <f>IFERROR(__xludf.DUMMYFUNCTION("""COMPUTED_VALUE"""),"Artículo B")</f>
        <v>Artículo B</v>
      </c>
      <c r="G94" s="4" t="str">
        <f>IFERROR(__xludf.DUMMYFUNCTION("""COMPUTED_VALUE"""),"Artículo C")</f>
        <v>Artículo C</v>
      </c>
      <c r="H94" s="4" t="str">
        <f>IFERROR(__xludf.DUMMYFUNCTION("""COMPUTED_VALUE"""),"Capítulo de libro A")</f>
        <v>Capítulo de libro A</v>
      </c>
      <c r="I94" s="4" t="str">
        <f>IFERROR(__xludf.DUMMYFUNCTION("""COMPUTED_VALUE"""),"Capítulo de libro A1")</f>
        <v>Capítulo de libro A1</v>
      </c>
      <c r="J94" s="4" t="str">
        <f>IFERROR(__xludf.DUMMYFUNCTION("""COMPUTED_VALUE"""),"Capítulo de libro B")</f>
        <v>Capítulo de libro B</v>
      </c>
      <c r="K94" s="4" t="str">
        <f>IFERROR(__xludf.DUMMYFUNCTION("""COMPUTED_VALUE"""),"Libro A")</f>
        <v>Libro A</v>
      </c>
      <c r="L94" s="4" t="str">
        <f>IFERROR(__xludf.DUMMYFUNCTION("""COMPUTED_VALUE"""),"Libro A1")</f>
        <v>Libro A1</v>
      </c>
      <c r="M94" s="4" t="str">
        <f>IFERROR(__xludf.DUMMYFUNCTION("""COMPUTED_VALUE"""),"Libro B")</f>
        <v>Libro B</v>
      </c>
      <c r="N94" s="4" t="str">
        <f>IFERROR(__xludf.DUMMYFUNCTION("""COMPUTED_VALUE"""),"Solicitud Patente de invención y-o modelo de utitlidad")</f>
        <v>Solicitud Patente de invención y-o modelo de utitlidad</v>
      </c>
      <c r="O94" s="4" t="str">
        <f>IFERROR(__xludf.DUMMYFUNCTION("""COMPUTED_VALUE"""),"Patente de invención")</f>
        <v>Patente de invención</v>
      </c>
      <c r="P94" s="4" t="str">
        <f>IFERROR(__xludf.DUMMYFUNCTION("""COMPUTED_VALUE"""),"Patente de modelo de utilidad")</f>
        <v>Patente de modelo de utilidad</v>
      </c>
      <c r="Q94" s="4" t="str">
        <f>IFERROR(__xludf.DUMMYFUNCTION("""COMPUTED_VALUE"""),"Artículo sin clasificar")</f>
        <v>Artículo sin clasificar</v>
      </c>
      <c r="R94" s="4" t="str">
        <f>IFERROR(__xludf.DUMMYFUNCTION("""COMPUTED_VALUE"""),"Capítulo sin clasificar")</f>
        <v>Capítulo sin clasificar</v>
      </c>
      <c r="S94" s="4"/>
      <c r="T94" s="4"/>
      <c r="U94" s="4" t="str">
        <f>IFERROR(__xludf.DUMMYFUNCTION("""COMPUTED_VALUE"""),"Ninguna")</f>
        <v>Ninguna</v>
      </c>
      <c r="V94" s="4"/>
      <c r="W94" s="4" t="str">
        <f>IFERROR(__xludf.DUMMYFUNCTION("""COMPUTED_VALUE"""),"Proyecto")</f>
        <v>Proyecto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 t="str">
        <f>IFERROR(__xludf.DUMMYFUNCTION("""COMPUTED_VALUE"""),"Tecnológico de Antioquia")</f>
        <v>Tecnológico de Antioquia</v>
      </c>
      <c r="AK94" s="4" t="str">
        <f>IFERROR(__xludf.DUMMYFUNCTION("""COMPUTED_VALUE"""),"Ninguna")</f>
        <v>Ninguna</v>
      </c>
      <c r="AL94" s="4"/>
      <c r="AM94" s="4" t="str">
        <f>IFERROR(__xludf.DUMMYFUNCTION("""COMPUTED_VALUE"""),"Obligatorio")</f>
        <v>Obligatorio</v>
      </c>
      <c r="AN94" s="4">
        <f>IFERROR(__xludf.DUMMYFUNCTION("""COMPUTED_VALUE"""),3.0)</f>
        <v>3</v>
      </c>
      <c r="AO94" s="4">
        <f>IFERROR(__xludf.DUMMYFUNCTION("""COMPUTED_VALUE"""),1.0)</f>
        <v>1</v>
      </c>
      <c r="AP94" s="4">
        <f>IFERROR(__xludf.DUMMYFUNCTION("""COMPUTED_VALUE"""),2.0)</f>
        <v>2</v>
      </c>
      <c r="AQ94" s="4">
        <f>IFERROR(__xludf.DUMMYFUNCTION("""COMPUTED_VALUE"""),1.0)</f>
        <v>1</v>
      </c>
      <c r="AR94" s="4">
        <f>IFERROR(__xludf.DUMMYFUNCTION("""COMPUTED_VALUE"""),2.0)</f>
        <v>2</v>
      </c>
      <c r="AS94" s="4">
        <f>IFERROR(__xludf.DUMMYFUNCTION("""COMPUTED_VALUE"""),1.0)</f>
        <v>1</v>
      </c>
      <c r="AT94" s="4" t="str">
        <f>IFERROR(__xludf.DUMMYFUNCTION("""COMPUTED_VALUE"""),"doi: doi.org/10.15282/jmes.13.4.2019.21.04")</f>
        <v>doi: doi.org/10.15282/jmes.13.4.2019.21.04</v>
      </c>
      <c r="AU94" s="5" t="str">
        <f>IFERROR(__xludf.DUMMYFUNCTION("""COMPUTED_VALUE"""),"https://drive.google.com/open?id=1fzABheyKGjcUHZZeep37nTuZMPb-niC9")</f>
        <v>https://drive.google.com/open?id=1fzABheyKGjcUHZZeep37nTuZMPb-niC9</v>
      </c>
      <c r="AV94" s="4"/>
      <c r="AW94" s="4"/>
      <c r="AX94" s="4">
        <f>IFERROR(__xludf.DUMMYFUNCTION("""COMPUTED_VALUE"""),3.0)</f>
        <v>3</v>
      </c>
      <c r="AY94" s="4" t="str">
        <f>IFERROR(__xludf.DUMMYFUNCTION("""COMPUTED_VALUE"""),"Design and numerical analysis of an efficient H-Darrieus vertical-axis hydrokinetic turbine")</f>
        <v>Design and numerical analysis of an efficient H-Darrieus vertical-axis hydrokinetic turbine</v>
      </c>
      <c r="AZ94" s="4" t="str">
        <f>IFERROR(__xludf.DUMMYFUNCTION("""COMPUTED_VALUE"""),"Informe 3")</f>
        <v>Informe 3</v>
      </c>
      <c r="BA94" s="6" t="s">
        <v>160</v>
      </c>
      <c r="BB94" s="6" t="s">
        <v>45</v>
      </c>
      <c r="BD94" s="11" t="s">
        <v>63</v>
      </c>
      <c r="BE94" s="6" t="s">
        <v>45</v>
      </c>
      <c r="BG94" s="6" t="s">
        <v>161</v>
      </c>
      <c r="BH94" s="6" t="s">
        <v>45</v>
      </c>
      <c r="CQ94" s="6" t="s">
        <v>162</v>
      </c>
    </row>
    <row r="95">
      <c r="A95" s="4" t="str">
        <f>IFERROR(__xludf.DUMMYFUNCTION("""COMPUTED_VALUE"""),"Proy12")</f>
        <v>Proy12</v>
      </c>
      <c r="B95" s="4" t="str">
        <f>IFERROR(__xludf.DUMMYFUNCTION("""COMPUTED_VALUE"""),"Nuevo_Conocimiento")</f>
        <v>Nuevo_Conocimiento</v>
      </c>
      <c r="C95" s="4" t="str">
        <f>IFERROR(__xludf.DUMMYFUNCTION("""COMPUTED_VALUE"""),"Artículo A1")</f>
        <v>Artículo A1</v>
      </c>
      <c r="D95" s="4" t="str">
        <f>IFERROR(__xludf.DUMMYFUNCTION("""COMPUTED_VALUE"""),"Artículo A1")</f>
        <v>Artículo A1</v>
      </c>
      <c r="E95" s="4" t="str">
        <f>IFERROR(__xludf.DUMMYFUNCTION("""COMPUTED_VALUE"""),"Artículo A2")</f>
        <v>Artículo A2</v>
      </c>
      <c r="F95" s="4" t="str">
        <f>IFERROR(__xludf.DUMMYFUNCTION("""COMPUTED_VALUE"""),"Artículo B")</f>
        <v>Artículo B</v>
      </c>
      <c r="G95" s="4" t="str">
        <f>IFERROR(__xludf.DUMMYFUNCTION("""COMPUTED_VALUE"""),"Artículo C")</f>
        <v>Artículo C</v>
      </c>
      <c r="H95" s="4" t="str">
        <f>IFERROR(__xludf.DUMMYFUNCTION("""COMPUTED_VALUE"""),"Capítulo de libro A")</f>
        <v>Capítulo de libro A</v>
      </c>
      <c r="I95" s="4" t="str">
        <f>IFERROR(__xludf.DUMMYFUNCTION("""COMPUTED_VALUE"""),"Capítulo de libro A1")</f>
        <v>Capítulo de libro A1</v>
      </c>
      <c r="J95" s="4" t="str">
        <f>IFERROR(__xludf.DUMMYFUNCTION("""COMPUTED_VALUE"""),"Capítulo de libro B")</f>
        <v>Capítulo de libro B</v>
      </c>
      <c r="K95" s="4" t="str">
        <f>IFERROR(__xludf.DUMMYFUNCTION("""COMPUTED_VALUE"""),"Libro A")</f>
        <v>Libro A</v>
      </c>
      <c r="L95" s="4" t="str">
        <f>IFERROR(__xludf.DUMMYFUNCTION("""COMPUTED_VALUE"""),"Libro A1")</f>
        <v>Libro A1</v>
      </c>
      <c r="M95" s="4" t="str">
        <f>IFERROR(__xludf.DUMMYFUNCTION("""COMPUTED_VALUE"""),"Libro B")</f>
        <v>Libro B</v>
      </c>
      <c r="N95" s="4" t="str">
        <f>IFERROR(__xludf.DUMMYFUNCTION("""COMPUTED_VALUE"""),"Solicitud Patente de invención y-o modelo de utitlidad")</f>
        <v>Solicitud Patente de invención y-o modelo de utitlidad</v>
      </c>
      <c r="O95" s="4" t="str">
        <f>IFERROR(__xludf.DUMMYFUNCTION("""COMPUTED_VALUE"""),"Patente de invención")</f>
        <v>Patente de invención</v>
      </c>
      <c r="P95" s="4" t="str">
        <f>IFERROR(__xludf.DUMMYFUNCTION("""COMPUTED_VALUE"""),"Patente de modelo de utilidad")</f>
        <v>Patente de modelo de utilidad</v>
      </c>
      <c r="Q95" s="4" t="str">
        <f>IFERROR(__xludf.DUMMYFUNCTION("""COMPUTED_VALUE"""),"Artículo sin clasificar")</f>
        <v>Artículo sin clasificar</v>
      </c>
      <c r="R95" s="4" t="str">
        <f>IFERROR(__xludf.DUMMYFUNCTION("""COMPUTED_VALUE"""),"Capítulo sin clasificar")</f>
        <v>Capítulo sin clasificar</v>
      </c>
      <c r="S95" s="4"/>
      <c r="T95" s="4"/>
      <c r="U95" s="4" t="str">
        <f>IFERROR(__xludf.DUMMYFUNCTION("""COMPUTED_VALUE"""),"Otros actores")</f>
        <v>Otros actores</v>
      </c>
      <c r="V95" s="4" t="str">
        <f>IFERROR(__xludf.DUMMYFUNCTION("""COMPUTED_VALUE"""),"Universidad de Utah")</f>
        <v>Universidad de Utah</v>
      </c>
      <c r="W95" s="4" t="str">
        <f>IFERROR(__xludf.DUMMYFUNCTION("""COMPUTED_VALUE"""),"Proyecto")</f>
        <v>Proyecto</v>
      </c>
      <c r="X95" s="4" t="str">
        <f>IFERROR(__xludf.DUMMYFUNCTION("""COMPUTED_VALUE"""),"UdeA")</f>
        <v>UdeA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 t="str">
        <f>IFERROR(__xludf.DUMMYFUNCTION("""COMPUTED_VALUE"""),"Ninguna")</f>
        <v>Ninguna</v>
      </c>
      <c r="AL95" s="4"/>
      <c r="AM95" s="4" t="str">
        <f>IFERROR(__xludf.DUMMYFUNCTION("""COMPUTED_VALUE"""),"Obligatorio")</f>
        <v>Obligatorio</v>
      </c>
      <c r="AN95" s="4">
        <f>IFERROR(__xludf.DUMMYFUNCTION("""COMPUTED_VALUE"""),6.0)</f>
        <v>6</v>
      </c>
      <c r="AO95" s="4">
        <f>IFERROR(__xludf.DUMMYFUNCTION("""COMPUTED_VALUE"""),1.0)</f>
        <v>1</v>
      </c>
      <c r="AP95" s="4">
        <f>IFERROR(__xludf.DUMMYFUNCTION("""COMPUTED_VALUE"""),3.0)</f>
        <v>3</v>
      </c>
      <c r="AQ95" s="4">
        <f>IFERROR(__xludf.DUMMYFUNCTION("""COMPUTED_VALUE"""),1.0)</f>
        <v>1</v>
      </c>
      <c r="AR95" s="4">
        <f>IFERROR(__xludf.DUMMYFUNCTION("""COMPUTED_VALUE"""),2.0)</f>
        <v>2</v>
      </c>
      <c r="AS95" s="4">
        <f>IFERROR(__xludf.DUMMYFUNCTION("""COMPUTED_VALUE"""),2.0)</f>
        <v>2</v>
      </c>
      <c r="AT95" s="5" t="str">
        <f>IFERROR(__xludf.DUMMYFUNCTION("""COMPUTED_VALUE"""),"doi.org/10.1016/j.combustflame.2019.12.018")</f>
        <v>doi.org/10.1016/j.combustflame.2019.12.018</v>
      </c>
      <c r="AU95" s="5" t="str">
        <f>IFERROR(__xludf.DUMMYFUNCTION("""COMPUTED_VALUE"""),"https://drive.google.com/open?id=1Er_YNnAakoeyraaCREE0B5RwHCz5DE6A")</f>
        <v>https://drive.google.com/open?id=1Er_YNnAakoeyraaCREE0B5RwHCz5DE6A</v>
      </c>
      <c r="AV95" s="4"/>
      <c r="AW95" s="4"/>
      <c r="AX95" s="4">
        <f>IFERROR(__xludf.DUMMYFUNCTION("""COMPUTED_VALUE"""),4.0)</f>
        <v>4</v>
      </c>
      <c r="AY95" s="4" t="str">
        <f>IFERROR(__xludf.DUMMYFUNCTION("""COMPUTED_VALUE"""),"Characterization of renewable diesel particulate matter gathered from non-premixed and partially premixed flame burners and from a diesel engine")</f>
        <v>Characterization of renewable diesel particulate matter gathered from non-premixed and partially premixed flame burners and from a diesel engine</v>
      </c>
      <c r="AZ95" s="4"/>
      <c r="BA95" s="6" t="s">
        <v>163</v>
      </c>
      <c r="BB95" s="6" t="s">
        <v>45</v>
      </c>
      <c r="BC95" s="6" t="s">
        <v>65</v>
      </c>
      <c r="BD95" s="6" t="s">
        <v>164</v>
      </c>
      <c r="BE95" s="6" t="s">
        <v>45</v>
      </c>
      <c r="BF95" s="6" t="s">
        <v>65</v>
      </c>
      <c r="BG95" s="6" t="s">
        <v>165</v>
      </c>
      <c r="BH95" s="6" t="s">
        <v>166</v>
      </c>
      <c r="BJ95" s="6" t="s">
        <v>167</v>
      </c>
      <c r="BK95" s="6" t="s">
        <v>166</v>
      </c>
      <c r="BM95" s="6" t="s">
        <v>168</v>
      </c>
      <c r="BN95" s="6" t="s">
        <v>166</v>
      </c>
      <c r="BP95" s="6" t="s">
        <v>48</v>
      </c>
      <c r="BQ95" s="6" t="s">
        <v>45</v>
      </c>
      <c r="BR95" s="6" t="s">
        <v>65</v>
      </c>
      <c r="CQ95" s="6" t="s">
        <v>169</v>
      </c>
      <c r="CR95" s="6">
        <v>4.12</v>
      </c>
    </row>
    <row r="96">
      <c r="A96" s="4" t="str">
        <f>IFERROR(__xludf.DUMMYFUNCTION("""COMPUTED_VALUE"""),"Proy8")</f>
        <v>Proy8</v>
      </c>
      <c r="B96" s="4" t="str">
        <f>IFERROR(__xludf.DUMMYFUNCTION("""COMPUTED_VALUE"""),"Nuevo_Conocimiento")</f>
        <v>Nuevo_Conocimiento</v>
      </c>
      <c r="C96" s="4" t="str">
        <f>IFERROR(__xludf.DUMMYFUNCTION("""COMPUTED_VALUE"""),"Artículo B")</f>
        <v>Artículo B</v>
      </c>
      <c r="D96" s="4" t="str">
        <f>IFERROR(__xludf.DUMMYFUNCTION("""COMPUTED_VALUE"""),"Artículo A1")</f>
        <v>Artículo A1</v>
      </c>
      <c r="E96" s="4" t="str">
        <f>IFERROR(__xludf.DUMMYFUNCTION("""COMPUTED_VALUE"""),"Artículo A2")</f>
        <v>Artículo A2</v>
      </c>
      <c r="F96" s="4" t="str">
        <f>IFERROR(__xludf.DUMMYFUNCTION("""COMPUTED_VALUE"""),"Artículo B")</f>
        <v>Artículo B</v>
      </c>
      <c r="G96" s="4" t="str">
        <f>IFERROR(__xludf.DUMMYFUNCTION("""COMPUTED_VALUE"""),"Artículo C")</f>
        <v>Artículo C</v>
      </c>
      <c r="H96" s="4" t="str">
        <f>IFERROR(__xludf.DUMMYFUNCTION("""COMPUTED_VALUE"""),"Capítulo de libro A")</f>
        <v>Capítulo de libro A</v>
      </c>
      <c r="I96" s="4" t="str">
        <f>IFERROR(__xludf.DUMMYFUNCTION("""COMPUTED_VALUE"""),"Capítulo de libro A1")</f>
        <v>Capítulo de libro A1</v>
      </c>
      <c r="J96" s="4" t="str">
        <f>IFERROR(__xludf.DUMMYFUNCTION("""COMPUTED_VALUE"""),"Capítulo de libro B")</f>
        <v>Capítulo de libro B</v>
      </c>
      <c r="K96" s="4" t="str">
        <f>IFERROR(__xludf.DUMMYFUNCTION("""COMPUTED_VALUE"""),"Libro A")</f>
        <v>Libro A</v>
      </c>
      <c r="L96" s="4" t="str">
        <f>IFERROR(__xludf.DUMMYFUNCTION("""COMPUTED_VALUE"""),"Libro A1")</f>
        <v>Libro A1</v>
      </c>
      <c r="M96" s="4" t="str">
        <f>IFERROR(__xludf.DUMMYFUNCTION("""COMPUTED_VALUE"""),"Libro B")</f>
        <v>Libro B</v>
      </c>
      <c r="N96" s="4" t="str">
        <f>IFERROR(__xludf.DUMMYFUNCTION("""COMPUTED_VALUE"""),"Solicitud Patente de invención y-o modelo de utitlidad")</f>
        <v>Solicitud Patente de invención y-o modelo de utitlidad</v>
      </c>
      <c r="O96" s="4" t="str">
        <f>IFERROR(__xludf.DUMMYFUNCTION("""COMPUTED_VALUE"""),"Patente de invención")</f>
        <v>Patente de invención</v>
      </c>
      <c r="P96" s="4" t="str">
        <f>IFERROR(__xludf.DUMMYFUNCTION("""COMPUTED_VALUE"""),"Patente de modelo de utilidad")</f>
        <v>Patente de modelo de utilidad</v>
      </c>
      <c r="Q96" s="4" t="str">
        <f>IFERROR(__xludf.DUMMYFUNCTION("""COMPUTED_VALUE"""),"Artículo sin clasificar")</f>
        <v>Artículo sin clasificar</v>
      </c>
      <c r="R96" s="4" t="str">
        <f>IFERROR(__xludf.DUMMYFUNCTION("""COMPUTED_VALUE"""),"Capítulo sin clasificar")</f>
        <v>Capítulo sin clasificar</v>
      </c>
      <c r="S96" s="4"/>
      <c r="T96" s="4"/>
      <c r="U96" s="4" t="str">
        <f>IFERROR(__xludf.DUMMYFUNCTION("""COMPUTED_VALUE"""),"Ninguna")</f>
        <v>Ninguna</v>
      </c>
      <c r="V96" s="4"/>
      <c r="W96" s="4" t="str">
        <f>IFERROR(__xludf.DUMMYFUNCTION("""COMPUTED_VALUE"""),"Proyecto")</f>
        <v>Proyecto</v>
      </c>
      <c r="X96" s="4" t="str">
        <f>IFERROR(__xludf.DUMMYFUNCTION("""COMPUTED_VALUE"""),"UdeA")</f>
        <v>UdeA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 t="str">
        <f>IFERROR(__xludf.DUMMYFUNCTION("""COMPUTED_VALUE"""),"Ninguna")</f>
        <v>Ninguna</v>
      </c>
      <c r="AL96" s="4"/>
      <c r="AM96" s="4" t="str">
        <f>IFERROR(__xludf.DUMMYFUNCTION("""COMPUTED_VALUE"""),"Adicional")</f>
        <v>Adicional</v>
      </c>
      <c r="AN96" s="4">
        <f>IFERROR(__xludf.DUMMYFUNCTION("""COMPUTED_VALUE"""),3.0)</f>
        <v>3</v>
      </c>
      <c r="AO96" s="4">
        <f>IFERROR(__xludf.DUMMYFUNCTION("""COMPUTED_VALUE"""),1.0)</f>
        <v>1</v>
      </c>
      <c r="AP96" s="4">
        <f>IFERROR(__xludf.DUMMYFUNCTION("""COMPUTED_VALUE"""),1.0)</f>
        <v>1</v>
      </c>
      <c r="AQ96" s="4">
        <f>IFERROR(__xludf.DUMMYFUNCTION("""COMPUTED_VALUE"""),1.0)</f>
        <v>1</v>
      </c>
      <c r="AR96" s="4">
        <f>IFERROR(__xludf.DUMMYFUNCTION("""COMPUTED_VALUE"""),1.0)</f>
        <v>1</v>
      </c>
      <c r="AS96" s="4">
        <f>IFERROR(__xludf.DUMMYFUNCTION("""COMPUTED_VALUE"""),1.0)</f>
        <v>1</v>
      </c>
      <c r="AT96" s="5" t="str">
        <f>IFERROR(__xludf.DUMMYFUNCTION("""COMPUTED_VALUE"""),"dx.doi.org/10.4067/S0718-07642020000100215")</f>
        <v>dx.doi.org/10.4067/S0718-07642020000100215</v>
      </c>
      <c r="AU96" s="5" t="str">
        <f>IFERROR(__xludf.DUMMYFUNCTION("""COMPUTED_VALUE"""),"https://drive.google.com/open?id=1h-q2xG79UGR36oY3CkZY091uoMmVsgEi")</f>
        <v>https://drive.google.com/open?id=1h-q2xG79UGR36oY3CkZY091uoMmVsgEi</v>
      </c>
      <c r="AV96" s="4"/>
      <c r="AW96" s="4"/>
      <c r="AX96" s="4">
        <f>IFERROR(__xludf.DUMMYFUNCTION("""COMPUTED_VALUE"""),4.0)</f>
        <v>4</v>
      </c>
      <c r="AY96" s="4" t="str">
        <f>IFERROR(__xludf.DUMMYFUNCTION("""COMPUTED_VALUE"""),"Evaluación de técnicas de pretratamiento en buchón de agua (Eichhornia crassipes) para la producción de bioetanol")</f>
        <v>Evaluación de técnicas de pretratamiento en buchón de agua (Eichhornia crassipes) para la producción de bioetanol</v>
      </c>
      <c r="AZ96" s="4"/>
      <c r="BA96" s="6" t="s">
        <v>170</v>
      </c>
      <c r="BB96" s="6" t="s">
        <v>45</v>
      </c>
      <c r="BC96" s="6" t="s">
        <v>65</v>
      </c>
      <c r="BD96" s="6" t="s">
        <v>171</v>
      </c>
      <c r="BE96" s="6" t="s">
        <v>45</v>
      </c>
      <c r="BF96" s="7" t="s">
        <v>65</v>
      </c>
      <c r="BG96" s="6" t="s">
        <v>172</v>
      </c>
      <c r="BH96" s="6" t="s">
        <v>45</v>
      </c>
      <c r="BI96" s="7" t="s">
        <v>65</v>
      </c>
      <c r="CQ96" s="6" t="s">
        <v>173</v>
      </c>
    </row>
    <row r="97">
      <c r="A97" s="4" t="str">
        <f>IFERROR(__xludf.DUMMYFUNCTION("""COMPUTED_VALUE"""),"Proy10")</f>
        <v>Proy10</v>
      </c>
      <c r="B97" s="4" t="str">
        <f>IFERROR(__xludf.DUMMYFUNCTION("""COMPUTED_VALUE"""),"Nuevo_Conocimiento")</f>
        <v>Nuevo_Conocimiento</v>
      </c>
      <c r="C97" s="4" t="str">
        <f>IFERROR(__xludf.DUMMYFUNCTION("""COMPUTED_VALUE"""),"Artículo A1")</f>
        <v>Artículo A1</v>
      </c>
      <c r="D97" s="4" t="str">
        <f>IFERROR(__xludf.DUMMYFUNCTION("""COMPUTED_VALUE"""),"Artículo A1")</f>
        <v>Artículo A1</v>
      </c>
      <c r="E97" s="4" t="str">
        <f>IFERROR(__xludf.DUMMYFUNCTION("""COMPUTED_VALUE"""),"Artículo A2")</f>
        <v>Artículo A2</v>
      </c>
      <c r="F97" s="4" t="str">
        <f>IFERROR(__xludf.DUMMYFUNCTION("""COMPUTED_VALUE"""),"Artículo B")</f>
        <v>Artículo B</v>
      </c>
      <c r="G97" s="4" t="str">
        <f>IFERROR(__xludf.DUMMYFUNCTION("""COMPUTED_VALUE"""),"Artículo C")</f>
        <v>Artículo C</v>
      </c>
      <c r="H97" s="4" t="str">
        <f>IFERROR(__xludf.DUMMYFUNCTION("""COMPUTED_VALUE"""),"Capítulo de libro A")</f>
        <v>Capítulo de libro A</v>
      </c>
      <c r="I97" s="4" t="str">
        <f>IFERROR(__xludf.DUMMYFUNCTION("""COMPUTED_VALUE"""),"Capítulo de libro A1")</f>
        <v>Capítulo de libro A1</v>
      </c>
      <c r="J97" s="4" t="str">
        <f>IFERROR(__xludf.DUMMYFUNCTION("""COMPUTED_VALUE"""),"Capítulo de libro B")</f>
        <v>Capítulo de libro B</v>
      </c>
      <c r="K97" s="4" t="str">
        <f>IFERROR(__xludf.DUMMYFUNCTION("""COMPUTED_VALUE"""),"Libro A")</f>
        <v>Libro A</v>
      </c>
      <c r="L97" s="4" t="str">
        <f>IFERROR(__xludf.DUMMYFUNCTION("""COMPUTED_VALUE"""),"Libro A1")</f>
        <v>Libro A1</v>
      </c>
      <c r="M97" s="4" t="str">
        <f>IFERROR(__xludf.DUMMYFUNCTION("""COMPUTED_VALUE"""),"Libro B")</f>
        <v>Libro B</v>
      </c>
      <c r="N97" s="4" t="str">
        <f>IFERROR(__xludf.DUMMYFUNCTION("""COMPUTED_VALUE"""),"Solicitud Patente de invención y-o modelo de utitlidad")</f>
        <v>Solicitud Patente de invención y-o modelo de utitlidad</v>
      </c>
      <c r="O97" s="4" t="str">
        <f>IFERROR(__xludf.DUMMYFUNCTION("""COMPUTED_VALUE"""),"Patente de invención")</f>
        <v>Patente de invención</v>
      </c>
      <c r="P97" s="4" t="str">
        <f>IFERROR(__xludf.DUMMYFUNCTION("""COMPUTED_VALUE"""),"Patente de modelo de utilidad")</f>
        <v>Patente de modelo de utilidad</v>
      </c>
      <c r="Q97" s="4" t="str">
        <f>IFERROR(__xludf.DUMMYFUNCTION("""COMPUTED_VALUE"""),"Artículo sin clasificar")</f>
        <v>Artículo sin clasificar</v>
      </c>
      <c r="R97" s="4" t="str">
        <f>IFERROR(__xludf.DUMMYFUNCTION("""COMPUTED_VALUE"""),"Capítulo sin clasificar")</f>
        <v>Capítulo sin clasificar</v>
      </c>
      <c r="S97" s="4"/>
      <c r="T97" s="4"/>
      <c r="U97" s="4" t="str">
        <f>IFERROR(__xludf.DUMMYFUNCTION("""COMPUTED_VALUE"""),"Ninguna")</f>
        <v>Ninguna</v>
      </c>
      <c r="V97" s="4"/>
      <c r="W97" s="4" t="str">
        <f>IFERROR(__xludf.DUMMYFUNCTION("""COMPUTED_VALUE"""),"Proyecto")</f>
        <v>Proyecto</v>
      </c>
      <c r="X97" s="4" t="str">
        <f>IFERROR(__xludf.DUMMYFUNCTION("""COMPUTED_VALUE"""),"UdeA")</f>
        <v>UdeA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 t="str">
        <f>IFERROR(__xludf.DUMMYFUNCTION("""COMPUTED_VALUE"""),"Ninguna")</f>
        <v>Ninguna</v>
      </c>
      <c r="AL97" s="4"/>
      <c r="AM97" s="4" t="str">
        <f>IFERROR(__xludf.DUMMYFUNCTION("""COMPUTED_VALUE"""),"Obligatorio")</f>
        <v>Obligatorio</v>
      </c>
      <c r="AN97" s="4">
        <f>IFERROR(__xludf.DUMMYFUNCTION("""COMPUTED_VALUE"""),3.0)</f>
        <v>3</v>
      </c>
      <c r="AO97" s="4">
        <f>IFERROR(__xludf.DUMMYFUNCTION("""COMPUTED_VALUE"""),1.0)</f>
        <v>1</v>
      </c>
      <c r="AP97" s="4">
        <f>IFERROR(__xludf.DUMMYFUNCTION("""COMPUTED_VALUE"""),1.0)</f>
        <v>1</v>
      </c>
      <c r="AQ97" s="4">
        <f>IFERROR(__xludf.DUMMYFUNCTION("""COMPUTED_VALUE"""),1.0)</f>
        <v>1</v>
      </c>
      <c r="AR97" s="4">
        <f>IFERROR(__xludf.DUMMYFUNCTION("""COMPUTED_VALUE"""),1.0)</f>
        <v>1</v>
      </c>
      <c r="AS97" s="4">
        <f>IFERROR(__xludf.DUMMYFUNCTION("""COMPUTED_VALUE"""),1.0)</f>
        <v>1</v>
      </c>
      <c r="AT97" s="4" t="str">
        <f>IFERROR(__xludf.DUMMYFUNCTION("""COMPUTED_VALUE"""),"Journal of Thermal Science and Engineering Applications
DOI: 10.1115/1.4045021")</f>
        <v>Journal of Thermal Science and Engineering Applications
DOI: 10.1115/1.4045021</v>
      </c>
      <c r="AU97" s="4"/>
      <c r="AV97" s="4"/>
      <c r="AW97" s="4"/>
      <c r="AX97" s="4">
        <f>IFERROR(__xludf.DUMMYFUNCTION("""COMPUTED_VALUE"""),4.0)</f>
        <v>4</v>
      </c>
      <c r="AY97" s="4" t="str">
        <f>IFERROR(__xludf.DUMMYFUNCTION("""COMPUTED_VALUE"""),"A Numerical Analysis of the Effect of Atmospheric Pressure on the Performance of a Heating System With a Self-Recuperative Burner")</f>
        <v>A Numerical Analysis of the Effect of Atmospheric Pressure on the Performance of a Heating System With a Self-Recuperative Burner</v>
      </c>
      <c r="AZ97" s="4"/>
      <c r="BA97" s="6" t="s">
        <v>174</v>
      </c>
      <c r="BB97" s="6" t="s">
        <v>45</v>
      </c>
      <c r="BC97" s="6" t="s">
        <v>175</v>
      </c>
      <c r="BD97" s="6" t="s">
        <v>176</v>
      </c>
      <c r="BE97" s="6" t="s">
        <v>45</v>
      </c>
      <c r="BF97" s="6" t="s">
        <v>175</v>
      </c>
      <c r="BG97" s="6" t="s">
        <v>177</v>
      </c>
      <c r="BH97" s="6" t="s">
        <v>45</v>
      </c>
      <c r="BI97" s="6" t="s">
        <v>175</v>
      </c>
      <c r="CQ97" s="6" t="s">
        <v>178</v>
      </c>
      <c r="CR97" s="6">
        <v>1.1</v>
      </c>
    </row>
    <row r="98">
      <c r="A98" s="4" t="str">
        <f>IFERROR(__xludf.DUMMYFUNCTION("""COMPUTED_VALUE"""),"Proy14")</f>
        <v>Proy14</v>
      </c>
      <c r="B98" s="4" t="str">
        <f>IFERROR(__xludf.DUMMYFUNCTION("""COMPUTED_VALUE"""),"Formación_RH")</f>
        <v>Formación_RH</v>
      </c>
      <c r="C98" s="4" t="str">
        <f>IFERROR(__xludf.DUMMYFUNCTION("""COMPUTED_VALUE"""),"Vinculación de estudiante de doctorado")</f>
        <v>Vinculación de estudiante de doctorado</v>
      </c>
      <c r="D98" s="4" t="str">
        <f>IFERROR(__xludf.DUMMYFUNCTION("""COMPUTED_VALUE"""),"Vinculación de estudiante de doctorado")</f>
        <v>Vinculación de estudiante de doctorado</v>
      </c>
      <c r="E98" s="4" t="str">
        <f>IFERROR(__xludf.DUMMYFUNCTION("""COMPUTED_VALUE"""),"Formación de estudiante de doctorado")</f>
        <v>Formación de estudiante de doctorado</v>
      </c>
      <c r="F98" s="4" t="str">
        <f>IFERROR(__xludf.DUMMYFUNCTION("""COMPUTED_VALUE"""),"Vinculación de estudiante de maestría")</f>
        <v>Vinculación de estudiante de maestría</v>
      </c>
      <c r="G98" s="4" t="str">
        <f>IFERROR(__xludf.DUMMYFUNCTION("""COMPUTED_VALUE"""),"Formación de estudiante de maestría")</f>
        <v>Formación de estudiante de maestría</v>
      </c>
      <c r="H98" s="4" t="str">
        <f>IFERROR(__xludf.DUMMYFUNCTION("""COMPUTED_VALUE"""),"Vinculación de estudiante de pregrado")</f>
        <v>Vinculación de estudiante de pregrado</v>
      </c>
      <c r="I98" s="4" t="str">
        <f>IFERROR(__xludf.DUMMYFUNCTION("""COMPUTED_VALUE"""),"Formación de estudiante de pregrado")</f>
        <v>Formación de estudiante de pregrado</v>
      </c>
      <c r="J98" s="4" t="str">
        <f>IFERROR(__xludf.DUMMYFUNCTION("""COMPUTED_VALUE"""),"Joven investigador")</f>
        <v>Joven investigador</v>
      </c>
      <c r="K98" s="4" t="str">
        <f>IFERROR(__xludf.DUMMYFUNCTION("""COMPUTED_VALUE"""),"Pasantía nacional")</f>
        <v>Pasantía nacional</v>
      </c>
      <c r="L98" s="4" t="str">
        <f>IFERROR(__xludf.DUMMYFUNCTION("""COMPUTED_VALUE"""),"Pasantía internacional")</f>
        <v>Pasantía internacional</v>
      </c>
      <c r="M98" s="4"/>
      <c r="N98" s="4"/>
      <c r="O98" s="4"/>
      <c r="P98" s="4"/>
      <c r="Q98" s="4"/>
      <c r="R98" s="4"/>
      <c r="S98" s="4"/>
      <c r="T98" s="4"/>
      <c r="U98" s="4" t="str">
        <f>IFERROR(__xludf.DUMMYFUNCTION("""COMPUTED_VALUE"""),"Ninguna")</f>
        <v>Ninguna</v>
      </c>
      <c r="V98" s="4"/>
      <c r="W98" s="4" t="str">
        <f>IFERROR(__xludf.DUMMYFUNCTION("""COMPUTED_VALUE"""),"Proyecto")</f>
        <v>Proyecto</v>
      </c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 t="str">
        <f>IFERROR(__xludf.DUMMYFUNCTION("""COMPUTED_VALUE"""),"Obligatorio")</f>
        <v>Obligatorio</v>
      </c>
      <c r="AN98" s="4"/>
      <c r="AO98" s="4"/>
      <c r="AP98" s="4"/>
      <c r="AQ98" s="4"/>
      <c r="AR98" s="4"/>
      <c r="AS98" s="4"/>
      <c r="AT98" s="4" t="str">
        <f>IFERROR(__xludf.DUMMYFUNCTION("""COMPUTED_VALUE"""),"John Barco")</f>
        <v>John Barco</v>
      </c>
      <c r="AU98" s="4"/>
      <c r="AV98" s="4"/>
      <c r="AW98" s="4" t="str">
        <f>IFERROR(__xludf.DUMMYFUNCTION("""COMPUTED_VALUE"""),"En Curso")</f>
        <v>En Curso</v>
      </c>
      <c r="AX98" s="4">
        <f>IFERROR(__xludf.DUMMYFUNCTION("""COMPUTED_VALUE"""),3.0)</f>
        <v>3</v>
      </c>
      <c r="AY98" s="4" t="str">
        <f>IFERROR(__xludf.DUMMYFUNCTION("""COMPUTED_VALUE"""),"DOCTORADO EN INGENIERÍA - UniValle (Cotutela con U. Nariño)")</f>
        <v>DOCTORADO EN INGENIERÍA - UniValle (Cotutela con U. Nariño)</v>
      </c>
      <c r="AZ98" s="4"/>
    </row>
    <row r="99">
      <c r="A99" s="4" t="str">
        <f>IFERROR(__xludf.DUMMYFUNCTION("""COMPUTED_VALUE"""),"Proy14")</f>
        <v>Proy14</v>
      </c>
      <c r="B99" s="4" t="str">
        <f>IFERROR(__xludf.DUMMYFUNCTION("""COMPUTED_VALUE"""),"Docencia")</f>
        <v>Docencia</v>
      </c>
      <c r="C99" s="4" t="str">
        <f>IFERROR(__xludf.DUMMYFUNCTION("""COMPUTED_VALUE"""),"Creación de cursos de Doctorado")</f>
        <v>Creación de cursos de Doctorado</v>
      </c>
      <c r="D99" s="4" t="str">
        <f>IFERROR(__xludf.DUMMYFUNCTION("""COMPUTED_VALUE"""),"Creación de cursos de Maestría")</f>
        <v>Creación de cursos de Maestría</v>
      </c>
      <c r="E99" s="4" t="str">
        <f>IFERROR(__xludf.DUMMYFUNCTION("""COMPUTED_VALUE"""),"Creación de cursos de pregrado")</f>
        <v>Creación de cursos de pregrado</v>
      </c>
      <c r="F99" s="4" t="str">
        <f>IFERROR(__xludf.DUMMYFUNCTION("""COMPUTED_VALUE"""),"Creación de maestría")</f>
        <v>Creación de maestría</v>
      </c>
      <c r="G99" s="4" t="str">
        <f>IFERROR(__xludf.DUMMYFUNCTION("""COMPUTED_VALUE"""),"Creación de doctorado")</f>
        <v>Creación de doctorado</v>
      </c>
      <c r="H99" s="4" t="str">
        <f>IFERROR(__xludf.DUMMYFUNCTION("""COMPUTED_VALUE"""),"Creación de cursos de Doctorado")</f>
        <v>Creación de cursos de Doctorado</v>
      </c>
      <c r="I99" s="4" t="str">
        <f>IFERROR(__xludf.DUMMYFUNCTION("""COMPUTED_VALUE"""),"Autoevaluación de programa de pregrado")</f>
        <v>Autoevaluación de programa de pregrado</v>
      </c>
      <c r="J99" s="4" t="str">
        <f>IFERROR(__xludf.DUMMYFUNCTION("""COMPUTED_VALUE"""),"Autoevaluación de programa de maestría")</f>
        <v>Autoevaluación de programa de maestría</v>
      </c>
      <c r="K99" s="4" t="str">
        <f>IFERROR(__xludf.DUMMYFUNCTION("""COMPUTED_VALUE"""),"Autoevaluación de programa de doctorado")</f>
        <v>Autoevaluación de programa de doctorado</v>
      </c>
      <c r="L99" s="4" t="str">
        <f>IFERROR(__xludf.DUMMYFUNCTION("""COMPUTED_VALUE"""),"Autoevaluación de universidad")</f>
        <v>Autoevaluación de universidad</v>
      </c>
      <c r="M99" s="4"/>
      <c r="N99" s="4"/>
      <c r="O99" s="4"/>
      <c r="P99" s="4"/>
      <c r="Q99" s="4"/>
      <c r="R99" s="4"/>
      <c r="S99" s="4"/>
      <c r="T99" s="4"/>
      <c r="U99" s="4" t="str">
        <f>IFERROR(__xludf.DUMMYFUNCTION("""COMPUTED_VALUE"""),"Ninguna")</f>
        <v>Ninguna</v>
      </c>
      <c r="V99" s="4"/>
      <c r="W99" s="4" t="str">
        <f>IFERROR(__xludf.DUMMYFUNCTION("""COMPUTED_VALUE"""),"Proyecto")</f>
        <v>Proyecto</v>
      </c>
      <c r="X99" s="4" t="str">
        <f>IFERROR(__xludf.DUMMYFUNCTION("""COMPUTED_VALUE"""),"UniValle, UniNariño")</f>
        <v>UniValle, UniNariño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 t="str">
        <f>IFERROR(__xludf.DUMMYFUNCTION("""COMPUTED_VALUE"""),"Obligatorio")</f>
        <v>Obligatorio</v>
      </c>
      <c r="AN99" s="4"/>
      <c r="AO99" s="4"/>
      <c r="AP99" s="4"/>
      <c r="AQ99" s="4"/>
      <c r="AR99" s="4"/>
      <c r="AS99" s="4"/>
      <c r="AT99" s="4" t="str">
        <f>IFERROR(__xludf.DUMMYFUNCTION("""COMPUTED_VALUE"""),"Curso de SmartGrid para programas de Doctorado y Maestría")</f>
        <v>Curso de SmartGrid para programas de Doctorado y Maestría</v>
      </c>
      <c r="AU99" s="5" t="str">
        <f>IFERROR(__xludf.DUMMYFUNCTION("""COMPUTED_VALUE"""),"https://drive.google.com/file/d/1k8jhzzksmvTbUts_odZunOrsFuyd58mb/view?usp=sharing")</f>
        <v>https://drive.google.com/file/d/1k8jhzzksmvTbUts_odZunOrsFuyd58mb/view?usp=sharing</v>
      </c>
      <c r="AV99" s="4"/>
      <c r="AW99" s="4"/>
      <c r="AX99" s="4">
        <f>IFERROR(__xludf.DUMMYFUNCTION("""COMPUTED_VALUE"""),3.0)</f>
        <v>3</v>
      </c>
      <c r="AY99" s="4"/>
      <c r="AZ99" s="4"/>
    </row>
    <row r="100">
      <c r="A100" s="4" t="str">
        <f>IFERROR(__xludf.DUMMYFUNCTION("""COMPUTED_VALUE"""),"Proy7")</f>
        <v>Proy7</v>
      </c>
      <c r="B100" s="4" t="str">
        <f>IFERROR(__xludf.DUMMYFUNCTION("""COMPUTED_VALUE"""),"Docencia")</f>
        <v>Docencia</v>
      </c>
      <c r="C100" s="4" t="str">
        <f>IFERROR(__xludf.DUMMYFUNCTION("""COMPUTED_VALUE"""),"Creación de maestría")</f>
        <v>Creación de maestría</v>
      </c>
      <c r="D100" s="4" t="str">
        <f>IFERROR(__xludf.DUMMYFUNCTION("""COMPUTED_VALUE"""),"Creación de cursos de Maestría")</f>
        <v>Creación de cursos de Maestría</v>
      </c>
      <c r="E100" s="4" t="str">
        <f>IFERROR(__xludf.DUMMYFUNCTION("""COMPUTED_VALUE"""),"Creación de cursos de pregrado")</f>
        <v>Creación de cursos de pregrado</v>
      </c>
      <c r="F100" s="4" t="str">
        <f>IFERROR(__xludf.DUMMYFUNCTION("""COMPUTED_VALUE"""),"Creación de maestría")</f>
        <v>Creación de maestría</v>
      </c>
      <c r="G100" s="4" t="str">
        <f>IFERROR(__xludf.DUMMYFUNCTION("""COMPUTED_VALUE"""),"Creación de doctorado")</f>
        <v>Creación de doctorado</v>
      </c>
      <c r="H100" s="4" t="str">
        <f>IFERROR(__xludf.DUMMYFUNCTION("""COMPUTED_VALUE"""),"Creación de cursos de Doctorado")</f>
        <v>Creación de cursos de Doctorado</v>
      </c>
      <c r="I100" s="4" t="str">
        <f>IFERROR(__xludf.DUMMYFUNCTION("""COMPUTED_VALUE"""),"Autoevaluación de programa de pregrado")</f>
        <v>Autoevaluación de programa de pregrado</v>
      </c>
      <c r="J100" s="4" t="str">
        <f>IFERROR(__xludf.DUMMYFUNCTION("""COMPUTED_VALUE"""),"Autoevaluación de programa de maestría")</f>
        <v>Autoevaluación de programa de maestría</v>
      </c>
      <c r="K100" s="4" t="str">
        <f>IFERROR(__xludf.DUMMYFUNCTION("""COMPUTED_VALUE"""),"Autoevaluación de programa de doctorado")</f>
        <v>Autoevaluación de programa de doctorado</v>
      </c>
      <c r="L100" s="4" t="str">
        <f>IFERROR(__xludf.DUMMYFUNCTION("""COMPUTED_VALUE"""),"Autoevaluación de universidad")</f>
        <v>Autoevaluación de universidad</v>
      </c>
      <c r="M100" s="4"/>
      <c r="N100" s="4"/>
      <c r="O100" s="4"/>
      <c r="P100" s="4"/>
      <c r="Q100" s="4"/>
      <c r="R100" s="4"/>
      <c r="S100" s="4"/>
      <c r="T100" s="4"/>
      <c r="U100" s="4" t="str">
        <f>IFERROR(__xludf.DUMMYFUNCTION("""COMPUTED_VALUE"""),"Ninguna")</f>
        <v>Ninguna</v>
      </c>
      <c r="V100" s="4"/>
      <c r="W100" s="4" t="str">
        <f>IFERROR(__xludf.DUMMYFUNCTION("""COMPUTED_VALUE"""),"Programa")</f>
        <v>Programa</v>
      </c>
      <c r="X100" s="4" t="str">
        <f>IFERROR(__xludf.DUMMYFUNCTION("""COMPUTED_VALUE"""),"Uni Córdoba")</f>
        <v>Uni Córdoba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 t="str">
        <f>IFERROR(__xludf.DUMMYFUNCTION("""COMPUTED_VALUE"""),"Colaboración")</f>
        <v>Colaboración</v>
      </c>
      <c r="AL100" s="4"/>
      <c r="AM100" s="4" t="str">
        <f>IFERROR(__xludf.DUMMYFUNCTION("""COMPUTED_VALUE"""),"Obligatorio")</f>
        <v>Obligatorio</v>
      </c>
      <c r="AN100" s="4"/>
      <c r="AO100" s="4"/>
      <c r="AP100" s="4"/>
      <c r="AQ100" s="4"/>
      <c r="AR100" s="4"/>
      <c r="AS100" s="4"/>
      <c r="AT100" s="4" t="str">
        <f>IFERROR(__xludf.DUMMYFUNCTION("""COMPUTED_VALUE"""),"Maestría en Ingeniería Mecánica")</f>
        <v>Maestría en Ingeniería Mecánica</v>
      </c>
      <c r="AU100" s="5" t="str">
        <f>IFERROR(__xludf.DUMMYFUNCTION("""COMPUTED_VALUE"""),"https://drive.google.com/drive/folders/1_PfuBZCXPnQGPG1VGLtl5zcHoI_eu7sT?usp=sharing")</f>
        <v>https://drive.google.com/drive/folders/1_PfuBZCXPnQGPG1VGLtl5zcHoI_eu7sT?usp=sharing</v>
      </c>
      <c r="AV100" s="4"/>
      <c r="AW100" s="4"/>
      <c r="AX100" s="4">
        <f>IFERROR(__xludf.DUMMYFUNCTION("""COMPUTED_VALUE"""),3.0)</f>
        <v>3</v>
      </c>
      <c r="AY100" s="4" t="str">
        <f>IFERROR(__xludf.DUMMYFUNCTION("""COMPUTED_VALUE"""),"Creación de Maestría en Ingeniería Mecánica U. Córdoba")</f>
        <v>Creación de Maestría en Ingeniería Mecánica U. Córdoba</v>
      </c>
      <c r="AZ100" s="4"/>
    </row>
    <row r="101">
      <c r="A101" s="4" t="str">
        <f>IFERROR(__xludf.DUMMYFUNCTION("""COMPUTED_VALUE"""),"Proy5")</f>
        <v>Proy5</v>
      </c>
      <c r="B101" s="4" t="str">
        <f>IFERROR(__xludf.DUMMYFUNCTION("""COMPUTED_VALUE"""),"Formación_RH")</f>
        <v>Formación_RH</v>
      </c>
      <c r="C101" s="4" t="str">
        <f>IFERROR(__xludf.DUMMYFUNCTION("""COMPUTED_VALUE"""),"Vinculación de estudiante de doctorado")</f>
        <v>Vinculación de estudiante de doctorado</v>
      </c>
      <c r="D101" s="4" t="str">
        <f>IFERROR(__xludf.DUMMYFUNCTION("""COMPUTED_VALUE"""),"Vinculación de estudiante de doctorado")</f>
        <v>Vinculación de estudiante de doctorado</v>
      </c>
      <c r="E101" s="4" t="str">
        <f>IFERROR(__xludf.DUMMYFUNCTION("""COMPUTED_VALUE"""),"Formación de estudiante de doctorado")</f>
        <v>Formación de estudiante de doctorado</v>
      </c>
      <c r="F101" s="4" t="str">
        <f>IFERROR(__xludf.DUMMYFUNCTION("""COMPUTED_VALUE"""),"Vinculación de estudiante de maestría")</f>
        <v>Vinculación de estudiante de maestría</v>
      </c>
      <c r="G101" s="4" t="str">
        <f>IFERROR(__xludf.DUMMYFUNCTION("""COMPUTED_VALUE"""),"Formación de estudiante de maestría")</f>
        <v>Formación de estudiante de maestría</v>
      </c>
      <c r="H101" s="4" t="str">
        <f>IFERROR(__xludf.DUMMYFUNCTION("""COMPUTED_VALUE"""),"Vinculación de estudiante de pregrado")</f>
        <v>Vinculación de estudiante de pregrado</v>
      </c>
      <c r="I101" s="4" t="str">
        <f>IFERROR(__xludf.DUMMYFUNCTION("""COMPUTED_VALUE"""),"Formación de estudiante de pregrado")</f>
        <v>Formación de estudiante de pregrado</v>
      </c>
      <c r="J101" s="4" t="str">
        <f>IFERROR(__xludf.DUMMYFUNCTION("""COMPUTED_VALUE"""),"Joven investigador")</f>
        <v>Joven investigador</v>
      </c>
      <c r="K101" s="4" t="str">
        <f>IFERROR(__xludf.DUMMYFUNCTION("""COMPUTED_VALUE"""),"Pasantía nacional")</f>
        <v>Pasantía nacional</v>
      </c>
      <c r="L101" s="4" t="str">
        <f>IFERROR(__xludf.DUMMYFUNCTION("""COMPUTED_VALUE"""),"Pasantía internacional")</f>
        <v>Pasantía internacional</v>
      </c>
      <c r="M101" s="4"/>
      <c r="N101" s="4"/>
      <c r="O101" s="4"/>
      <c r="P101" s="4"/>
      <c r="Q101" s="4"/>
      <c r="R101" s="4"/>
      <c r="S101" s="4"/>
      <c r="T101" s="4"/>
      <c r="U101" s="4" t="str">
        <f>IFERROR(__xludf.DUMMYFUNCTION("""COMPUTED_VALUE"""),"Ninguna")</f>
        <v>Ninguna</v>
      </c>
      <c r="V101" s="4"/>
      <c r="W101" s="4" t="str">
        <f>IFERROR(__xludf.DUMMYFUNCTION("""COMPUTED_VALUE"""),"Proyecto")</f>
        <v>Proyecto</v>
      </c>
      <c r="X101" s="4" t="str">
        <f>IFERROR(__xludf.DUMMYFUNCTION("""COMPUTED_VALUE"""),"UniValle")</f>
        <v>UniValle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 t="str">
        <f>IFERROR(__xludf.DUMMYFUNCTION("""COMPUTED_VALUE"""),"Ninguna")</f>
        <v>Ninguna</v>
      </c>
      <c r="AL101" s="4"/>
      <c r="AM101" s="4" t="str">
        <f>IFERROR(__xludf.DUMMYFUNCTION("""COMPUTED_VALUE"""),"Obligatorio")</f>
        <v>Obligatorio</v>
      </c>
      <c r="AN101" s="4"/>
      <c r="AO101" s="4"/>
      <c r="AP101" s="4"/>
      <c r="AQ101" s="4"/>
      <c r="AR101" s="4"/>
      <c r="AS101" s="4"/>
      <c r="AT101" s="4" t="str">
        <f>IFERROR(__xludf.DUMMYFUNCTION("""COMPUTED_VALUE"""),"Juan Carlos Guerrero Ordoñez")</f>
        <v>Juan Carlos Guerrero Ordoñez</v>
      </c>
      <c r="AU101" s="4"/>
      <c r="AV101" s="4"/>
      <c r="AW101" s="4" t="str">
        <f>IFERROR(__xludf.DUMMYFUNCTION("""COMPUTED_VALUE"""),"En Curso")</f>
        <v>En Curso</v>
      </c>
      <c r="AX101" s="4">
        <f>IFERROR(__xludf.DUMMYFUNCTION("""COMPUTED_VALUE"""),4.0)</f>
        <v>4</v>
      </c>
      <c r="AY101" s="4" t="str">
        <f>IFERROR(__xludf.DUMMYFUNCTION("""COMPUTED_VALUE"""),"DOCTORADO EN INGENIERÍA - UniValle")</f>
        <v>DOCTORADO EN INGENIERÍA - UniValle</v>
      </c>
      <c r="AZ101" s="4"/>
    </row>
    <row r="102">
      <c r="A102" s="4" t="str">
        <f>IFERROR(__xludf.DUMMYFUNCTION("""COMPUTED_VALUE"""),"Proy13")</f>
        <v>Proy13</v>
      </c>
      <c r="B102" s="4" t="str">
        <f>IFERROR(__xludf.DUMMYFUNCTION("""COMPUTED_VALUE"""),"Apropiación")</f>
        <v>Apropiación</v>
      </c>
      <c r="C102" s="4" t="str">
        <f>IFERROR(__xludf.DUMMYFUNCTION("""COMPUTED_VALUE"""),"Ponencia")</f>
        <v>Ponencia</v>
      </c>
      <c r="D102" s="4" t="str">
        <f>IFERROR(__xludf.DUMMYFUNCTION("""COMPUTED_VALUE"""),"Ponencia")</f>
        <v>Ponencia</v>
      </c>
      <c r="E102" s="4" t="str">
        <f>IFERROR(__xludf.DUMMYFUNCTION("""COMPUTED_VALUE"""),"Evento científico")</f>
        <v>Evento científico</v>
      </c>
      <c r="F102" s="4" t="str">
        <f>IFERROR(__xludf.DUMMYFUNCTION("""COMPUTED_VALUE"""),"Cartilla")</f>
        <v>Cartilla</v>
      </c>
      <c r="G102" s="4" t="str">
        <f>IFERROR(__xludf.DUMMYFUNCTION("""COMPUTED_VALUE"""),"Curso de capacitación, seminario o taller")</f>
        <v>Curso de capacitación, seminario o taller</v>
      </c>
      <c r="H102" s="4" t="str">
        <f>IFERROR(__xludf.DUMMYFUNCTION("""COMPUTED_VALUE"""),"Socialización de resultados a actores del sector")</f>
        <v>Socialización de resultados a actores del sector</v>
      </c>
      <c r="I102" s="4" t="str">
        <f>IFERROR(__xludf.DUMMYFUNCTION("""COMPUTED_VALUE"""),"Articulación de redes de conocimiento")</f>
        <v>Articulación de redes de conocimiento</v>
      </c>
      <c r="J102" s="4" t="str">
        <f>IFERROR(__xludf.DUMMYFUNCTION("""COMPUTED_VALUE"""),"Circulación de conocimiento especializado - boletines")</f>
        <v>Circulación de conocimiento especializado - boletines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 t="str">
        <f>IFERROR(__xludf.DUMMYFUNCTION("""COMPUTED_VALUE"""),"Ninguna")</f>
        <v>Ninguna</v>
      </c>
      <c r="V102" s="4"/>
      <c r="W102" s="4" t="str">
        <f>IFERROR(__xludf.DUMMYFUNCTION("""COMPUTED_VALUE"""),"Proyecto")</f>
        <v>Proyecto</v>
      </c>
      <c r="X102" s="4" t="str">
        <f>IFERROR(__xludf.DUMMYFUNCTION("""COMPUTED_VALUE"""),"UdeA")</f>
        <v>UdeA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 t="str">
        <f>IFERROR(__xludf.DUMMYFUNCTION("""COMPUTED_VALUE"""),"Ninguna")</f>
        <v>Ninguna</v>
      </c>
      <c r="AL102" s="4"/>
      <c r="AM102" s="4" t="str">
        <f>IFERROR(__xludf.DUMMYFUNCTION("""COMPUTED_VALUE"""),"Obligatorio")</f>
        <v>Obligatorio</v>
      </c>
      <c r="AN102" s="4">
        <f>IFERROR(__xludf.DUMMYFUNCTION("""COMPUTED_VALUE"""),4.0)</f>
        <v>4</v>
      </c>
      <c r="AO102" s="4">
        <f>IFERROR(__xludf.DUMMYFUNCTION("""COMPUTED_VALUE"""),4.0)</f>
        <v>4</v>
      </c>
      <c r="AP102" s="4">
        <f>IFERROR(__xludf.DUMMYFUNCTION("""COMPUTED_VALUE"""),1.0)</f>
        <v>1</v>
      </c>
      <c r="AQ102" s="4">
        <f>IFERROR(__xludf.DUMMYFUNCTION("""COMPUTED_VALUE"""),1.0)</f>
        <v>1</v>
      </c>
      <c r="AR102" s="4">
        <f>IFERROR(__xludf.DUMMYFUNCTION("""COMPUTED_VALUE"""),1.0)</f>
        <v>1</v>
      </c>
      <c r="AS102" s="4">
        <f>IFERROR(__xludf.DUMMYFUNCTION("""COMPUTED_VALUE"""),1.0)</f>
        <v>1</v>
      </c>
      <c r="AT102" s="5" t="str">
        <f>IFERROR(__xludf.DUMMYFUNCTION("""COMPUTED_VALUE"""),"2019 IEEE Workshop on Power Electronics and Power Quality Applications (PEPQA)")</f>
        <v>2019 IEEE Workshop on Power Electronics and Power Quality Applications (PEPQA)</v>
      </c>
      <c r="AU102" s="5" t="str">
        <f>IFERROR(__xludf.DUMMYFUNCTION("""COMPUTED_VALUE"""),"https://drive.google.com/file/d/1Ki9D-UD6FP1CHQzh0ayqs6T-7d94ay4q/view?usp=sharing")</f>
        <v>https://drive.google.com/file/d/1Ki9D-UD6FP1CHQzh0ayqs6T-7d94ay4q/view?usp=sharing</v>
      </c>
      <c r="AV102" s="4"/>
      <c r="AW102" s="4"/>
      <c r="AX102" s="4">
        <f>IFERROR(__xludf.DUMMYFUNCTION("""COMPUTED_VALUE"""),4.0)</f>
        <v>4</v>
      </c>
      <c r="AY102" s="4" t="str">
        <f>IFERROR(__xludf.DUMMYFUNCTION("""COMPUTED_VALUE"""),"Programmable Electronic AC Loads: a Review on
Hardware Topologies")</f>
        <v>Programmable Electronic AC Loads: a Review on
Hardware Topologies</v>
      </c>
      <c r="AZ102" s="4"/>
      <c r="BA102" s="6" t="s">
        <v>179</v>
      </c>
      <c r="BB102" s="6" t="s">
        <v>45</v>
      </c>
      <c r="BC102" s="6" t="s">
        <v>56</v>
      </c>
      <c r="BD102" s="6" t="s">
        <v>180</v>
      </c>
      <c r="BE102" s="6" t="s">
        <v>45</v>
      </c>
      <c r="BF102" s="6" t="s">
        <v>56</v>
      </c>
      <c r="BG102" s="6" t="s">
        <v>181</v>
      </c>
      <c r="BH102" s="6" t="s">
        <v>45</v>
      </c>
      <c r="BI102" s="6" t="s">
        <v>56</v>
      </c>
      <c r="BJ102" s="6" t="s">
        <v>182</v>
      </c>
      <c r="BK102" s="6" t="s">
        <v>45</v>
      </c>
      <c r="BL102" s="6" t="s">
        <v>56</v>
      </c>
    </row>
    <row r="103">
      <c r="A103" s="4" t="str">
        <f>IFERROR(__xludf.DUMMYFUNCTION("""COMPUTED_VALUE"""),"Proy13")</f>
        <v>Proy13</v>
      </c>
      <c r="B103" s="4" t="str">
        <f>IFERROR(__xludf.DUMMYFUNCTION("""COMPUTED_VALUE"""),"Nuevo_Conocimiento")</f>
        <v>Nuevo_Conocimiento</v>
      </c>
      <c r="C103" s="4" t="str">
        <f>IFERROR(__xludf.DUMMYFUNCTION("""COMPUTED_VALUE"""),"Capítulo de libro A1")</f>
        <v>Capítulo de libro A1</v>
      </c>
      <c r="D103" s="4" t="str">
        <f>IFERROR(__xludf.DUMMYFUNCTION("""COMPUTED_VALUE"""),"Artículo A1")</f>
        <v>Artículo A1</v>
      </c>
      <c r="E103" s="4" t="str">
        <f>IFERROR(__xludf.DUMMYFUNCTION("""COMPUTED_VALUE"""),"Artículo A2")</f>
        <v>Artículo A2</v>
      </c>
      <c r="F103" s="4" t="str">
        <f>IFERROR(__xludf.DUMMYFUNCTION("""COMPUTED_VALUE"""),"Artículo B")</f>
        <v>Artículo B</v>
      </c>
      <c r="G103" s="4" t="str">
        <f>IFERROR(__xludf.DUMMYFUNCTION("""COMPUTED_VALUE"""),"Artículo C")</f>
        <v>Artículo C</v>
      </c>
      <c r="H103" s="4" t="str">
        <f>IFERROR(__xludf.DUMMYFUNCTION("""COMPUTED_VALUE"""),"Capítulo de libro A")</f>
        <v>Capítulo de libro A</v>
      </c>
      <c r="I103" s="4" t="str">
        <f>IFERROR(__xludf.DUMMYFUNCTION("""COMPUTED_VALUE"""),"Capítulo de libro A1")</f>
        <v>Capítulo de libro A1</v>
      </c>
      <c r="J103" s="4" t="str">
        <f>IFERROR(__xludf.DUMMYFUNCTION("""COMPUTED_VALUE"""),"Capítulo de libro B")</f>
        <v>Capítulo de libro B</v>
      </c>
      <c r="K103" s="4" t="str">
        <f>IFERROR(__xludf.DUMMYFUNCTION("""COMPUTED_VALUE"""),"Libro A")</f>
        <v>Libro A</v>
      </c>
      <c r="L103" s="4" t="str">
        <f>IFERROR(__xludf.DUMMYFUNCTION("""COMPUTED_VALUE"""),"Libro A1")</f>
        <v>Libro A1</v>
      </c>
      <c r="M103" s="4" t="str">
        <f>IFERROR(__xludf.DUMMYFUNCTION("""COMPUTED_VALUE"""),"Libro B")</f>
        <v>Libro B</v>
      </c>
      <c r="N103" s="4" t="str">
        <f>IFERROR(__xludf.DUMMYFUNCTION("""COMPUTED_VALUE"""),"Solicitud Patente de invención y-o modelo de utitlidad")</f>
        <v>Solicitud Patente de invención y-o modelo de utitlidad</v>
      </c>
      <c r="O103" s="4" t="str">
        <f>IFERROR(__xludf.DUMMYFUNCTION("""COMPUTED_VALUE"""),"Patente de invención")</f>
        <v>Patente de invención</v>
      </c>
      <c r="P103" s="4" t="str">
        <f>IFERROR(__xludf.DUMMYFUNCTION("""COMPUTED_VALUE"""),"Patente de modelo de utilidad")</f>
        <v>Patente de modelo de utilidad</v>
      </c>
      <c r="Q103" s="4" t="str">
        <f>IFERROR(__xludf.DUMMYFUNCTION("""COMPUTED_VALUE"""),"Artículo sin clasificar")</f>
        <v>Artículo sin clasificar</v>
      </c>
      <c r="R103" s="4" t="str">
        <f>IFERROR(__xludf.DUMMYFUNCTION("""COMPUTED_VALUE"""),"Capítulo sin clasificar")</f>
        <v>Capítulo sin clasificar</v>
      </c>
      <c r="S103" s="4"/>
      <c r="T103" s="4"/>
      <c r="U103" s="4" t="str">
        <f>IFERROR(__xludf.DUMMYFUNCTION("""COMPUTED_VALUE"""),"Ninguna")</f>
        <v>Ninguna</v>
      </c>
      <c r="V103" s="4"/>
      <c r="W103" s="4" t="str">
        <f>IFERROR(__xludf.DUMMYFUNCTION("""COMPUTED_VALUE"""),"Proyecto")</f>
        <v>Proyecto</v>
      </c>
      <c r="X103" s="4" t="str">
        <f>IFERROR(__xludf.DUMMYFUNCTION("""COMPUTED_VALUE"""),"UdeA")</f>
        <v>UdeA</v>
      </c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 t="str">
        <f>IFERROR(__xludf.DUMMYFUNCTION("""COMPUTED_VALUE"""),"Ninguna")</f>
        <v>Ninguna</v>
      </c>
      <c r="AL103" s="4"/>
      <c r="AM103" s="4" t="str">
        <f>IFERROR(__xludf.DUMMYFUNCTION("""COMPUTED_VALUE"""),"Adicional")</f>
        <v>Adicional</v>
      </c>
      <c r="AN103" s="4">
        <f>IFERROR(__xludf.DUMMYFUNCTION("""COMPUTED_VALUE"""),3.0)</f>
        <v>3</v>
      </c>
      <c r="AO103" s="4">
        <f>IFERROR(__xludf.DUMMYFUNCTION("""COMPUTED_VALUE"""),3.0)</f>
        <v>3</v>
      </c>
      <c r="AP103" s="4">
        <f>IFERROR(__xludf.DUMMYFUNCTION("""COMPUTED_VALUE"""),1.0)</f>
        <v>1</v>
      </c>
      <c r="AQ103" s="4">
        <f>IFERROR(__xludf.DUMMYFUNCTION("""COMPUTED_VALUE"""),1.0)</f>
        <v>1</v>
      </c>
      <c r="AR103" s="4">
        <f>IFERROR(__xludf.DUMMYFUNCTION("""COMPUTED_VALUE"""),1.0)</f>
        <v>1</v>
      </c>
      <c r="AS103" s="4">
        <f>IFERROR(__xludf.DUMMYFUNCTION("""COMPUTED_VALUE"""),1.0)</f>
        <v>1</v>
      </c>
      <c r="AT103" s="4" t="str">
        <f>IFERROR(__xludf.DUMMYFUNCTION("""COMPUTED_VALUE"""),"DOI: 10.5772/intechopen.88830")</f>
        <v>DOI: 10.5772/intechopen.88830</v>
      </c>
      <c r="AU103" s="5" t="str">
        <f>IFERROR(__xludf.DUMMYFUNCTION("""COMPUTED_VALUE"""),"https://drive.google.com/file/d/1B4UAbdaZ5Ju85YOIFz17ukkxR_0P6P9b/view?usp=sharing")</f>
        <v>https://drive.google.com/file/d/1B4UAbdaZ5Ju85YOIFz17ukkxR_0P6P9b/view?usp=sharing</v>
      </c>
      <c r="AV103" s="4"/>
      <c r="AW103" s="4"/>
      <c r="AX103" s="4">
        <f>IFERROR(__xludf.DUMMYFUNCTION("""COMPUTED_VALUE"""),4.0)</f>
        <v>4</v>
      </c>
      <c r="AY103" s="4" t="str">
        <f>IFERROR(__xludf.DUMMYFUNCTION("""COMPUTED_VALUE"""),"Methodology for Sizing Hybrid
Battery-Backed Power Generation
Systems in Off-Grid Areas")</f>
        <v>Methodology for Sizing Hybrid
Battery-Backed Power Generation
Systems in Off-Grid Areas</v>
      </c>
      <c r="AZ103" s="4"/>
      <c r="BA103" s="6" t="s">
        <v>183</v>
      </c>
      <c r="BB103" s="6" t="s">
        <v>45</v>
      </c>
      <c r="BC103" s="6" t="s">
        <v>56</v>
      </c>
      <c r="BD103" s="6" t="s">
        <v>184</v>
      </c>
      <c r="BE103" s="6" t="s">
        <v>45</v>
      </c>
      <c r="BF103" s="6" t="s">
        <v>56</v>
      </c>
      <c r="BG103" s="6" t="s">
        <v>143</v>
      </c>
      <c r="BH103" s="6" t="s">
        <v>45</v>
      </c>
      <c r="BI103" s="6" t="s">
        <v>56</v>
      </c>
    </row>
    <row r="104">
      <c r="A104" s="4" t="str">
        <f>IFERROR(__xludf.DUMMYFUNCTION("""COMPUTED_VALUE"""),"Proy13")</f>
        <v>Proy13</v>
      </c>
      <c r="B104" s="4" t="str">
        <f>IFERROR(__xludf.DUMMYFUNCTION("""COMPUTED_VALUE"""),"Apropiación")</f>
        <v>Apropiación</v>
      </c>
      <c r="C104" s="4" t="str">
        <f>IFERROR(__xludf.DUMMYFUNCTION("""COMPUTED_VALUE"""),"Evento científico")</f>
        <v>Evento científico</v>
      </c>
      <c r="D104" s="4" t="str">
        <f>IFERROR(__xludf.DUMMYFUNCTION("""COMPUTED_VALUE"""),"Ponencia")</f>
        <v>Ponencia</v>
      </c>
      <c r="E104" s="4" t="str">
        <f>IFERROR(__xludf.DUMMYFUNCTION("""COMPUTED_VALUE"""),"Evento científico")</f>
        <v>Evento científico</v>
      </c>
      <c r="F104" s="4" t="str">
        <f>IFERROR(__xludf.DUMMYFUNCTION("""COMPUTED_VALUE"""),"Cartilla")</f>
        <v>Cartilla</v>
      </c>
      <c r="G104" s="4" t="str">
        <f>IFERROR(__xludf.DUMMYFUNCTION("""COMPUTED_VALUE"""),"Curso de capacitación, seminario o taller")</f>
        <v>Curso de capacitación, seminario o taller</v>
      </c>
      <c r="H104" s="4" t="str">
        <f>IFERROR(__xludf.DUMMYFUNCTION("""COMPUTED_VALUE"""),"Socialización de resultados a actores del sector")</f>
        <v>Socialización de resultados a actores del sector</v>
      </c>
      <c r="I104" s="4" t="str">
        <f>IFERROR(__xludf.DUMMYFUNCTION("""COMPUTED_VALUE"""),"Articulación de redes de conocimiento")</f>
        <v>Articulación de redes de conocimiento</v>
      </c>
      <c r="J104" s="4" t="str">
        <f>IFERROR(__xludf.DUMMYFUNCTION("""COMPUTED_VALUE"""),"Circulación de conocimiento especializado - boletines")</f>
        <v>Circulación de conocimiento especializado - boletines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 t="str">
        <f>IFERROR(__xludf.DUMMYFUNCTION("""COMPUTED_VALUE"""),"Ninguna")</f>
        <v>Ninguna</v>
      </c>
      <c r="V104" s="4"/>
      <c r="W104" s="4" t="str">
        <f>IFERROR(__xludf.DUMMYFUNCTION("""COMPUTED_VALUE"""),"Programa")</f>
        <v>Programa</v>
      </c>
      <c r="X104" s="4" t="str">
        <f>IFERROR(__xludf.DUMMYFUNCTION("""COMPUTED_VALUE"""),"Todos los aliados")</f>
        <v>Todos los aliados</v>
      </c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 t="str">
        <f>IFERROR(__xludf.DUMMYFUNCTION("""COMPUTED_VALUE"""),"Colaboración")</f>
        <v>Colaboración</v>
      </c>
      <c r="AL104" s="4" t="str">
        <f>IFERROR(__xludf.DUMMYFUNCTION("""COMPUTED_VALUE"""),"Todos")</f>
        <v>Todos</v>
      </c>
      <c r="AM104" s="4" t="str">
        <f>IFERROR(__xludf.DUMMYFUNCTION("""COMPUTED_VALUE"""),"Obligatorio")</f>
        <v>Obligatorio</v>
      </c>
      <c r="AN104" s="4"/>
      <c r="AO104" s="4"/>
      <c r="AP104" s="4"/>
      <c r="AQ104" s="4"/>
      <c r="AR104" s="4"/>
      <c r="AS104" s="4"/>
      <c r="AT104" s="4" t="str">
        <f>IFERROR(__xludf.DUMMYFUNCTION("""COMPUTED_VALUE"""),"Primer encuentro Séneca - Octubre 2019")</f>
        <v>Primer encuentro Séneca - Octubre 2019</v>
      </c>
      <c r="AU104" s="5" t="str">
        <f>IFERROR(__xludf.DUMMYFUNCTION("""COMPUTED_VALUE"""),"https://drive.google.com/file/d/1YIP7MR78S91CXHuebDUvS7LqzZIlxtPP/view?usp=sharing")</f>
        <v>https://drive.google.com/file/d/1YIP7MR78S91CXHuebDUvS7LqzZIlxtPP/view?usp=sharing</v>
      </c>
      <c r="AV104" s="4"/>
      <c r="AW104" s="4"/>
      <c r="AX104" s="4">
        <f>IFERROR(__xludf.DUMMYFUNCTION("""COMPUTED_VALUE"""),4.0)</f>
        <v>4</v>
      </c>
      <c r="AY104" s="4" t="str">
        <f>IFERROR(__xludf.DUMMYFUNCTION("""COMPUTED_VALUE"""),"Memorias del Primer encuentro SÉNECA")</f>
        <v>Memorias del Primer encuentro SÉNECA</v>
      </c>
      <c r="AZ104" s="4"/>
    </row>
    <row r="105">
      <c r="A105" s="4" t="str">
        <f>IFERROR(__xludf.DUMMYFUNCTION("""COMPUTED_VALUE"""),"Proy14")</f>
        <v>Proy14</v>
      </c>
      <c r="B105" s="4" t="str">
        <f>IFERROR(__xludf.DUMMYFUNCTION("""COMPUTED_VALUE"""),"Formación_RH")</f>
        <v>Formación_RH</v>
      </c>
      <c r="C105" s="4" t="str">
        <f>IFERROR(__xludf.DUMMYFUNCTION("""COMPUTED_VALUE"""),"Pasantía internacional")</f>
        <v>Pasantía internacional</v>
      </c>
      <c r="D105" s="4" t="str">
        <f>IFERROR(__xludf.DUMMYFUNCTION("""COMPUTED_VALUE"""),"Vinculación de estudiante de doctorado")</f>
        <v>Vinculación de estudiante de doctorado</v>
      </c>
      <c r="E105" s="4" t="str">
        <f>IFERROR(__xludf.DUMMYFUNCTION("""COMPUTED_VALUE"""),"Formación de estudiante de doctorado")</f>
        <v>Formación de estudiante de doctorado</v>
      </c>
      <c r="F105" s="4" t="str">
        <f>IFERROR(__xludf.DUMMYFUNCTION("""COMPUTED_VALUE"""),"Vinculación de estudiante de maestría")</f>
        <v>Vinculación de estudiante de maestría</v>
      </c>
      <c r="G105" s="4" t="str">
        <f>IFERROR(__xludf.DUMMYFUNCTION("""COMPUTED_VALUE"""),"Formación de estudiante de maestría")</f>
        <v>Formación de estudiante de maestría</v>
      </c>
      <c r="H105" s="4" t="str">
        <f>IFERROR(__xludf.DUMMYFUNCTION("""COMPUTED_VALUE"""),"Vinculación de estudiante de pregrado")</f>
        <v>Vinculación de estudiante de pregrado</v>
      </c>
      <c r="I105" s="4" t="str">
        <f>IFERROR(__xludf.DUMMYFUNCTION("""COMPUTED_VALUE"""),"Formación de estudiante de pregrado")</f>
        <v>Formación de estudiante de pregrado</v>
      </c>
      <c r="J105" s="4" t="str">
        <f>IFERROR(__xludf.DUMMYFUNCTION("""COMPUTED_VALUE"""),"Joven investigador")</f>
        <v>Joven investigador</v>
      </c>
      <c r="K105" s="4" t="str">
        <f>IFERROR(__xludf.DUMMYFUNCTION("""COMPUTED_VALUE"""),"Pasantía nacional")</f>
        <v>Pasantía nacional</v>
      </c>
      <c r="L105" s="4" t="str">
        <f>IFERROR(__xludf.DUMMYFUNCTION("""COMPUTED_VALUE"""),"Pasantía internacional")</f>
        <v>Pasantía internacional</v>
      </c>
      <c r="M105" s="4"/>
      <c r="N105" s="4"/>
      <c r="O105" s="4"/>
      <c r="P105" s="4"/>
      <c r="Q105" s="4"/>
      <c r="R105" s="4"/>
      <c r="S105" s="4"/>
      <c r="T105" s="4"/>
      <c r="U105" s="4" t="str">
        <f>IFERROR(__xludf.DUMMYFUNCTION("""COMPUTED_VALUE"""),"Otros actores")</f>
        <v>Otros actores</v>
      </c>
      <c r="V105" s="4" t="str">
        <f>IFERROR(__xludf.DUMMYFUNCTION("""COMPUTED_VALUE"""),"Instituto Nacional de Electricidad y Energías Limpias - Cuermavaca, México")</f>
        <v>Instituto Nacional de Electricidad y Energías Limpias - Cuermavaca, México</v>
      </c>
      <c r="W105" s="4" t="str">
        <f>IFERROR(__xludf.DUMMYFUNCTION("""COMPUTED_VALUE"""),"Proyecto")</f>
        <v>Proyecto</v>
      </c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 t="str">
        <f>IFERROR(__xludf.DUMMYFUNCTION("""COMPUTED_VALUE"""),"Ninguna")</f>
        <v>Ninguna</v>
      </c>
      <c r="AL105" s="4"/>
      <c r="AM105" s="4" t="str">
        <f>IFERROR(__xludf.DUMMYFUNCTION("""COMPUTED_VALUE"""),"Adicional")</f>
        <v>Adicional</v>
      </c>
      <c r="AN105" s="4"/>
      <c r="AO105" s="4"/>
      <c r="AP105" s="4"/>
      <c r="AQ105" s="4"/>
      <c r="AR105" s="4"/>
      <c r="AS105" s="4"/>
      <c r="AT105" s="4" t="str">
        <f>IFERROR(__xludf.DUMMYFUNCTION("""COMPUTED_VALUE"""),"Ricardo Andrés Echeverry Martínez - pasantía en México")</f>
        <v>Ricardo Andrés Echeverry Martínez - pasantía en México</v>
      </c>
      <c r="AU105" s="5" t="str">
        <f>IFERROR(__xludf.DUMMYFUNCTION("""COMPUTED_VALUE"""),"https://drive.google.com/file/d/1KcVW88v6Bp696eLJENHOfOw_sZzYb_O9/view?usp=sharing")</f>
        <v>https://drive.google.com/file/d/1KcVW88v6Bp696eLJENHOfOw_sZzYb_O9/view?usp=sharing</v>
      </c>
      <c r="AV105" s="4"/>
      <c r="AW105" s="4"/>
      <c r="AX105" s="4">
        <f>IFERROR(__xludf.DUMMYFUNCTION("""COMPUTED_VALUE"""),4.0)</f>
        <v>4</v>
      </c>
      <c r="AY105" s="4" t="str">
        <f>IFERROR(__xludf.DUMMYFUNCTION("""COMPUTED_VALUE"""),"Pasantía en México de Ricardo Echeverry")</f>
        <v>Pasantía en México de Ricardo Echeverry</v>
      </c>
      <c r="AZ105" s="4"/>
    </row>
    <row r="106">
      <c r="A106" s="4" t="str">
        <f>IFERROR(__xludf.DUMMYFUNCTION("""COMPUTED_VALUE"""),"Proy14")</f>
        <v>Proy14</v>
      </c>
      <c r="B106" s="4" t="str">
        <f>IFERROR(__xludf.DUMMYFUNCTION("""COMPUTED_VALUE"""),"Apropiación")</f>
        <v>Apropiación</v>
      </c>
      <c r="C106" s="4" t="str">
        <f>IFERROR(__xludf.DUMMYFUNCTION("""COMPUTED_VALUE"""),"Evento científico")</f>
        <v>Evento científico</v>
      </c>
      <c r="D106" s="4" t="str">
        <f>IFERROR(__xludf.DUMMYFUNCTION("""COMPUTED_VALUE"""),"Ponencia")</f>
        <v>Ponencia</v>
      </c>
      <c r="E106" s="4" t="str">
        <f>IFERROR(__xludf.DUMMYFUNCTION("""COMPUTED_VALUE"""),"Evento científico")</f>
        <v>Evento científico</v>
      </c>
      <c r="F106" s="4" t="str">
        <f>IFERROR(__xludf.DUMMYFUNCTION("""COMPUTED_VALUE"""),"Cartilla")</f>
        <v>Cartilla</v>
      </c>
      <c r="G106" s="4" t="str">
        <f>IFERROR(__xludf.DUMMYFUNCTION("""COMPUTED_VALUE"""),"Curso de capacitación, seminario o taller")</f>
        <v>Curso de capacitación, seminario o taller</v>
      </c>
      <c r="H106" s="4" t="str">
        <f>IFERROR(__xludf.DUMMYFUNCTION("""COMPUTED_VALUE"""),"Socialización de resultados a actores del sector")</f>
        <v>Socialización de resultados a actores del sector</v>
      </c>
      <c r="I106" s="4" t="str">
        <f>IFERROR(__xludf.DUMMYFUNCTION("""COMPUTED_VALUE"""),"Articulación de redes de conocimiento")</f>
        <v>Articulación de redes de conocimiento</v>
      </c>
      <c r="J106" s="4" t="str">
        <f>IFERROR(__xludf.DUMMYFUNCTION("""COMPUTED_VALUE"""),"Circulación de conocimiento especializado - boletines")</f>
        <v>Circulación de conocimiento especializado - boletines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 t="str">
        <f>IFERROR(__xludf.DUMMYFUNCTION("""COMPUTED_VALUE"""),"Ninguna")</f>
        <v>Ninguna</v>
      </c>
      <c r="V106" s="4"/>
      <c r="W106" s="4" t="str">
        <f>IFERROR(__xludf.DUMMYFUNCTION("""COMPUTED_VALUE"""),"Proyecto")</f>
        <v>Proyecto</v>
      </c>
      <c r="X106" s="4" t="str">
        <f>IFERROR(__xludf.DUMMYFUNCTION("""COMPUTED_VALUE"""),"UniValle")</f>
        <v>UniValle</v>
      </c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 t="str">
        <f>IFERROR(__xludf.DUMMYFUNCTION("""COMPUTED_VALUE"""),"Ninguna")</f>
        <v>Ninguna</v>
      </c>
      <c r="AL106" s="4"/>
      <c r="AM106" s="4" t="str">
        <f>IFERROR(__xludf.DUMMYFUNCTION("""COMPUTED_VALUE"""),"Obligatorio")</f>
        <v>Obligatorio</v>
      </c>
      <c r="AN106" s="4"/>
      <c r="AO106" s="4"/>
      <c r="AP106" s="4"/>
      <c r="AQ106" s="4"/>
      <c r="AR106" s="4"/>
      <c r="AS106" s="4"/>
      <c r="AT106" s="4" t="str">
        <f>IFERROR(__xludf.DUMMYFUNCTION("""COMPUTED_VALUE"""),"Organización de eventos: Webinar: Diseño, Planeación y Operación óptima de una matriz energética
regional para la integración de energías limpias. Caso de estudio:
Península de Yucatán - México.")</f>
        <v>Organización de eventos: Webinar: Diseño, Planeación y Operación óptima de una matriz energética
regional para la integración de energías limpias. Caso de estudio:
Península de Yucatán - México.</v>
      </c>
      <c r="AU106" s="5" t="str">
        <f>IFERROR(__xludf.DUMMYFUNCTION("""COMPUTED_VALUE"""),"https://drive.google.com/file/d/1HASbeA6F2YWL5Z3y6pd6aPwxm47dFnZm/view?usp=sharing")</f>
        <v>https://drive.google.com/file/d/1HASbeA6F2YWL5Z3y6pd6aPwxm47dFnZm/view?usp=sharing</v>
      </c>
      <c r="AV106" s="4"/>
      <c r="AW106" s="4"/>
      <c r="AX106" s="4">
        <f>IFERROR(__xludf.DUMMYFUNCTION("""COMPUTED_VALUE"""),4.0)</f>
        <v>4</v>
      </c>
      <c r="AY106" s="4" t="str">
        <f>IFERROR(__xludf.DUMMYFUNCTION("""COMPUTED_VALUE"""),"Diseño, Planeación y Operación óptima de una matriz energética regional para la integración de energías limpias. Caso de estudio: Península de Yucatán - México. -  Ricardo Echeverri")</f>
        <v>Diseño, Planeación y Operación óptima de una matriz energética regional para la integración de energías limpias. Caso de estudio: Península de Yucatán - México. -  Ricardo Echeverri</v>
      </c>
      <c r="AZ106" s="4"/>
    </row>
    <row r="107">
      <c r="A107" s="4" t="str">
        <f>IFERROR(__xludf.DUMMYFUNCTION("""COMPUTED_VALUE"""),"Proy14")</f>
        <v>Proy14</v>
      </c>
      <c r="B107" s="4" t="str">
        <f>IFERROR(__xludf.DUMMYFUNCTION("""COMPUTED_VALUE"""),"Nuevo_Conocimiento")</f>
        <v>Nuevo_Conocimiento</v>
      </c>
      <c r="C107" s="4" t="str">
        <f>IFERROR(__xludf.DUMMYFUNCTION("""COMPUTED_VALUE"""),"Artículo A2")</f>
        <v>Artículo A2</v>
      </c>
      <c r="D107" s="4" t="str">
        <f>IFERROR(__xludf.DUMMYFUNCTION("""COMPUTED_VALUE"""),"Artículo A1")</f>
        <v>Artículo A1</v>
      </c>
      <c r="E107" s="4" t="str">
        <f>IFERROR(__xludf.DUMMYFUNCTION("""COMPUTED_VALUE"""),"Artículo A2")</f>
        <v>Artículo A2</v>
      </c>
      <c r="F107" s="4" t="str">
        <f>IFERROR(__xludf.DUMMYFUNCTION("""COMPUTED_VALUE"""),"Artículo B")</f>
        <v>Artículo B</v>
      </c>
      <c r="G107" s="4" t="str">
        <f>IFERROR(__xludf.DUMMYFUNCTION("""COMPUTED_VALUE"""),"Artículo C")</f>
        <v>Artículo C</v>
      </c>
      <c r="H107" s="4" t="str">
        <f>IFERROR(__xludf.DUMMYFUNCTION("""COMPUTED_VALUE"""),"Capítulo de libro A")</f>
        <v>Capítulo de libro A</v>
      </c>
      <c r="I107" s="4" t="str">
        <f>IFERROR(__xludf.DUMMYFUNCTION("""COMPUTED_VALUE"""),"Capítulo de libro A1")</f>
        <v>Capítulo de libro A1</v>
      </c>
      <c r="J107" s="4" t="str">
        <f>IFERROR(__xludf.DUMMYFUNCTION("""COMPUTED_VALUE"""),"Capítulo de libro B")</f>
        <v>Capítulo de libro B</v>
      </c>
      <c r="K107" s="4" t="str">
        <f>IFERROR(__xludf.DUMMYFUNCTION("""COMPUTED_VALUE"""),"Libro A")</f>
        <v>Libro A</v>
      </c>
      <c r="L107" s="4" t="str">
        <f>IFERROR(__xludf.DUMMYFUNCTION("""COMPUTED_VALUE"""),"Libro A1")</f>
        <v>Libro A1</v>
      </c>
      <c r="M107" s="4" t="str">
        <f>IFERROR(__xludf.DUMMYFUNCTION("""COMPUTED_VALUE"""),"Libro B")</f>
        <v>Libro B</v>
      </c>
      <c r="N107" s="4" t="str">
        <f>IFERROR(__xludf.DUMMYFUNCTION("""COMPUTED_VALUE"""),"Solicitud Patente de invención y-o modelo de utitlidad")</f>
        <v>Solicitud Patente de invención y-o modelo de utitlidad</v>
      </c>
      <c r="O107" s="4" t="str">
        <f>IFERROR(__xludf.DUMMYFUNCTION("""COMPUTED_VALUE"""),"Patente de invención")</f>
        <v>Patente de invención</v>
      </c>
      <c r="P107" s="4" t="str">
        <f>IFERROR(__xludf.DUMMYFUNCTION("""COMPUTED_VALUE"""),"Patente de modelo de utilidad")</f>
        <v>Patente de modelo de utilidad</v>
      </c>
      <c r="Q107" s="4" t="str">
        <f>IFERROR(__xludf.DUMMYFUNCTION("""COMPUTED_VALUE"""),"Artículo sin clasificar")</f>
        <v>Artículo sin clasificar</v>
      </c>
      <c r="R107" s="4" t="str">
        <f>IFERROR(__xludf.DUMMYFUNCTION("""COMPUTED_VALUE"""),"Capítulo sin clasificar")</f>
        <v>Capítulo sin clasificar</v>
      </c>
      <c r="S107" s="4"/>
      <c r="T107" s="4"/>
      <c r="U107" s="4" t="str">
        <f>IFERROR(__xludf.DUMMYFUNCTION("""COMPUTED_VALUE"""),"Ninguna")</f>
        <v>Ninguna</v>
      </c>
      <c r="V107" s="4"/>
      <c r="W107" s="4" t="str">
        <f>IFERROR(__xludf.DUMMYFUNCTION("""COMPUTED_VALUE"""),"Proyecto")</f>
        <v>Proyecto</v>
      </c>
      <c r="X107" s="4" t="str">
        <f>IFERROR(__xludf.DUMMYFUNCTION("""COMPUTED_VALUE"""),"UniValle")</f>
        <v>UniValle</v>
      </c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 t="str">
        <f>IFERROR(__xludf.DUMMYFUNCTION("""COMPUTED_VALUE"""),"Ninguna")</f>
        <v>Ninguna</v>
      </c>
      <c r="AL107" s="4"/>
      <c r="AM107" s="4" t="str">
        <f>IFERROR(__xludf.DUMMYFUNCTION("""COMPUTED_VALUE"""),"Obligatorio")</f>
        <v>Obligatorio</v>
      </c>
      <c r="AN107" s="4">
        <f>IFERROR(__xludf.DUMMYFUNCTION("""COMPUTED_VALUE"""),4.0)</f>
        <v>4</v>
      </c>
      <c r="AO107" s="4">
        <f>IFERROR(__xludf.DUMMYFUNCTION("""COMPUTED_VALUE"""),4.0)</f>
        <v>4</v>
      </c>
      <c r="AP107" s="4">
        <f>IFERROR(__xludf.DUMMYFUNCTION("""COMPUTED_VALUE"""),1.0)</f>
        <v>1</v>
      </c>
      <c r="AQ107" s="4">
        <f>IFERROR(__xludf.DUMMYFUNCTION("""COMPUTED_VALUE"""),1.0)</f>
        <v>1</v>
      </c>
      <c r="AR107" s="4">
        <f>IFERROR(__xludf.DUMMYFUNCTION("""COMPUTED_VALUE"""),1.0)</f>
        <v>1</v>
      </c>
      <c r="AS107" s="4">
        <f>IFERROR(__xludf.DUMMYFUNCTION("""COMPUTED_VALUE"""),1.0)</f>
        <v>1</v>
      </c>
      <c r="AT107" s="5" t="str">
        <f>IFERROR(__xludf.DUMMYFUNCTION("""COMPUTED_VALUE"""),"https://doi.org/10.32479/ijeep.9343")</f>
        <v>https://doi.org/10.32479/ijeep.9343</v>
      </c>
      <c r="AU107" s="5" t="str">
        <f>IFERROR(__xludf.DUMMYFUNCTION("""COMPUTED_VALUE"""),"https://drive.google.com/file/d/1f4FtAIMm0lQ3iSvbmvpQjLHkVSsQzuHd/view?usp=sharing")</f>
        <v>https://drive.google.com/file/d/1f4FtAIMm0lQ3iSvbmvpQjLHkVSsQzuHd/view?usp=sharing</v>
      </c>
      <c r="AV107" s="4"/>
      <c r="AW107" s="4"/>
      <c r="AX107" s="4">
        <f>IFERROR(__xludf.DUMMYFUNCTION("""COMPUTED_VALUE"""),4.0)</f>
        <v>4</v>
      </c>
      <c r="AY107" s="4" t="str">
        <f>IFERROR(__xludf.DUMMYFUNCTION("""COMPUTED_VALUE"""),"A Bi-level Multi-objective Optimization Model for the Planning, Design and Operation of Smart Grid Projects. Case Study: An Islanded Microgrid")</f>
        <v>A Bi-level Multi-objective Optimization Model for the Planning, Design and Operation of Smart Grid Projects. Case Study: An Islanded Microgrid</v>
      </c>
      <c r="AZ107" s="4"/>
      <c r="BA107" s="6" t="s">
        <v>185</v>
      </c>
      <c r="BB107" s="6" t="s">
        <v>111</v>
      </c>
      <c r="BC107" s="6" t="s">
        <v>186</v>
      </c>
      <c r="BD107" s="6" t="s">
        <v>187</v>
      </c>
      <c r="BE107" s="6" t="s">
        <v>111</v>
      </c>
      <c r="BF107" s="6" t="s">
        <v>186</v>
      </c>
      <c r="BG107" s="6" t="s">
        <v>188</v>
      </c>
      <c r="BH107" s="6" t="s">
        <v>111</v>
      </c>
      <c r="BI107" s="6" t="s">
        <v>186</v>
      </c>
      <c r="BJ107" s="6" t="s">
        <v>189</v>
      </c>
      <c r="BK107" s="6" t="s">
        <v>111</v>
      </c>
      <c r="BL107" s="6" t="s">
        <v>186</v>
      </c>
      <c r="CQ107" s="6" t="s">
        <v>190</v>
      </c>
    </row>
    <row r="108">
      <c r="A108" s="4" t="str">
        <f>IFERROR(__xludf.DUMMYFUNCTION("""COMPUTED_VALUE"""),"Proy14")</f>
        <v>Proy14</v>
      </c>
      <c r="B108" s="4" t="str">
        <f>IFERROR(__xludf.DUMMYFUNCTION("""COMPUTED_VALUE"""),"Nuevo_Conocimiento")</f>
        <v>Nuevo_Conocimiento</v>
      </c>
      <c r="C108" s="4" t="str">
        <f>IFERROR(__xludf.DUMMYFUNCTION("""COMPUTED_VALUE"""),"Artículo A2")</f>
        <v>Artículo A2</v>
      </c>
      <c r="D108" s="4" t="str">
        <f>IFERROR(__xludf.DUMMYFUNCTION("""COMPUTED_VALUE"""),"Artículo A1")</f>
        <v>Artículo A1</v>
      </c>
      <c r="E108" s="4" t="str">
        <f>IFERROR(__xludf.DUMMYFUNCTION("""COMPUTED_VALUE"""),"Artículo A2")</f>
        <v>Artículo A2</v>
      </c>
      <c r="F108" s="4" t="str">
        <f>IFERROR(__xludf.DUMMYFUNCTION("""COMPUTED_VALUE"""),"Artículo B")</f>
        <v>Artículo B</v>
      </c>
      <c r="G108" s="4" t="str">
        <f>IFERROR(__xludf.DUMMYFUNCTION("""COMPUTED_VALUE"""),"Artículo C")</f>
        <v>Artículo C</v>
      </c>
      <c r="H108" s="4" t="str">
        <f>IFERROR(__xludf.DUMMYFUNCTION("""COMPUTED_VALUE"""),"Capítulo de libro A")</f>
        <v>Capítulo de libro A</v>
      </c>
      <c r="I108" s="4" t="str">
        <f>IFERROR(__xludf.DUMMYFUNCTION("""COMPUTED_VALUE"""),"Capítulo de libro A1")</f>
        <v>Capítulo de libro A1</v>
      </c>
      <c r="J108" s="4" t="str">
        <f>IFERROR(__xludf.DUMMYFUNCTION("""COMPUTED_VALUE"""),"Capítulo de libro B")</f>
        <v>Capítulo de libro B</v>
      </c>
      <c r="K108" s="4" t="str">
        <f>IFERROR(__xludf.DUMMYFUNCTION("""COMPUTED_VALUE"""),"Libro A")</f>
        <v>Libro A</v>
      </c>
      <c r="L108" s="4" t="str">
        <f>IFERROR(__xludf.DUMMYFUNCTION("""COMPUTED_VALUE"""),"Libro A1")</f>
        <v>Libro A1</v>
      </c>
      <c r="M108" s="4" t="str">
        <f>IFERROR(__xludf.DUMMYFUNCTION("""COMPUTED_VALUE"""),"Libro B")</f>
        <v>Libro B</v>
      </c>
      <c r="N108" s="4" t="str">
        <f>IFERROR(__xludf.DUMMYFUNCTION("""COMPUTED_VALUE"""),"Solicitud Patente de invención y-o modelo de utitlidad")</f>
        <v>Solicitud Patente de invención y-o modelo de utitlidad</v>
      </c>
      <c r="O108" s="4" t="str">
        <f>IFERROR(__xludf.DUMMYFUNCTION("""COMPUTED_VALUE"""),"Patente de invención")</f>
        <v>Patente de invención</v>
      </c>
      <c r="P108" s="4" t="str">
        <f>IFERROR(__xludf.DUMMYFUNCTION("""COMPUTED_VALUE"""),"Patente de modelo de utilidad")</f>
        <v>Patente de modelo de utilidad</v>
      </c>
      <c r="Q108" s="4" t="str">
        <f>IFERROR(__xludf.DUMMYFUNCTION("""COMPUTED_VALUE"""),"Artículo sin clasificar")</f>
        <v>Artículo sin clasificar</v>
      </c>
      <c r="R108" s="4" t="str">
        <f>IFERROR(__xludf.DUMMYFUNCTION("""COMPUTED_VALUE"""),"Capítulo sin clasificar")</f>
        <v>Capítulo sin clasificar</v>
      </c>
      <c r="S108" s="4"/>
      <c r="T108" s="4"/>
      <c r="U108" s="4" t="str">
        <f>IFERROR(__xludf.DUMMYFUNCTION("""COMPUTED_VALUE"""),"Otros actores")</f>
        <v>Otros actores</v>
      </c>
      <c r="V108" s="4" t="str">
        <f>IFERROR(__xludf.DUMMYFUNCTION("""COMPUTED_VALUE"""),"Instituto Nacional de Electricidad y Energías Limpias - Cuermavaca, México
Universidad de Morelos")</f>
        <v>Instituto Nacional de Electricidad y Energías Limpias - Cuermavaca, México
Universidad de Morelos</v>
      </c>
      <c r="W108" s="4" t="str">
        <f>IFERROR(__xludf.DUMMYFUNCTION("""COMPUTED_VALUE"""),"Proyecto")</f>
        <v>Proyecto</v>
      </c>
      <c r="X108" s="4" t="str">
        <f>IFERROR(__xludf.DUMMYFUNCTION("""COMPUTED_VALUE"""),"UniValle")</f>
        <v>UniValle</v>
      </c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 t="str">
        <f>IFERROR(__xludf.DUMMYFUNCTION("""COMPUTED_VALUE"""),"Ninguna")</f>
        <v>Ninguna</v>
      </c>
      <c r="AL108" s="4"/>
      <c r="AM108" s="4" t="str">
        <f>IFERROR(__xludf.DUMMYFUNCTION("""COMPUTED_VALUE"""),"Obligatorio")</f>
        <v>Obligatorio</v>
      </c>
      <c r="AN108" s="4">
        <f>IFERROR(__xludf.DUMMYFUNCTION("""COMPUTED_VALUE"""),6.0)</f>
        <v>6</v>
      </c>
      <c r="AO108" s="4">
        <f>IFERROR(__xludf.DUMMYFUNCTION("""COMPUTED_VALUE"""),2.0)</f>
        <v>2</v>
      </c>
      <c r="AP108" s="4">
        <f>IFERROR(__xludf.DUMMYFUNCTION("""COMPUTED_VALUE"""),3.0)</f>
        <v>3</v>
      </c>
      <c r="AQ108" s="4">
        <f>IFERROR(__xludf.DUMMYFUNCTION("""COMPUTED_VALUE"""),1.0)</f>
        <v>1</v>
      </c>
      <c r="AR108" s="4">
        <f>IFERROR(__xludf.DUMMYFUNCTION("""COMPUTED_VALUE"""),3.0)</f>
        <v>3</v>
      </c>
      <c r="AS108" s="4">
        <f>IFERROR(__xludf.DUMMYFUNCTION("""COMPUTED_VALUE"""),1.0)</f>
        <v>1</v>
      </c>
      <c r="AT108" s="4" t="str">
        <f>IFERROR(__xludf.DUMMYFUNCTION("""COMPUTED_VALUE"""),"OPTIMAL PLANNING, DESIGN AND OPERATION OF A 
REGIONAL ENERGY MIX USING RENEWABLE 
GENERATION. 
STUDY CASE: YUCATAN PENINSULA")</f>
        <v>OPTIMAL PLANNING, DESIGN AND OPERATION OF A 
REGIONAL ENERGY MIX USING RENEWABLE 
GENERATION. 
STUDY CASE: YUCATAN PENINSULA</v>
      </c>
      <c r="AU108" s="5" t="str">
        <f>IFERROR(__xludf.DUMMYFUNCTION("""COMPUTED_VALUE"""),"https://drive.google.com/file/d/1t75IBdxAeC534qhqOMSPSgeOzvuBiJKI/view?usp=sharing")</f>
        <v>https://drive.google.com/file/d/1t75IBdxAeC534qhqOMSPSgeOzvuBiJKI/view?usp=sharing</v>
      </c>
      <c r="AV108" s="4"/>
      <c r="AW108" s="4"/>
      <c r="AX108" s="4">
        <f>IFERROR(__xludf.DUMMYFUNCTION("""COMPUTED_VALUE"""),4.0)</f>
        <v>4</v>
      </c>
      <c r="AY108" s="4" t="str">
        <f>IFERROR(__xludf.DUMMYFUNCTION("""COMPUTED_VALUE"""),"OPTIMAL PLANNING, DESIGN AND OPERATION OF A 
REGIONAL ENERGY MIX USING RENEWABLE 
GENERATION. 
STUDY CASE: YUCATAN PENINSULA")</f>
        <v>OPTIMAL PLANNING, DESIGN AND OPERATION OF A 
REGIONAL ENERGY MIX USING RENEWABLE 
GENERATION. 
STUDY CASE: YUCATAN PENINSULA</v>
      </c>
      <c r="AZ108" s="4"/>
      <c r="BA108" s="6" t="s">
        <v>185</v>
      </c>
      <c r="BB108" s="6" t="s">
        <v>111</v>
      </c>
      <c r="BC108" s="6" t="s">
        <v>186</v>
      </c>
      <c r="BD108" s="6" t="s">
        <v>191</v>
      </c>
      <c r="BE108" s="6" t="s">
        <v>192</v>
      </c>
      <c r="BG108" s="6" t="s">
        <v>193</v>
      </c>
      <c r="BH108" s="6" t="s">
        <v>192</v>
      </c>
      <c r="BJ108" s="6" t="s">
        <v>194</v>
      </c>
      <c r="BK108" s="6" t="s">
        <v>195</v>
      </c>
      <c r="BM108" s="6" t="s">
        <v>187</v>
      </c>
      <c r="BN108" s="6" t="s">
        <v>111</v>
      </c>
      <c r="BO108" s="6" t="s">
        <v>186</v>
      </c>
      <c r="BP108" s="6" t="s">
        <v>188</v>
      </c>
      <c r="BQ108" s="6" t="s">
        <v>111</v>
      </c>
      <c r="BR108" s="6" t="s">
        <v>186</v>
      </c>
      <c r="CQ108" s="6" t="s">
        <v>196</v>
      </c>
    </row>
    <row r="109">
      <c r="A109" s="4" t="str">
        <f>IFERROR(__xludf.DUMMYFUNCTION("""COMPUTED_VALUE"""),"Proy14")</f>
        <v>Proy14</v>
      </c>
      <c r="B109" s="4" t="str">
        <f>IFERROR(__xludf.DUMMYFUNCTION("""COMPUTED_VALUE"""),"Docencia")</f>
        <v>Docencia</v>
      </c>
      <c r="C109" s="4" t="str">
        <f>IFERROR(__xludf.DUMMYFUNCTION("""COMPUTED_VALUE"""),"Creación de cursos de Maestría")</f>
        <v>Creación de cursos de Maestría</v>
      </c>
      <c r="D109" s="4" t="str">
        <f>IFERROR(__xludf.DUMMYFUNCTION("""COMPUTED_VALUE"""),"Creación de cursos de Maestría")</f>
        <v>Creación de cursos de Maestría</v>
      </c>
      <c r="E109" s="4" t="str">
        <f>IFERROR(__xludf.DUMMYFUNCTION("""COMPUTED_VALUE"""),"Creación de cursos de pregrado")</f>
        <v>Creación de cursos de pregrado</v>
      </c>
      <c r="F109" s="4" t="str">
        <f>IFERROR(__xludf.DUMMYFUNCTION("""COMPUTED_VALUE"""),"Creación de maestría")</f>
        <v>Creación de maestría</v>
      </c>
      <c r="G109" s="4" t="str">
        <f>IFERROR(__xludf.DUMMYFUNCTION("""COMPUTED_VALUE"""),"Creación de doctorado")</f>
        <v>Creación de doctorado</v>
      </c>
      <c r="H109" s="4" t="str">
        <f>IFERROR(__xludf.DUMMYFUNCTION("""COMPUTED_VALUE"""),"Creación de cursos de Doctorado")</f>
        <v>Creación de cursos de Doctorado</v>
      </c>
      <c r="I109" s="4" t="str">
        <f>IFERROR(__xludf.DUMMYFUNCTION("""COMPUTED_VALUE"""),"Autoevaluación de programa de pregrado")</f>
        <v>Autoevaluación de programa de pregrado</v>
      </c>
      <c r="J109" s="4" t="str">
        <f>IFERROR(__xludf.DUMMYFUNCTION("""COMPUTED_VALUE"""),"Autoevaluación de programa de maestría")</f>
        <v>Autoevaluación de programa de maestría</v>
      </c>
      <c r="K109" s="4" t="str">
        <f>IFERROR(__xludf.DUMMYFUNCTION("""COMPUTED_VALUE"""),"Autoevaluación de programa de doctorado")</f>
        <v>Autoevaluación de programa de doctorado</v>
      </c>
      <c r="L109" s="4" t="str">
        <f>IFERROR(__xludf.DUMMYFUNCTION("""COMPUTED_VALUE"""),"Autoevaluación de universidad")</f>
        <v>Autoevaluación de universidad</v>
      </c>
      <c r="M109" s="4"/>
      <c r="N109" s="4"/>
      <c r="O109" s="4"/>
      <c r="P109" s="4"/>
      <c r="Q109" s="4"/>
      <c r="R109" s="4"/>
      <c r="S109" s="4"/>
      <c r="T109" s="4"/>
      <c r="U109" s="4" t="str">
        <f>IFERROR(__xludf.DUMMYFUNCTION("""COMPUTED_VALUE"""),"Ninguna")</f>
        <v>Ninguna</v>
      </c>
      <c r="V109" s="4"/>
      <c r="W109" s="4" t="str">
        <f>IFERROR(__xludf.DUMMYFUNCTION("""COMPUTED_VALUE"""),"Proyecto")</f>
        <v>Proyecto</v>
      </c>
      <c r="X109" s="4" t="str">
        <f>IFERROR(__xludf.DUMMYFUNCTION("""COMPUTED_VALUE"""),"UniValle, U. Nariño")</f>
        <v>UniValle, U. Nariño</v>
      </c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 t="str">
        <f>IFERROR(__xludf.DUMMYFUNCTION("""COMPUTED_VALUE"""),"Ninguna")</f>
        <v>Ninguna</v>
      </c>
      <c r="AL109" s="4"/>
      <c r="AM109" s="4" t="str">
        <f>IFERROR(__xludf.DUMMYFUNCTION("""COMPUTED_VALUE"""),"Obligatorio")</f>
        <v>Obligatorio</v>
      </c>
      <c r="AN109" s="4"/>
      <c r="AO109" s="4"/>
      <c r="AP109" s="4"/>
      <c r="AQ109" s="4"/>
      <c r="AR109" s="4"/>
      <c r="AS109" s="4"/>
      <c r="AT109" s="4" t="str">
        <f>IFERROR(__xludf.DUMMYFUNCTION("""COMPUTED_VALUE"""),"Curso de Microrredes")</f>
        <v>Curso de Microrredes</v>
      </c>
      <c r="AU109" s="5" t="str">
        <f>IFERROR(__xludf.DUMMYFUNCTION("""COMPUTED_VALUE"""),"https://drive.google.com/file/d/15xYSOEDGDxox7BwG_9_iHBjBHwZK7eb1/view?usp=sharing")</f>
        <v>https://drive.google.com/file/d/15xYSOEDGDxox7BwG_9_iHBjBHwZK7eb1/view?usp=sharing</v>
      </c>
      <c r="AV109" s="4"/>
      <c r="AW109" s="4"/>
      <c r="AX109" s="4">
        <f>IFERROR(__xludf.DUMMYFUNCTION("""COMPUTED_VALUE"""),4.0)</f>
        <v>4</v>
      </c>
      <c r="AY109" s="4" t="str">
        <f>IFERROR(__xludf.DUMMYFUNCTION("""COMPUTED_VALUE"""),"Curso de Microrredes")</f>
        <v>Curso de Microrredes</v>
      </c>
      <c r="AZ109" s="4"/>
    </row>
    <row r="110">
      <c r="A110" s="4" t="str">
        <f>IFERROR(__xludf.DUMMYFUNCTION("""COMPUTED_VALUE"""),"Proy12")</f>
        <v>Proy12</v>
      </c>
      <c r="B110" s="4" t="str">
        <f>IFERROR(__xludf.DUMMYFUNCTION("""COMPUTED_VALUE"""),"Apropiación")</f>
        <v>Apropiación</v>
      </c>
      <c r="C110" s="4" t="str">
        <f>IFERROR(__xludf.DUMMYFUNCTION("""COMPUTED_VALUE"""),"Ponencia")</f>
        <v>Ponencia</v>
      </c>
      <c r="D110" s="4" t="str">
        <f>IFERROR(__xludf.DUMMYFUNCTION("""COMPUTED_VALUE"""),"Ponencia")</f>
        <v>Ponencia</v>
      </c>
      <c r="E110" s="4" t="str">
        <f>IFERROR(__xludf.DUMMYFUNCTION("""COMPUTED_VALUE"""),"Evento científico")</f>
        <v>Evento científico</v>
      </c>
      <c r="F110" s="4" t="str">
        <f>IFERROR(__xludf.DUMMYFUNCTION("""COMPUTED_VALUE"""),"Cartilla")</f>
        <v>Cartilla</v>
      </c>
      <c r="G110" s="4" t="str">
        <f>IFERROR(__xludf.DUMMYFUNCTION("""COMPUTED_VALUE"""),"Curso de capacitación, seminario o taller")</f>
        <v>Curso de capacitación, seminario o taller</v>
      </c>
      <c r="H110" s="4" t="str">
        <f>IFERROR(__xludf.DUMMYFUNCTION("""COMPUTED_VALUE"""),"Socialización de resultados a actores del sector")</f>
        <v>Socialización de resultados a actores del sector</v>
      </c>
      <c r="I110" s="4" t="str">
        <f>IFERROR(__xludf.DUMMYFUNCTION("""COMPUTED_VALUE"""),"Articulación de redes de conocimiento")</f>
        <v>Articulación de redes de conocimiento</v>
      </c>
      <c r="J110" s="4" t="str">
        <f>IFERROR(__xludf.DUMMYFUNCTION("""COMPUTED_VALUE"""),"Circulación de conocimiento especializado - boletines")</f>
        <v>Circulación de conocimiento especializado - boletines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 t="str">
        <f>IFERROR(__xludf.DUMMYFUNCTION("""COMPUTED_VALUE"""),"Ninguna")</f>
        <v>Ninguna</v>
      </c>
      <c r="V110" s="4"/>
      <c r="W110" s="4" t="str">
        <f>IFERROR(__xludf.DUMMYFUNCTION("""COMPUTED_VALUE"""),"Proyecto")</f>
        <v>Proyecto</v>
      </c>
      <c r="X110" s="4" t="str">
        <f>IFERROR(__xludf.DUMMYFUNCTION("""COMPUTED_VALUE"""),"UdeA")</f>
        <v>UdeA</v>
      </c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 t="str">
        <f>IFERROR(__xludf.DUMMYFUNCTION("""COMPUTED_VALUE"""),"Ninguna")</f>
        <v>Ninguna</v>
      </c>
      <c r="AL110" s="4"/>
      <c r="AM110" s="4" t="str">
        <f>IFERROR(__xludf.DUMMYFUNCTION("""COMPUTED_VALUE"""),"Obligatorio")</f>
        <v>Obligatorio</v>
      </c>
      <c r="AN110" s="4">
        <f>IFERROR(__xludf.DUMMYFUNCTION("""COMPUTED_VALUE"""),3.0)</f>
        <v>3</v>
      </c>
      <c r="AO110" s="4">
        <f>IFERROR(__xludf.DUMMYFUNCTION("""COMPUTED_VALUE"""),3.0)</f>
        <v>3</v>
      </c>
      <c r="AP110" s="4">
        <f>IFERROR(__xludf.DUMMYFUNCTION("""COMPUTED_VALUE"""),2.0)</f>
        <v>2</v>
      </c>
      <c r="AQ110" s="4">
        <f>IFERROR(__xludf.DUMMYFUNCTION("""COMPUTED_VALUE"""),2.0)</f>
        <v>2</v>
      </c>
      <c r="AR110" s="4">
        <f>IFERROR(__xludf.DUMMYFUNCTION("""COMPUTED_VALUE"""),1.0)</f>
        <v>1</v>
      </c>
      <c r="AS110" s="4">
        <f>IFERROR(__xludf.DUMMYFUNCTION("""COMPUTED_VALUE"""),1.0)</f>
        <v>1</v>
      </c>
      <c r="AT110" s="4" t="str">
        <f>IFERROR(__xludf.DUMMYFUNCTION("""COMPUTED_VALUE"""),"2019 Congreso Colombiano y Conferencia Internacional de Calidad de Aire y Salud Pública (CASP)")</f>
        <v>2019 Congreso Colombiano y Conferencia Internacional de Calidad de Aire y Salud Pública (CASP)</v>
      </c>
      <c r="AU110" s="5" t="str">
        <f>IFERROR(__xludf.DUMMYFUNCTION("""COMPUTED_VALUE"""),"https://drive.google.com/file/d/1KnT2zJWhDzeqsIfcavpgZyCT6c_g14Mm/view?usp=sharing")</f>
        <v>https://drive.google.com/file/d/1KnT2zJWhDzeqsIfcavpgZyCT6c_g14Mm/view?usp=sharing</v>
      </c>
      <c r="AV110" s="4"/>
      <c r="AW110" s="4"/>
      <c r="AX110" s="4">
        <f>IFERROR(__xludf.DUMMYFUNCTION("""COMPUTED_VALUE"""),4.0)</f>
        <v>4</v>
      </c>
      <c r="AY110" s="4" t="str">
        <f>IFERROR(__xludf.DUMMYFUNCTION("""COMPUTED_VALUE"""),"Evaluación de las emisiones de Hidrocarburos
Aromáticos Policíclicos (HAP) en fase partícula
provenientes de mezclas diésel/biodiésel de palma")</f>
        <v>Evaluación de las emisiones de Hidrocarburos
Aromáticos Policíclicos (HAP) en fase partícula
provenientes de mezclas diésel/biodiésel de palma</v>
      </c>
      <c r="AZ110" s="4"/>
      <c r="BA110" s="6" t="s">
        <v>197</v>
      </c>
      <c r="BB110" s="6" t="s">
        <v>45</v>
      </c>
      <c r="BC110" s="6" t="s">
        <v>198</v>
      </c>
      <c r="BD110" s="6" t="s">
        <v>199</v>
      </c>
      <c r="BE110" s="6" t="s">
        <v>45</v>
      </c>
      <c r="BF110" s="6" t="s">
        <v>56</v>
      </c>
      <c r="BG110" s="6" t="s">
        <v>200</v>
      </c>
      <c r="BH110" s="6" t="s">
        <v>45</v>
      </c>
      <c r="BI110" s="6" t="s">
        <v>198</v>
      </c>
    </row>
    <row r="111">
      <c r="A111" s="4" t="str">
        <f>IFERROR(__xludf.DUMMYFUNCTION("""COMPUTED_VALUE"""),"Proy10")</f>
        <v>Proy10</v>
      </c>
      <c r="B111" s="4" t="str">
        <f>IFERROR(__xludf.DUMMYFUNCTION("""COMPUTED_VALUE"""),"Apropiación")</f>
        <v>Apropiación</v>
      </c>
      <c r="C111" s="4" t="str">
        <f>IFERROR(__xludf.DUMMYFUNCTION("""COMPUTED_VALUE"""),"Ponencia")</f>
        <v>Ponencia</v>
      </c>
      <c r="D111" s="4" t="str">
        <f>IFERROR(__xludf.DUMMYFUNCTION("""COMPUTED_VALUE"""),"Ponencia")</f>
        <v>Ponencia</v>
      </c>
      <c r="E111" s="4" t="str">
        <f>IFERROR(__xludf.DUMMYFUNCTION("""COMPUTED_VALUE"""),"Evento científico")</f>
        <v>Evento científico</v>
      </c>
      <c r="F111" s="4" t="str">
        <f>IFERROR(__xludf.DUMMYFUNCTION("""COMPUTED_VALUE"""),"Cartilla")</f>
        <v>Cartilla</v>
      </c>
      <c r="G111" s="4" t="str">
        <f>IFERROR(__xludf.DUMMYFUNCTION("""COMPUTED_VALUE"""),"Curso de capacitación, seminario o taller")</f>
        <v>Curso de capacitación, seminario o taller</v>
      </c>
      <c r="H111" s="4" t="str">
        <f>IFERROR(__xludf.DUMMYFUNCTION("""COMPUTED_VALUE"""),"Socialización de resultados a actores del sector")</f>
        <v>Socialización de resultados a actores del sector</v>
      </c>
      <c r="I111" s="4" t="str">
        <f>IFERROR(__xludf.DUMMYFUNCTION("""COMPUTED_VALUE"""),"Articulación de redes de conocimiento")</f>
        <v>Articulación de redes de conocimiento</v>
      </c>
      <c r="J111" s="4" t="str">
        <f>IFERROR(__xludf.DUMMYFUNCTION("""COMPUTED_VALUE"""),"Circulación de conocimiento especializado - boletines")</f>
        <v>Circulación de conocimiento especializado - boletines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 t="str">
        <f>IFERROR(__xludf.DUMMYFUNCTION("""COMPUTED_VALUE"""),"Ninguna")</f>
        <v>Ninguna</v>
      </c>
      <c r="V111" s="4"/>
      <c r="W111" s="4" t="str">
        <f>IFERROR(__xludf.DUMMYFUNCTION("""COMPUTED_VALUE"""),"Proyecto")</f>
        <v>Proyecto</v>
      </c>
      <c r="X111" s="4" t="str">
        <f>IFERROR(__xludf.DUMMYFUNCTION("""COMPUTED_VALUE"""),"UdeA")</f>
        <v>UdeA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 t="str">
        <f>IFERROR(__xludf.DUMMYFUNCTION("""COMPUTED_VALUE"""),"Ninguna")</f>
        <v>Ninguna</v>
      </c>
      <c r="AL111" s="4"/>
      <c r="AM111" s="4" t="str">
        <f>IFERROR(__xludf.DUMMYFUNCTION("""COMPUTED_VALUE"""),"Obligatorio")</f>
        <v>Obligatorio</v>
      </c>
      <c r="AN111" s="4">
        <f>IFERROR(__xludf.DUMMYFUNCTION("""COMPUTED_VALUE"""),4.0)</f>
        <v>4</v>
      </c>
      <c r="AO111" s="4">
        <f>IFERROR(__xludf.DUMMYFUNCTION("""COMPUTED_VALUE"""),4.0)</f>
        <v>4</v>
      </c>
      <c r="AP111" s="4">
        <f>IFERROR(__xludf.DUMMYFUNCTION("""COMPUTED_VALUE"""),1.0)</f>
        <v>1</v>
      </c>
      <c r="AQ111" s="4">
        <f>IFERROR(__xludf.DUMMYFUNCTION("""COMPUTED_VALUE"""),1.0)</f>
        <v>1</v>
      </c>
      <c r="AR111" s="4">
        <f>IFERROR(__xludf.DUMMYFUNCTION("""COMPUTED_VALUE"""),1.0)</f>
        <v>1</v>
      </c>
      <c r="AS111" s="4">
        <f>IFERROR(__xludf.DUMMYFUNCTION("""COMPUTED_VALUE"""),1.0)</f>
        <v>1</v>
      </c>
      <c r="AT111" s="4" t="str">
        <f>IFERROR(__xludf.DUMMYFUNCTION("""COMPUTED_VALUE"""),"CONGRESO INTERNACIONAL DE GESTIÓN INTEGRAL FRENTE AL CAMBIO CLIMÁTICO")</f>
        <v>CONGRESO INTERNACIONAL DE GESTIÓN INTEGRAL FRENTE AL CAMBIO CLIMÁTICO</v>
      </c>
      <c r="AU111" s="5" t="str">
        <f>IFERROR(__xludf.DUMMYFUNCTION("""COMPUTED_VALUE"""),"https://drive.google.com/file/d/1fb0qhaRRtIRW7-GNmxiah4t6sNxV_TZb/view?usp=sharing")</f>
        <v>https://drive.google.com/file/d/1fb0qhaRRtIRW7-GNmxiah4t6sNxV_TZb/view?usp=sharing</v>
      </c>
      <c r="AV111" s="4"/>
      <c r="AW111" s="4"/>
      <c r="AX111" s="4">
        <f>IFERROR(__xludf.DUMMYFUNCTION("""COMPUTED_VALUE"""),4.0)</f>
        <v>4</v>
      </c>
      <c r="AY111" s="4" t="str">
        <f>IFERROR(__xludf.DUMMYFUNCTION("""COMPUTED_VALUE"""),"REDUCCIÓN DE LAS EMISIONES DE CO, NOX Y MATERIAL PARTICULADO PARA COMBUSTIBLES LÍQUIDOS Y GASEOSOS MEDIANTE COMBUSTIÓN SIN LLAMA.")</f>
        <v>REDUCCIÓN DE LAS EMISIONES DE CO, NOX Y MATERIAL PARTICULADO PARA COMBUSTIBLES LÍQUIDOS Y GASEOSOS MEDIANTE COMBUSTIÓN SIN LLAMA.</v>
      </c>
      <c r="AZ111" s="4"/>
      <c r="BA111" s="6" t="s">
        <v>201</v>
      </c>
      <c r="BB111" s="6" t="s">
        <v>45</v>
      </c>
      <c r="BC111" s="6" t="s">
        <v>175</v>
      </c>
      <c r="BD111" s="6" t="s">
        <v>202</v>
      </c>
      <c r="BE111" s="6" t="s">
        <v>45</v>
      </c>
      <c r="BF111" s="6" t="s">
        <v>175</v>
      </c>
      <c r="BG111" s="6" t="s">
        <v>203</v>
      </c>
      <c r="BH111" s="6" t="s">
        <v>45</v>
      </c>
      <c r="BI111" s="6" t="s">
        <v>175</v>
      </c>
      <c r="BJ111" s="6" t="s">
        <v>204</v>
      </c>
      <c r="BK111" s="6" t="s">
        <v>45</v>
      </c>
      <c r="BL111" s="6" t="s">
        <v>175</v>
      </c>
      <c r="BM111" s="6" t="s">
        <v>205</v>
      </c>
      <c r="BN111" s="6" t="s">
        <v>45</v>
      </c>
      <c r="BO111" s="6" t="s">
        <v>175</v>
      </c>
    </row>
    <row r="112">
      <c r="A112" s="4" t="str">
        <f>IFERROR(__xludf.DUMMYFUNCTION("""COMPUTED_VALUE"""),"Proy10")</f>
        <v>Proy10</v>
      </c>
      <c r="B112" s="4" t="str">
        <f>IFERROR(__xludf.DUMMYFUNCTION("""COMPUTED_VALUE"""),"Nuevo_Conocimiento")</f>
        <v>Nuevo_Conocimiento</v>
      </c>
      <c r="C112" s="4" t="str">
        <f>IFERROR(__xludf.DUMMYFUNCTION("""COMPUTED_VALUE"""),"Artículo A1")</f>
        <v>Artículo A1</v>
      </c>
      <c r="D112" s="4" t="str">
        <f>IFERROR(__xludf.DUMMYFUNCTION("""COMPUTED_VALUE"""),"Artículo A1")</f>
        <v>Artículo A1</v>
      </c>
      <c r="E112" s="4" t="str">
        <f>IFERROR(__xludf.DUMMYFUNCTION("""COMPUTED_VALUE"""),"Artículo A2")</f>
        <v>Artículo A2</v>
      </c>
      <c r="F112" s="4" t="str">
        <f>IFERROR(__xludf.DUMMYFUNCTION("""COMPUTED_VALUE"""),"Artículo B")</f>
        <v>Artículo B</v>
      </c>
      <c r="G112" s="4" t="str">
        <f>IFERROR(__xludf.DUMMYFUNCTION("""COMPUTED_VALUE"""),"Artículo C")</f>
        <v>Artículo C</v>
      </c>
      <c r="H112" s="4" t="str">
        <f>IFERROR(__xludf.DUMMYFUNCTION("""COMPUTED_VALUE"""),"Capítulo de libro A")</f>
        <v>Capítulo de libro A</v>
      </c>
      <c r="I112" s="4" t="str">
        <f>IFERROR(__xludf.DUMMYFUNCTION("""COMPUTED_VALUE"""),"Capítulo de libro A1")</f>
        <v>Capítulo de libro A1</v>
      </c>
      <c r="J112" s="4" t="str">
        <f>IFERROR(__xludf.DUMMYFUNCTION("""COMPUTED_VALUE"""),"Capítulo de libro B")</f>
        <v>Capítulo de libro B</v>
      </c>
      <c r="K112" s="4" t="str">
        <f>IFERROR(__xludf.DUMMYFUNCTION("""COMPUTED_VALUE"""),"Libro A")</f>
        <v>Libro A</v>
      </c>
      <c r="L112" s="4" t="str">
        <f>IFERROR(__xludf.DUMMYFUNCTION("""COMPUTED_VALUE"""),"Libro A1")</f>
        <v>Libro A1</v>
      </c>
      <c r="M112" s="4" t="str">
        <f>IFERROR(__xludf.DUMMYFUNCTION("""COMPUTED_VALUE"""),"Libro B")</f>
        <v>Libro B</v>
      </c>
      <c r="N112" s="4" t="str">
        <f>IFERROR(__xludf.DUMMYFUNCTION("""COMPUTED_VALUE"""),"Solicitud Patente de invención y-o modelo de utitlidad")</f>
        <v>Solicitud Patente de invención y-o modelo de utitlidad</v>
      </c>
      <c r="O112" s="4" t="str">
        <f>IFERROR(__xludf.DUMMYFUNCTION("""COMPUTED_VALUE"""),"Patente de invención")</f>
        <v>Patente de invención</v>
      </c>
      <c r="P112" s="4" t="str">
        <f>IFERROR(__xludf.DUMMYFUNCTION("""COMPUTED_VALUE"""),"Patente de modelo de utilidad")</f>
        <v>Patente de modelo de utilidad</v>
      </c>
      <c r="Q112" s="4" t="str">
        <f>IFERROR(__xludf.DUMMYFUNCTION("""COMPUTED_VALUE"""),"Artículo sin clasificar")</f>
        <v>Artículo sin clasificar</v>
      </c>
      <c r="R112" s="4" t="str">
        <f>IFERROR(__xludf.DUMMYFUNCTION("""COMPUTED_VALUE"""),"Capítulo sin clasificar")</f>
        <v>Capítulo sin clasificar</v>
      </c>
      <c r="S112" s="4"/>
      <c r="T112" s="4"/>
      <c r="U112" s="4" t="str">
        <f>IFERROR(__xludf.DUMMYFUNCTION("""COMPUTED_VALUE"""),"Ninguna")</f>
        <v>Ninguna</v>
      </c>
      <c r="V112" s="4"/>
      <c r="W112" s="4" t="str">
        <f>IFERROR(__xludf.DUMMYFUNCTION("""COMPUTED_VALUE"""),"Proyecto")</f>
        <v>Proyecto</v>
      </c>
      <c r="X112" s="4" t="str">
        <f>IFERROR(__xludf.DUMMYFUNCTION("""COMPUTED_VALUE"""),"UdeA")</f>
        <v>UdeA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 t="str">
        <f>IFERROR(__xludf.DUMMYFUNCTION("""COMPUTED_VALUE"""),"Ninguna")</f>
        <v>Ninguna</v>
      </c>
      <c r="AL112" s="4"/>
      <c r="AM112" s="4" t="str">
        <f>IFERROR(__xludf.DUMMYFUNCTION("""COMPUTED_VALUE"""),"Obligatorio")</f>
        <v>Obligatorio</v>
      </c>
      <c r="AN112" s="4">
        <f>IFERROR(__xludf.DUMMYFUNCTION("""COMPUTED_VALUE"""),4.0)</f>
        <v>4</v>
      </c>
      <c r="AO112" s="4">
        <f>IFERROR(__xludf.DUMMYFUNCTION("""COMPUTED_VALUE"""),4.0)</f>
        <v>4</v>
      </c>
      <c r="AP112" s="4">
        <f>IFERROR(__xludf.DUMMYFUNCTION("""COMPUTED_VALUE"""),1.0)</f>
        <v>1</v>
      </c>
      <c r="AQ112" s="4">
        <f>IFERROR(__xludf.DUMMYFUNCTION("""COMPUTED_VALUE"""),1.0)</f>
        <v>1</v>
      </c>
      <c r="AR112" s="4">
        <f>IFERROR(__xludf.DUMMYFUNCTION("""COMPUTED_VALUE"""),1.0)</f>
        <v>1</v>
      </c>
      <c r="AS112" s="4">
        <f>IFERROR(__xludf.DUMMYFUNCTION("""COMPUTED_VALUE"""),1.0)</f>
        <v>1</v>
      </c>
      <c r="AT112" s="5" t="str">
        <f>IFERROR(__xludf.DUMMYFUNCTION("""COMPUTED_VALUE"""),"https://doi.org/10.1115/1.4047571")</f>
        <v>https://doi.org/10.1115/1.4047571</v>
      </c>
      <c r="AU112" s="5" t="str">
        <f>IFERROR(__xludf.DUMMYFUNCTION("""COMPUTED_VALUE"""),"https://drive.google.com/file/d/1XtrsZ9FMaoa13e-i1wTHU3dU7oUHcSf1/view?usp=sharing")</f>
        <v>https://drive.google.com/file/d/1XtrsZ9FMaoa13e-i1wTHU3dU7oUHcSf1/view?usp=sharing</v>
      </c>
      <c r="AV112" s="4"/>
      <c r="AW112" s="4"/>
      <c r="AX112" s="4">
        <f>IFERROR(__xludf.DUMMYFUNCTION("""COMPUTED_VALUE"""),4.0)</f>
        <v>4</v>
      </c>
      <c r="AY112" s="4" t="str">
        <f>IFERROR(__xludf.DUMMYFUNCTION("""COMPUTED_VALUE"""),"Numerical and experimental study of the
effect of injected CO2 flow on the stability of
flameless combustion")</f>
        <v>Numerical and experimental study of the
effect of injected CO2 flow on the stability of
flameless combustion</v>
      </c>
      <c r="AZ112" s="4"/>
      <c r="BA112" s="6" t="s">
        <v>206</v>
      </c>
      <c r="BB112" s="6" t="s">
        <v>45</v>
      </c>
      <c r="BC112" s="6" t="s">
        <v>175</v>
      </c>
      <c r="BD112" s="6" t="s">
        <v>207</v>
      </c>
      <c r="BE112" s="6" t="s">
        <v>45</v>
      </c>
      <c r="BF112" s="6" t="s">
        <v>175</v>
      </c>
      <c r="BG112" s="6" t="s">
        <v>208</v>
      </c>
      <c r="BH112" s="6" t="s">
        <v>45</v>
      </c>
      <c r="BI112" s="6" t="s">
        <v>175</v>
      </c>
      <c r="BJ112" s="6" t="s">
        <v>205</v>
      </c>
      <c r="BK112" s="6" t="s">
        <v>45</v>
      </c>
      <c r="BL112" s="6" t="s">
        <v>175</v>
      </c>
      <c r="CQ112" s="6" t="s">
        <v>178</v>
      </c>
      <c r="CR112" s="6">
        <v>1.1</v>
      </c>
    </row>
    <row r="113">
      <c r="A113" s="4" t="str">
        <f>IFERROR(__xludf.DUMMYFUNCTION("""COMPUTED_VALUE"""),"Proy10")</f>
        <v>Proy10</v>
      </c>
      <c r="B113" s="4" t="str">
        <f>IFERROR(__xludf.DUMMYFUNCTION("""COMPUTED_VALUE"""),"Nuevo_Conocimiento")</f>
        <v>Nuevo_Conocimiento</v>
      </c>
      <c r="C113" s="4" t="str">
        <f>IFERROR(__xludf.DUMMYFUNCTION("""COMPUTED_VALUE"""),"Artículo A1")</f>
        <v>Artículo A1</v>
      </c>
      <c r="D113" s="4" t="str">
        <f>IFERROR(__xludf.DUMMYFUNCTION("""COMPUTED_VALUE"""),"Artículo A1")</f>
        <v>Artículo A1</v>
      </c>
      <c r="E113" s="4" t="str">
        <f>IFERROR(__xludf.DUMMYFUNCTION("""COMPUTED_VALUE"""),"Artículo A2")</f>
        <v>Artículo A2</v>
      </c>
      <c r="F113" s="4" t="str">
        <f>IFERROR(__xludf.DUMMYFUNCTION("""COMPUTED_VALUE"""),"Artículo B")</f>
        <v>Artículo B</v>
      </c>
      <c r="G113" s="4" t="str">
        <f>IFERROR(__xludf.DUMMYFUNCTION("""COMPUTED_VALUE"""),"Artículo C")</f>
        <v>Artículo C</v>
      </c>
      <c r="H113" s="4" t="str">
        <f>IFERROR(__xludf.DUMMYFUNCTION("""COMPUTED_VALUE"""),"Capítulo de libro A")</f>
        <v>Capítulo de libro A</v>
      </c>
      <c r="I113" s="4" t="str">
        <f>IFERROR(__xludf.DUMMYFUNCTION("""COMPUTED_VALUE"""),"Capítulo de libro A1")</f>
        <v>Capítulo de libro A1</v>
      </c>
      <c r="J113" s="4" t="str">
        <f>IFERROR(__xludf.DUMMYFUNCTION("""COMPUTED_VALUE"""),"Capítulo de libro B")</f>
        <v>Capítulo de libro B</v>
      </c>
      <c r="K113" s="4" t="str">
        <f>IFERROR(__xludf.DUMMYFUNCTION("""COMPUTED_VALUE"""),"Libro A")</f>
        <v>Libro A</v>
      </c>
      <c r="L113" s="4" t="str">
        <f>IFERROR(__xludf.DUMMYFUNCTION("""COMPUTED_VALUE"""),"Libro A1")</f>
        <v>Libro A1</v>
      </c>
      <c r="M113" s="4" t="str">
        <f>IFERROR(__xludf.DUMMYFUNCTION("""COMPUTED_VALUE"""),"Libro B")</f>
        <v>Libro B</v>
      </c>
      <c r="N113" s="4" t="str">
        <f>IFERROR(__xludf.DUMMYFUNCTION("""COMPUTED_VALUE"""),"Solicitud Patente de invención y-o modelo de utitlidad")</f>
        <v>Solicitud Patente de invención y-o modelo de utitlidad</v>
      </c>
      <c r="O113" s="4" t="str">
        <f>IFERROR(__xludf.DUMMYFUNCTION("""COMPUTED_VALUE"""),"Patente de invención")</f>
        <v>Patente de invención</v>
      </c>
      <c r="P113" s="4" t="str">
        <f>IFERROR(__xludf.DUMMYFUNCTION("""COMPUTED_VALUE"""),"Patente de modelo de utilidad")</f>
        <v>Patente de modelo de utilidad</v>
      </c>
      <c r="Q113" s="4" t="str">
        <f>IFERROR(__xludf.DUMMYFUNCTION("""COMPUTED_VALUE"""),"Artículo sin clasificar")</f>
        <v>Artículo sin clasificar</v>
      </c>
      <c r="R113" s="4" t="str">
        <f>IFERROR(__xludf.DUMMYFUNCTION("""COMPUTED_VALUE"""),"Capítulo sin clasificar")</f>
        <v>Capítulo sin clasificar</v>
      </c>
      <c r="S113" s="4"/>
      <c r="T113" s="4"/>
      <c r="U113" s="4" t="str">
        <f>IFERROR(__xludf.DUMMYFUNCTION("""COMPUTED_VALUE"""),"Ninguna")</f>
        <v>Ninguna</v>
      </c>
      <c r="V113" s="4"/>
      <c r="W113" s="4" t="str">
        <f>IFERROR(__xludf.DUMMYFUNCTION("""COMPUTED_VALUE"""),"Proyecto")</f>
        <v>Proyecto</v>
      </c>
      <c r="X113" s="4" t="str">
        <f>IFERROR(__xludf.DUMMYFUNCTION("""COMPUTED_VALUE"""),"UdeA")</f>
        <v>UdeA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 t="str">
        <f>IFERROR(__xludf.DUMMYFUNCTION("""COMPUTED_VALUE"""),"Ninguna")</f>
        <v>Ninguna</v>
      </c>
      <c r="AL113" s="4"/>
      <c r="AM113" s="4" t="str">
        <f>IFERROR(__xludf.DUMMYFUNCTION("""COMPUTED_VALUE"""),"Obligatorio")</f>
        <v>Obligatorio</v>
      </c>
      <c r="AN113" s="4">
        <f>IFERROR(__xludf.DUMMYFUNCTION("""COMPUTED_VALUE"""),3.0)</f>
        <v>3</v>
      </c>
      <c r="AO113" s="4">
        <f>IFERROR(__xludf.DUMMYFUNCTION("""COMPUTED_VALUE"""),3.0)</f>
        <v>3</v>
      </c>
      <c r="AP113" s="4">
        <f>IFERROR(__xludf.DUMMYFUNCTION("""COMPUTED_VALUE"""),1.0)</f>
        <v>1</v>
      </c>
      <c r="AQ113" s="4">
        <f>IFERROR(__xludf.DUMMYFUNCTION("""COMPUTED_VALUE"""),1.0)</f>
        <v>1</v>
      </c>
      <c r="AR113" s="4">
        <f>IFERROR(__xludf.DUMMYFUNCTION("""COMPUTED_VALUE"""),1.0)</f>
        <v>1</v>
      </c>
      <c r="AS113" s="4">
        <f>IFERROR(__xludf.DUMMYFUNCTION("""COMPUTED_VALUE"""),1.0)</f>
        <v>1</v>
      </c>
      <c r="AT113" s="5" t="str">
        <f>IFERROR(__xludf.DUMMYFUNCTION("""COMPUTED_VALUE"""),"https://doi.org/10.1016/j.fuel.2020.118013")</f>
        <v>https://doi.org/10.1016/j.fuel.2020.118013</v>
      </c>
      <c r="AU113" s="5" t="str">
        <f>IFERROR(__xludf.DUMMYFUNCTION("""COMPUTED_VALUE"""),"https://drive.google.com/file/d/1qLiCnhE06fTfFiVedojw2ivluL5j78Hc/view?usp=sharing")</f>
        <v>https://drive.google.com/file/d/1qLiCnhE06fTfFiVedojw2ivluL5j78Hc/view?usp=sharing</v>
      </c>
      <c r="AV113" s="4"/>
      <c r="AW113" s="4"/>
      <c r="AX113" s="4">
        <f>IFERROR(__xludf.DUMMYFUNCTION("""COMPUTED_VALUE"""),4.0)</f>
        <v>4</v>
      </c>
      <c r="AY113" s="4" t="str">
        <f>IFERROR(__xludf.DUMMYFUNCTION("""COMPUTED_VALUE"""),"Combustion model evaluation in a CFD simulation of a radiant-tube burner")</f>
        <v>Combustion model evaluation in a CFD simulation of a radiant-tube burner</v>
      </c>
      <c r="AZ113" s="4"/>
      <c r="BA113" s="6" t="s">
        <v>209</v>
      </c>
      <c r="BB113" s="6" t="s">
        <v>45</v>
      </c>
      <c r="BC113" s="6" t="s">
        <v>175</v>
      </c>
      <c r="BD113" s="6" t="s">
        <v>210</v>
      </c>
      <c r="BE113" s="6" t="s">
        <v>45</v>
      </c>
      <c r="BF113" s="6" t="s">
        <v>175</v>
      </c>
      <c r="BG113" s="6" t="s">
        <v>205</v>
      </c>
      <c r="BH113" s="6" t="s">
        <v>45</v>
      </c>
      <c r="BI113" s="6" t="s">
        <v>175</v>
      </c>
      <c r="CQ113" s="6" t="s">
        <v>211</v>
      </c>
      <c r="CR113" s="6">
        <v>5.6</v>
      </c>
    </row>
    <row r="114">
      <c r="A114" s="4" t="str">
        <f>IFERROR(__xludf.DUMMYFUNCTION("""COMPUTED_VALUE"""),"Proy10")</f>
        <v>Proy10</v>
      </c>
      <c r="B114" s="4" t="str">
        <f>IFERROR(__xludf.DUMMYFUNCTION("""COMPUTED_VALUE"""),"Formación_RH")</f>
        <v>Formación_RH</v>
      </c>
      <c r="C114" s="4" t="str">
        <f>IFERROR(__xludf.DUMMYFUNCTION("""COMPUTED_VALUE"""),"Joven investigador")</f>
        <v>Joven investigador</v>
      </c>
      <c r="D114" s="4" t="str">
        <f>IFERROR(__xludf.DUMMYFUNCTION("""COMPUTED_VALUE"""),"Vinculación de estudiante de doctorado")</f>
        <v>Vinculación de estudiante de doctorado</v>
      </c>
      <c r="E114" s="4" t="str">
        <f>IFERROR(__xludf.DUMMYFUNCTION("""COMPUTED_VALUE"""),"Formación de estudiante de doctorado")</f>
        <v>Formación de estudiante de doctorado</v>
      </c>
      <c r="F114" s="4" t="str">
        <f>IFERROR(__xludf.DUMMYFUNCTION("""COMPUTED_VALUE"""),"Vinculación de estudiante de maestría")</f>
        <v>Vinculación de estudiante de maestría</v>
      </c>
      <c r="G114" s="4" t="str">
        <f>IFERROR(__xludf.DUMMYFUNCTION("""COMPUTED_VALUE"""),"Formación de estudiante de maestría")</f>
        <v>Formación de estudiante de maestría</v>
      </c>
      <c r="H114" s="4" t="str">
        <f>IFERROR(__xludf.DUMMYFUNCTION("""COMPUTED_VALUE"""),"Vinculación de estudiante de pregrado")</f>
        <v>Vinculación de estudiante de pregrado</v>
      </c>
      <c r="I114" s="4" t="str">
        <f>IFERROR(__xludf.DUMMYFUNCTION("""COMPUTED_VALUE"""),"Formación de estudiante de pregrado")</f>
        <v>Formación de estudiante de pregrado</v>
      </c>
      <c r="J114" s="4" t="str">
        <f>IFERROR(__xludf.DUMMYFUNCTION("""COMPUTED_VALUE"""),"Joven investigador")</f>
        <v>Joven investigador</v>
      </c>
      <c r="K114" s="4" t="str">
        <f>IFERROR(__xludf.DUMMYFUNCTION("""COMPUTED_VALUE"""),"Pasantía nacional")</f>
        <v>Pasantía nacional</v>
      </c>
      <c r="L114" s="4" t="str">
        <f>IFERROR(__xludf.DUMMYFUNCTION("""COMPUTED_VALUE"""),"Pasantía internacional")</f>
        <v>Pasantía internacional</v>
      </c>
      <c r="M114" s="4"/>
      <c r="N114" s="4"/>
      <c r="O114" s="4"/>
      <c r="P114" s="4"/>
      <c r="Q114" s="4"/>
      <c r="R114" s="4"/>
      <c r="S114" s="4"/>
      <c r="T114" s="4"/>
      <c r="U114" s="4" t="str">
        <f>IFERROR(__xludf.DUMMYFUNCTION("""COMPUTED_VALUE"""),"Ninguna")</f>
        <v>Ninguna</v>
      </c>
      <c r="V114" s="4"/>
      <c r="W114" s="4" t="str">
        <f>IFERROR(__xludf.DUMMYFUNCTION("""COMPUTED_VALUE"""),"Proyecto")</f>
        <v>Proyecto</v>
      </c>
      <c r="X114" s="4" t="str">
        <f>IFERROR(__xludf.DUMMYFUNCTION("""COMPUTED_VALUE"""),"UdeA")</f>
        <v>UdeA</v>
      </c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 t="str">
        <f>IFERROR(__xludf.DUMMYFUNCTION("""COMPUTED_VALUE"""),"Ninguna")</f>
        <v>Ninguna</v>
      </c>
      <c r="AL114" s="4"/>
      <c r="AM114" s="4" t="str">
        <f>IFERROR(__xludf.DUMMYFUNCTION("""COMPUTED_VALUE"""),"Obligatorio")</f>
        <v>Obligatorio</v>
      </c>
      <c r="AN114" s="4"/>
      <c r="AO114" s="4"/>
      <c r="AP114" s="4"/>
      <c r="AQ114" s="4"/>
      <c r="AR114" s="4"/>
      <c r="AS114" s="4"/>
      <c r="AT114" s="4" t="str">
        <f>IFERROR(__xludf.DUMMYFUNCTION("""COMPUTED_VALUE"""),"Óscar Felipe Posada Henao")</f>
        <v>Óscar Felipe Posada Henao</v>
      </c>
      <c r="AU114" s="4"/>
      <c r="AV114" s="4"/>
      <c r="AW114" s="4"/>
      <c r="AX114" s="4">
        <f>IFERROR(__xludf.DUMMYFUNCTION("""COMPUTED_VALUE"""),4.0)</f>
        <v>4</v>
      </c>
      <c r="AY114" s="4" t="str">
        <f>IFERROR(__xludf.DUMMYFUNCTION("""COMPUTED_VALUE"""),"Ingeniería Mecánica UdeA")</f>
        <v>Ingeniería Mecánica UdeA</v>
      </c>
      <c r="AZ114" s="4"/>
    </row>
    <row r="115">
      <c r="A115" s="4" t="str">
        <f>IFERROR(__xludf.DUMMYFUNCTION("""COMPUTED_VALUE"""),"Proy10")</f>
        <v>Proy10</v>
      </c>
      <c r="B115" s="4" t="str">
        <f>IFERROR(__xludf.DUMMYFUNCTION("""COMPUTED_VALUE"""),"Formación_RH")</f>
        <v>Formación_RH</v>
      </c>
      <c r="C115" s="4" t="str">
        <f>IFERROR(__xludf.DUMMYFUNCTION("""COMPUTED_VALUE"""),"Joven investigador")</f>
        <v>Joven investigador</v>
      </c>
      <c r="D115" s="4" t="str">
        <f>IFERROR(__xludf.DUMMYFUNCTION("""COMPUTED_VALUE"""),"Vinculación de estudiante de doctorado")</f>
        <v>Vinculación de estudiante de doctorado</v>
      </c>
      <c r="E115" s="4" t="str">
        <f>IFERROR(__xludf.DUMMYFUNCTION("""COMPUTED_VALUE"""),"Formación de estudiante de doctorado")</f>
        <v>Formación de estudiante de doctorado</v>
      </c>
      <c r="F115" s="4" t="str">
        <f>IFERROR(__xludf.DUMMYFUNCTION("""COMPUTED_VALUE"""),"Vinculación de estudiante de maestría")</f>
        <v>Vinculación de estudiante de maestría</v>
      </c>
      <c r="G115" s="4" t="str">
        <f>IFERROR(__xludf.DUMMYFUNCTION("""COMPUTED_VALUE"""),"Formación de estudiante de maestría")</f>
        <v>Formación de estudiante de maestría</v>
      </c>
      <c r="H115" s="4" t="str">
        <f>IFERROR(__xludf.DUMMYFUNCTION("""COMPUTED_VALUE"""),"Vinculación de estudiante de pregrado")</f>
        <v>Vinculación de estudiante de pregrado</v>
      </c>
      <c r="I115" s="4" t="str">
        <f>IFERROR(__xludf.DUMMYFUNCTION("""COMPUTED_VALUE"""),"Formación de estudiante de pregrado")</f>
        <v>Formación de estudiante de pregrado</v>
      </c>
      <c r="J115" s="4" t="str">
        <f>IFERROR(__xludf.DUMMYFUNCTION("""COMPUTED_VALUE"""),"Joven investigador")</f>
        <v>Joven investigador</v>
      </c>
      <c r="K115" s="4" t="str">
        <f>IFERROR(__xludf.DUMMYFUNCTION("""COMPUTED_VALUE"""),"Pasantía nacional")</f>
        <v>Pasantía nacional</v>
      </c>
      <c r="L115" s="4" t="str">
        <f>IFERROR(__xludf.DUMMYFUNCTION("""COMPUTED_VALUE"""),"Pasantía internacional")</f>
        <v>Pasantía internacional</v>
      </c>
      <c r="M115" s="4"/>
      <c r="N115" s="4"/>
      <c r="O115" s="4"/>
      <c r="P115" s="4"/>
      <c r="Q115" s="4"/>
      <c r="R115" s="4"/>
      <c r="S115" s="4"/>
      <c r="T115" s="4"/>
      <c r="U115" s="4" t="str">
        <f>IFERROR(__xludf.DUMMYFUNCTION("""COMPUTED_VALUE"""),"Ninguna")</f>
        <v>Ninguna</v>
      </c>
      <c r="V115" s="4"/>
      <c r="W115" s="4" t="str">
        <f>IFERROR(__xludf.DUMMYFUNCTION("""COMPUTED_VALUE"""),"Proyecto")</f>
        <v>Proyecto</v>
      </c>
      <c r="X115" s="4" t="str">
        <f>IFERROR(__xludf.DUMMYFUNCTION("""COMPUTED_VALUE"""),"UdeA")</f>
        <v>UdeA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 t="str">
        <f>IFERROR(__xludf.DUMMYFUNCTION("""COMPUTED_VALUE"""),"Ninguna")</f>
        <v>Ninguna</v>
      </c>
      <c r="AL115" s="4"/>
      <c r="AM115" s="4" t="str">
        <f>IFERROR(__xludf.DUMMYFUNCTION("""COMPUTED_VALUE"""),"Obligatorio")</f>
        <v>Obligatorio</v>
      </c>
      <c r="AN115" s="4"/>
      <c r="AO115" s="4"/>
      <c r="AP115" s="4"/>
      <c r="AQ115" s="4"/>
      <c r="AR115" s="4"/>
      <c r="AS115" s="4"/>
      <c r="AT115" s="4" t="str">
        <f>IFERROR(__xludf.DUMMYFUNCTION("""COMPUTED_VALUE"""),"Harold Emanuel Rebellón Quintero")</f>
        <v>Harold Emanuel Rebellón Quintero</v>
      </c>
      <c r="AU115" s="4"/>
      <c r="AV115" s="4"/>
      <c r="AW115" s="4"/>
      <c r="AX115" s="4">
        <f>IFERROR(__xludf.DUMMYFUNCTION("""COMPUTED_VALUE"""),4.0)</f>
        <v>4</v>
      </c>
      <c r="AY115" s="4" t="str">
        <f>IFERROR(__xludf.DUMMYFUNCTION("""COMPUTED_VALUE"""),"Ingeniería Mecánica UdeA")</f>
        <v>Ingeniería Mecánica UdeA</v>
      </c>
      <c r="AZ115" s="4"/>
    </row>
    <row r="116">
      <c r="A116" s="4" t="str">
        <f>IFERROR(__xludf.DUMMYFUNCTION("""COMPUTED_VALUE"""),"Proy8")</f>
        <v>Proy8</v>
      </c>
      <c r="B116" s="4" t="str">
        <f>IFERROR(__xludf.DUMMYFUNCTION("""COMPUTED_VALUE"""),"Apropiación")</f>
        <v>Apropiación</v>
      </c>
      <c r="C116" s="4" t="str">
        <f>IFERROR(__xludf.DUMMYFUNCTION("""COMPUTED_VALUE"""),"Ponencia")</f>
        <v>Ponencia</v>
      </c>
      <c r="D116" s="4" t="str">
        <f>IFERROR(__xludf.DUMMYFUNCTION("""COMPUTED_VALUE"""),"Ponencia")</f>
        <v>Ponencia</v>
      </c>
      <c r="E116" s="4" t="str">
        <f>IFERROR(__xludf.DUMMYFUNCTION("""COMPUTED_VALUE"""),"Evento científico")</f>
        <v>Evento científico</v>
      </c>
      <c r="F116" s="4" t="str">
        <f>IFERROR(__xludf.DUMMYFUNCTION("""COMPUTED_VALUE"""),"Cartilla")</f>
        <v>Cartilla</v>
      </c>
      <c r="G116" s="4" t="str">
        <f>IFERROR(__xludf.DUMMYFUNCTION("""COMPUTED_VALUE"""),"Curso de capacitación, seminario o taller")</f>
        <v>Curso de capacitación, seminario o taller</v>
      </c>
      <c r="H116" s="4" t="str">
        <f>IFERROR(__xludf.DUMMYFUNCTION("""COMPUTED_VALUE"""),"Socialización de resultados a actores del sector")</f>
        <v>Socialización de resultados a actores del sector</v>
      </c>
      <c r="I116" s="4" t="str">
        <f>IFERROR(__xludf.DUMMYFUNCTION("""COMPUTED_VALUE"""),"Articulación de redes de conocimiento")</f>
        <v>Articulación de redes de conocimiento</v>
      </c>
      <c r="J116" s="4" t="str">
        <f>IFERROR(__xludf.DUMMYFUNCTION("""COMPUTED_VALUE"""),"Circulación de conocimiento especializado - boletines")</f>
        <v>Circulación de conocimiento especializado - boletines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 t="str">
        <f>IFERROR(__xludf.DUMMYFUNCTION("""COMPUTED_VALUE"""),"Ninguna")</f>
        <v>Ninguna</v>
      </c>
      <c r="V116" s="4"/>
      <c r="W116" s="4" t="str">
        <f>IFERROR(__xludf.DUMMYFUNCTION("""COMPUTED_VALUE"""),"Programa")</f>
        <v>Programa</v>
      </c>
      <c r="X116" s="4" t="str">
        <f>IFERROR(__xludf.DUMMYFUNCTION("""COMPUTED_VALUE"""),"UdeA")</f>
        <v>UdeA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 t="str">
        <f>IFERROR(__xludf.DUMMYFUNCTION("""COMPUTED_VALUE"""),"Colaboración")</f>
        <v>Colaboración</v>
      </c>
      <c r="AL116" s="4" t="str">
        <f>IFERROR(__xludf.DUMMYFUNCTION("""COMPUTED_VALUE"""),"P12")</f>
        <v>P12</v>
      </c>
      <c r="AM116" s="4" t="str">
        <f>IFERROR(__xludf.DUMMYFUNCTION("""COMPUTED_VALUE"""),"Obligatorio")</f>
        <v>Obligatorio</v>
      </c>
      <c r="AN116" s="4">
        <f>IFERROR(__xludf.DUMMYFUNCTION("""COMPUTED_VALUE"""),4.0)</f>
        <v>4</v>
      </c>
      <c r="AO116" s="4">
        <f>IFERROR(__xludf.DUMMYFUNCTION("""COMPUTED_VALUE"""),4.0)</f>
        <v>4</v>
      </c>
      <c r="AP116" s="4">
        <f>IFERROR(__xludf.DUMMYFUNCTION("""COMPUTED_VALUE"""),2.0)</f>
        <v>2</v>
      </c>
      <c r="AQ116" s="4">
        <f>IFERROR(__xludf.DUMMYFUNCTION("""COMPUTED_VALUE"""),2.0)</f>
        <v>2</v>
      </c>
      <c r="AR116" s="4">
        <f>IFERROR(__xludf.DUMMYFUNCTION("""COMPUTED_VALUE"""),1.0)</f>
        <v>1</v>
      </c>
      <c r="AS116" s="4">
        <f>IFERROR(__xludf.DUMMYFUNCTION("""COMPUTED_VALUE"""),1.0)</f>
        <v>1</v>
      </c>
      <c r="AT116" s="4" t="str">
        <f>IFERROR(__xludf.DUMMYFUNCTION("""COMPUTED_VALUE"""),"III Conferencia Internacional de Biocombustibles")</f>
        <v>III Conferencia Internacional de Biocombustibles</v>
      </c>
      <c r="AU116" s="5" t="str">
        <f>IFERROR(__xludf.DUMMYFUNCTION("""COMPUTED_VALUE"""),"https://drive.google.com/file/d/17kyJRNYTKXQPdl0nESIuUDGEeuz7e4Tp/view?usp=sharing")</f>
        <v>https://drive.google.com/file/d/17kyJRNYTKXQPdl0nESIuUDGEeuz7e4Tp/view?usp=sharing</v>
      </c>
      <c r="AV116" s="4"/>
      <c r="AW116" s="4"/>
      <c r="AX116" s="4">
        <f>IFERROR(__xludf.DUMMYFUNCTION("""COMPUTED_VALUE"""),4.0)</f>
        <v>4</v>
      </c>
      <c r="AY116" s="4" t="str">
        <f>IFERROR(__xludf.DUMMYFUNCTION("""COMPUTED_VALUE"""),"Propiedades relevantes y evaluación de la calidad de dos tipos de combustibles
diésel mezclados con biocombustibles derivados del aceite de palma")</f>
        <v>Propiedades relevantes y evaluación de la calidad de dos tipos de combustibles
diésel mezclados con biocombustibles derivados del aceite de palma</v>
      </c>
      <c r="AZ116" s="4"/>
      <c r="BA116" s="6" t="s">
        <v>212</v>
      </c>
      <c r="BB116" s="6" t="s">
        <v>45</v>
      </c>
      <c r="BC116" s="6" t="s">
        <v>56</v>
      </c>
      <c r="BD116" s="6" t="s">
        <v>213</v>
      </c>
      <c r="BE116" s="6" t="s">
        <v>45</v>
      </c>
      <c r="BF116" s="6" t="s">
        <v>56</v>
      </c>
      <c r="BG116" s="6" t="s">
        <v>172</v>
      </c>
      <c r="BH116" s="6" t="s">
        <v>45</v>
      </c>
      <c r="BI116" s="6" t="s">
        <v>56</v>
      </c>
      <c r="BJ116" s="6" t="s">
        <v>48</v>
      </c>
      <c r="BK116" s="6" t="s">
        <v>45</v>
      </c>
      <c r="BL116" s="6" t="s">
        <v>56</v>
      </c>
    </row>
    <row r="117">
      <c r="A117" s="4" t="str">
        <f>IFERROR(__xludf.DUMMYFUNCTION("""COMPUTED_VALUE"""),"Proy8")</f>
        <v>Proy8</v>
      </c>
      <c r="B117" s="4" t="str">
        <f>IFERROR(__xludf.DUMMYFUNCTION("""COMPUTED_VALUE"""),"Apropiación")</f>
        <v>Apropiación</v>
      </c>
      <c r="C117" s="4" t="str">
        <f>IFERROR(__xludf.DUMMYFUNCTION("""COMPUTED_VALUE"""),"Ponencia")</f>
        <v>Ponencia</v>
      </c>
      <c r="D117" s="4" t="str">
        <f>IFERROR(__xludf.DUMMYFUNCTION("""COMPUTED_VALUE"""),"Ponencia")</f>
        <v>Ponencia</v>
      </c>
      <c r="E117" s="4" t="str">
        <f>IFERROR(__xludf.DUMMYFUNCTION("""COMPUTED_VALUE"""),"Evento científico")</f>
        <v>Evento científico</v>
      </c>
      <c r="F117" s="4" t="str">
        <f>IFERROR(__xludf.DUMMYFUNCTION("""COMPUTED_VALUE"""),"Cartilla")</f>
        <v>Cartilla</v>
      </c>
      <c r="G117" s="4" t="str">
        <f>IFERROR(__xludf.DUMMYFUNCTION("""COMPUTED_VALUE"""),"Curso de capacitación, seminario o taller")</f>
        <v>Curso de capacitación, seminario o taller</v>
      </c>
      <c r="H117" s="4" t="str">
        <f>IFERROR(__xludf.DUMMYFUNCTION("""COMPUTED_VALUE"""),"Socialización de resultados a actores del sector")</f>
        <v>Socialización de resultados a actores del sector</v>
      </c>
      <c r="I117" s="4" t="str">
        <f>IFERROR(__xludf.DUMMYFUNCTION("""COMPUTED_VALUE"""),"Articulación de redes de conocimiento")</f>
        <v>Articulación de redes de conocimiento</v>
      </c>
      <c r="J117" s="4" t="str">
        <f>IFERROR(__xludf.DUMMYFUNCTION("""COMPUTED_VALUE"""),"Circulación de conocimiento especializado - boletines")</f>
        <v>Circulación de conocimiento especializado - boletines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 t="str">
        <f>IFERROR(__xludf.DUMMYFUNCTION("""COMPUTED_VALUE"""),"Ninguna")</f>
        <v>Ninguna</v>
      </c>
      <c r="V117" s="4"/>
      <c r="W117" s="4" t="str">
        <f>IFERROR(__xludf.DUMMYFUNCTION("""COMPUTED_VALUE"""),"Proyecto")</f>
        <v>Proyecto</v>
      </c>
      <c r="X117" s="4" t="str">
        <f>IFERROR(__xludf.DUMMYFUNCTION("""COMPUTED_VALUE"""),"U. Sabana")</f>
        <v>U. Sabana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 t="str">
        <f>IFERROR(__xludf.DUMMYFUNCTION("""COMPUTED_VALUE"""),"Ninguna")</f>
        <v>Ninguna</v>
      </c>
      <c r="AL117" s="4"/>
      <c r="AM117" s="4" t="str">
        <f>IFERROR(__xludf.DUMMYFUNCTION("""COMPUTED_VALUE"""),"Obligatorio")</f>
        <v>Obligatorio</v>
      </c>
      <c r="AN117" s="4">
        <f>IFERROR(__xludf.DUMMYFUNCTION("""COMPUTED_VALUE"""),4.0)</f>
        <v>4</v>
      </c>
      <c r="AO117" s="4">
        <f>IFERROR(__xludf.DUMMYFUNCTION("""COMPUTED_VALUE"""),4.0)</f>
        <v>4</v>
      </c>
      <c r="AP117" s="4">
        <f>IFERROR(__xludf.DUMMYFUNCTION("""COMPUTED_VALUE"""),2.0)</f>
        <v>2</v>
      </c>
      <c r="AQ117" s="4">
        <f>IFERROR(__xludf.DUMMYFUNCTION("""COMPUTED_VALUE"""),2.0)</f>
        <v>2</v>
      </c>
      <c r="AR117" s="4">
        <f>IFERROR(__xludf.DUMMYFUNCTION("""COMPUTED_VALUE"""),1.0)</f>
        <v>1</v>
      </c>
      <c r="AS117" s="4">
        <f>IFERROR(__xludf.DUMMYFUNCTION("""COMPUTED_VALUE"""),1.0)</f>
        <v>1</v>
      </c>
      <c r="AT117" s="4" t="str">
        <f>IFERROR(__xludf.DUMMYFUNCTION("""COMPUTED_VALUE"""),"Evento Séneca")</f>
        <v>Evento Séneca</v>
      </c>
      <c r="AU117" s="5" t="str">
        <f>IFERROR(__xludf.DUMMYFUNCTION("""COMPUTED_VALUE"""),"https://drive.google.com/file/d/1BEZjtTE7mn9vy0q5c44kEBCOxbftgkGA/view?usp=sharing")</f>
        <v>https://drive.google.com/file/d/1BEZjtTE7mn9vy0q5c44kEBCOxbftgkGA/view?usp=sharing</v>
      </c>
      <c r="AV117" s="4"/>
      <c r="AW117" s="4"/>
      <c r="AX117" s="4">
        <f>IFERROR(__xludf.DUMMYFUNCTION("""COMPUTED_VALUE"""),4.0)</f>
        <v>4</v>
      </c>
      <c r="AY117" s="4" t="str">
        <f>IFERROR(__xludf.DUMMYFUNCTION("""COMPUTED_VALUE"""),"Modeling and simulation of a fixed
bed reactor for CO 2 capture through methanation")</f>
        <v>Modeling and simulation of a fixed
bed reactor for CO 2 capture through methanation</v>
      </c>
      <c r="AZ117" s="4"/>
      <c r="BA117" s="6" t="s">
        <v>214</v>
      </c>
      <c r="BB117" s="6" t="s">
        <v>215</v>
      </c>
      <c r="BC117" s="6" t="s">
        <v>216</v>
      </c>
      <c r="BD117" s="6" t="s">
        <v>217</v>
      </c>
      <c r="BE117" s="6" t="s">
        <v>215</v>
      </c>
      <c r="BF117" s="6" t="s">
        <v>218</v>
      </c>
      <c r="BG117" s="6" t="s">
        <v>219</v>
      </c>
      <c r="BH117" s="6" t="s">
        <v>215</v>
      </c>
      <c r="BI117" s="6" t="s">
        <v>216</v>
      </c>
      <c r="BJ117" s="6" t="s">
        <v>220</v>
      </c>
      <c r="BK117" s="6" t="s">
        <v>215</v>
      </c>
      <c r="BL117" s="6" t="s">
        <v>216</v>
      </c>
    </row>
    <row r="118">
      <c r="A118" s="4" t="str">
        <f>IFERROR(__xludf.DUMMYFUNCTION("""COMPUTED_VALUE"""),"Proy8")</f>
        <v>Proy8</v>
      </c>
      <c r="B118" s="4" t="str">
        <f>IFERROR(__xludf.DUMMYFUNCTION("""COMPUTED_VALUE"""),"Nuevo_Conocimiento")</f>
        <v>Nuevo_Conocimiento</v>
      </c>
      <c r="C118" s="4" t="str">
        <f>IFERROR(__xludf.DUMMYFUNCTION("""COMPUTED_VALUE"""),"Artículo A1")</f>
        <v>Artículo A1</v>
      </c>
      <c r="D118" s="4" t="str">
        <f>IFERROR(__xludf.DUMMYFUNCTION("""COMPUTED_VALUE"""),"Artículo A1")</f>
        <v>Artículo A1</v>
      </c>
      <c r="E118" s="4" t="str">
        <f>IFERROR(__xludf.DUMMYFUNCTION("""COMPUTED_VALUE"""),"Artículo A2")</f>
        <v>Artículo A2</v>
      </c>
      <c r="F118" s="4" t="str">
        <f>IFERROR(__xludf.DUMMYFUNCTION("""COMPUTED_VALUE"""),"Artículo B")</f>
        <v>Artículo B</v>
      </c>
      <c r="G118" s="4" t="str">
        <f>IFERROR(__xludf.DUMMYFUNCTION("""COMPUTED_VALUE"""),"Artículo C")</f>
        <v>Artículo C</v>
      </c>
      <c r="H118" s="4" t="str">
        <f>IFERROR(__xludf.DUMMYFUNCTION("""COMPUTED_VALUE"""),"Capítulo de libro A")</f>
        <v>Capítulo de libro A</v>
      </c>
      <c r="I118" s="4" t="str">
        <f>IFERROR(__xludf.DUMMYFUNCTION("""COMPUTED_VALUE"""),"Capítulo de libro A1")</f>
        <v>Capítulo de libro A1</v>
      </c>
      <c r="J118" s="4" t="str">
        <f>IFERROR(__xludf.DUMMYFUNCTION("""COMPUTED_VALUE"""),"Capítulo de libro B")</f>
        <v>Capítulo de libro B</v>
      </c>
      <c r="K118" s="4" t="str">
        <f>IFERROR(__xludf.DUMMYFUNCTION("""COMPUTED_VALUE"""),"Libro A")</f>
        <v>Libro A</v>
      </c>
      <c r="L118" s="4" t="str">
        <f>IFERROR(__xludf.DUMMYFUNCTION("""COMPUTED_VALUE"""),"Libro A1")</f>
        <v>Libro A1</v>
      </c>
      <c r="M118" s="4" t="str">
        <f>IFERROR(__xludf.DUMMYFUNCTION("""COMPUTED_VALUE"""),"Libro B")</f>
        <v>Libro B</v>
      </c>
      <c r="N118" s="4" t="str">
        <f>IFERROR(__xludf.DUMMYFUNCTION("""COMPUTED_VALUE"""),"Solicitud Patente de invención y-o modelo de utitlidad")</f>
        <v>Solicitud Patente de invención y-o modelo de utitlidad</v>
      </c>
      <c r="O118" s="4" t="str">
        <f>IFERROR(__xludf.DUMMYFUNCTION("""COMPUTED_VALUE"""),"Patente de invención")</f>
        <v>Patente de invención</v>
      </c>
      <c r="P118" s="4" t="str">
        <f>IFERROR(__xludf.DUMMYFUNCTION("""COMPUTED_VALUE"""),"Patente de modelo de utilidad")</f>
        <v>Patente de modelo de utilidad</v>
      </c>
      <c r="Q118" s="4" t="str">
        <f>IFERROR(__xludf.DUMMYFUNCTION("""COMPUTED_VALUE"""),"Artículo sin clasificar")</f>
        <v>Artículo sin clasificar</v>
      </c>
      <c r="R118" s="4" t="str">
        <f>IFERROR(__xludf.DUMMYFUNCTION("""COMPUTED_VALUE"""),"Capítulo sin clasificar")</f>
        <v>Capítulo sin clasificar</v>
      </c>
      <c r="S118" s="4"/>
      <c r="T118" s="4"/>
      <c r="U118" s="4" t="str">
        <f>IFERROR(__xludf.DUMMYFUNCTION("""COMPUTED_VALUE"""),"Otros actores")</f>
        <v>Otros actores</v>
      </c>
      <c r="V118" s="4" t="str">
        <f>IFERROR(__xludf.DUMMYFUNCTION("""COMPUTED_VALUE"""),"Universidad de Castilla La Mancha")</f>
        <v>Universidad de Castilla La Mancha</v>
      </c>
      <c r="W118" s="4" t="str">
        <f>IFERROR(__xludf.DUMMYFUNCTION("""COMPUTED_VALUE"""),"Programa")</f>
        <v>Programa</v>
      </c>
      <c r="X118" s="4" t="str">
        <f>IFERROR(__xludf.DUMMYFUNCTION("""COMPUTED_VALUE"""),"UdeA")</f>
        <v>UdeA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 t="str">
        <f>IFERROR(__xludf.DUMMYFUNCTION("""COMPUTED_VALUE"""),"Colaboración")</f>
        <v>Colaboración</v>
      </c>
      <c r="AL118" s="4" t="str">
        <f>IFERROR(__xludf.DUMMYFUNCTION("""COMPUTED_VALUE"""),"P12")</f>
        <v>P12</v>
      </c>
      <c r="AM118" s="4" t="str">
        <f>IFERROR(__xludf.DUMMYFUNCTION("""COMPUTED_VALUE"""),"Obligatorio")</f>
        <v>Obligatorio</v>
      </c>
      <c r="AN118" s="4">
        <f>IFERROR(__xludf.DUMMYFUNCTION("""COMPUTED_VALUE"""),4.0)</f>
        <v>4</v>
      </c>
      <c r="AO118" s="4">
        <f>IFERROR(__xludf.DUMMYFUNCTION("""COMPUTED_VALUE"""),3.0)</f>
        <v>3</v>
      </c>
      <c r="AP118" s="4">
        <f>IFERROR(__xludf.DUMMYFUNCTION("""COMPUTED_VALUE"""),3.0)</f>
        <v>3</v>
      </c>
      <c r="AQ118" s="4">
        <f>IFERROR(__xludf.DUMMYFUNCTION("""COMPUTED_VALUE"""),2.0)</f>
        <v>2</v>
      </c>
      <c r="AR118" s="4">
        <f>IFERROR(__xludf.DUMMYFUNCTION("""COMPUTED_VALUE"""),2.0)</f>
        <v>2</v>
      </c>
      <c r="AS118" s="4">
        <f>IFERROR(__xludf.DUMMYFUNCTION("""COMPUTED_VALUE"""),1.0)</f>
        <v>1</v>
      </c>
      <c r="AT118" s="5" t="str">
        <f>IFERROR(__xludf.DUMMYFUNCTION("""COMPUTED_VALUE"""),"https://doi.org/10.1016/j.renene.2020.06.079")</f>
        <v>https://doi.org/10.1016/j.renene.2020.06.079</v>
      </c>
      <c r="AU118" s="5" t="str">
        <f>IFERROR(__xludf.DUMMYFUNCTION("""COMPUTED_VALUE"""),"https://drive.google.com/file/d/14Dawt5ntcdjJa2s-pPvNlmOUTgdob5yT/view?usp=sharing")</f>
        <v>https://drive.google.com/file/d/14Dawt5ntcdjJa2s-pPvNlmOUTgdob5yT/view?usp=sharing</v>
      </c>
      <c r="AV118" s="4"/>
      <c r="AW118" s="4"/>
      <c r="AX118" s="4">
        <f>IFERROR(__xludf.DUMMYFUNCTION("""COMPUTED_VALUE"""),4.0)</f>
        <v>4</v>
      </c>
      <c r="AY118" s="4" t="str">
        <f>IFERROR(__xludf.DUMMYFUNCTION("""COMPUTED_VALUE"""),"Reconsideration of regulated contamination limits to improve filterability of biodiesel
and blends with diesel fuels")</f>
        <v>Reconsideration of regulated contamination limits to improve filterability of biodiesel
and blends with diesel fuels</v>
      </c>
      <c r="AZ118" s="4"/>
      <c r="BA118" s="6" t="s">
        <v>212</v>
      </c>
      <c r="BB118" s="6" t="s">
        <v>45</v>
      </c>
      <c r="BC118" s="6" t="s">
        <v>65</v>
      </c>
      <c r="BD118" s="6" t="s">
        <v>46</v>
      </c>
      <c r="BE118" s="6" t="s">
        <v>221</v>
      </c>
      <c r="BG118" s="6" t="s">
        <v>172</v>
      </c>
      <c r="BH118" s="6" t="s">
        <v>45</v>
      </c>
      <c r="BI118" s="6" t="s">
        <v>56</v>
      </c>
      <c r="BJ118" s="6" t="s">
        <v>48</v>
      </c>
      <c r="BK118" s="6" t="s">
        <v>45</v>
      </c>
      <c r="BL118" s="6" t="s">
        <v>56</v>
      </c>
      <c r="CQ118" s="6" t="s">
        <v>222</v>
      </c>
      <c r="CR118" s="6">
        <v>6.3</v>
      </c>
    </row>
    <row r="119">
      <c r="A119" s="4" t="str">
        <f>IFERROR(__xludf.DUMMYFUNCTION("""COMPUTED_VALUE"""),"Proy6")</f>
        <v>Proy6</v>
      </c>
      <c r="B119" s="4" t="str">
        <f>IFERROR(__xludf.DUMMYFUNCTION("""COMPUTED_VALUE"""),"Formación_RH")</f>
        <v>Formación_RH</v>
      </c>
      <c r="C119" s="4" t="str">
        <f>IFERROR(__xludf.DUMMYFUNCTION("""COMPUTED_VALUE"""),"Vinculación de estudiante de doctorado")</f>
        <v>Vinculación de estudiante de doctorado</v>
      </c>
      <c r="D119" s="4" t="str">
        <f>IFERROR(__xludf.DUMMYFUNCTION("""COMPUTED_VALUE"""),"Vinculación de estudiante de doctorado")</f>
        <v>Vinculación de estudiante de doctorado</v>
      </c>
      <c r="E119" s="4" t="str">
        <f>IFERROR(__xludf.DUMMYFUNCTION("""COMPUTED_VALUE"""),"Formación de estudiante de doctorado")</f>
        <v>Formación de estudiante de doctorado</v>
      </c>
      <c r="F119" s="4" t="str">
        <f>IFERROR(__xludf.DUMMYFUNCTION("""COMPUTED_VALUE"""),"Vinculación de estudiante de maestría")</f>
        <v>Vinculación de estudiante de maestría</v>
      </c>
      <c r="G119" s="4" t="str">
        <f>IFERROR(__xludf.DUMMYFUNCTION("""COMPUTED_VALUE"""),"Formación de estudiante de maestría")</f>
        <v>Formación de estudiante de maestría</v>
      </c>
      <c r="H119" s="4" t="str">
        <f>IFERROR(__xludf.DUMMYFUNCTION("""COMPUTED_VALUE"""),"Vinculación de estudiante de pregrado")</f>
        <v>Vinculación de estudiante de pregrado</v>
      </c>
      <c r="I119" s="4" t="str">
        <f>IFERROR(__xludf.DUMMYFUNCTION("""COMPUTED_VALUE"""),"Formación de estudiante de pregrado")</f>
        <v>Formación de estudiante de pregrado</v>
      </c>
      <c r="J119" s="4" t="str">
        <f>IFERROR(__xludf.DUMMYFUNCTION("""COMPUTED_VALUE"""),"Joven investigador")</f>
        <v>Joven investigador</v>
      </c>
      <c r="K119" s="4" t="str">
        <f>IFERROR(__xludf.DUMMYFUNCTION("""COMPUTED_VALUE"""),"Pasantía nacional")</f>
        <v>Pasantía nacional</v>
      </c>
      <c r="L119" s="4" t="str">
        <f>IFERROR(__xludf.DUMMYFUNCTION("""COMPUTED_VALUE"""),"Pasantía internacional")</f>
        <v>Pasantía internacional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 t="str">
        <f>IFERROR(__xludf.DUMMYFUNCTION("""COMPUTED_VALUE"""),"Proyecto")</f>
        <v>Proyecto</v>
      </c>
      <c r="X119" s="4" t="str">
        <f>IFERROR(__xludf.DUMMYFUNCTION("""COMPUTED_VALUE"""),"UdeA")</f>
        <v>UdeA</v>
      </c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 t="str">
        <f>IFERROR(__xludf.DUMMYFUNCTION("""COMPUTED_VALUE"""),"Ninguna")</f>
        <v>Ninguna</v>
      </c>
      <c r="AL119" s="4"/>
      <c r="AM119" s="4" t="str">
        <f>IFERROR(__xludf.DUMMYFUNCTION("""COMPUTED_VALUE"""),"Obligatorio")</f>
        <v>Obligatorio</v>
      </c>
      <c r="AN119" s="4"/>
      <c r="AO119" s="4"/>
      <c r="AP119" s="4"/>
      <c r="AQ119" s="4"/>
      <c r="AR119" s="4"/>
      <c r="AS119" s="4"/>
      <c r="AT119" s="4" t="str">
        <f>IFERROR(__xludf.DUMMYFUNCTION("""COMPUTED_VALUE"""),"AURA ALEXANDRA RAMON VANEGAS")</f>
        <v>AURA ALEXANDRA RAMON VANEGAS</v>
      </c>
      <c r="AU119" s="5" t="str">
        <f>IFERROR(__xludf.DUMMYFUNCTION("""COMPUTED_VALUE"""),"https://drive.google.com/file/d/1a7Lu4XRV2gIBmq1XLsJXeoEMsJVHbMQH/view?usp=sharing")</f>
        <v>https://drive.google.com/file/d/1a7Lu4XRV2gIBmq1XLsJXeoEMsJVHbMQH/view?usp=sharing</v>
      </c>
      <c r="AV119" s="4"/>
      <c r="AW119" s="4" t="str">
        <f>IFERROR(__xludf.DUMMYFUNCTION("""COMPUTED_VALUE"""),"En Curso")</f>
        <v>En Curso</v>
      </c>
      <c r="AX119" s="4">
        <f>IFERROR(__xludf.DUMMYFUNCTION("""COMPUTED_VALUE"""),4.0)</f>
        <v>4</v>
      </c>
      <c r="AY119" s="4" t="str">
        <f>IFERROR(__xludf.DUMMYFUNCTION("""COMPUTED_VALUE"""),"Universidad de Antioquia - Doctorado en Biotecnología")</f>
        <v>Universidad de Antioquia - Doctorado en Biotecnología</v>
      </c>
      <c r="AZ119" s="4"/>
    </row>
    <row r="120">
      <c r="A120" s="4" t="str">
        <f>IFERROR(__xludf.DUMMYFUNCTION("""COMPUTED_VALUE"""),"Proy5")</f>
        <v>Proy5</v>
      </c>
      <c r="B120" s="4" t="str">
        <f>IFERROR(__xludf.DUMMYFUNCTION("""COMPUTED_VALUE"""),"Formación_RH")</f>
        <v>Formación_RH</v>
      </c>
      <c r="C120" s="4" t="str">
        <f>IFERROR(__xludf.DUMMYFUNCTION("""COMPUTED_VALUE"""),"Vinculación de estudiante de maestría")</f>
        <v>Vinculación de estudiante de maestría</v>
      </c>
      <c r="D120" s="4" t="str">
        <f>IFERROR(__xludf.DUMMYFUNCTION("""COMPUTED_VALUE"""),"Vinculación de estudiante de doctorado")</f>
        <v>Vinculación de estudiante de doctorado</v>
      </c>
      <c r="E120" s="4" t="str">
        <f>IFERROR(__xludf.DUMMYFUNCTION("""COMPUTED_VALUE"""),"Formación de estudiante de doctorado")</f>
        <v>Formación de estudiante de doctorado</v>
      </c>
      <c r="F120" s="4" t="str">
        <f>IFERROR(__xludf.DUMMYFUNCTION("""COMPUTED_VALUE"""),"Vinculación de estudiante de maestría")</f>
        <v>Vinculación de estudiante de maestría</v>
      </c>
      <c r="G120" s="4" t="str">
        <f>IFERROR(__xludf.DUMMYFUNCTION("""COMPUTED_VALUE"""),"Formación de estudiante de maestría")</f>
        <v>Formación de estudiante de maestría</v>
      </c>
      <c r="H120" s="4" t="str">
        <f>IFERROR(__xludf.DUMMYFUNCTION("""COMPUTED_VALUE"""),"Vinculación de estudiante de pregrado")</f>
        <v>Vinculación de estudiante de pregrado</v>
      </c>
      <c r="I120" s="4" t="str">
        <f>IFERROR(__xludf.DUMMYFUNCTION("""COMPUTED_VALUE"""),"Formación de estudiante de pregrado")</f>
        <v>Formación de estudiante de pregrado</v>
      </c>
      <c r="J120" s="4" t="str">
        <f>IFERROR(__xludf.DUMMYFUNCTION("""COMPUTED_VALUE"""),"Joven investigador")</f>
        <v>Joven investigador</v>
      </c>
      <c r="K120" s="4" t="str">
        <f>IFERROR(__xludf.DUMMYFUNCTION("""COMPUTED_VALUE"""),"Pasantía nacional")</f>
        <v>Pasantía nacional</v>
      </c>
      <c r="L120" s="4" t="str">
        <f>IFERROR(__xludf.DUMMYFUNCTION("""COMPUTED_VALUE"""),"Pasantía internacional")</f>
        <v>Pasantía internacional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 t="str">
        <f>IFERROR(__xludf.DUMMYFUNCTION("""COMPUTED_VALUE"""),"Proyecto")</f>
        <v>Proyecto</v>
      </c>
      <c r="X120" s="4" t="str">
        <f>IFERROR(__xludf.DUMMYFUNCTION("""COMPUTED_VALUE"""),"UniValle")</f>
        <v>UniValle</v>
      </c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 t="str">
        <f>IFERROR(__xludf.DUMMYFUNCTION("""COMPUTED_VALUE"""),"Ninguna")</f>
        <v>Ninguna</v>
      </c>
      <c r="AL120" s="4"/>
      <c r="AM120" s="4" t="str">
        <f>IFERROR(__xludf.DUMMYFUNCTION("""COMPUTED_VALUE"""),"Obligatorio")</f>
        <v>Obligatorio</v>
      </c>
      <c r="AN120" s="4"/>
      <c r="AO120" s="4"/>
      <c r="AP120" s="4"/>
      <c r="AQ120" s="4"/>
      <c r="AR120" s="4"/>
      <c r="AS120" s="4"/>
      <c r="AT120" s="4" t="str">
        <f>IFERROR(__xludf.DUMMYFUNCTION("""COMPUTED_VALUE"""),"Jazmín Eliana Paredes")</f>
        <v>Jazmín Eliana Paredes</v>
      </c>
      <c r="AU120" s="4"/>
      <c r="AV120" s="4"/>
      <c r="AW120" s="4" t="str">
        <f>IFERROR(__xludf.DUMMYFUNCTION("""COMPUTED_VALUE"""),"En Curso")</f>
        <v>En Curso</v>
      </c>
      <c r="AX120" s="4">
        <f>IFERROR(__xludf.DUMMYFUNCTION("""COMPUTED_VALUE"""),4.0)</f>
        <v>4</v>
      </c>
      <c r="AY120" s="4" t="str">
        <f>IFERROR(__xludf.DUMMYFUNCTION("""COMPUTED_VALUE"""),"Maestría en Ingeniería  - UniValle")</f>
        <v>Maestría en Ingeniería  - UniValle</v>
      </c>
      <c r="AZ120" s="4"/>
    </row>
    <row r="121">
      <c r="A121" s="4" t="str">
        <f>IFERROR(__xludf.DUMMYFUNCTION("""COMPUTED_VALUE"""),"Proy5")</f>
        <v>Proy5</v>
      </c>
      <c r="B121" s="4" t="str">
        <f>IFERROR(__xludf.DUMMYFUNCTION("""COMPUTED_VALUE"""),"Formación_RH")</f>
        <v>Formación_RH</v>
      </c>
      <c r="C121" s="4" t="str">
        <f>IFERROR(__xludf.DUMMYFUNCTION("""COMPUTED_VALUE"""),"Vinculación de estudiante de doctorado")</f>
        <v>Vinculación de estudiante de doctorado</v>
      </c>
      <c r="D121" s="4" t="str">
        <f>IFERROR(__xludf.DUMMYFUNCTION("""COMPUTED_VALUE"""),"Vinculación de estudiante de doctorado")</f>
        <v>Vinculación de estudiante de doctorado</v>
      </c>
      <c r="E121" s="4" t="str">
        <f>IFERROR(__xludf.DUMMYFUNCTION("""COMPUTED_VALUE"""),"Formación de estudiante de doctorado")</f>
        <v>Formación de estudiante de doctorado</v>
      </c>
      <c r="F121" s="4" t="str">
        <f>IFERROR(__xludf.DUMMYFUNCTION("""COMPUTED_VALUE"""),"Vinculación de estudiante de maestría")</f>
        <v>Vinculación de estudiante de maestría</v>
      </c>
      <c r="G121" s="4" t="str">
        <f>IFERROR(__xludf.DUMMYFUNCTION("""COMPUTED_VALUE"""),"Formación de estudiante de maestría")</f>
        <v>Formación de estudiante de maestría</v>
      </c>
      <c r="H121" s="4" t="str">
        <f>IFERROR(__xludf.DUMMYFUNCTION("""COMPUTED_VALUE"""),"Vinculación de estudiante de pregrado")</f>
        <v>Vinculación de estudiante de pregrado</v>
      </c>
      <c r="I121" s="4" t="str">
        <f>IFERROR(__xludf.DUMMYFUNCTION("""COMPUTED_VALUE"""),"Formación de estudiante de pregrado")</f>
        <v>Formación de estudiante de pregrado</v>
      </c>
      <c r="J121" s="4" t="str">
        <f>IFERROR(__xludf.DUMMYFUNCTION("""COMPUTED_VALUE"""),"Joven investigador")</f>
        <v>Joven investigador</v>
      </c>
      <c r="K121" s="4" t="str">
        <f>IFERROR(__xludf.DUMMYFUNCTION("""COMPUTED_VALUE"""),"Pasantía nacional")</f>
        <v>Pasantía nacional</v>
      </c>
      <c r="L121" s="4" t="str">
        <f>IFERROR(__xludf.DUMMYFUNCTION("""COMPUTED_VALUE"""),"Pasantía internacional")</f>
        <v>Pasantía internacional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 t="str">
        <f>IFERROR(__xludf.DUMMYFUNCTION("""COMPUTED_VALUE"""),"Proyecto")</f>
        <v>Proyecto</v>
      </c>
      <c r="X121" s="4" t="str">
        <f>IFERROR(__xludf.DUMMYFUNCTION("""COMPUTED_VALUE"""),"UniValle")</f>
        <v>UniValle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 t="str">
        <f>IFERROR(__xludf.DUMMYFUNCTION("""COMPUTED_VALUE"""),"Ninguna")</f>
        <v>Ninguna</v>
      </c>
      <c r="AL121" s="4"/>
      <c r="AM121" s="4" t="str">
        <f>IFERROR(__xludf.DUMMYFUNCTION("""COMPUTED_VALUE"""),"Adicional")</f>
        <v>Adicional</v>
      </c>
      <c r="AN121" s="4"/>
      <c r="AO121" s="4"/>
      <c r="AP121" s="4"/>
      <c r="AQ121" s="4"/>
      <c r="AR121" s="4"/>
      <c r="AS121" s="4"/>
      <c r="AT121" s="4" t="str">
        <f>IFERROR(__xludf.DUMMYFUNCTION("""COMPUTED_VALUE"""),"Karen Martínez")</f>
        <v>Karen Martínez</v>
      </c>
      <c r="AU121" s="4"/>
      <c r="AV121" s="4"/>
      <c r="AW121" s="4" t="str">
        <f>IFERROR(__xludf.DUMMYFUNCTION("""COMPUTED_VALUE"""),"En Curso")</f>
        <v>En Curso</v>
      </c>
      <c r="AX121" s="4">
        <f>IFERROR(__xludf.DUMMYFUNCTION("""COMPUTED_VALUE"""),4.0)</f>
        <v>4</v>
      </c>
      <c r="AY121" s="4" t="str">
        <f>IFERROR(__xludf.DUMMYFUNCTION("""COMPUTED_VALUE"""),"Doctorado en Ingeniería - UniValle")</f>
        <v>Doctorado en Ingeniería - UniValle</v>
      </c>
      <c r="AZ121" s="4"/>
    </row>
    <row r="122">
      <c r="A122" s="4" t="str">
        <f>IFERROR(__xludf.DUMMYFUNCTION("""COMPUTED_VALUE"""),"Proy5")</f>
        <v>Proy5</v>
      </c>
      <c r="B122" s="4" t="str">
        <f>IFERROR(__xludf.DUMMYFUNCTION("""COMPUTED_VALUE"""),"Formación_RH")</f>
        <v>Formación_RH</v>
      </c>
      <c r="C122" s="4" t="str">
        <f>IFERROR(__xludf.DUMMYFUNCTION("""COMPUTED_VALUE"""),"Vinculación de estudiante de pregrado")</f>
        <v>Vinculación de estudiante de pregrado</v>
      </c>
      <c r="D122" s="4" t="str">
        <f>IFERROR(__xludf.DUMMYFUNCTION("""COMPUTED_VALUE"""),"Vinculación de estudiante de doctorado")</f>
        <v>Vinculación de estudiante de doctorado</v>
      </c>
      <c r="E122" s="4" t="str">
        <f>IFERROR(__xludf.DUMMYFUNCTION("""COMPUTED_VALUE"""),"Formación de estudiante de doctorado")</f>
        <v>Formación de estudiante de doctorado</v>
      </c>
      <c r="F122" s="4" t="str">
        <f>IFERROR(__xludf.DUMMYFUNCTION("""COMPUTED_VALUE"""),"Vinculación de estudiante de maestría")</f>
        <v>Vinculación de estudiante de maestría</v>
      </c>
      <c r="G122" s="4" t="str">
        <f>IFERROR(__xludf.DUMMYFUNCTION("""COMPUTED_VALUE"""),"Formación de estudiante de maestría")</f>
        <v>Formación de estudiante de maestría</v>
      </c>
      <c r="H122" s="4" t="str">
        <f>IFERROR(__xludf.DUMMYFUNCTION("""COMPUTED_VALUE"""),"Vinculación de estudiante de pregrado")</f>
        <v>Vinculación de estudiante de pregrado</v>
      </c>
      <c r="I122" s="4" t="str">
        <f>IFERROR(__xludf.DUMMYFUNCTION("""COMPUTED_VALUE"""),"Formación de estudiante de pregrado")</f>
        <v>Formación de estudiante de pregrado</v>
      </c>
      <c r="J122" s="4" t="str">
        <f>IFERROR(__xludf.DUMMYFUNCTION("""COMPUTED_VALUE"""),"Joven investigador")</f>
        <v>Joven investigador</v>
      </c>
      <c r="K122" s="4" t="str">
        <f>IFERROR(__xludf.DUMMYFUNCTION("""COMPUTED_VALUE"""),"Pasantía nacional")</f>
        <v>Pasantía nacional</v>
      </c>
      <c r="L122" s="4" t="str">
        <f>IFERROR(__xludf.DUMMYFUNCTION("""COMPUTED_VALUE"""),"Pasantía internacional")</f>
        <v>Pasantía internacional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 t="str">
        <f>IFERROR(__xludf.DUMMYFUNCTION("""COMPUTED_VALUE"""),"UniValle")</f>
        <v>UniValle</v>
      </c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 t="str">
        <f>IFERROR(__xludf.DUMMYFUNCTION("""COMPUTED_VALUE"""),"Ninguna")</f>
        <v>Ninguna</v>
      </c>
      <c r="AL122" s="4"/>
      <c r="AM122" s="4" t="str">
        <f>IFERROR(__xludf.DUMMYFUNCTION("""COMPUTED_VALUE"""),"Obligatorio")</f>
        <v>Obligatorio</v>
      </c>
      <c r="AN122" s="4"/>
      <c r="AO122" s="4"/>
      <c r="AP122" s="4"/>
      <c r="AQ122" s="4"/>
      <c r="AR122" s="4"/>
      <c r="AS122" s="4"/>
      <c r="AT122" s="4" t="str">
        <f>IFERROR(__xludf.DUMMYFUNCTION("""COMPUTED_VALUE"""),"Miguel Román")</f>
        <v>Miguel Román</v>
      </c>
      <c r="AU122" s="4"/>
      <c r="AV122" s="4"/>
      <c r="AW122" s="4" t="str">
        <f>IFERROR(__xludf.DUMMYFUNCTION("""COMPUTED_VALUE"""),"En Curso")</f>
        <v>En Curso</v>
      </c>
      <c r="AX122" s="4">
        <f>IFERROR(__xludf.DUMMYFUNCTION("""COMPUTED_VALUE"""),4.0)</f>
        <v>4</v>
      </c>
      <c r="AY122" s="4" t="str">
        <f>IFERROR(__xludf.DUMMYFUNCTION("""COMPUTED_VALUE"""),"Ingeniería .... UniValle")</f>
        <v>Ingeniería .... UniValle</v>
      </c>
      <c r="AZ122" s="4"/>
    </row>
    <row r="123">
      <c r="A123" s="4" t="str">
        <f>IFERROR(__xludf.DUMMYFUNCTION("""COMPUTED_VALUE"""),"Proy4")</f>
        <v>Proy4</v>
      </c>
      <c r="B123" s="4" t="str">
        <f>IFERROR(__xludf.DUMMYFUNCTION("""COMPUTED_VALUE"""),"Apropiación")</f>
        <v>Apropiación</v>
      </c>
      <c r="C123" s="4" t="str">
        <f>IFERROR(__xludf.DUMMYFUNCTION("""COMPUTED_VALUE"""),"Evento científico")</f>
        <v>Evento científico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 t="str">
        <f>IFERROR(__xludf.DUMMYFUNCTION("""COMPUTED_VALUE"""),"Aliados de Séneca")</f>
        <v>Aliados de Séneca</v>
      </c>
      <c r="V123" s="4" t="str">
        <f>IFERROR(__xludf.DUMMYFUNCTION("""COMPUTED_VALUE"""),"USP - Profesor Roberto Torresi")</f>
        <v>USP - Profesor Roberto Torresi</v>
      </c>
      <c r="W123" s="4" t="str">
        <f>IFERROR(__xludf.DUMMYFUNCTION("""COMPUTED_VALUE"""),"Proyecto")</f>
        <v>Proyecto</v>
      </c>
      <c r="X123" s="4" t="str">
        <f>IFERROR(__xludf.DUMMYFUNCTION("""COMPUTED_VALUE"""),"UdeA, UTCH")</f>
        <v>UdeA, UTCH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 t="str">
        <f>IFERROR(__xludf.DUMMYFUNCTION("""COMPUTED_VALUE"""),"Ninguna")</f>
        <v>Ninguna</v>
      </c>
      <c r="AL123" s="4"/>
      <c r="AM123" s="4" t="str">
        <f>IFERROR(__xludf.DUMMYFUNCTION("""COMPUTED_VALUE"""),"Obligatorio")</f>
        <v>Obligatorio</v>
      </c>
      <c r="AN123" s="4"/>
      <c r="AO123" s="4"/>
      <c r="AP123" s="4"/>
      <c r="AQ123" s="4"/>
      <c r="AR123" s="4"/>
      <c r="AS123" s="4"/>
      <c r="AT123" s="4" t="str">
        <f>IFERROR(__xludf.DUMMYFUNCTION("""COMPUTED_VALUE"""),"Evento científico - Curso de Almacenamiento Electroquímico de energía")</f>
        <v>Evento científico - Curso de Almacenamiento Electroquímico de energía</v>
      </c>
      <c r="AU123" s="4"/>
      <c r="AV123" s="4"/>
      <c r="AW123" s="4"/>
      <c r="AX123" s="4">
        <f>IFERROR(__xludf.DUMMYFUNCTION("""COMPUTED_VALUE"""),4.0)</f>
        <v>4</v>
      </c>
      <c r="AY123" s="4" t="str">
        <f>IFERROR(__xludf.DUMMYFUNCTION("""COMPUTED_VALUE"""),"Almacenamiento electroquímico de energía")</f>
        <v>Almacenamiento electroquímico de energía</v>
      </c>
      <c r="AZ123" s="4"/>
    </row>
    <row r="124">
      <c r="A124" s="4" t="str">
        <f>IFERROR(__xludf.DUMMYFUNCTION("""COMPUTED_VALUE"""),"Proy3")</f>
        <v>Proy3</v>
      </c>
      <c r="B124" s="4" t="str">
        <f>IFERROR(__xludf.DUMMYFUNCTION("""COMPUTED_VALUE"""),"Apropiación")</f>
        <v>Apropiación</v>
      </c>
      <c r="C124" s="4" t="str">
        <f>IFERROR(__xludf.DUMMYFUNCTION("""COMPUTED_VALUE"""),"Ponencia")</f>
        <v>Ponencia</v>
      </c>
      <c r="D124" s="4" t="str">
        <f>IFERROR(__xludf.DUMMYFUNCTION("""COMPUTED_VALUE"""),"Ponencia")</f>
        <v>Ponencia</v>
      </c>
      <c r="E124" s="4" t="str">
        <f>IFERROR(__xludf.DUMMYFUNCTION("""COMPUTED_VALUE"""),"Evento científico")</f>
        <v>Evento científico</v>
      </c>
      <c r="F124" s="4" t="str">
        <f>IFERROR(__xludf.DUMMYFUNCTION("""COMPUTED_VALUE"""),"Cartilla")</f>
        <v>Cartilla</v>
      </c>
      <c r="G124" s="4" t="str">
        <f>IFERROR(__xludf.DUMMYFUNCTION("""COMPUTED_VALUE"""),"Curso de capacitación, seminario o taller")</f>
        <v>Curso de capacitación, seminario o taller</v>
      </c>
      <c r="H124" s="4" t="str">
        <f>IFERROR(__xludf.DUMMYFUNCTION("""COMPUTED_VALUE"""),"Socialización de resultados a actores del sector")</f>
        <v>Socialización de resultados a actores del sector</v>
      </c>
      <c r="I124" s="4" t="str">
        <f>IFERROR(__xludf.DUMMYFUNCTION("""COMPUTED_VALUE"""),"Articulación de redes de conocimiento")</f>
        <v>Articulación de redes de conocimiento</v>
      </c>
      <c r="J124" s="4" t="str">
        <f>IFERROR(__xludf.DUMMYFUNCTION("""COMPUTED_VALUE"""),"Circulación de conocimiento especializado - boletines")</f>
        <v>Circulación de conocimiento especializado - boletines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 t="str">
        <f>IFERROR(__xludf.DUMMYFUNCTION("""COMPUTED_VALUE"""),"Ninguna")</f>
        <v>Ninguna</v>
      </c>
      <c r="V124" s="4"/>
      <c r="W124" s="4" t="str">
        <f>IFERROR(__xludf.DUMMYFUNCTION("""COMPUTED_VALUE"""),"Proyecto")</f>
        <v>Proyecto</v>
      </c>
      <c r="X124" s="4" t="str">
        <f>IFERROR(__xludf.DUMMYFUNCTION("""COMPUTED_VALUE"""),"U. Pamplona")</f>
        <v>U. Pamplona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 t="str">
        <f>IFERROR(__xludf.DUMMYFUNCTION("""COMPUTED_VALUE"""),"Ninguna")</f>
        <v>Ninguna</v>
      </c>
      <c r="AL124" s="4"/>
      <c r="AM124" s="4" t="str">
        <f>IFERROR(__xludf.DUMMYFUNCTION("""COMPUTED_VALUE"""),"Obligatorio")</f>
        <v>Obligatorio</v>
      </c>
      <c r="AN124" s="4"/>
      <c r="AO124" s="4"/>
      <c r="AP124" s="4"/>
      <c r="AQ124" s="4"/>
      <c r="AR124" s="4"/>
      <c r="AS124" s="4"/>
      <c r="AT124" s="4" t="str">
        <f>IFERROR(__xludf.DUMMYFUNCTION("""COMPUTED_VALUE"""),"18th International Conference on Renewable Energies and Power Quality (ICREPQ’20)")</f>
        <v>18th International Conference on Renewable Energies and Power Quality (ICREPQ’20)</v>
      </c>
      <c r="AU124" s="5" t="str">
        <f>IFERROR(__xludf.DUMMYFUNCTION("""COMPUTED_VALUE"""),"https://drive.google.com/file/d/1uJB0MJ7-b51CL8xRaJn9on06u_DyIK0-/view?usp=sharing")</f>
        <v>https://drive.google.com/file/d/1uJB0MJ7-b51CL8xRaJn9on06u_DyIK0-/view?usp=sharing</v>
      </c>
      <c r="AV124" s="4"/>
      <c r="AW124" s="4"/>
      <c r="AX124" s="4">
        <f>IFERROR(__xludf.DUMMYFUNCTION("""COMPUTED_VALUE"""),4.0)</f>
        <v>4</v>
      </c>
      <c r="AY124" s="4" t="str">
        <f>IFERROR(__xludf.DUMMYFUNCTION("""COMPUTED_VALUE"""),"Statistical methodologies for wind resource analysis,
case: Catatumbo region - Norte de Santander, Colombia")</f>
        <v>Statistical methodologies for wind resource analysis,
case: Catatumbo region - Norte de Santander, Colombia</v>
      </c>
      <c r="AZ124" s="4"/>
      <c r="BA124" s="6" t="s">
        <v>223</v>
      </c>
      <c r="BB124" s="6" t="s">
        <v>95</v>
      </c>
      <c r="BC124" s="6" t="s">
        <v>101</v>
      </c>
      <c r="BD124" s="6" t="s">
        <v>224</v>
      </c>
      <c r="BE124" s="6" t="s">
        <v>95</v>
      </c>
      <c r="BF124" s="6" t="s">
        <v>101</v>
      </c>
      <c r="BG124" s="6" t="s">
        <v>225</v>
      </c>
      <c r="BH124" s="6" t="s">
        <v>95</v>
      </c>
      <c r="BI124" s="6" t="s">
        <v>101</v>
      </c>
    </row>
    <row r="125">
      <c r="A125" s="4" t="str">
        <f>IFERROR(__xludf.DUMMYFUNCTION("""COMPUTED_VALUE"""),"Proy2")</f>
        <v>Proy2</v>
      </c>
      <c r="B125" s="4" t="str">
        <f>IFERROR(__xludf.DUMMYFUNCTION("""COMPUTED_VALUE"""),"Apropiación")</f>
        <v>Apropiación</v>
      </c>
      <c r="C125" s="4" t="str">
        <f>IFERROR(__xludf.DUMMYFUNCTION("""COMPUTED_VALUE"""),"Ponencia")</f>
        <v>Ponencia</v>
      </c>
      <c r="D125" s="4" t="str">
        <f>IFERROR(__xludf.DUMMYFUNCTION("""COMPUTED_VALUE"""),"Ponencia")</f>
        <v>Ponencia</v>
      </c>
      <c r="E125" s="4" t="str">
        <f>IFERROR(__xludf.DUMMYFUNCTION("""COMPUTED_VALUE"""),"Evento científico")</f>
        <v>Evento científico</v>
      </c>
      <c r="F125" s="4" t="str">
        <f>IFERROR(__xludf.DUMMYFUNCTION("""COMPUTED_VALUE"""),"Cartilla")</f>
        <v>Cartilla</v>
      </c>
      <c r="G125" s="4" t="str">
        <f>IFERROR(__xludf.DUMMYFUNCTION("""COMPUTED_VALUE"""),"Curso de capacitación, seminario o taller")</f>
        <v>Curso de capacitación, seminario o taller</v>
      </c>
      <c r="H125" s="4" t="str">
        <f>IFERROR(__xludf.DUMMYFUNCTION("""COMPUTED_VALUE"""),"Socialización de resultados a actores del sector")</f>
        <v>Socialización de resultados a actores del sector</v>
      </c>
      <c r="I125" s="4" t="str">
        <f>IFERROR(__xludf.DUMMYFUNCTION("""COMPUTED_VALUE"""),"Articulación de redes de conocimiento")</f>
        <v>Articulación de redes de conocimiento</v>
      </c>
      <c r="J125" s="4" t="str">
        <f>IFERROR(__xludf.DUMMYFUNCTION("""COMPUTED_VALUE"""),"Circulación de conocimiento especializado - boletines")</f>
        <v>Circulación de conocimiento especializado - boletines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 t="str">
        <f>IFERROR(__xludf.DUMMYFUNCTION("""COMPUTED_VALUE"""),"Ninguna")</f>
        <v>Ninguna</v>
      </c>
      <c r="V125" s="4"/>
      <c r="W125" s="4" t="str">
        <f>IFERROR(__xludf.DUMMYFUNCTION("""COMPUTED_VALUE"""),"Proyecto")</f>
        <v>Proyecto</v>
      </c>
      <c r="X125" s="4" t="str">
        <f>IFERROR(__xludf.DUMMYFUNCTION("""COMPUTED_VALUE"""),"UdeA")</f>
        <v>UdeA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 t="str">
        <f>IFERROR(__xludf.DUMMYFUNCTION("""COMPUTED_VALUE"""),"Ninguna")</f>
        <v>Ninguna</v>
      </c>
      <c r="AL125" s="4"/>
      <c r="AM125" s="4" t="str">
        <f>IFERROR(__xludf.DUMMYFUNCTION("""COMPUTED_VALUE"""),"Obligatorio")</f>
        <v>Obligatorio</v>
      </c>
      <c r="AN125" s="4">
        <f>IFERROR(__xludf.DUMMYFUNCTION("""COMPUTED_VALUE"""),7.0)</f>
        <v>7</v>
      </c>
      <c r="AO125" s="4">
        <f>IFERROR(__xludf.DUMMYFUNCTION("""COMPUTED_VALUE"""),7.0)</f>
        <v>7</v>
      </c>
      <c r="AP125" s="4">
        <f>IFERROR(__xludf.DUMMYFUNCTION("""COMPUTED_VALUE"""),1.0)</f>
        <v>1</v>
      </c>
      <c r="AQ125" s="4">
        <f>IFERROR(__xludf.DUMMYFUNCTION("""COMPUTED_VALUE"""),1.0)</f>
        <v>1</v>
      </c>
      <c r="AR125" s="4">
        <f>IFERROR(__xludf.DUMMYFUNCTION("""COMPUTED_VALUE"""),1.0)</f>
        <v>1</v>
      </c>
      <c r="AS125" s="4">
        <f>IFERROR(__xludf.DUMMYFUNCTION("""COMPUTED_VALUE"""),1.0)</f>
        <v>1</v>
      </c>
      <c r="AT125" s="4" t="str">
        <f>IFERROR(__xludf.DUMMYFUNCTION("""COMPUTED_VALUE"""),"Online International Conference on Hybrid and
Organic Photovoltaics")</f>
        <v>Online International Conference on Hybrid and
Organic Photovoltaics</v>
      </c>
      <c r="AU125" s="5" t="str">
        <f>IFERROR(__xludf.DUMMYFUNCTION("""COMPUTED_VALUE"""),"https://drive.google.com/file/d/1MFyDwG7rPZNCFj87gJkM3JqnJGRl5ZAj/view?usp=sharing")</f>
        <v>https://drive.google.com/file/d/1MFyDwG7rPZNCFj87gJkM3JqnJGRl5ZAj/view?usp=sharing</v>
      </c>
      <c r="AV125" s="4"/>
      <c r="AW125" s="4"/>
      <c r="AX125" s="4">
        <f>IFERROR(__xludf.DUMMYFUNCTION("""COMPUTED_VALUE"""),4.0)</f>
        <v>4</v>
      </c>
      <c r="AY125" s="4" t="str">
        <f>IFERROR(__xludf.DUMMYFUNCTION("""COMPUTED_VALUE"""),"Understanding perovskite ink dynamics inside a Slot-Die head toward high
reproducible layers.")</f>
        <v>Understanding perovskite ink dynamics inside a Slot-Die head toward high
reproducible layers.</v>
      </c>
      <c r="AZ125" s="4"/>
      <c r="BA125" s="6" t="s">
        <v>226</v>
      </c>
      <c r="BB125" s="6" t="s">
        <v>45</v>
      </c>
      <c r="BC125" s="6" t="s">
        <v>71</v>
      </c>
      <c r="BD125" s="6" t="s">
        <v>227</v>
      </c>
      <c r="BE125" s="6" t="s">
        <v>45</v>
      </c>
      <c r="BF125" s="6" t="s">
        <v>71</v>
      </c>
      <c r="BG125" s="6" t="s">
        <v>228</v>
      </c>
      <c r="BH125" s="6" t="s">
        <v>45</v>
      </c>
      <c r="BI125" s="6" t="s">
        <v>71</v>
      </c>
      <c r="BJ125" s="6" t="s">
        <v>229</v>
      </c>
      <c r="BK125" s="6" t="s">
        <v>45</v>
      </c>
      <c r="BL125" s="6" t="s">
        <v>71</v>
      </c>
      <c r="BM125" s="6" t="s">
        <v>230</v>
      </c>
      <c r="BN125" s="6" t="s">
        <v>45</v>
      </c>
      <c r="BO125" s="6" t="s">
        <v>71</v>
      </c>
      <c r="BP125" s="6" t="s">
        <v>231</v>
      </c>
      <c r="BQ125" s="6" t="s">
        <v>45</v>
      </c>
      <c r="BR125" s="6" t="s">
        <v>71</v>
      </c>
      <c r="BS125" s="6" t="s">
        <v>81</v>
      </c>
      <c r="BT125" s="6" t="s">
        <v>45</v>
      </c>
      <c r="BU125" s="6" t="s">
        <v>71</v>
      </c>
    </row>
    <row r="126">
      <c r="A126" s="4" t="str">
        <f>IFERROR(__xludf.DUMMYFUNCTION("""COMPUTED_VALUE"""),"Proy1")</f>
        <v>Proy1</v>
      </c>
      <c r="B126" s="4" t="str">
        <f>IFERROR(__xludf.DUMMYFUNCTION("""COMPUTED_VALUE"""),"Nuevo_Conocimiento")</f>
        <v>Nuevo_Conocimiento</v>
      </c>
      <c r="C126" s="4" t="str">
        <f>IFERROR(__xludf.DUMMYFUNCTION("""COMPUTED_VALUE"""),"Artículo A1")</f>
        <v>Artículo A1</v>
      </c>
      <c r="D126" s="4" t="str">
        <f>IFERROR(__xludf.DUMMYFUNCTION("""COMPUTED_VALUE"""),"Artículo A1")</f>
        <v>Artículo A1</v>
      </c>
      <c r="E126" s="4" t="str">
        <f>IFERROR(__xludf.DUMMYFUNCTION("""COMPUTED_VALUE"""),"Artículo A2")</f>
        <v>Artículo A2</v>
      </c>
      <c r="F126" s="4" t="str">
        <f>IFERROR(__xludf.DUMMYFUNCTION("""COMPUTED_VALUE"""),"Artículo B")</f>
        <v>Artículo B</v>
      </c>
      <c r="G126" s="4" t="str">
        <f>IFERROR(__xludf.DUMMYFUNCTION("""COMPUTED_VALUE"""),"Artículo C")</f>
        <v>Artículo C</v>
      </c>
      <c r="H126" s="4" t="str">
        <f>IFERROR(__xludf.DUMMYFUNCTION("""COMPUTED_VALUE"""),"Capítulo de libro A")</f>
        <v>Capítulo de libro A</v>
      </c>
      <c r="I126" s="4" t="str">
        <f>IFERROR(__xludf.DUMMYFUNCTION("""COMPUTED_VALUE"""),"Capítulo de libro A1")</f>
        <v>Capítulo de libro A1</v>
      </c>
      <c r="J126" s="4" t="str">
        <f>IFERROR(__xludf.DUMMYFUNCTION("""COMPUTED_VALUE"""),"Capítulo de libro B")</f>
        <v>Capítulo de libro B</v>
      </c>
      <c r="K126" s="4" t="str">
        <f>IFERROR(__xludf.DUMMYFUNCTION("""COMPUTED_VALUE"""),"Libro A")</f>
        <v>Libro A</v>
      </c>
      <c r="L126" s="4" t="str">
        <f>IFERROR(__xludf.DUMMYFUNCTION("""COMPUTED_VALUE"""),"Libro A1")</f>
        <v>Libro A1</v>
      </c>
      <c r="M126" s="4" t="str">
        <f>IFERROR(__xludf.DUMMYFUNCTION("""COMPUTED_VALUE"""),"Libro B")</f>
        <v>Libro B</v>
      </c>
      <c r="N126" s="4" t="str">
        <f>IFERROR(__xludf.DUMMYFUNCTION("""COMPUTED_VALUE"""),"Solicitud Patente de invención y-o modelo de utitlidad")</f>
        <v>Solicitud Patente de invención y-o modelo de utitlidad</v>
      </c>
      <c r="O126" s="4" t="str">
        <f>IFERROR(__xludf.DUMMYFUNCTION("""COMPUTED_VALUE"""),"Patente de invención")</f>
        <v>Patente de invención</v>
      </c>
      <c r="P126" s="4" t="str">
        <f>IFERROR(__xludf.DUMMYFUNCTION("""COMPUTED_VALUE"""),"Patente de modelo de utilidad")</f>
        <v>Patente de modelo de utilidad</v>
      </c>
      <c r="Q126" s="4" t="str">
        <f>IFERROR(__xludf.DUMMYFUNCTION("""COMPUTED_VALUE"""),"Artículo sin clasificar")</f>
        <v>Artículo sin clasificar</v>
      </c>
      <c r="R126" s="4" t="str">
        <f>IFERROR(__xludf.DUMMYFUNCTION("""COMPUTED_VALUE"""),"Capítulo sin clasificar")</f>
        <v>Capítulo sin clasificar</v>
      </c>
      <c r="S126" s="4"/>
      <c r="T126" s="4"/>
      <c r="U126" s="4" t="str">
        <f>IFERROR(__xludf.DUMMYFUNCTION("""COMPUTED_VALUE"""),"Ninguna")</f>
        <v>Ninguna</v>
      </c>
      <c r="V126" s="4"/>
      <c r="W126" s="4" t="str">
        <f>IFERROR(__xludf.DUMMYFUNCTION("""COMPUTED_VALUE"""),"Proyecto")</f>
        <v>Proyecto</v>
      </c>
      <c r="X126" s="4" t="str">
        <f>IFERROR(__xludf.DUMMYFUNCTION("""COMPUTED_VALUE"""),"UdeA")</f>
        <v>UdeA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 t="str">
        <f>IFERROR(__xludf.DUMMYFUNCTION("""COMPUTED_VALUE"""),"Tecnológico de Antioquia")</f>
        <v>Tecnológico de Antioquia</v>
      </c>
      <c r="AK126" s="4" t="str">
        <f>IFERROR(__xludf.DUMMYFUNCTION("""COMPUTED_VALUE"""),"Ninguna")</f>
        <v>Ninguna</v>
      </c>
      <c r="AL126" s="4"/>
      <c r="AM126" s="4" t="str">
        <f>IFERROR(__xludf.DUMMYFUNCTION("""COMPUTED_VALUE"""),"Obligatorio")</f>
        <v>Obligatorio</v>
      </c>
      <c r="AN126" s="4">
        <f>IFERROR(__xludf.DUMMYFUNCTION("""COMPUTED_VALUE"""),5.0)</f>
        <v>5</v>
      </c>
      <c r="AO126" s="4">
        <f>IFERROR(__xludf.DUMMYFUNCTION("""COMPUTED_VALUE"""),4.0)</f>
        <v>4</v>
      </c>
      <c r="AP126" s="4">
        <f>IFERROR(__xludf.DUMMYFUNCTION("""COMPUTED_VALUE"""),2.0)</f>
        <v>2</v>
      </c>
      <c r="AQ126" s="4">
        <f>IFERROR(__xludf.DUMMYFUNCTION("""COMPUTED_VALUE"""),1.0)</f>
        <v>1</v>
      </c>
      <c r="AR126" s="4">
        <f>IFERROR(__xludf.DUMMYFUNCTION("""COMPUTED_VALUE"""),2.0)</f>
        <v>2</v>
      </c>
      <c r="AS126" s="4">
        <f>IFERROR(__xludf.DUMMYFUNCTION("""COMPUTED_VALUE"""),1.0)</f>
        <v>1</v>
      </c>
      <c r="AT126" s="5" t="str">
        <f>IFERROR(__xludf.DUMMYFUNCTION("""COMPUTED_VALUE"""),"https://doi.org/10.1016/j.jksues.2020.04.011")</f>
        <v>https://doi.org/10.1016/j.jksues.2020.04.011</v>
      </c>
      <c r="AU126" s="5" t="str">
        <f>IFERROR(__xludf.DUMMYFUNCTION("""COMPUTED_VALUE"""),"https://drive.google.com/file/d/1R4L-RS9a0SaNe8VYsZwU0s6-_3749WsS/view?usp=sharing")</f>
        <v>https://drive.google.com/file/d/1R4L-RS9a0SaNe8VYsZwU0s6-_3749WsS/view?usp=sharing</v>
      </c>
      <c r="AV126" s="4"/>
      <c r="AW126" s="4"/>
      <c r="AX126" s="4">
        <f>IFERROR(__xludf.DUMMYFUNCTION("""COMPUTED_VALUE"""),4.0)</f>
        <v>4</v>
      </c>
      <c r="AY126" s="4" t="str">
        <f>IFERROR(__xludf.DUMMYFUNCTION("""COMPUTED_VALUE"""),"Experimental analysis on the performance of a pico-hydro Turgo turbine")</f>
        <v>Experimental analysis on the performance of a pico-hydro Turgo turbine</v>
      </c>
      <c r="AZ126" s="4"/>
      <c r="BA126" s="6" t="s">
        <v>232</v>
      </c>
      <c r="BB126" s="6" t="s">
        <v>45</v>
      </c>
      <c r="BC126" s="6" t="s">
        <v>62</v>
      </c>
      <c r="BD126" s="6" t="s">
        <v>63</v>
      </c>
      <c r="BE126" s="6" t="s">
        <v>62</v>
      </c>
      <c r="BG126" s="6" t="s">
        <v>233</v>
      </c>
      <c r="BH126" s="6" t="s">
        <v>45</v>
      </c>
      <c r="BI126" s="6" t="s">
        <v>62</v>
      </c>
      <c r="BJ126" s="6" t="s">
        <v>234</v>
      </c>
      <c r="BK126" s="6" t="s">
        <v>45</v>
      </c>
      <c r="BL126" s="6" t="s">
        <v>62</v>
      </c>
      <c r="BM126" s="6" t="s">
        <v>61</v>
      </c>
      <c r="BN126" s="6" t="s">
        <v>45</v>
      </c>
      <c r="BO126" s="6" t="s">
        <v>62</v>
      </c>
      <c r="CQ126" s="6" t="s">
        <v>235</v>
      </c>
    </row>
    <row r="127">
      <c r="A127" s="4" t="str">
        <f>IFERROR(__xludf.DUMMYFUNCTION("""COMPUTED_VALUE"""),"Proy8")</f>
        <v>Proy8</v>
      </c>
      <c r="B127" s="4" t="str">
        <f>IFERROR(__xludf.DUMMYFUNCTION("""COMPUTED_VALUE"""),"Nuevo_Conocimiento")</f>
        <v>Nuevo_Conocimiento</v>
      </c>
      <c r="C127" s="4" t="str">
        <f>IFERROR(__xludf.DUMMYFUNCTION("""COMPUTED_VALUE"""),"Artículo A1")</f>
        <v>Artículo A1</v>
      </c>
      <c r="D127" s="4" t="str">
        <f>IFERROR(__xludf.DUMMYFUNCTION("""COMPUTED_VALUE"""),"Artículo A1")</f>
        <v>Artículo A1</v>
      </c>
      <c r="E127" s="4" t="str">
        <f>IFERROR(__xludf.DUMMYFUNCTION("""COMPUTED_VALUE"""),"Artículo A2")</f>
        <v>Artículo A2</v>
      </c>
      <c r="F127" s="4" t="str">
        <f>IFERROR(__xludf.DUMMYFUNCTION("""COMPUTED_VALUE"""),"Artículo B")</f>
        <v>Artículo B</v>
      </c>
      <c r="G127" s="4" t="str">
        <f>IFERROR(__xludf.DUMMYFUNCTION("""COMPUTED_VALUE"""),"Artículo C")</f>
        <v>Artículo C</v>
      </c>
      <c r="H127" s="4" t="str">
        <f>IFERROR(__xludf.DUMMYFUNCTION("""COMPUTED_VALUE"""),"Capítulo de libro A")</f>
        <v>Capítulo de libro A</v>
      </c>
      <c r="I127" s="4" t="str">
        <f>IFERROR(__xludf.DUMMYFUNCTION("""COMPUTED_VALUE"""),"Capítulo de libro A1")</f>
        <v>Capítulo de libro A1</v>
      </c>
      <c r="J127" s="4" t="str">
        <f>IFERROR(__xludf.DUMMYFUNCTION("""COMPUTED_VALUE"""),"Capítulo de libro B")</f>
        <v>Capítulo de libro B</v>
      </c>
      <c r="K127" s="4" t="str">
        <f>IFERROR(__xludf.DUMMYFUNCTION("""COMPUTED_VALUE"""),"Libro A")</f>
        <v>Libro A</v>
      </c>
      <c r="L127" s="4" t="str">
        <f>IFERROR(__xludf.DUMMYFUNCTION("""COMPUTED_VALUE"""),"Libro A1")</f>
        <v>Libro A1</v>
      </c>
      <c r="M127" s="4" t="str">
        <f>IFERROR(__xludf.DUMMYFUNCTION("""COMPUTED_VALUE"""),"Libro B")</f>
        <v>Libro B</v>
      </c>
      <c r="N127" s="4" t="str">
        <f>IFERROR(__xludf.DUMMYFUNCTION("""COMPUTED_VALUE"""),"Solicitud Patente de invención y-o modelo de utitlidad")</f>
        <v>Solicitud Patente de invención y-o modelo de utitlidad</v>
      </c>
      <c r="O127" s="4" t="str">
        <f>IFERROR(__xludf.DUMMYFUNCTION("""COMPUTED_VALUE"""),"Patente de invención")</f>
        <v>Patente de invención</v>
      </c>
      <c r="P127" s="4" t="str">
        <f>IFERROR(__xludf.DUMMYFUNCTION("""COMPUTED_VALUE"""),"Patente de modelo de utilidad")</f>
        <v>Patente de modelo de utilidad</v>
      </c>
      <c r="Q127" s="4" t="str">
        <f>IFERROR(__xludf.DUMMYFUNCTION("""COMPUTED_VALUE"""),"Artículo sin clasificar")</f>
        <v>Artículo sin clasificar</v>
      </c>
      <c r="R127" s="4" t="str">
        <f>IFERROR(__xludf.DUMMYFUNCTION("""COMPUTED_VALUE"""),"Capítulo sin clasificar")</f>
        <v>Capítulo sin clasificar</v>
      </c>
      <c r="S127" s="4"/>
      <c r="T127" s="4"/>
      <c r="U127" s="4" t="str">
        <f>IFERROR(__xludf.DUMMYFUNCTION("""COMPUTED_VALUE"""),"Ninguna")</f>
        <v>Ninguna</v>
      </c>
      <c r="V127" s="4"/>
      <c r="W127" s="4" t="str">
        <f>IFERROR(__xludf.DUMMYFUNCTION("""COMPUTED_VALUE"""),"Proyecto")</f>
        <v>Proyecto</v>
      </c>
      <c r="X127" s="4" t="str">
        <f>IFERROR(__xludf.DUMMYFUNCTION("""COMPUTED_VALUE"""),"U. de La Sabana")</f>
        <v>U. de La Sabana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 t="str">
        <f>IFERROR(__xludf.DUMMYFUNCTION("""COMPUTED_VALUE"""),"Ninguna")</f>
        <v>Ninguna</v>
      </c>
      <c r="AL127" s="4"/>
      <c r="AM127" s="4" t="str">
        <f>IFERROR(__xludf.DUMMYFUNCTION("""COMPUTED_VALUE"""),"Obligatorio")</f>
        <v>Obligatorio</v>
      </c>
      <c r="AN127" s="4">
        <f>IFERROR(__xludf.DUMMYFUNCTION("""COMPUTED_VALUE"""),4.0)</f>
        <v>4</v>
      </c>
      <c r="AO127" s="4">
        <f>IFERROR(__xludf.DUMMYFUNCTION("""COMPUTED_VALUE"""),1.0)</f>
        <v>1</v>
      </c>
      <c r="AP127" s="4">
        <f>IFERROR(__xludf.DUMMYFUNCTION("""COMPUTED_VALUE"""),1.0)</f>
        <v>1</v>
      </c>
      <c r="AQ127" s="4">
        <f>IFERROR(__xludf.DUMMYFUNCTION("""COMPUTED_VALUE"""),1.0)</f>
        <v>1</v>
      </c>
      <c r="AR127" s="4">
        <f>IFERROR(__xludf.DUMMYFUNCTION("""COMPUTED_VALUE"""),1.0)</f>
        <v>1</v>
      </c>
      <c r="AS127" s="4">
        <f>IFERROR(__xludf.DUMMYFUNCTION("""COMPUTED_VALUE"""),1.0)</f>
        <v>1</v>
      </c>
      <c r="AT127" s="5" t="str">
        <f>IFERROR(__xludf.DUMMYFUNCTION("""COMPUTED_VALUE"""),"https://doi.org/10.1016/j.jclepro.2020.121457")</f>
        <v>https://doi.org/10.1016/j.jclepro.2020.121457</v>
      </c>
      <c r="AU127" s="5" t="str">
        <f>IFERROR(__xludf.DUMMYFUNCTION("""COMPUTED_VALUE"""),"https://drive.google.com/file/d/1fumRRFqDv05AEwmqkd0hjXDsPbXmZKnn/view?usp=sharing")</f>
        <v>https://drive.google.com/file/d/1fumRRFqDv05AEwmqkd0hjXDsPbXmZKnn/view?usp=sharing</v>
      </c>
      <c r="AV127" s="4"/>
      <c r="AW127" s="4"/>
      <c r="AX127" s="4">
        <f>IFERROR(__xludf.DUMMYFUNCTION("""COMPUTED_VALUE"""),5.0)</f>
        <v>5</v>
      </c>
      <c r="AY127" s="4" t="str">
        <f>IFERROR(__xludf.DUMMYFUNCTION("""COMPUTED_VALUE"""),"Techno-economic evaluation of indirect carbonation for CO2 emissions
capture in cement industry: A system dynamics approach")</f>
        <v>Techno-economic evaluation of indirect carbonation for CO2 emissions
capture in cement industry: A system dynamics approach</v>
      </c>
      <c r="AZ127" s="4"/>
    </row>
    <row r="128">
      <c r="A128" s="4" t="str">
        <f>IFERROR(__xludf.DUMMYFUNCTION("""COMPUTED_VALUE"""),"Proy12")</f>
        <v>Proy12</v>
      </c>
      <c r="B128" s="4" t="str">
        <f>IFERROR(__xludf.DUMMYFUNCTION("""COMPUTED_VALUE"""),"Nuevo_Conocimiento")</f>
        <v>Nuevo_Conocimiento</v>
      </c>
      <c r="C128" s="4" t="str">
        <f>IFERROR(__xludf.DUMMYFUNCTION("""COMPUTED_VALUE"""),"Artículo A1")</f>
        <v>Artículo A1</v>
      </c>
      <c r="D128" s="4" t="str">
        <f>IFERROR(__xludf.DUMMYFUNCTION("""COMPUTED_VALUE"""),"Artículo A1")</f>
        <v>Artículo A1</v>
      </c>
      <c r="E128" s="4" t="str">
        <f>IFERROR(__xludf.DUMMYFUNCTION("""COMPUTED_VALUE"""),"Artículo A2")</f>
        <v>Artículo A2</v>
      </c>
      <c r="F128" s="4" t="str">
        <f>IFERROR(__xludf.DUMMYFUNCTION("""COMPUTED_VALUE"""),"Artículo B")</f>
        <v>Artículo B</v>
      </c>
      <c r="G128" s="4" t="str">
        <f>IFERROR(__xludf.DUMMYFUNCTION("""COMPUTED_VALUE"""),"Artículo C")</f>
        <v>Artículo C</v>
      </c>
      <c r="H128" s="4" t="str">
        <f>IFERROR(__xludf.DUMMYFUNCTION("""COMPUTED_VALUE"""),"Capítulo de libro A")</f>
        <v>Capítulo de libro A</v>
      </c>
      <c r="I128" s="4" t="str">
        <f>IFERROR(__xludf.DUMMYFUNCTION("""COMPUTED_VALUE"""),"Capítulo de libro A1")</f>
        <v>Capítulo de libro A1</v>
      </c>
      <c r="J128" s="4" t="str">
        <f>IFERROR(__xludf.DUMMYFUNCTION("""COMPUTED_VALUE"""),"Capítulo de libro B")</f>
        <v>Capítulo de libro B</v>
      </c>
      <c r="K128" s="4" t="str">
        <f>IFERROR(__xludf.DUMMYFUNCTION("""COMPUTED_VALUE"""),"Libro A")</f>
        <v>Libro A</v>
      </c>
      <c r="L128" s="4" t="str">
        <f>IFERROR(__xludf.DUMMYFUNCTION("""COMPUTED_VALUE"""),"Libro A1")</f>
        <v>Libro A1</v>
      </c>
      <c r="M128" s="4" t="str">
        <f>IFERROR(__xludf.DUMMYFUNCTION("""COMPUTED_VALUE"""),"Libro B")</f>
        <v>Libro B</v>
      </c>
      <c r="N128" s="4" t="str">
        <f>IFERROR(__xludf.DUMMYFUNCTION("""COMPUTED_VALUE"""),"Solicitud Patente de invención y-o modelo de utitlidad")</f>
        <v>Solicitud Patente de invención y-o modelo de utitlidad</v>
      </c>
      <c r="O128" s="4" t="str">
        <f>IFERROR(__xludf.DUMMYFUNCTION("""COMPUTED_VALUE"""),"Patente de invención")</f>
        <v>Patente de invención</v>
      </c>
      <c r="P128" s="4" t="str">
        <f>IFERROR(__xludf.DUMMYFUNCTION("""COMPUTED_VALUE"""),"Patente de modelo de utilidad")</f>
        <v>Patente de modelo de utilidad</v>
      </c>
      <c r="Q128" s="4" t="str">
        <f>IFERROR(__xludf.DUMMYFUNCTION("""COMPUTED_VALUE"""),"Artículo sin clasificar")</f>
        <v>Artículo sin clasificar</v>
      </c>
      <c r="R128" s="4" t="str">
        <f>IFERROR(__xludf.DUMMYFUNCTION("""COMPUTED_VALUE"""),"Capítulo sin clasificar")</f>
        <v>Capítulo sin clasificar</v>
      </c>
      <c r="S128" s="4"/>
      <c r="T128" s="4"/>
      <c r="U128" s="4" t="str">
        <f>IFERROR(__xludf.DUMMYFUNCTION("""COMPUTED_VALUE"""),"Ninguna")</f>
        <v>Ninguna</v>
      </c>
      <c r="V128" s="4"/>
      <c r="W128" s="4" t="str">
        <f>IFERROR(__xludf.DUMMYFUNCTION("""COMPUTED_VALUE"""),"Proyecto")</f>
        <v>Proyecto</v>
      </c>
      <c r="X128" s="4" t="str">
        <f>IFERROR(__xludf.DUMMYFUNCTION("""COMPUTED_VALUE"""),"UdeA")</f>
        <v>UdeA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 t="str">
        <f>IFERROR(__xludf.DUMMYFUNCTION("""COMPUTED_VALUE"""),"Universidad Pontificia Bolivariana")</f>
        <v>Universidad Pontificia Bolivariana</v>
      </c>
      <c r="AK128" s="4" t="str">
        <f>IFERROR(__xludf.DUMMYFUNCTION("""COMPUTED_VALUE"""),"Ninguna")</f>
        <v>Ninguna</v>
      </c>
      <c r="AL128" s="4"/>
      <c r="AM128" s="4" t="str">
        <f>IFERROR(__xludf.DUMMYFUNCTION("""COMPUTED_VALUE"""),"Obligatorio")</f>
        <v>Obligatorio</v>
      </c>
      <c r="AN128" s="4">
        <f>IFERROR(__xludf.DUMMYFUNCTION("""COMPUTED_VALUE"""),6.0)</f>
        <v>6</v>
      </c>
      <c r="AO128" s="4">
        <f>IFERROR(__xludf.DUMMYFUNCTION("""COMPUTED_VALUE"""),1.0)</f>
        <v>1</v>
      </c>
      <c r="AP128" s="4">
        <f>IFERROR(__xludf.DUMMYFUNCTION("""COMPUTED_VALUE"""),2.0)</f>
        <v>2</v>
      </c>
      <c r="AQ128" s="4">
        <f>IFERROR(__xludf.DUMMYFUNCTION("""COMPUTED_VALUE"""),1.0)</f>
        <v>1</v>
      </c>
      <c r="AR128" s="4">
        <f>IFERROR(__xludf.DUMMYFUNCTION("""COMPUTED_VALUE"""),2.0)</f>
        <v>2</v>
      </c>
      <c r="AS128" s="4">
        <f>IFERROR(__xludf.DUMMYFUNCTION("""COMPUTED_VALUE"""),1.0)</f>
        <v>1</v>
      </c>
      <c r="AT128" s="5" t="str">
        <f>IFERROR(__xludf.DUMMYFUNCTION("""COMPUTED_VALUE"""),"https://doi.org/10.1016/j.envpol.2020.115034")</f>
        <v>https://doi.org/10.1016/j.envpol.2020.115034</v>
      </c>
      <c r="AU128" s="5" t="str">
        <f>IFERROR(__xludf.DUMMYFUNCTION("""COMPUTED_VALUE"""),"https://drive.google.com/file/d/17tqNt3mFAX4zhX3GU6aHCk0cWHh1rnba/view?usp=sharing")</f>
        <v>https://drive.google.com/file/d/17tqNt3mFAX4zhX3GU6aHCk0cWHh1rnba/view?usp=sharing</v>
      </c>
      <c r="AV128" s="4"/>
      <c r="AW128" s="4"/>
      <c r="AX128" s="4">
        <f>IFERROR(__xludf.DUMMYFUNCTION("""COMPUTED_VALUE"""),5.0)</f>
        <v>5</v>
      </c>
      <c r="AY128" s="4" t="str">
        <f>IFERROR(__xludf.DUMMYFUNCTION("""COMPUTED_VALUE"""),"In vitro evaluation of the cytotoxicity, mutagenicity and DNA damage
induced by particle matter and gaseous emissions from a mediumduty
diesel vehicle under real driving conditions using palm oil
biodiesel blends")</f>
        <v>In vitro evaluation of the cytotoxicity, mutagenicity and DNA damage
induced by particle matter and gaseous emissions from a mediumduty
diesel vehicle under real driving conditions using palm oil
biodiesel blends</v>
      </c>
      <c r="AZ128" s="4"/>
    </row>
    <row r="129">
      <c r="A129" s="4" t="str">
        <f>IFERROR(__xludf.DUMMYFUNCTION("""COMPUTED_VALUE"""),"Proy15")</f>
        <v>Proy15</v>
      </c>
      <c r="B129" s="4" t="str">
        <f>IFERROR(__xludf.DUMMYFUNCTION("""COMPUTED_VALUE"""),"Nuevo_Conocimiento")</f>
        <v>Nuevo_Conocimiento</v>
      </c>
      <c r="C129" s="4" t="str">
        <f>IFERROR(__xludf.DUMMYFUNCTION("""COMPUTED_VALUE"""),"Artículo B")</f>
        <v>Artículo B</v>
      </c>
      <c r="D129" s="4" t="str">
        <f>IFERROR(__xludf.DUMMYFUNCTION("""COMPUTED_VALUE"""),"Artículo A1")</f>
        <v>Artículo A1</v>
      </c>
      <c r="E129" s="4" t="str">
        <f>IFERROR(__xludf.DUMMYFUNCTION("""COMPUTED_VALUE"""),"Artículo A2")</f>
        <v>Artículo A2</v>
      </c>
      <c r="F129" s="4" t="str">
        <f>IFERROR(__xludf.DUMMYFUNCTION("""COMPUTED_VALUE"""),"Artículo B")</f>
        <v>Artículo B</v>
      </c>
      <c r="G129" s="4" t="str">
        <f>IFERROR(__xludf.DUMMYFUNCTION("""COMPUTED_VALUE"""),"Artículo C")</f>
        <v>Artículo C</v>
      </c>
      <c r="H129" s="4" t="str">
        <f>IFERROR(__xludf.DUMMYFUNCTION("""COMPUTED_VALUE"""),"Capítulo de libro A")</f>
        <v>Capítulo de libro A</v>
      </c>
      <c r="I129" s="4" t="str">
        <f>IFERROR(__xludf.DUMMYFUNCTION("""COMPUTED_VALUE"""),"Capítulo de libro A1")</f>
        <v>Capítulo de libro A1</v>
      </c>
      <c r="J129" s="4" t="str">
        <f>IFERROR(__xludf.DUMMYFUNCTION("""COMPUTED_VALUE"""),"Capítulo de libro B")</f>
        <v>Capítulo de libro B</v>
      </c>
      <c r="K129" s="4" t="str">
        <f>IFERROR(__xludf.DUMMYFUNCTION("""COMPUTED_VALUE"""),"Libro A")</f>
        <v>Libro A</v>
      </c>
      <c r="L129" s="4" t="str">
        <f>IFERROR(__xludf.DUMMYFUNCTION("""COMPUTED_VALUE"""),"Libro A1")</f>
        <v>Libro A1</v>
      </c>
      <c r="M129" s="4" t="str">
        <f>IFERROR(__xludf.DUMMYFUNCTION("""COMPUTED_VALUE"""),"Libro B")</f>
        <v>Libro B</v>
      </c>
      <c r="N129" s="4" t="str">
        <f>IFERROR(__xludf.DUMMYFUNCTION("""COMPUTED_VALUE"""),"Solicitud Patente de invención y-o modelo de utitlidad")</f>
        <v>Solicitud Patente de invención y-o modelo de utitlidad</v>
      </c>
      <c r="O129" s="4" t="str">
        <f>IFERROR(__xludf.DUMMYFUNCTION("""COMPUTED_VALUE"""),"Patente de invención")</f>
        <v>Patente de invención</v>
      </c>
      <c r="P129" s="4" t="str">
        <f>IFERROR(__xludf.DUMMYFUNCTION("""COMPUTED_VALUE"""),"Patente de modelo de utilidad")</f>
        <v>Patente de modelo de utilidad</v>
      </c>
      <c r="Q129" s="4" t="str">
        <f>IFERROR(__xludf.DUMMYFUNCTION("""COMPUTED_VALUE"""),"Artículo sin clasificar")</f>
        <v>Artículo sin clasificar</v>
      </c>
      <c r="R129" s="4" t="str">
        <f>IFERROR(__xludf.DUMMYFUNCTION("""COMPUTED_VALUE"""),"Capítulo sin clasificar")</f>
        <v>Capítulo sin clasificar</v>
      </c>
      <c r="S129" s="4"/>
      <c r="T129" s="4"/>
      <c r="U129" s="4" t="str">
        <f>IFERROR(__xludf.DUMMYFUNCTION("""COMPUTED_VALUE"""),"Ninguna")</f>
        <v>Ninguna</v>
      </c>
      <c r="V129" s="4"/>
      <c r="W129" s="4" t="str">
        <f>IFERROR(__xludf.DUMMYFUNCTION("""COMPUTED_VALUE"""),"Proyecto")</f>
        <v>Proyecto</v>
      </c>
      <c r="X129" s="4" t="str">
        <f>IFERROR(__xludf.DUMMYFUNCTION("""COMPUTED_VALUE"""),"UdeA")</f>
        <v>UdeA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 t="str">
        <f>IFERROR(__xludf.DUMMYFUNCTION("""COMPUTED_VALUE"""),"UIS")</f>
        <v>UIS</v>
      </c>
      <c r="AK129" s="4" t="str">
        <f>IFERROR(__xludf.DUMMYFUNCTION("""COMPUTED_VALUE"""),"Ninguna")</f>
        <v>Ninguna</v>
      </c>
      <c r="AL129" s="4"/>
      <c r="AM129" s="4" t="str">
        <f>IFERROR(__xludf.DUMMYFUNCTION("""COMPUTED_VALUE"""),"Adicional")</f>
        <v>Adicional</v>
      </c>
      <c r="AN129" s="4">
        <f>IFERROR(__xludf.DUMMYFUNCTION("""COMPUTED_VALUE"""),3.0)</f>
        <v>3</v>
      </c>
      <c r="AO129" s="4">
        <f>IFERROR(__xludf.DUMMYFUNCTION("""COMPUTED_VALUE"""),1.0)</f>
        <v>1</v>
      </c>
      <c r="AP129" s="4">
        <f>IFERROR(__xludf.DUMMYFUNCTION("""COMPUTED_VALUE"""),2.0)</f>
        <v>2</v>
      </c>
      <c r="AQ129" s="4">
        <f>IFERROR(__xludf.DUMMYFUNCTION("""COMPUTED_VALUE"""),1.0)</f>
        <v>1</v>
      </c>
      <c r="AR129" s="4">
        <f>IFERROR(__xludf.DUMMYFUNCTION("""COMPUTED_VALUE"""),2.0)</f>
        <v>2</v>
      </c>
      <c r="AS129" s="4">
        <f>IFERROR(__xludf.DUMMYFUNCTION("""COMPUTED_VALUE"""),1.0)</f>
        <v>1</v>
      </c>
      <c r="AT129" s="5" t="str">
        <f>IFERROR(__xludf.DUMMYFUNCTION("""COMPUTED_VALUE"""),"https://doi.org/10.19053/01211129.v29.n54.2020.10892")</f>
        <v>https://doi.org/10.19053/01211129.v29.n54.2020.10892</v>
      </c>
      <c r="AU129" s="5" t="str">
        <f>IFERROR(__xludf.DUMMYFUNCTION("""COMPUTED_VALUE"""),"https://drive.google.com/file/d/13iREYCQf1ekBcp_riwhveDtvl26zUpLY/view?usp=sharing")</f>
        <v>https://drive.google.com/file/d/13iREYCQf1ekBcp_riwhveDtvl26zUpLY/view?usp=sharing</v>
      </c>
      <c r="AV129" s="4"/>
      <c r="AW129" s="4"/>
      <c r="AX129" s="4">
        <f>IFERROR(__xludf.DUMMYFUNCTION("""COMPUTED_VALUE"""),5.0)</f>
        <v>5</v>
      </c>
      <c r="AY129" s="4" t="str">
        <f>IFERROR(__xludf.DUMMYFUNCTION("""COMPUTED_VALUE"""),"Comparison of in Batch Aerobic and
Anaerobic Processes for the
Degradation of Organic Matter in a
Tropical Reservoir")</f>
        <v>Comparison of in Batch Aerobic and
Anaerobic Processes for the
Degradation of Organic Matter in a
Tropical Reservoir</v>
      </c>
      <c r="AZ129" s="4"/>
    </row>
    <row r="130">
      <c r="A130" s="4" t="str">
        <f>IFERROR(__xludf.DUMMYFUNCTION("""COMPUTED_VALUE"""),"Proy8")</f>
        <v>Proy8</v>
      </c>
      <c r="B130" s="4" t="str">
        <f>IFERROR(__xludf.DUMMYFUNCTION("""COMPUTED_VALUE"""),"Apropiación")</f>
        <v>Apropiación</v>
      </c>
      <c r="C130" s="4" t="str">
        <f>IFERROR(__xludf.DUMMYFUNCTION("""COMPUTED_VALUE"""),"Ponencia")</f>
        <v>Ponencia</v>
      </c>
      <c r="D130" s="4" t="str">
        <f>IFERROR(__xludf.DUMMYFUNCTION("""COMPUTED_VALUE"""),"Ponencia")</f>
        <v>Ponencia</v>
      </c>
      <c r="E130" s="4" t="str">
        <f>IFERROR(__xludf.DUMMYFUNCTION("""COMPUTED_VALUE"""),"Evento científico")</f>
        <v>Evento científico</v>
      </c>
      <c r="F130" s="4" t="str">
        <f>IFERROR(__xludf.DUMMYFUNCTION("""COMPUTED_VALUE"""),"Cartilla")</f>
        <v>Cartilla</v>
      </c>
      <c r="G130" s="4" t="str">
        <f>IFERROR(__xludf.DUMMYFUNCTION("""COMPUTED_VALUE"""),"Curso de capacitación, seminario o taller")</f>
        <v>Curso de capacitación, seminario o taller</v>
      </c>
      <c r="H130" s="4" t="str">
        <f>IFERROR(__xludf.DUMMYFUNCTION("""COMPUTED_VALUE"""),"Socialización de resultados a actores del sector")</f>
        <v>Socialización de resultados a actores del sector</v>
      </c>
      <c r="I130" s="4" t="str">
        <f>IFERROR(__xludf.DUMMYFUNCTION("""COMPUTED_VALUE"""),"Articulación de redes de conocimiento")</f>
        <v>Articulación de redes de conocimiento</v>
      </c>
      <c r="J130" s="4" t="str">
        <f>IFERROR(__xludf.DUMMYFUNCTION("""COMPUTED_VALUE"""),"Circulación de conocimiento especializado - boletines")</f>
        <v>Circulación de conocimiento especializado - boletines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 t="str">
        <f>IFERROR(__xludf.DUMMYFUNCTION("""COMPUTED_VALUE"""),"Ninguna")</f>
        <v>Ninguna</v>
      </c>
      <c r="V130" s="4"/>
      <c r="W130" s="4" t="str">
        <f>IFERROR(__xludf.DUMMYFUNCTION("""COMPUTED_VALUE"""),"Proyecto")</f>
        <v>Proyecto</v>
      </c>
      <c r="X130" s="4" t="str">
        <f>IFERROR(__xludf.DUMMYFUNCTION("""COMPUTED_VALUE"""),"UdeA")</f>
        <v>UdeA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 t="str">
        <f>IFERROR(__xludf.DUMMYFUNCTION("""COMPUTED_VALUE"""),"Ninguna")</f>
        <v>Ninguna</v>
      </c>
      <c r="AL130" s="4"/>
      <c r="AM130" s="4" t="str">
        <f>IFERROR(__xludf.DUMMYFUNCTION("""COMPUTED_VALUE"""),"Obligatorio")</f>
        <v>Obligatorio</v>
      </c>
      <c r="AN130" s="4">
        <f>IFERROR(__xludf.DUMMYFUNCTION("""COMPUTED_VALUE"""),3.0)</f>
        <v>3</v>
      </c>
      <c r="AO130" s="4">
        <f>IFERROR(__xludf.DUMMYFUNCTION("""COMPUTED_VALUE"""),1.0)</f>
        <v>1</v>
      </c>
      <c r="AP130" s="4">
        <f>IFERROR(__xludf.DUMMYFUNCTION("""COMPUTED_VALUE"""),1.0)</f>
        <v>1</v>
      </c>
      <c r="AQ130" s="4">
        <f>IFERROR(__xludf.DUMMYFUNCTION("""COMPUTED_VALUE"""),1.0)</f>
        <v>1</v>
      </c>
      <c r="AR130" s="4">
        <f>IFERROR(__xludf.DUMMYFUNCTION("""COMPUTED_VALUE"""),1.0)</f>
        <v>1</v>
      </c>
      <c r="AS130" s="4">
        <f>IFERROR(__xludf.DUMMYFUNCTION("""COMPUTED_VALUE"""),1.0)</f>
        <v>1</v>
      </c>
      <c r="AT130" s="4" t="str">
        <f>IFERROR(__xludf.DUMMYFUNCTION("""COMPUTED_VALUE"""),"X Congreso Internacional de Materiales")</f>
        <v>X Congreso Internacional de Materiales</v>
      </c>
      <c r="AU130" s="5" t="str">
        <f>IFERROR(__xludf.DUMMYFUNCTION("""COMPUTED_VALUE"""),"https://drive.google.com/file/d/1dFs9eyga-vNFzViLmFBd3quK9mvlx5ZX/view?usp=sharing")</f>
        <v>https://drive.google.com/file/d/1dFs9eyga-vNFzViLmFBd3quK9mvlx5ZX/view?usp=sharing</v>
      </c>
      <c r="AV130" s="4"/>
      <c r="AW130" s="4"/>
      <c r="AX130" s="4">
        <f>IFERROR(__xludf.DUMMYFUNCTION("""COMPUTED_VALUE"""),5.0)</f>
        <v>5</v>
      </c>
      <c r="AY130" s="4" t="str">
        <f>IFERROR(__xludf.DUMMYFUNCTION("""COMPUTED_VALUE"""),"EVALUACIÓN Y CARACTERIZACIÓN DE UN CATALIZADOR
COMERCIAL PARA LA REDUCCIÓN DE ÓXIDOS DE
CARBONO")</f>
        <v>EVALUACIÓN Y CARACTERIZACIÓN DE UN CATALIZADOR
COMERCIAL PARA LA REDUCCIÓN DE ÓXIDOS DE
CARBONO</v>
      </c>
      <c r="AZ130" s="4"/>
    </row>
    <row r="131">
      <c r="A131" s="4" t="str">
        <f>IFERROR(__xludf.DUMMYFUNCTION("""COMPUTED_VALUE"""),"Proy13")</f>
        <v>Proy13</v>
      </c>
      <c r="B131" s="4" t="str">
        <f>IFERROR(__xludf.DUMMYFUNCTION("""COMPUTED_VALUE"""),"Nuevo_Conocimiento")</f>
        <v>Nuevo_Conocimiento</v>
      </c>
      <c r="C131" s="4" t="str">
        <f>IFERROR(__xludf.DUMMYFUNCTION("""COMPUTED_VALUE"""),"Artículo A1")</f>
        <v>Artículo A1</v>
      </c>
      <c r="D131" s="4" t="str">
        <f>IFERROR(__xludf.DUMMYFUNCTION("""COMPUTED_VALUE"""),"Artículo A1")</f>
        <v>Artículo A1</v>
      </c>
      <c r="E131" s="4" t="str">
        <f>IFERROR(__xludf.DUMMYFUNCTION("""COMPUTED_VALUE"""),"Artículo A2")</f>
        <v>Artículo A2</v>
      </c>
      <c r="F131" s="4" t="str">
        <f>IFERROR(__xludf.DUMMYFUNCTION("""COMPUTED_VALUE"""),"Artículo B")</f>
        <v>Artículo B</v>
      </c>
      <c r="G131" s="4" t="str">
        <f>IFERROR(__xludf.DUMMYFUNCTION("""COMPUTED_VALUE"""),"Artículo C")</f>
        <v>Artículo C</v>
      </c>
      <c r="H131" s="4" t="str">
        <f>IFERROR(__xludf.DUMMYFUNCTION("""COMPUTED_VALUE"""),"Capítulo de libro A")</f>
        <v>Capítulo de libro A</v>
      </c>
      <c r="I131" s="4" t="str">
        <f>IFERROR(__xludf.DUMMYFUNCTION("""COMPUTED_VALUE"""),"Capítulo de libro A1")</f>
        <v>Capítulo de libro A1</v>
      </c>
      <c r="J131" s="4" t="str">
        <f>IFERROR(__xludf.DUMMYFUNCTION("""COMPUTED_VALUE"""),"Capítulo de libro B")</f>
        <v>Capítulo de libro B</v>
      </c>
      <c r="K131" s="4" t="str">
        <f>IFERROR(__xludf.DUMMYFUNCTION("""COMPUTED_VALUE"""),"Libro A")</f>
        <v>Libro A</v>
      </c>
      <c r="L131" s="4" t="str">
        <f>IFERROR(__xludf.DUMMYFUNCTION("""COMPUTED_VALUE"""),"Libro A1")</f>
        <v>Libro A1</v>
      </c>
      <c r="M131" s="4" t="str">
        <f>IFERROR(__xludf.DUMMYFUNCTION("""COMPUTED_VALUE"""),"Libro B")</f>
        <v>Libro B</v>
      </c>
      <c r="N131" s="4" t="str">
        <f>IFERROR(__xludf.DUMMYFUNCTION("""COMPUTED_VALUE"""),"Solicitud Patente de invención y-o modelo de utitlidad")</f>
        <v>Solicitud Patente de invención y-o modelo de utitlidad</v>
      </c>
      <c r="O131" s="4" t="str">
        <f>IFERROR(__xludf.DUMMYFUNCTION("""COMPUTED_VALUE"""),"Patente de invención")</f>
        <v>Patente de invención</v>
      </c>
      <c r="P131" s="4" t="str">
        <f>IFERROR(__xludf.DUMMYFUNCTION("""COMPUTED_VALUE"""),"Patente de modelo de utilidad")</f>
        <v>Patente de modelo de utilidad</v>
      </c>
      <c r="Q131" s="4" t="str">
        <f>IFERROR(__xludf.DUMMYFUNCTION("""COMPUTED_VALUE"""),"Artículo sin clasificar")</f>
        <v>Artículo sin clasificar</v>
      </c>
      <c r="R131" s="4" t="str">
        <f>IFERROR(__xludf.DUMMYFUNCTION("""COMPUTED_VALUE"""),"Capítulo sin clasificar")</f>
        <v>Capítulo sin clasificar</v>
      </c>
      <c r="S131" s="4"/>
      <c r="T131" s="4"/>
      <c r="U131" s="4" t="str">
        <f>IFERROR(__xludf.DUMMYFUNCTION("""COMPUTED_VALUE"""),"Otros actores")</f>
        <v>Otros actores</v>
      </c>
      <c r="V131" s="4" t="str">
        <f>IFERROR(__xludf.DUMMYFUNCTION("""COMPUTED_VALUE"""),"Universidad de Gante")</f>
        <v>Universidad de Gante</v>
      </c>
      <c r="W131" s="4" t="str">
        <f>IFERROR(__xludf.DUMMYFUNCTION("""COMPUTED_VALUE"""),"Proyecto")</f>
        <v>Proyecto</v>
      </c>
      <c r="X131" s="4" t="str">
        <f>IFERROR(__xludf.DUMMYFUNCTION("""COMPUTED_VALUE"""),"UdeA")</f>
        <v>UdeA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 t="str">
        <f>IFERROR(__xludf.DUMMYFUNCTION("""COMPUTED_VALUE"""),"Ninguna")</f>
        <v>Ninguna</v>
      </c>
      <c r="AL131" s="4"/>
      <c r="AM131" s="4" t="str">
        <f>IFERROR(__xludf.DUMMYFUNCTION("""COMPUTED_VALUE"""),"Obligatorio")</f>
        <v>Obligatorio</v>
      </c>
      <c r="AN131" s="4">
        <f>IFERROR(__xludf.DUMMYFUNCTION("""COMPUTED_VALUE"""),3.0)</f>
        <v>3</v>
      </c>
      <c r="AO131" s="4">
        <f>IFERROR(__xludf.DUMMYFUNCTION("""COMPUTED_VALUE"""),1.0)</f>
        <v>1</v>
      </c>
      <c r="AP131" s="4">
        <f>IFERROR(__xludf.DUMMYFUNCTION("""COMPUTED_VALUE"""),2.0)</f>
        <v>2</v>
      </c>
      <c r="AQ131" s="4">
        <f>IFERROR(__xludf.DUMMYFUNCTION("""COMPUTED_VALUE"""),1.0)</f>
        <v>1</v>
      </c>
      <c r="AR131" s="4">
        <f>IFERROR(__xludf.DUMMYFUNCTION("""COMPUTED_VALUE"""),2.0)</f>
        <v>2</v>
      </c>
      <c r="AS131" s="4">
        <f>IFERROR(__xludf.DUMMYFUNCTION("""COMPUTED_VALUE"""),1.0)</f>
        <v>1</v>
      </c>
      <c r="AT131" s="5" t="str">
        <f>IFERROR(__xludf.DUMMYFUNCTION("""COMPUTED_VALUE"""),"https://doi.org/10.1016/j.comnet.2020.107420")</f>
        <v>https://doi.org/10.1016/j.comnet.2020.107420</v>
      </c>
      <c r="AU131" s="5" t="str">
        <f>IFERROR(__xludf.DUMMYFUNCTION("""COMPUTED_VALUE"""),"https://drive.google.com/file/d/1FVg-yeHQPIAo-LrTeIkEVBaPG_3rXa2z/view?usp=sharing")</f>
        <v>https://drive.google.com/file/d/1FVg-yeHQPIAo-LrTeIkEVBaPG_3rXa2z/view?usp=sharing</v>
      </c>
      <c r="AV131" s="4"/>
      <c r="AW131" s="4"/>
      <c r="AX131" s="4">
        <f>IFERROR(__xludf.DUMMYFUNCTION("""COMPUTED_VALUE"""),5.0)</f>
        <v>5</v>
      </c>
      <c r="AY131" s="4" t="str">
        <f>IFERROR(__xludf.DUMMYFUNCTION("""COMPUTED_VALUE"""),"Delay-constrained NFV orchestration for heterogeneous cloud networks")</f>
        <v>Delay-constrained NFV orchestration for heterogeneous cloud networks</v>
      </c>
      <c r="AZ131" s="4"/>
    </row>
    <row r="132">
      <c r="A132" s="4" t="str">
        <f>IFERROR(__xludf.DUMMYFUNCTION("""COMPUTED_VALUE"""),"Proy12")</f>
        <v>Proy12</v>
      </c>
      <c r="B132" s="4" t="str">
        <f>IFERROR(__xludf.DUMMYFUNCTION("""COMPUTED_VALUE"""),"Nuevo_Conocimiento")</f>
        <v>Nuevo_Conocimiento</v>
      </c>
      <c r="C132" s="4" t="str">
        <f>IFERROR(__xludf.DUMMYFUNCTION("""COMPUTED_VALUE"""),"Artículo A1")</f>
        <v>Artículo A1</v>
      </c>
      <c r="D132" s="4" t="str">
        <f>IFERROR(__xludf.DUMMYFUNCTION("""COMPUTED_VALUE"""),"Artículo A1")</f>
        <v>Artículo A1</v>
      </c>
      <c r="E132" s="4" t="str">
        <f>IFERROR(__xludf.DUMMYFUNCTION("""COMPUTED_VALUE"""),"Artículo A2")</f>
        <v>Artículo A2</v>
      </c>
      <c r="F132" s="4" t="str">
        <f>IFERROR(__xludf.DUMMYFUNCTION("""COMPUTED_VALUE"""),"Artículo B")</f>
        <v>Artículo B</v>
      </c>
      <c r="G132" s="4" t="str">
        <f>IFERROR(__xludf.DUMMYFUNCTION("""COMPUTED_VALUE"""),"Artículo C")</f>
        <v>Artículo C</v>
      </c>
      <c r="H132" s="4" t="str">
        <f>IFERROR(__xludf.DUMMYFUNCTION("""COMPUTED_VALUE"""),"Capítulo de libro A")</f>
        <v>Capítulo de libro A</v>
      </c>
      <c r="I132" s="4" t="str">
        <f>IFERROR(__xludf.DUMMYFUNCTION("""COMPUTED_VALUE"""),"Capítulo de libro A1")</f>
        <v>Capítulo de libro A1</v>
      </c>
      <c r="J132" s="4" t="str">
        <f>IFERROR(__xludf.DUMMYFUNCTION("""COMPUTED_VALUE"""),"Capítulo de libro B")</f>
        <v>Capítulo de libro B</v>
      </c>
      <c r="K132" s="4" t="str">
        <f>IFERROR(__xludf.DUMMYFUNCTION("""COMPUTED_VALUE"""),"Libro A")</f>
        <v>Libro A</v>
      </c>
      <c r="L132" s="4" t="str">
        <f>IFERROR(__xludf.DUMMYFUNCTION("""COMPUTED_VALUE"""),"Libro A1")</f>
        <v>Libro A1</v>
      </c>
      <c r="M132" s="4" t="str">
        <f>IFERROR(__xludf.DUMMYFUNCTION("""COMPUTED_VALUE"""),"Libro B")</f>
        <v>Libro B</v>
      </c>
      <c r="N132" s="4" t="str">
        <f>IFERROR(__xludf.DUMMYFUNCTION("""COMPUTED_VALUE"""),"Solicitud Patente de invención y-o modelo de utitlidad")</f>
        <v>Solicitud Patente de invención y-o modelo de utitlidad</v>
      </c>
      <c r="O132" s="4" t="str">
        <f>IFERROR(__xludf.DUMMYFUNCTION("""COMPUTED_VALUE"""),"Patente de invención")</f>
        <v>Patente de invención</v>
      </c>
      <c r="P132" s="4" t="str">
        <f>IFERROR(__xludf.DUMMYFUNCTION("""COMPUTED_VALUE"""),"Patente de modelo de utilidad")</f>
        <v>Patente de modelo de utilidad</v>
      </c>
      <c r="Q132" s="4" t="str">
        <f>IFERROR(__xludf.DUMMYFUNCTION("""COMPUTED_VALUE"""),"Artículo sin clasificar")</f>
        <v>Artículo sin clasificar</v>
      </c>
      <c r="R132" s="4" t="str">
        <f>IFERROR(__xludf.DUMMYFUNCTION("""COMPUTED_VALUE"""),"Capítulo sin clasificar")</f>
        <v>Capítulo sin clasificar</v>
      </c>
      <c r="S132" s="4"/>
      <c r="T132" s="4"/>
      <c r="U132" s="4" t="str">
        <f>IFERROR(__xludf.DUMMYFUNCTION("""COMPUTED_VALUE"""),"Otros actores")</f>
        <v>Otros actores</v>
      </c>
      <c r="V132" s="4" t="str">
        <f>IFERROR(__xludf.DUMMYFUNCTION("""COMPUTED_VALUE"""),"Universidad de Castilla - La Mancha, 
Oklahoma State University")</f>
        <v>Universidad de Castilla - La Mancha, 
Oklahoma State University</v>
      </c>
      <c r="W132" s="4" t="str">
        <f>IFERROR(__xludf.DUMMYFUNCTION("""COMPUTED_VALUE"""),"Proyecto")</f>
        <v>Proyecto</v>
      </c>
      <c r="X132" s="4" t="str">
        <f>IFERROR(__xludf.DUMMYFUNCTION("""COMPUTED_VALUE"""),"UdeA")</f>
        <v>UdeA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 t="str">
        <f>IFERROR(__xludf.DUMMYFUNCTION("""COMPUTED_VALUE"""),"Ninguna")</f>
        <v>Ninguna</v>
      </c>
      <c r="AL132" s="4"/>
      <c r="AM132" s="4" t="str">
        <f>IFERROR(__xludf.DUMMYFUNCTION("""COMPUTED_VALUE"""),"Obligatorio")</f>
        <v>Obligatorio</v>
      </c>
      <c r="AN132" s="4">
        <f>IFERROR(__xludf.DUMMYFUNCTION("""COMPUTED_VALUE"""),6.0)</f>
        <v>6</v>
      </c>
      <c r="AO132" s="4">
        <f>IFERROR(__xludf.DUMMYFUNCTION("""COMPUTED_VALUE"""),1.0)</f>
        <v>1</v>
      </c>
      <c r="AP132" s="4">
        <f>IFERROR(__xludf.DUMMYFUNCTION("""COMPUTED_VALUE"""),3.0)</f>
        <v>3</v>
      </c>
      <c r="AQ132" s="4">
        <f>IFERROR(__xludf.DUMMYFUNCTION("""COMPUTED_VALUE"""),1.0)</f>
        <v>1</v>
      </c>
      <c r="AR132" s="4">
        <f>IFERROR(__xludf.DUMMYFUNCTION("""COMPUTED_VALUE"""),3.0)</f>
        <v>3</v>
      </c>
      <c r="AS132" s="4">
        <f>IFERROR(__xludf.DUMMYFUNCTION("""COMPUTED_VALUE"""),1.0)</f>
        <v>1</v>
      </c>
      <c r="AT132" s="5" t="str">
        <f>IFERROR(__xludf.DUMMYFUNCTION("""COMPUTED_VALUE"""),"https://doi.org/10.1016/j.fuel.2020.118763")</f>
        <v>https://doi.org/10.1016/j.fuel.2020.118763</v>
      </c>
      <c r="AU132" s="5" t="str">
        <f>IFERROR(__xludf.DUMMYFUNCTION("""COMPUTED_VALUE"""),"https://drive.google.com/file/d/1UU2ul_exNV5opj_w9EJ7-LpiKA2vsBMg/view?usp=sharing")</f>
        <v>https://drive.google.com/file/d/1UU2ul_exNV5opj_w9EJ7-LpiKA2vsBMg/view?usp=sharing</v>
      </c>
      <c r="AV132" s="4"/>
      <c r="AW132" s="4"/>
      <c r="AX132" s="4">
        <f>IFERROR(__xludf.DUMMYFUNCTION("""COMPUTED_VALUE"""),5.0)</f>
        <v>5</v>
      </c>
      <c r="AY132" s="4" t="str">
        <f>IFERROR(__xludf.DUMMYFUNCTION("""COMPUTED_VALUE"""),"Genotoxicity and mutagenicity of particulate matter emitted from diesel, gas
to liquid, biodiesel, and farnesane fuels: A toxicological risk")</f>
        <v>Genotoxicity and mutagenicity of particulate matter emitted from diesel, gas
to liquid, biodiesel, and farnesane fuels: A toxicological risk</v>
      </c>
      <c r="AZ132" s="4"/>
    </row>
    <row r="133">
      <c r="A133" s="4" t="str">
        <f>IFERROR(__xludf.DUMMYFUNCTION("""COMPUTED_VALUE"""),"Proy6")</f>
        <v>Proy6</v>
      </c>
      <c r="B133" s="4" t="str">
        <f>IFERROR(__xludf.DUMMYFUNCTION("""COMPUTED_VALUE"""),"Formación_RH")</f>
        <v>Formación_RH</v>
      </c>
      <c r="C133" s="4" t="str">
        <f>IFERROR(__xludf.DUMMYFUNCTION("""COMPUTED_VALUE"""),"Joven investigador")</f>
        <v>Joven investigador</v>
      </c>
      <c r="D133" s="4" t="str">
        <f>IFERROR(__xludf.DUMMYFUNCTION("""COMPUTED_VALUE"""),"Vinculación de estudiante de doctorado")</f>
        <v>Vinculación de estudiante de doctorado</v>
      </c>
      <c r="E133" s="4" t="str">
        <f>IFERROR(__xludf.DUMMYFUNCTION("""COMPUTED_VALUE"""),"Formación de estudiante de doctorado")</f>
        <v>Formación de estudiante de doctorado</v>
      </c>
      <c r="F133" s="4" t="str">
        <f>IFERROR(__xludf.DUMMYFUNCTION("""COMPUTED_VALUE"""),"Vinculación de estudiante de maestría")</f>
        <v>Vinculación de estudiante de maestría</v>
      </c>
      <c r="G133" s="4" t="str">
        <f>IFERROR(__xludf.DUMMYFUNCTION("""COMPUTED_VALUE"""),"Formación de estudiante de maestría")</f>
        <v>Formación de estudiante de maestría</v>
      </c>
      <c r="H133" s="4" t="str">
        <f>IFERROR(__xludf.DUMMYFUNCTION("""COMPUTED_VALUE"""),"Vinculación de estudiante de pregrado")</f>
        <v>Vinculación de estudiante de pregrado</v>
      </c>
      <c r="I133" s="4" t="str">
        <f>IFERROR(__xludf.DUMMYFUNCTION("""COMPUTED_VALUE"""),"Formación de estudiante de pregrado")</f>
        <v>Formación de estudiante de pregrado</v>
      </c>
      <c r="J133" s="4" t="str">
        <f>IFERROR(__xludf.DUMMYFUNCTION("""COMPUTED_VALUE"""),"Joven investigador")</f>
        <v>Joven investigador</v>
      </c>
      <c r="K133" s="4" t="str">
        <f>IFERROR(__xludf.DUMMYFUNCTION("""COMPUTED_VALUE"""),"Pasantía nacional")</f>
        <v>Pasantía nacional</v>
      </c>
      <c r="L133" s="4" t="str">
        <f>IFERROR(__xludf.DUMMYFUNCTION("""COMPUTED_VALUE"""),"Pasantía internacional")</f>
        <v>Pasantía internacional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 t="str">
        <f>IFERROR(__xludf.DUMMYFUNCTION("""COMPUTED_VALUE"""),"Proyecto")</f>
        <v>Proyecto</v>
      </c>
      <c r="X133" s="4" t="str">
        <f>IFERROR(__xludf.DUMMYFUNCTION("""COMPUTED_VALUE"""),"UdeA")</f>
        <v>UdeA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 t="str">
        <f>IFERROR(__xludf.DUMMYFUNCTION("""COMPUTED_VALUE"""),"Ninguna")</f>
        <v>Ninguna</v>
      </c>
      <c r="AL133" s="4"/>
      <c r="AM133" s="4" t="str">
        <f>IFERROR(__xludf.DUMMYFUNCTION("""COMPUTED_VALUE"""),"Adicional")</f>
        <v>Adicional</v>
      </c>
      <c r="AN133" s="4"/>
      <c r="AO133" s="4"/>
      <c r="AP133" s="4"/>
      <c r="AQ133" s="4"/>
      <c r="AR133" s="4"/>
      <c r="AS133" s="4"/>
      <c r="AT133" s="4" t="str">
        <f>IFERROR(__xludf.DUMMYFUNCTION("""COMPUTED_VALUE"""),"Jessica Vanessa Pardo Sarmiento")</f>
        <v>Jessica Vanessa Pardo Sarmiento</v>
      </c>
      <c r="AU133" s="5" t="str">
        <f>IFERROR(__xludf.DUMMYFUNCTION("""COMPUTED_VALUE"""),"https://drive.google.com/file/d/1-_yn0Q_HZL9Ch8q-Lcoh0PGmKB-vBAbP/view?usp=sharing")</f>
        <v>https://drive.google.com/file/d/1-_yn0Q_HZL9Ch8q-Lcoh0PGmKB-vBAbP/view?usp=sharing</v>
      </c>
      <c r="AV133" s="4"/>
      <c r="AW133" s="4" t="str">
        <f>IFERROR(__xludf.DUMMYFUNCTION("""COMPUTED_VALUE"""),"En Curso")</f>
        <v>En Curso</v>
      </c>
      <c r="AX133" s="4">
        <f>IFERROR(__xludf.DUMMYFUNCTION("""COMPUTED_VALUE"""),5.0)</f>
        <v>5</v>
      </c>
      <c r="AY133" s="4" t="str">
        <f>IFERROR(__xludf.DUMMYFUNCTION("""COMPUTED_VALUE"""),"Ingeniería Química - UdeA")</f>
        <v>Ingeniería Química - UdeA</v>
      </c>
      <c r="AZ133" s="4"/>
    </row>
    <row r="134">
      <c r="A134" s="4" t="str">
        <f>IFERROR(__xludf.DUMMYFUNCTION("""COMPUTED_VALUE"""),"Proy2")</f>
        <v>Proy2</v>
      </c>
      <c r="B134" s="4" t="str">
        <f>IFERROR(__xludf.DUMMYFUNCTION("""COMPUTED_VALUE"""),"Nuevo_Conocimiento")</f>
        <v>Nuevo_Conocimiento</v>
      </c>
      <c r="C134" s="4" t="str">
        <f>IFERROR(__xludf.DUMMYFUNCTION("""COMPUTED_VALUE"""),"Artículo B")</f>
        <v>Artículo B</v>
      </c>
      <c r="D134" s="4" t="str">
        <f>IFERROR(__xludf.DUMMYFUNCTION("""COMPUTED_VALUE"""),"Artículo A1")</f>
        <v>Artículo A1</v>
      </c>
      <c r="E134" s="4" t="str">
        <f>IFERROR(__xludf.DUMMYFUNCTION("""COMPUTED_VALUE"""),"Artículo A2")</f>
        <v>Artículo A2</v>
      </c>
      <c r="F134" s="4" t="str">
        <f>IFERROR(__xludf.DUMMYFUNCTION("""COMPUTED_VALUE"""),"Artículo B")</f>
        <v>Artículo B</v>
      </c>
      <c r="G134" s="4" t="str">
        <f>IFERROR(__xludf.DUMMYFUNCTION("""COMPUTED_VALUE"""),"Artículo C")</f>
        <v>Artículo C</v>
      </c>
      <c r="H134" s="4" t="str">
        <f>IFERROR(__xludf.DUMMYFUNCTION("""COMPUTED_VALUE"""),"Capítulo de libro A")</f>
        <v>Capítulo de libro A</v>
      </c>
      <c r="I134" s="4" t="str">
        <f>IFERROR(__xludf.DUMMYFUNCTION("""COMPUTED_VALUE"""),"Capítulo de libro A1")</f>
        <v>Capítulo de libro A1</v>
      </c>
      <c r="J134" s="4" t="str">
        <f>IFERROR(__xludf.DUMMYFUNCTION("""COMPUTED_VALUE"""),"Capítulo de libro B")</f>
        <v>Capítulo de libro B</v>
      </c>
      <c r="K134" s="4" t="str">
        <f>IFERROR(__xludf.DUMMYFUNCTION("""COMPUTED_VALUE"""),"Libro A")</f>
        <v>Libro A</v>
      </c>
      <c r="L134" s="4" t="str">
        <f>IFERROR(__xludf.DUMMYFUNCTION("""COMPUTED_VALUE"""),"Libro A1")</f>
        <v>Libro A1</v>
      </c>
      <c r="M134" s="4" t="str">
        <f>IFERROR(__xludf.DUMMYFUNCTION("""COMPUTED_VALUE"""),"Libro B")</f>
        <v>Libro B</v>
      </c>
      <c r="N134" s="4" t="str">
        <f>IFERROR(__xludf.DUMMYFUNCTION("""COMPUTED_VALUE"""),"Solicitud Patente de invención y-o modelo de utitlidad")</f>
        <v>Solicitud Patente de invención y-o modelo de utitlidad</v>
      </c>
      <c r="O134" s="4" t="str">
        <f>IFERROR(__xludf.DUMMYFUNCTION("""COMPUTED_VALUE"""),"Patente de invención")</f>
        <v>Patente de invención</v>
      </c>
      <c r="P134" s="4" t="str">
        <f>IFERROR(__xludf.DUMMYFUNCTION("""COMPUTED_VALUE"""),"Patente de modelo de utilidad")</f>
        <v>Patente de modelo de utilidad</v>
      </c>
      <c r="Q134" s="4" t="str">
        <f>IFERROR(__xludf.DUMMYFUNCTION("""COMPUTED_VALUE"""),"Artículo sin clasificar")</f>
        <v>Artículo sin clasificar</v>
      </c>
      <c r="R134" s="4" t="str">
        <f>IFERROR(__xludf.DUMMYFUNCTION("""COMPUTED_VALUE"""),"Capítulo sin clasificar")</f>
        <v>Capítulo sin clasificar</v>
      </c>
      <c r="S134" s="4"/>
      <c r="T134" s="4"/>
      <c r="U134" s="4" t="str">
        <f>IFERROR(__xludf.DUMMYFUNCTION("""COMPUTED_VALUE"""),"Otros actores")</f>
        <v>Otros actores</v>
      </c>
      <c r="V134" s="4" t="str">
        <f>IFERROR(__xludf.DUMMYFUNCTION("""COMPUTED_VALUE"""),"University of
Pardubice, Nam, República Checa")</f>
        <v>University of
Pardubice, Nam, República Checa</v>
      </c>
      <c r="W134" s="4" t="str">
        <f>IFERROR(__xludf.DUMMYFUNCTION("""COMPUTED_VALUE"""),"Programa")</f>
        <v>Programa</v>
      </c>
      <c r="X134" s="4" t="str">
        <f>IFERROR(__xludf.DUMMYFUNCTION("""COMPUTED_VALUE"""),"UdeA")</f>
        <v>UdeA</v>
      </c>
      <c r="Y134" s="4" t="str">
        <f>IFERROR(__xludf.DUMMYFUNCTION("""COMPUTED_VALUE"""),"U. Pamplona")</f>
        <v>U. Pamplona</v>
      </c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 t="str">
        <f>IFERROR(__xludf.DUMMYFUNCTION("""COMPUTED_VALUE"""),"UIS")</f>
        <v>UIS</v>
      </c>
      <c r="AK134" s="4" t="str">
        <f>IFERROR(__xludf.DUMMYFUNCTION("""COMPUTED_VALUE"""),"Colaboración")</f>
        <v>Colaboración</v>
      </c>
      <c r="AL134" s="4" t="str">
        <f>IFERROR(__xludf.DUMMYFUNCTION("""COMPUTED_VALUE"""),"P3")</f>
        <v>P3</v>
      </c>
      <c r="AM134" s="4" t="str">
        <f>IFERROR(__xludf.DUMMYFUNCTION("""COMPUTED_VALUE"""),"Adicional")</f>
        <v>Adicional</v>
      </c>
      <c r="AN134" s="4">
        <f>IFERROR(__xludf.DUMMYFUNCTION("""COMPUTED_VALUE"""),5.0)</f>
        <v>5</v>
      </c>
      <c r="AO134" s="4">
        <f>IFERROR(__xludf.DUMMYFUNCTION("""COMPUTED_VALUE"""),1.0)</f>
        <v>1</v>
      </c>
      <c r="AP134" s="4">
        <f>IFERROR(__xludf.DUMMYFUNCTION("""COMPUTED_VALUE"""),4.0)</f>
        <v>4</v>
      </c>
      <c r="AQ134" s="4">
        <f>IFERROR(__xludf.DUMMYFUNCTION("""COMPUTED_VALUE"""),1.0)</f>
        <v>1</v>
      </c>
      <c r="AR134" s="4">
        <f>IFERROR(__xludf.DUMMYFUNCTION("""COMPUTED_VALUE"""),4.0)</f>
        <v>4</v>
      </c>
      <c r="AS134" s="4">
        <f>IFERROR(__xludf.DUMMYFUNCTION("""COMPUTED_VALUE"""),1.0)</f>
        <v>1</v>
      </c>
      <c r="AT134" s="4" t="str">
        <f>IFERROR(__xludf.DUMMYFUNCTION("""COMPUTED_VALUE"""),"DOI: 10.1116/6.0000275")</f>
        <v>DOI: 10.1116/6.0000275</v>
      </c>
      <c r="AU134" s="5" t="str">
        <f>IFERROR(__xludf.DUMMYFUNCTION("""COMPUTED_VALUE"""),"https://drive.google.com/file/d/1i6eFNTqt-074bUDTXMlD1DY4FbHWY4Q6/view?usp=sharing")</f>
        <v>https://drive.google.com/file/d/1i6eFNTqt-074bUDTXMlD1DY4FbHWY4Q6/view?usp=sharing</v>
      </c>
      <c r="AV134" s="4"/>
      <c r="AW134" s="4"/>
      <c r="AX134" s="4">
        <f>IFERROR(__xludf.DUMMYFUNCTION("""COMPUTED_VALUE"""),5.0)</f>
        <v>5</v>
      </c>
      <c r="AY134" s="4" t="str">
        <f>IFERROR(__xludf.DUMMYFUNCTION("""COMPUTED_VALUE"""),"XPS of the surface chemical environment of
CsMAFAPbBrI trication-mixed halide perovskite film")</f>
        <v>XPS of the surface chemical environment of
CsMAFAPbBrI trication-mixed halide perovskite film</v>
      </c>
      <c r="AZ134" s="4"/>
    </row>
    <row r="135">
      <c r="A135" s="4" t="str">
        <f>IFERROR(__xludf.DUMMYFUNCTION("""COMPUTED_VALUE"""),"Proy10")</f>
        <v>Proy10</v>
      </c>
      <c r="B135" s="4" t="str">
        <f>IFERROR(__xludf.DUMMYFUNCTION("""COMPUTED_VALUE"""),"Formación_RH")</f>
        <v>Formación_RH</v>
      </c>
      <c r="C135" s="4" t="str">
        <f>IFERROR(__xludf.DUMMYFUNCTION("""COMPUTED_VALUE"""),"Vinculación de estudiante de pregrado")</f>
        <v>Vinculación de estudiante de pregrado</v>
      </c>
      <c r="D135" s="4" t="str">
        <f>IFERROR(__xludf.DUMMYFUNCTION("""COMPUTED_VALUE"""),"Vinculación de estudiante de doctorado")</f>
        <v>Vinculación de estudiante de doctorado</v>
      </c>
      <c r="E135" s="4" t="str">
        <f>IFERROR(__xludf.DUMMYFUNCTION("""COMPUTED_VALUE"""),"Formación de estudiante de doctorado")</f>
        <v>Formación de estudiante de doctorado</v>
      </c>
      <c r="F135" s="4" t="str">
        <f>IFERROR(__xludf.DUMMYFUNCTION("""COMPUTED_VALUE"""),"Vinculación de estudiante de maestría")</f>
        <v>Vinculación de estudiante de maestría</v>
      </c>
      <c r="G135" s="4" t="str">
        <f>IFERROR(__xludf.DUMMYFUNCTION("""COMPUTED_VALUE"""),"Formación de estudiante de maestría")</f>
        <v>Formación de estudiante de maestría</v>
      </c>
      <c r="H135" s="4" t="str">
        <f>IFERROR(__xludf.DUMMYFUNCTION("""COMPUTED_VALUE"""),"Vinculación de estudiante de pregrado")</f>
        <v>Vinculación de estudiante de pregrado</v>
      </c>
      <c r="I135" s="4" t="str">
        <f>IFERROR(__xludf.DUMMYFUNCTION("""COMPUTED_VALUE"""),"Formación de estudiante de pregrado")</f>
        <v>Formación de estudiante de pregrado</v>
      </c>
      <c r="J135" s="4" t="str">
        <f>IFERROR(__xludf.DUMMYFUNCTION("""COMPUTED_VALUE"""),"Joven investigador")</f>
        <v>Joven investigador</v>
      </c>
      <c r="K135" s="4" t="str">
        <f>IFERROR(__xludf.DUMMYFUNCTION("""COMPUTED_VALUE"""),"Pasantía nacional")</f>
        <v>Pasantía nacional</v>
      </c>
      <c r="L135" s="4" t="str">
        <f>IFERROR(__xludf.DUMMYFUNCTION("""COMPUTED_VALUE"""),"Pasantía internacional")</f>
        <v>Pasantía internacional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 t="str">
        <f>IFERROR(__xludf.DUMMYFUNCTION("""COMPUTED_VALUE"""),"ALEJANDRO RESTREPO ROMÁN")</f>
        <v>ALEJANDRO RESTREPO ROMÁN</v>
      </c>
      <c r="AU135" s="4"/>
      <c r="AV135" s="4"/>
      <c r="AW135" s="4" t="str">
        <f>IFERROR(__xludf.DUMMYFUNCTION("""COMPUTED_VALUE"""),"Finalizado")</f>
        <v>Finalizado</v>
      </c>
      <c r="AX135" s="4">
        <f>IFERROR(__xludf.DUMMYFUNCTION("""COMPUTED_VALUE"""),5.0)</f>
        <v>5</v>
      </c>
      <c r="AY135" s="4" t="str">
        <f>IFERROR(__xludf.DUMMYFUNCTION("""COMPUTED_VALUE"""),"Ingeniería Mecánica - UdeA")</f>
        <v>Ingeniería Mecánica - UdeA</v>
      </c>
      <c r="AZ135" s="4"/>
    </row>
    <row r="136">
      <c r="A136" s="4" t="str">
        <f>IFERROR(__xludf.DUMMYFUNCTION("""COMPUTED_VALUE"""),"Proy7")</f>
        <v>Proy7</v>
      </c>
      <c r="B136" s="4" t="str">
        <f>IFERROR(__xludf.DUMMYFUNCTION("""COMPUTED_VALUE"""),"Formación_RH")</f>
        <v>Formación_RH</v>
      </c>
      <c r="C136" s="4" t="str">
        <f>IFERROR(__xludf.DUMMYFUNCTION("""COMPUTED_VALUE"""),"Vinculación de estudiante de pregrado")</f>
        <v>Vinculación de estudiante de pregrado</v>
      </c>
      <c r="D136" s="4" t="str">
        <f>IFERROR(__xludf.DUMMYFUNCTION("""COMPUTED_VALUE"""),"Vinculación de estudiante de doctorado")</f>
        <v>Vinculación de estudiante de doctorado</v>
      </c>
      <c r="E136" s="4" t="str">
        <f>IFERROR(__xludf.DUMMYFUNCTION("""COMPUTED_VALUE"""),"Formación de estudiante de doctorado")</f>
        <v>Formación de estudiante de doctorado</v>
      </c>
      <c r="F136" s="4" t="str">
        <f>IFERROR(__xludf.DUMMYFUNCTION("""COMPUTED_VALUE"""),"Vinculación de estudiante de maestría")</f>
        <v>Vinculación de estudiante de maestría</v>
      </c>
      <c r="G136" s="4" t="str">
        <f>IFERROR(__xludf.DUMMYFUNCTION("""COMPUTED_VALUE"""),"Formación de estudiante de maestría")</f>
        <v>Formación de estudiante de maestría</v>
      </c>
      <c r="H136" s="4" t="str">
        <f>IFERROR(__xludf.DUMMYFUNCTION("""COMPUTED_VALUE"""),"Vinculación de estudiante de pregrado")</f>
        <v>Vinculación de estudiante de pregrado</v>
      </c>
      <c r="I136" s="4" t="str">
        <f>IFERROR(__xludf.DUMMYFUNCTION("""COMPUTED_VALUE"""),"Formación de estudiante de pregrado")</f>
        <v>Formación de estudiante de pregrado</v>
      </c>
      <c r="J136" s="4" t="str">
        <f>IFERROR(__xludf.DUMMYFUNCTION("""COMPUTED_VALUE"""),"Joven investigador")</f>
        <v>Joven investigador</v>
      </c>
      <c r="K136" s="4" t="str">
        <f>IFERROR(__xludf.DUMMYFUNCTION("""COMPUTED_VALUE"""),"Pasantía nacional")</f>
        <v>Pasantía nacional</v>
      </c>
      <c r="L136" s="4" t="str">
        <f>IFERROR(__xludf.DUMMYFUNCTION("""COMPUTED_VALUE"""),"Pasantía internacional")</f>
        <v>Pasantía internacional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tr">
        <f>IFERROR(__xludf.DUMMYFUNCTION("""COMPUTED_VALUE"""),"Obligatorio")</f>
        <v>Obligatorio</v>
      </c>
      <c r="AN136" s="4"/>
      <c r="AO136" s="4"/>
      <c r="AP136" s="4"/>
      <c r="AQ136" s="4"/>
      <c r="AR136" s="4"/>
      <c r="AS136" s="4"/>
      <c r="AT136" s="4" t="str">
        <f>IFERROR(__xludf.DUMMYFUNCTION("""COMPUTED_VALUE"""),"TAYLOR DE LA VEGA GONZÁLEZ")</f>
        <v>TAYLOR DE LA VEGA GONZÁLEZ</v>
      </c>
      <c r="AU136" s="5" t="str">
        <f>IFERROR(__xludf.DUMMYFUNCTION("""COMPUTED_VALUE"""),"https://drive.google.com/open?id=1eqZwqhrJIN2TltIpLjrf_yD6jLIw64wR")</f>
        <v>https://drive.google.com/open?id=1eqZwqhrJIN2TltIpLjrf_yD6jLIw64wR</v>
      </c>
      <c r="AV136" s="4"/>
      <c r="AW136" s="4" t="str">
        <f>IFERROR(__xludf.DUMMYFUNCTION("""COMPUTED_VALUE"""),"Finalizado")</f>
        <v>Finalizado</v>
      </c>
      <c r="AX136" s="4">
        <f>IFERROR(__xludf.DUMMYFUNCTION("""COMPUTED_VALUE"""),5.0)</f>
        <v>5</v>
      </c>
      <c r="AY136" s="4" t="str">
        <f>IFERROR(__xludf.DUMMYFUNCTION("""COMPUTED_VALUE"""),"Ingeniería Mecánica - U. Córdoba")</f>
        <v>Ingeniería Mecánica - U. Córdoba</v>
      </c>
      <c r="AZ136" s="4"/>
    </row>
    <row r="137">
      <c r="A137" s="4" t="str">
        <f>IFERROR(__xludf.DUMMYFUNCTION("""COMPUTED_VALUE"""),"Proy15")</f>
        <v>Proy15</v>
      </c>
      <c r="B137" s="4" t="str">
        <f>IFERROR(__xludf.DUMMYFUNCTION("""COMPUTED_VALUE"""),"Formación_RH")</f>
        <v>Formación_RH</v>
      </c>
      <c r="C137" s="4" t="str">
        <f>IFERROR(__xludf.DUMMYFUNCTION("""COMPUTED_VALUE"""),"Vinculación de estudiante de doctorado")</f>
        <v>Vinculación de estudiante de doctorado</v>
      </c>
      <c r="D137" s="4" t="str">
        <f>IFERROR(__xludf.DUMMYFUNCTION("""COMPUTED_VALUE"""),"Vinculación de estudiante de doctorado")</f>
        <v>Vinculación de estudiante de doctorado</v>
      </c>
      <c r="E137" s="4" t="str">
        <f>IFERROR(__xludf.DUMMYFUNCTION("""COMPUTED_VALUE"""),"Formación de estudiante de doctorado")</f>
        <v>Formación de estudiante de doctorado</v>
      </c>
      <c r="F137" s="4" t="str">
        <f>IFERROR(__xludf.DUMMYFUNCTION("""COMPUTED_VALUE"""),"Vinculación de estudiante de maestría")</f>
        <v>Vinculación de estudiante de maestría</v>
      </c>
      <c r="G137" s="4" t="str">
        <f>IFERROR(__xludf.DUMMYFUNCTION("""COMPUTED_VALUE"""),"Formación de estudiante de maestría")</f>
        <v>Formación de estudiante de maestría</v>
      </c>
      <c r="H137" s="4" t="str">
        <f>IFERROR(__xludf.DUMMYFUNCTION("""COMPUTED_VALUE"""),"Vinculación de estudiante de pregrado")</f>
        <v>Vinculación de estudiante de pregrado</v>
      </c>
      <c r="I137" s="4" t="str">
        <f>IFERROR(__xludf.DUMMYFUNCTION("""COMPUTED_VALUE"""),"Formación de estudiante de pregrado")</f>
        <v>Formación de estudiante de pregrado</v>
      </c>
      <c r="J137" s="4" t="str">
        <f>IFERROR(__xludf.DUMMYFUNCTION("""COMPUTED_VALUE"""),"Joven investigador")</f>
        <v>Joven investigador</v>
      </c>
      <c r="K137" s="4" t="str">
        <f>IFERROR(__xludf.DUMMYFUNCTION("""COMPUTED_VALUE"""),"Pasantía nacional")</f>
        <v>Pasantía nacional</v>
      </c>
      <c r="L137" s="4" t="str">
        <f>IFERROR(__xludf.DUMMYFUNCTION("""COMPUTED_VALUE"""),"Pasantía internacional")</f>
        <v>Pasantía internacional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 t="str">
        <f>IFERROR(__xludf.DUMMYFUNCTION("""COMPUTED_VALUE"""),"UdeA")</f>
        <v>UdeA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 t="str">
        <f>IFERROR(__xludf.DUMMYFUNCTION("""COMPUTED_VALUE"""),"Ninguna")</f>
        <v>Ninguna</v>
      </c>
      <c r="AL137" s="4"/>
      <c r="AM137" s="4" t="str">
        <f>IFERROR(__xludf.DUMMYFUNCTION("""COMPUTED_VALUE"""),"Obligatorio")</f>
        <v>Obligatorio</v>
      </c>
      <c r="AN137" s="4"/>
      <c r="AO137" s="4"/>
      <c r="AP137" s="4"/>
      <c r="AQ137" s="4"/>
      <c r="AR137" s="4"/>
      <c r="AS137" s="4"/>
      <c r="AT137" s="4" t="str">
        <f>IFERROR(__xludf.DUMMYFUNCTION("""COMPUTED_VALUE"""),"Juan David Osorio Múnera")</f>
        <v>Juan David Osorio Múnera</v>
      </c>
      <c r="AU137" s="4"/>
      <c r="AV137" s="4"/>
      <c r="AW137" s="4" t="str">
        <f>IFERROR(__xludf.DUMMYFUNCTION("""COMPUTED_VALUE"""),"En Curso")</f>
        <v>En Curso</v>
      </c>
      <c r="AX137" s="4">
        <f>IFERROR(__xludf.DUMMYFUNCTION("""COMPUTED_VALUE"""),5.0)</f>
        <v>5</v>
      </c>
      <c r="AY137" s="4" t="str">
        <f>IFERROR(__xludf.DUMMYFUNCTION("""COMPUTED_VALUE"""),"Doctorado en Ingeniería Ambiental -UdeA")</f>
        <v>Doctorado en Ingeniería Ambiental -UdeA</v>
      </c>
      <c r="AZ137" s="4"/>
    </row>
    <row r="138">
      <c r="A138" s="4" t="str">
        <f>IFERROR(__xludf.DUMMYFUNCTION("""COMPUTED_VALUE"""),"Proy1")</f>
        <v>Proy1</v>
      </c>
      <c r="B138" s="4" t="str">
        <f>IFERROR(__xludf.DUMMYFUNCTION("""COMPUTED_VALUE"""),"Formación_RH")</f>
        <v>Formación_RH</v>
      </c>
      <c r="C138" s="4" t="str">
        <f>IFERROR(__xludf.DUMMYFUNCTION("""COMPUTED_VALUE"""),"Vinculación de estudiante de pregrado")</f>
        <v>Vinculación de estudiante de pregrado</v>
      </c>
      <c r="D138" s="4" t="str">
        <f>IFERROR(__xludf.DUMMYFUNCTION("""COMPUTED_VALUE"""),"Vinculación de estudiante de doctorado")</f>
        <v>Vinculación de estudiante de doctorado</v>
      </c>
      <c r="E138" s="4" t="str">
        <f>IFERROR(__xludf.DUMMYFUNCTION("""COMPUTED_VALUE"""),"Formación de estudiante de doctorado")</f>
        <v>Formación de estudiante de doctorado</v>
      </c>
      <c r="F138" s="4" t="str">
        <f>IFERROR(__xludf.DUMMYFUNCTION("""COMPUTED_VALUE"""),"Vinculación de estudiante de maestría")</f>
        <v>Vinculación de estudiante de maestría</v>
      </c>
      <c r="G138" s="4" t="str">
        <f>IFERROR(__xludf.DUMMYFUNCTION("""COMPUTED_VALUE"""),"Formación de estudiante de maestría")</f>
        <v>Formación de estudiante de maestría</v>
      </c>
      <c r="H138" s="4" t="str">
        <f>IFERROR(__xludf.DUMMYFUNCTION("""COMPUTED_VALUE"""),"Vinculación de estudiante de pregrado")</f>
        <v>Vinculación de estudiante de pregrado</v>
      </c>
      <c r="I138" s="4" t="str">
        <f>IFERROR(__xludf.DUMMYFUNCTION("""COMPUTED_VALUE"""),"Formación de estudiante de pregrado")</f>
        <v>Formación de estudiante de pregrado</v>
      </c>
      <c r="J138" s="4" t="str">
        <f>IFERROR(__xludf.DUMMYFUNCTION("""COMPUTED_VALUE"""),"Joven investigador")</f>
        <v>Joven investigador</v>
      </c>
      <c r="K138" s="4" t="str">
        <f>IFERROR(__xludf.DUMMYFUNCTION("""COMPUTED_VALUE"""),"Pasantía nacional")</f>
        <v>Pasantía nacional</v>
      </c>
      <c r="L138" s="4" t="str">
        <f>IFERROR(__xludf.DUMMYFUNCTION("""COMPUTED_VALUE"""),"Pasantía internacional")</f>
        <v>Pasantía internacional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 t="str">
        <f>IFERROR(__xludf.DUMMYFUNCTION("""COMPUTED_VALUE"""),"Daniel David Sierra Moreno")</f>
        <v>Daniel David Sierra Moreno</v>
      </c>
      <c r="AU138" s="5" t="str">
        <f>IFERROR(__xludf.DUMMYFUNCTION("""COMPUTED_VALUE"""),"https://drive.google.com/file/d/19_zS28SeU8toqBM67FWSxg1jMvPSbPEp/view?usp=sharing")</f>
        <v>https://drive.google.com/file/d/19_zS28SeU8toqBM67FWSxg1jMvPSbPEp/view?usp=sharing</v>
      </c>
      <c r="AV138" s="4"/>
      <c r="AW138" s="4" t="str">
        <f>IFERROR(__xludf.DUMMYFUNCTION("""COMPUTED_VALUE"""),"En Curso")</f>
        <v>En Curso</v>
      </c>
      <c r="AX138" s="4">
        <f>IFERROR(__xludf.DUMMYFUNCTION("""COMPUTED_VALUE"""),5.0)</f>
        <v>5</v>
      </c>
      <c r="AY138" s="4" t="str">
        <f>IFERROR(__xludf.DUMMYFUNCTION("""COMPUTED_VALUE"""),"Ingeniería Mecánica - UdeA")</f>
        <v>Ingeniería Mecánica - UdeA</v>
      </c>
      <c r="AZ138" s="4"/>
    </row>
    <row r="139">
      <c r="A139" s="4" t="str">
        <f>IFERROR(__xludf.DUMMYFUNCTION("""COMPUTED_VALUE"""),"Proy1")</f>
        <v>Proy1</v>
      </c>
      <c r="B139" s="4" t="str">
        <f>IFERROR(__xludf.DUMMYFUNCTION("""COMPUTED_VALUE"""),"Formación_RH")</f>
        <v>Formación_RH</v>
      </c>
      <c r="C139" s="4" t="str">
        <f>IFERROR(__xludf.DUMMYFUNCTION("""COMPUTED_VALUE"""),"Vinculación de estudiante de pregrado")</f>
        <v>Vinculación de estudiante de pregrado</v>
      </c>
      <c r="D139" s="4" t="str">
        <f>IFERROR(__xludf.DUMMYFUNCTION("""COMPUTED_VALUE"""),"Vinculación de estudiante de doctorado")</f>
        <v>Vinculación de estudiante de doctorado</v>
      </c>
      <c r="E139" s="4" t="str">
        <f>IFERROR(__xludf.DUMMYFUNCTION("""COMPUTED_VALUE"""),"Formación de estudiante de doctorado")</f>
        <v>Formación de estudiante de doctorado</v>
      </c>
      <c r="F139" s="4" t="str">
        <f>IFERROR(__xludf.DUMMYFUNCTION("""COMPUTED_VALUE"""),"Vinculación de estudiante de maestría")</f>
        <v>Vinculación de estudiante de maestría</v>
      </c>
      <c r="G139" s="4" t="str">
        <f>IFERROR(__xludf.DUMMYFUNCTION("""COMPUTED_VALUE"""),"Formación de estudiante de maestría")</f>
        <v>Formación de estudiante de maestría</v>
      </c>
      <c r="H139" s="4" t="str">
        <f>IFERROR(__xludf.DUMMYFUNCTION("""COMPUTED_VALUE"""),"Vinculación de estudiante de pregrado")</f>
        <v>Vinculación de estudiante de pregrado</v>
      </c>
      <c r="I139" s="4" t="str">
        <f>IFERROR(__xludf.DUMMYFUNCTION("""COMPUTED_VALUE"""),"Formación de estudiante de pregrado")</f>
        <v>Formación de estudiante de pregrado</v>
      </c>
      <c r="J139" s="4" t="str">
        <f>IFERROR(__xludf.DUMMYFUNCTION("""COMPUTED_VALUE"""),"Joven investigador")</f>
        <v>Joven investigador</v>
      </c>
      <c r="K139" s="4" t="str">
        <f>IFERROR(__xludf.DUMMYFUNCTION("""COMPUTED_VALUE"""),"Pasantía nacional")</f>
        <v>Pasantía nacional</v>
      </c>
      <c r="L139" s="4" t="str">
        <f>IFERROR(__xludf.DUMMYFUNCTION("""COMPUTED_VALUE"""),"Pasantía internacional")</f>
        <v>Pasantía internacional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 t="str">
        <f>IFERROR(__xludf.DUMMYFUNCTION("""COMPUTED_VALUE"""),"Ana Sofía Barona Mejía")</f>
        <v>Ana Sofía Barona Mejía</v>
      </c>
      <c r="AU139" s="5" t="str">
        <f>IFERROR(__xludf.DUMMYFUNCTION("""COMPUTED_VALUE"""),"https://drive.google.com/file/d/1VJo56VuQvWOay6-kiJfUNDSRxMNmA-Zb/view?usp=sharing")</f>
        <v>https://drive.google.com/file/d/1VJo56VuQvWOay6-kiJfUNDSRxMNmA-Zb/view?usp=sharing</v>
      </c>
      <c r="AV139" s="4"/>
      <c r="AW139" s="4" t="str">
        <f>IFERROR(__xludf.DUMMYFUNCTION("""COMPUTED_VALUE"""),"En Curso")</f>
        <v>En Curso</v>
      </c>
      <c r="AX139" s="4">
        <f>IFERROR(__xludf.DUMMYFUNCTION("""COMPUTED_VALUE"""),5.0)</f>
        <v>5</v>
      </c>
      <c r="AY139" s="4" t="str">
        <f>IFERROR(__xludf.DUMMYFUNCTION("""COMPUTED_VALUE"""),"Ingeniería Mecánica - UdeA")</f>
        <v>Ingeniería Mecánica - UdeA</v>
      </c>
      <c r="AZ139" s="4"/>
    </row>
    <row r="140">
      <c r="A140" s="4" t="str">
        <f>IFERROR(__xludf.DUMMYFUNCTION("""COMPUTED_VALUE"""),"Proy12")</f>
        <v>Proy12</v>
      </c>
      <c r="B140" s="4" t="str">
        <f>IFERROR(__xludf.DUMMYFUNCTION("""COMPUTED_VALUE"""),"Nuevo_Conocimiento")</f>
        <v>Nuevo_Conocimiento</v>
      </c>
      <c r="C140" s="4" t="str">
        <f>IFERROR(__xludf.DUMMYFUNCTION("""COMPUTED_VALUE"""),"Artículo A1")</f>
        <v>Artículo A1</v>
      </c>
      <c r="D140" s="4" t="str">
        <f>IFERROR(__xludf.DUMMYFUNCTION("""COMPUTED_VALUE"""),"Artículo A1")</f>
        <v>Artículo A1</v>
      </c>
      <c r="E140" s="4" t="str">
        <f>IFERROR(__xludf.DUMMYFUNCTION("""COMPUTED_VALUE"""),"Artículo A2")</f>
        <v>Artículo A2</v>
      </c>
      <c r="F140" s="4" t="str">
        <f>IFERROR(__xludf.DUMMYFUNCTION("""COMPUTED_VALUE"""),"Artículo B")</f>
        <v>Artículo B</v>
      </c>
      <c r="G140" s="4" t="str">
        <f>IFERROR(__xludf.DUMMYFUNCTION("""COMPUTED_VALUE"""),"Artículo C")</f>
        <v>Artículo C</v>
      </c>
      <c r="H140" s="4" t="str">
        <f>IFERROR(__xludf.DUMMYFUNCTION("""COMPUTED_VALUE"""),"Capítulo de libro A")</f>
        <v>Capítulo de libro A</v>
      </c>
      <c r="I140" s="4" t="str">
        <f>IFERROR(__xludf.DUMMYFUNCTION("""COMPUTED_VALUE"""),"Capítulo de libro A1")</f>
        <v>Capítulo de libro A1</v>
      </c>
      <c r="J140" s="4" t="str">
        <f>IFERROR(__xludf.DUMMYFUNCTION("""COMPUTED_VALUE"""),"Capítulo de libro B")</f>
        <v>Capítulo de libro B</v>
      </c>
      <c r="K140" s="4" t="str">
        <f>IFERROR(__xludf.DUMMYFUNCTION("""COMPUTED_VALUE"""),"Libro A")</f>
        <v>Libro A</v>
      </c>
      <c r="L140" s="4" t="str">
        <f>IFERROR(__xludf.DUMMYFUNCTION("""COMPUTED_VALUE"""),"Libro A1")</f>
        <v>Libro A1</v>
      </c>
      <c r="M140" s="4" t="str">
        <f>IFERROR(__xludf.DUMMYFUNCTION("""COMPUTED_VALUE"""),"Libro B")</f>
        <v>Libro B</v>
      </c>
      <c r="N140" s="4" t="str">
        <f>IFERROR(__xludf.DUMMYFUNCTION("""COMPUTED_VALUE"""),"Solicitud Patente de invención y-o modelo de utitlidad")</f>
        <v>Solicitud Patente de invención y-o modelo de utitlidad</v>
      </c>
      <c r="O140" s="4" t="str">
        <f>IFERROR(__xludf.DUMMYFUNCTION("""COMPUTED_VALUE"""),"Patente de invención")</f>
        <v>Patente de invención</v>
      </c>
      <c r="P140" s="4" t="str">
        <f>IFERROR(__xludf.DUMMYFUNCTION("""COMPUTED_VALUE"""),"Patente de modelo de utilidad")</f>
        <v>Patente de modelo de utilidad</v>
      </c>
      <c r="Q140" s="4" t="str">
        <f>IFERROR(__xludf.DUMMYFUNCTION("""COMPUTED_VALUE"""),"Artículo sin clasificar")</f>
        <v>Artículo sin clasificar</v>
      </c>
      <c r="R140" s="4" t="str">
        <f>IFERROR(__xludf.DUMMYFUNCTION("""COMPUTED_VALUE"""),"Capítulo sin clasificar")</f>
        <v>Capítulo sin clasificar</v>
      </c>
      <c r="S140" s="4"/>
      <c r="T140" s="4"/>
      <c r="U140" s="4" t="str">
        <f>IFERROR(__xludf.DUMMYFUNCTION("""COMPUTED_VALUE"""),"Ninguna")</f>
        <v>Ninguna</v>
      </c>
      <c r="V140" s="4"/>
      <c r="W140" s="4" t="str">
        <f>IFERROR(__xludf.DUMMYFUNCTION("""COMPUTED_VALUE"""),"Programa")</f>
        <v>Programa</v>
      </c>
      <c r="X140" s="4" t="str">
        <f>IFERROR(__xludf.DUMMYFUNCTION("""COMPUTED_VALUE"""),"UdeA")</f>
        <v>UdeA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 t="str">
        <f>IFERROR(__xludf.DUMMYFUNCTION("""COMPUTED_VALUE"""),"Colaboración")</f>
        <v>Colaboración</v>
      </c>
      <c r="AL140" s="4" t="str">
        <f>IFERROR(__xludf.DUMMYFUNCTION("""COMPUTED_VALUE"""),"P6")</f>
        <v>P6</v>
      </c>
      <c r="AM140" s="4" t="str">
        <f>IFERROR(__xludf.DUMMYFUNCTION("""COMPUTED_VALUE"""),"Obligatorio")</f>
        <v>Obligatorio</v>
      </c>
      <c r="AN140" s="4">
        <f>IFERROR(__xludf.DUMMYFUNCTION("""COMPUTED_VALUE"""),3.0)</f>
        <v>3</v>
      </c>
      <c r="AO140" s="4">
        <f>IFERROR(__xludf.DUMMYFUNCTION("""COMPUTED_VALUE"""),2.0)</f>
        <v>2</v>
      </c>
      <c r="AP140" s="4">
        <f>IFERROR(__xludf.DUMMYFUNCTION("""COMPUTED_VALUE"""),2.0)</f>
        <v>2</v>
      </c>
      <c r="AQ140" s="4">
        <f>IFERROR(__xludf.DUMMYFUNCTION("""COMPUTED_VALUE"""),2.0)</f>
        <v>2</v>
      </c>
      <c r="AR140" s="4">
        <f>IFERROR(__xludf.DUMMYFUNCTION("""COMPUTED_VALUE"""),1.0)</f>
        <v>1</v>
      </c>
      <c r="AS140" s="4">
        <f>IFERROR(__xludf.DUMMYFUNCTION("""COMPUTED_VALUE"""),1.0)</f>
        <v>1</v>
      </c>
      <c r="AT140" s="5" t="str">
        <f>IFERROR(__xludf.DUMMYFUNCTION("""COMPUTED_VALUE"""),"https://doi.org/10.1016/j.jes.2020.08.022")</f>
        <v>https://doi.org/10.1016/j.jes.2020.08.022</v>
      </c>
      <c r="AU140" s="5" t="str">
        <f>IFERROR(__xludf.DUMMYFUNCTION("""COMPUTED_VALUE"""),"https://drive.google.com/file/d/1B-xPUZgBcIZx2ec_IhiGEsp49C2R12jO/view?usp=sharing")</f>
        <v>https://drive.google.com/file/d/1B-xPUZgBcIZx2ec_IhiGEsp49C2R12jO/view?usp=sharing</v>
      </c>
      <c r="AV140" s="4"/>
      <c r="AW140" s="4"/>
      <c r="AX140" s="4">
        <f>IFERROR(__xludf.DUMMYFUNCTION("""COMPUTED_VALUE"""),5.0)</f>
        <v>5</v>
      </c>
      <c r="AY140" s="4" t="str">
        <f>IFERROR(__xludf.DUMMYFUNCTION("""COMPUTED_VALUE"""),"Palm oil biodiesel: An assessment of PAH emissions, oxidative potential and ecotoxicity of particulate matter")</f>
        <v>Palm oil biodiesel: An assessment of PAH emissions, oxidative potential and ecotoxicity of particulate matter</v>
      </c>
      <c r="AZ140" s="4"/>
    </row>
    <row r="141">
      <c r="A141" s="4" t="str">
        <f>IFERROR(__xludf.DUMMYFUNCTION("""COMPUTED_VALUE"""),"Proy12")</f>
        <v>Proy12</v>
      </c>
      <c r="B141" s="4" t="str">
        <f>IFERROR(__xludf.DUMMYFUNCTION("""COMPUTED_VALUE"""),"Nuevo_Conocimiento")</f>
        <v>Nuevo_Conocimiento</v>
      </c>
      <c r="C141" s="4" t="str">
        <f>IFERROR(__xludf.DUMMYFUNCTION("""COMPUTED_VALUE"""),"Artículo A1")</f>
        <v>Artículo A1</v>
      </c>
      <c r="D141" s="4" t="str">
        <f>IFERROR(__xludf.DUMMYFUNCTION("""COMPUTED_VALUE"""),"Artículo A1")</f>
        <v>Artículo A1</v>
      </c>
      <c r="E141" s="4" t="str">
        <f>IFERROR(__xludf.DUMMYFUNCTION("""COMPUTED_VALUE"""),"Artículo A2")</f>
        <v>Artículo A2</v>
      </c>
      <c r="F141" s="4" t="str">
        <f>IFERROR(__xludf.DUMMYFUNCTION("""COMPUTED_VALUE"""),"Artículo B")</f>
        <v>Artículo B</v>
      </c>
      <c r="G141" s="4" t="str">
        <f>IFERROR(__xludf.DUMMYFUNCTION("""COMPUTED_VALUE"""),"Artículo C")</f>
        <v>Artículo C</v>
      </c>
      <c r="H141" s="4" t="str">
        <f>IFERROR(__xludf.DUMMYFUNCTION("""COMPUTED_VALUE"""),"Capítulo de libro A")</f>
        <v>Capítulo de libro A</v>
      </c>
      <c r="I141" s="4" t="str">
        <f>IFERROR(__xludf.DUMMYFUNCTION("""COMPUTED_VALUE"""),"Capítulo de libro A1")</f>
        <v>Capítulo de libro A1</v>
      </c>
      <c r="J141" s="4" t="str">
        <f>IFERROR(__xludf.DUMMYFUNCTION("""COMPUTED_VALUE"""),"Capítulo de libro B")</f>
        <v>Capítulo de libro B</v>
      </c>
      <c r="K141" s="4" t="str">
        <f>IFERROR(__xludf.DUMMYFUNCTION("""COMPUTED_VALUE"""),"Libro A")</f>
        <v>Libro A</v>
      </c>
      <c r="L141" s="4" t="str">
        <f>IFERROR(__xludf.DUMMYFUNCTION("""COMPUTED_VALUE"""),"Libro A1")</f>
        <v>Libro A1</v>
      </c>
      <c r="M141" s="4" t="str">
        <f>IFERROR(__xludf.DUMMYFUNCTION("""COMPUTED_VALUE"""),"Libro B")</f>
        <v>Libro B</v>
      </c>
      <c r="N141" s="4" t="str">
        <f>IFERROR(__xludf.DUMMYFUNCTION("""COMPUTED_VALUE"""),"Solicitud Patente de invención y-o modelo de utitlidad")</f>
        <v>Solicitud Patente de invención y-o modelo de utitlidad</v>
      </c>
      <c r="O141" s="4" t="str">
        <f>IFERROR(__xludf.DUMMYFUNCTION("""COMPUTED_VALUE"""),"Patente de invención")</f>
        <v>Patente de invención</v>
      </c>
      <c r="P141" s="4" t="str">
        <f>IFERROR(__xludf.DUMMYFUNCTION("""COMPUTED_VALUE"""),"Patente de modelo de utilidad")</f>
        <v>Patente de modelo de utilidad</v>
      </c>
      <c r="Q141" s="4" t="str">
        <f>IFERROR(__xludf.DUMMYFUNCTION("""COMPUTED_VALUE"""),"Artículo sin clasificar")</f>
        <v>Artículo sin clasificar</v>
      </c>
      <c r="R141" s="4" t="str">
        <f>IFERROR(__xludf.DUMMYFUNCTION("""COMPUTED_VALUE"""),"Capítulo sin clasificar")</f>
        <v>Capítulo sin clasificar</v>
      </c>
      <c r="S141" s="4"/>
      <c r="T141" s="4"/>
      <c r="U141" s="4" t="str">
        <f>IFERROR(__xludf.DUMMYFUNCTION("""COMPUTED_VALUE"""),"Otros actores")</f>
        <v>Otros actores</v>
      </c>
      <c r="V141" s="4" t="str">
        <f>IFERROR(__xludf.DUMMYFUNCTION("""COMPUTED_VALUE"""),"University of Cambridge, Nanyang Technological University, Cambridge Centre for Advanced Research and Education in Singapore")</f>
        <v>University of Cambridge, Nanyang Technological University, Cambridge Centre for Advanced Research and Education in Singapore</v>
      </c>
      <c r="W141" s="4" t="str">
        <f>IFERROR(__xludf.DUMMYFUNCTION("""COMPUTED_VALUE"""),"Proyecto")</f>
        <v>Proyecto</v>
      </c>
      <c r="X141" s="4" t="str">
        <f>IFERROR(__xludf.DUMMYFUNCTION("""COMPUTED_VALUE"""),"UdeA")</f>
        <v>UdeA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 t="str">
        <f>IFERROR(__xludf.DUMMYFUNCTION("""COMPUTED_VALUE"""),"Ninguna")</f>
        <v>Ninguna</v>
      </c>
      <c r="AL141" s="4"/>
      <c r="AM141" s="4" t="str">
        <f>IFERROR(__xludf.DUMMYFUNCTION("""COMPUTED_VALUE"""),"Obligatorio")</f>
        <v>Obligatorio</v>
      </c>
      <c r="AN141" s="4">
        <f>IFERROR(__xludf.DUMMYFUNCTION("""COMPUTED_VALUE"""),5.0)</f>
        <v>5</v>
      </c>
      <c r="AO141" s="4">
        <f>IFERROR(__xludf.DUMMYFUNCTION("""COMPUTED_VALUE"""),1.0)</f>
        <v>1</v>
      </c>
      <c r="AP141" s="4">
        <f>IFERROR(__xludf.DUMMYFUNCTION("""COMPUTED_VALUE"""),4.0)</f>
        <v>4</v>
      </c>
      <c r="AQ141" s="4">
        <f>IFERROR(__xludf.DUMMYFUNCTION("""COMPUTED_VALUE"""),1.0)</f>
        <v>1</v>
      </c>
      <c r="AR141" s="4">
        <f>IFERROR(__xludf.DUMMYFUNCTION("""COMPUTED_VALUE"""),4.0)</f>
        <v>4</v>
      </c>
      <c r="AS141" s="4">
        <f>IFERROR(__xludf.DUMMYFUNCTION("""COMPUTED_VALUE"""),1.0)</f>
        <v>1</v>
      </c>
      <c r="AT141" s="5" t="str">
        <f>IFERROR(__xludf.DUMMYFUNCTION("""COMPUTED_VALUE"""),"https://doi.org/10.1016/j.carbon.2020.09.074")</f>
        <v>https://doi.org/10.1016/j.carbon.2020.09.074</v>
      </c>
      <c r="AU141" s="5" t="str">
        <f>IFERROR(__xludf.DUMMYFUNCTION("""COMPUTED_VALUE"""),"https://drive.google.com/file/d/1IblewhPJzmsea5FuwHKT5KL7OXAqQNvr/view?usp=sharing")</f>
        <v>https://drive.google.com/file/d/1IblewhPJzmsea5FuwHKT5KL7OXAqQNvr/view?usp=sharing</v>
      </c>
      <c r="AV141" s="4"/>
      <c r="AW141" s="4"/>
      <c r="AX141" s="4">
        <f>IFERROR(__xludf.DUMMYFUNCTION("""COMPUTED_VALUE"""),5.0)</f>
        <v>5</v>
      </c>
      <c r="AY141" s="4" t="str">
        <f>IFERROR(__xludf.DUMMYFUNCTION("""COMPUTED_VALUE"""),"On the thermophoretic sampling and TEM-based characterisation of
soot particles in flames")</f>
        <v>On the thermophoretic sampling and TEM-based characterisation of
soot particles in flames</v>
      </c>
      <c r="AZ141" s="4"/>
    </row>
    <row r="142">
      <c r="A142" s="4" t="str">
        <f>IFERROR(__xludf.DUMMYFUNCTION("""COMPUTED_VALUE"""),"Proy12")</f>
        <v>Proy12</v>
      </c>
      <c r="B142" s="4" t="str">
        <f>IFERROR(__xludf.DUMMYFUNCTION("""COMPUTED_VALUE"""),"Nuevo_Conocimiento")</f>
        <v>Nuevo_Conocimiento</v>
      </c>
      <c r="C142" s="4" t="str">
        <f>IFERROR(__xludf.DUMMYFUNCTION("""COMPUTED_VALUE"""),"Artículo A1")</f>
        <v>Artículo A1</v>
      </c>
      <c r="D142" s="4" t="str">
        <f>IFERROR(__xludf.DUMMYFUNCTION("""COMPUTED_VALUE"""),"Artículo A1")</f>
        <v>Artículo A1</v>
      </c>
      <c r="E142" s="4" t="str">
        <f>IFERROR(__xludf.DUMMYFUNCTION("""COMPUTED_VALUE"""),"Artículo A2")</f>
        <v>Artículo A2</v>
      </c>
      <c r="F142" s="4" t="str">
        <f>IFERROR(__xludf.DUMMYFUNCTION("""COMPUTED_VALUE"""),"Artículo B")</f>
        <v>Artículo B</v>
      </c>
      <c r="G142" s="4" t="str">
        <f>IFERROR(__xludf.DUMMYFUNCTION("""COMPUTED_VALUE"""),"Artículo C")</f>
        <v>Artículo C</v>
      </c>
      <c r="H142" s="4" t="str">
        <f>IFERROR(__xludf.DUMMYFUNCTION("""COMPUTED_VALUE"""),"Capítulo de libro A")</f>
        <v>Capítulo de libro A</v>
      </c>
      <c r="I142" s="4" t="str">
        <f>IFERROR(__xludf.DUMMYFUNCTION("""COMPUTED_VALUE"""),"Capítulo de libro A1")</f>
        <v>Capítulo de libro A1</v>
      </c>
      <c r="J142" s="4" t="str">
        <f>IFERROR(__xludf.DUMMYFUNCTION("""COMPUTED_VALUE"""),"Capítulo de libro B")</f>
        <v>Capítulo de libro B</v>
      </c>
      <c r="K142" s="4" t="str">
        <f>IFERROR(__xludf.DUMMYFUNCTION("""COMPUTED_VALUE"""),"Libro A")</f>
        <v>Libro A</v>
      </c>
      <c r="L142" s="4" t="str">
        <f>IFERROR(__xludf.DUMMYFUNCTION("""COMPUTED_VALUE"""),"Libro A1")</f>
        <v>Libro A1</v>
      </c>
      <c r="M142" s="4" t="str">
        <f>IFERROR(__xludf.DUMMYFUNCTION("""COMPUTED_VALUE"""),"Libro B")</f>
        <v>Libro B</v>
      </c>
      <c r="N142" s="4" t="str">
        <f>IFERROR(__xludf.DUMMYFUNCTION("""COMPUTED_VALUE"""),"Solicitud Patente de invención y-o modelo de utitlidad")</f>
        <v>Solicitud Patente de invención y-o modelo de utitlidad</v>
      </c>
      <c r="O142" s="4" t="str">
        <f>IFERROR(__xludf.DUMMYFUNCTION("""COMPUTED_VALUE"""),"Patente de invención")</f>
        <v>Patente de invención</v>
      </c>
      <c r="P142" s="4" t="str">
        <f>IFERROR(__xludf.DUMMYFUNCTION("""COMPUTED_VALUE"""),"Patente de modelo de utilidad")</f>
        <v>Patente de modelo de utilidad</v>
      </c>
      <c r="Q142" s="4" t="str">
        <f>IFERROR(__xludf.DUMMYFUNCTION("""COMPUTED_VALUE"""),"Artículo sin clasificar")</f>
        <v>Artículo sin clasificar</v>
      </c>
      <c r="R142" s="4" t="str">
        <f>IFERROR(__xludf.DUMMYFUNCTION("""COMPUTED_VALUE"""),"Capítulo sin clasificar")</f>
        <v>Capítulo sin clasificar</v>
      </c>
      <c r="S142" s="4"/>
      <c r="T142" s="4"/>
      <c r="U142" s="4" t="str">
        <f>IFERROR(__xludf.DUMMYFUNCTION("""COMPUTED_VALUE"""),"Ninguna")</f>
        <v>Ninguna</v>
      </c>
      <c r="V142" s="4"/>
      <c r="W142" s="4" t="str">
        <f>IFERROR(__xludf.DUMMYFUNCTION("""COMPUTED_VALUE"""),"Proyecto")</f>
        <v>Proyecto</v>
      </c>
      <c r="X142" s="4" t="str">
        <f>IFERROR(__xludf.DUMMYFUNCTION("""COMPUTED_VALUE"""),"UdeA")</f>
        <v>UdeA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 t="str">
        <f>IFERROR(__xludf.DUMMYFUNCTION("""COMPUTED_VALUE"""),"Ninguna")</f>
        <v>Ninguna</v>
      </c>
      <c r="AL142" s="4"/>
      <c r="AM142" s="4" t="str">
        <f>IFERROR(__xludf.DUMMYFUNCTION("""COMPUTED_VALUE"""),"Obligatorio")</f>
        <v>Obligatorio</v>
      </c>
      <c r="AN142" s="4">
        <f>IFERROR(__xludf.DUMMYFUNCTION("""COMPUTED_VALUE"""),5.0)</f>
        <v>5</v>
      </c>
      <c r="AO142" s="4">
        <f>IFERROR(__xludf.DUMMYFUNCTION("""COMPUTED_VALUE"""),1.0)</f>
        <v>1</v>
      </c>
      <c r="AP142" s="4">
        <f>IFERROR(__xludf.DUMMYFUNCTION("""COMPUTED_VALUE"""),2.0)</f>
        <v>2</v>
      </c>
      <c r="AQ142" s="4">
        <f>IFERROR(__xludf.DUMMYFUNCTION("""COMPUTED_VALUE"""),2.0)</f>
        <v>2</v>
      </c>
      <c r="AR142" s="4">
        <f>IFERROR(__xludf.DUMMYFUNCTION("""COMPUTED_VALUE"""),1.0)</f>
        <v>1</v>
      </c>
      <c r="AS142" s="4">
        <f>IFERROR(__xludf.DUMMYFUNCTION("""COMPUTED_VALUE"""),1.0)</f>
        <v>1</v>
      </c>
      <c r="AT142" s="5" t="str">
        <f>IFERROR(__xludf.DUMMYFUNCTION("""COMPUTED_VALUE"""),"https://doi.org/10.1115/1.4048503")</f>
        <v>https://doi.org/10.1115/1.4048503</v>
      </c>
      <c r="AU142" s="5" t="str">
        <f>IFERROR(__xludf.DUMMYFUNCTION("""COMPUTED_VALUE"""),"https://drive.google.com/file/d/1Lpyp26pDj3B8xTz1uWLb12AQeiGOY9TF/view?usp=sharing")</f>
        <v>https://drive.google.com/file/d/1Lpyp26pDj3B8xTz1uWLb12AQeiGOY9TF/view?usp=sharing</v>
      </c>
      <c r="AV142" s="4"/>
      <c r="AW142" s="4"/>
      <c r="AX142" s="4">
        <f>IFERROR(__xludf.DUMMYFUNCTION("""COMPUTED_VALUE"""),5.0)</f>
        <v>5</v>
      </c>
      <c r="AY142" s="4" t="str">
        <f>IFERROR(__xludf.DUMMYFUNCTION("""COMPUTED_VALUE"""),"Genotoxic and Mutagenic Activity of Particulate Matter Gathered in a High Emitter Automotive Diesel Engine Operated With Different Palm Oil-Derived Biofuels")</f>
        <v>Genotoxic and Mutagenic Activity of Particulate Matter Gathered in a High Emitter Automotive Diesel Engine Operated With Different Palm Oil-Derived Biofuels</v>
      </c>
      <c r="AZ142" s="4"/>
    </row>
    <row r="143">
      <c r="A143" s="4" t="str">
        <f>IFERROR(__xludf.DUMMYFUNCTION("""COMPUTED_VALUE"""),"Proy13")</f>
        <v>Proy13</v>
      </c>
      <c r="B143" s="4" t="str">
        <f>IFERROR(__xludf.DUMMYFUNCTION("""COMPUTED_VALUE"""),"Nuevo_Conocimiento")</f>
        <v>Nuevo_Conocimiento</v>
      </c>
      <c r="C143" s="4" t="str">
        <f>IFERROR(__xludf.DUMMYFUNCTION("""COMPUTED_VALUE"""),"Artículo A1")</f>
        <v>Artículo A1</v>
      </c>
      <c r="D143" s="4" t="str">
        <f>IFERROR(__xludf.DUMMYFUNCTION("""COMPUTED_VALUE"""),"Artículo A1")</f>
        <v>Artículo A1</v>
      </c>
      <c r="E143" s="4" t="str">
        <f>IFERROR(__xludf.DUMMYFUNCTION("""COMPUTED_VALUE"""),"Artículo A2")</f>
        <v>Artículo A2</v>
      </c>
      <c r="F143" s="4" t="str">
        <f>IFERROR(__xludf.DUMMYFUNCTION("""COMPUTED_VALUE"""),"Artículo B")</f>
        <v>Artículo B</v>
      </c>
      <c r="G143" s="4" t="str">
        <f>IFERROR(__xludf.DUMMYFUNCTION("""COMPUTED_VALUE"""),"Artículo C")</f>
        <v>Artículo C</v>
      </c>
      <c r="H143" s="4" t="str">
        <f>IFERROR(__xludf.DUMMYFUNCTION("""COMPUTED_VALUE"""),"Capítulo de libro A")</f>
        <v>Capítulo de libro A</v>
      </c>
      <c r="I143" s="4" t="str">
        <f>IFERROR(__xludf.DUMMYFUNCTION("""COMPUTED_VALUE"""),"Capítulo de libro A1")</f>
        <v>Capítulo de libro A1</v>
      </c>
      <c r="J143" s="4" t="str">
        <f>IFERROR(__xludf.DUMMYFUNCTION("""COMPUTED_VALUE"""),"Capítulo de libro B")</f>
        <v>Capítulo de libro B</v>
      </c>
      <c r="K143" s="4" t="str">
        <f>IFERROR(__xludf.DUMMYFUNCTION("""COMPUTED_VALUE"""),"Libro A")</f>
        <v>Libro A</v>
      </c>
      <c r="L143" s="4" t="str">
        <f>IFERROR(__xludf.DUMMYFUNCTION("""COMPUTED_VALUE"""),"Libro A1")</f>
        <v>Libro A1</v>
      </c>
      <c r="M143" s="4" t="str">
        <f>IFERROR(__xludf.DUMMYFUNCTION("""COMPUTED_VALUE"""),"Libro B")</f>
        <v>Libro B</v>
      </c>
      <c r="N143" s="4" t="str">
        <f>IFERROR(__xludf.DUMMYFUNCTION("""COMPUTED_VALUE"""),"Solicitud Patente de invención y-o modelo de utitlidad")</f>
        <v>Solicitud Patente de invención y-o modelo de utitlidad</v>
      </c>
      <c r="O143" s="4" t="str">
        <f>IFERROR(__xludf.DUMMYFUNCTION("""COMPUTED_VALUE"""),"Patente de invención")</f>
        <v>Patente de invención</v>
      </c>
      <c r="P143" s="4" t="str">
        <f>IFERROR(__xludf.DUMMYFUNCTION("""COMPUTED_VALUE"""),"Patente de modelo de utilidad")</f>
        <v>Patente de modelo de utilidad</v>
      </c>
      <c r="Q143" s="4" t="str">
        <f>IFERROR(__xludf.DUMMYFUNCTION("""COMPUTED_VALUE"""),"Artículo sin clasificar")</f>
        <v>Artículo sin clasificar</v>
      </c>
      <c r="R143" s="4" t="str">
        <f>IFERROR(__xludf.DUMMYFUNCTION("""COMPUTED_VALUE"""),"Capítulo sin clasificar")</f>
        <v>Capítulo sin clasificar</v>
      </c>
      <c r="S143" s="4"/>
      <c r="T143" s="4"/>
      <c r="U143" s="4" t="str">
        <f>IFERROR(__xludf.DUMMYFUNCTION("""COMPUTED_VALUE"""),"Ninguna")</f>
        <v>Ninguna</v>
      </c>
      <c r="V143" s="4"/>
      <c r="W143" s="4" t="str">
        <f>IFERROR(__xludf.DUMMYFUNCTION("""COMPUTED_VALUE"""),"Proyecto")</f>
        <v>Proyecto</v>
      </c>
      <c r="X143" s="4" t="str">
        <f>IFERROR(__xludf.DUMMYFUNCTION("""COMPUTED_VALUE"""),"UdeA")</f>
        <v>UdeA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 t="str">
        <f>IFERROR(__xludf.DUMMYFUNCTION("""COMPUTED_VALUE"""),"Ninguna")</f>
        <v>Ninguna</v>
      </c>
      <c r="AL143" s="4"/>
      <c r="AM143" s="4" t="str">
        <f>IFERROR(__xludf.DUMMYFUNCTION("""COMPUTED_VALUE"""),"Obligatorio")</f>
        <v>Obligatorio</v>
      </c>
      <c r="AN143" s="4">
        <f>IFERROR(__xludf.DUMMYFUNCTION("""COMPUTED_VALUE"""),3.0)</f>
        <v>3</v>
      </c>
      <c r="AO143" s="4">
        <f>IFERROR(__xludf.DUMMYFUNCTION("""COMPUTED_VALUE"""),1.0)</f>
        <v>1</v>
      </c>
      <c r="AP143" s="4">
        <f>IFERROR(__xludf.DUMMYFUNCTION("""COMPUTED_VALUE"""),1.0)</f>
        <v>1</v>
      </c>
      <c r="AQ143" s="4">
        <f>IFERROR(__xludf.DUMMYFUNCTION("""COMPUTED_VALUE"""),1.0)</f>
        <v>1</v>
      </c>
      <c r="AR143" s="4">
        <f>IFERROR(__xludf.DUMMYFUNCTION("""COMPUTED_VALUE"""),1.0)</f>
        <v>1</v>
      </c>
      <c r="AS143" s="4">
        <f>IFERROR(__xludf.DUMMYFUNCTION("""COMPUTED_VALUE"""),1.0)</f>
        <v>1</v>
      </c>
      <c r="AT143" s="5" t="str">
        <f>IFERROR(__xludf.DUMMYFUNCTION("""COMPUTED_VALUE"""),"https://doi.org/10.1016/j.comnet.2020.107560")</f>
        <v>https://doi.org/10.1016/j.comnet.2020.107560</v>
      </c>
      <c r="AU143" s="4"/>
      <c r="AV143" s="4"/>
      <c r="AW143" s="4"/>
      <c r="AX143" s="4">
        <f>IFERROR(__xludf.DUMMYFUNCTION("""COMPUTED_VALUE"""),5.0)</f>
        <v>5</v>
      </c>
      <c r="AY143" s="4" t="str">
        <f>IFERROR(__xludf.DUMMYFUNCTION("""COMPUTED_VALUE"""),"Reliability provision in software defined power substations communication networks")</f>
        <v>Reliability provision in software defined power substations communication networks</v>
      </c>
      <c r="AZ143" s="4"/>
    </row>
    <row r="144">
      <c r="A144" s="4" t="str">
        <f>IFERROR(__xludf.DUMMYFUNCTION("""COMPUTED_VALUE"""),"Proy13")</f>
        <v>Proy13</v>
      </c>
      <c r="B144" s="4" t="str">
        <f>IFERROR(__xludf.DUMMYFUNCTION("""COMPUTED_VALUE"""),"Nuevo_Conocimiento")</f>
        <v>Nuevo_Conocimiento</v>
      </c>
      <c r="C144" s="4" t="str">
        <f>IFERROR(__xludf.DUMMYFUNCTION("""COMPUTED_VALUE"""),"Artículo A1")</f>
        <v>Artículo A1</v>
      </c>
      <c r="D144" s="4" t="str">
        <f>IFERROR(__xludf.DUMMYFUNCTION("""COMPUTED_VALUE"""),"Artículo A1")</f>
        <v>Artículo A1</v>
      </c>
      <c r="E144" s="4" t="str">
        <f>IFERROR(__xludf.DUMMYFUNCTION("""COMPUTED_VALUE"""),"Artículo A2")</f>
        <v>Artículo A2</v>
      </c>
      <c r="F144" s="4" t="str">
        <f>IFERROR(__xludf.DUMMYFUNCTION("""COMPUTED_VALUE"""),"Artículo B")</f>
        <v>Artículo B</v>
      </c>
      <c r="G144" s="4" t="str">
        <f>IFERROR(__xludf.DUMMYFUNCTION("""COMPUTED_VALUE"""),"Artículo C")</f>
        <v>Artículo C</v>
      </c>
      <c r="H144" s="4" t="str">
        <f>IFERROR(__xludf.DUMMYFUNCTION("""COMPUTED_VALUE"""),"Capítulo de libro A")</f>
        <v>Capítulo de libro A</v>
      </c>
      <c r="I144" s="4" t="str">
        <f>IFERROR(__xludf.DUMMYFUNCTION("""COMPUTED_VALUE"""),"Capítulo de libro A1")</f>
        <v>Capítulo de libro A1</v>
      </c>
      <c r="J144" s="4" t="str">
        <f>IFERROR(__xludf.DUMMYFUNCTION("""COMPUTED_VALUE"""),"Capítulo de libro B")</f>
        <v>Capítulo de libro B</v>
      </c>
      <c r="K144" s="4" t="str">
        <f>IFERROR(__xludf.DUMMYFUNCTION("""COMPUTED_VALUE"""),"Libro A")</f>
        <v>Libro A</v>
      </c>
      <c r="L144" s="4" t="str">
        <f>IFERROR(__xludf.DUMMYFUNCTION("""COMPUTED_VALUE"""),"Libro A1")</f>
        <v>Libro A1</v>
      </c>
      <c r="M144" s="4" t="str">
        <f>IFERROR(__xludf.DUMMYFUNCTION("""COMPUTED_VALUE"""),"Libro B")</f>
        <v>Libro B</v>
      </c>
      <c r="N144" s="4" t="str">
        <f>IFERROR(__xludf.DUMMYFUNCTION("""COMPUTED_VALUE"""),"Solicitud Patente de invención y-o modelo de utitlidad")</f>
        <v>Solicitud Patente de invención y-o modelo de utitlidad</v>
      </c>
      <c r="O144" s="4" t="str">
        <f>IFERROR(__xludf.DUMMYFUNCTION("""COMPUTED_VALUE"""),"Patente de invención")</f>
        <v>Patente de invención</v>
      </c>
      <c r="P144" s="4" t="str">
        <f>IFERROR(__xludf.DUMMYFUNCTION("""COMPUTED_VALUE"""),"Patente de modelo de utilidad")</f>
        <v>Patente de modelo de utilidad</v>
      </c>
      <c r="Q144" s="4" t="str">
        <f>IFERROR(__xludf.DUMMYFUNCTION("""COMPUTED_VALUE"""),"Artículo sin clasificar")</f>
        <v>Artículo sin clasificar</v>
      </c>
      <c r="R144" s="4" t="str">
        <f>IFERROR(__xludf.DUMMYFUNCTION("""COMPUTED_VALUE"""),"Capítulo sin clasificar")</f>
        <v>Capítulo sin clasificar</v>
      </c>
      <c r="S144" s="4"/>
      <c r="T144" s="4"/>
      <c r="U144" s="4" t="str">
        <f>IFERROR(__xludf.DUMMYFUNCTION("""COMPUTED_VALUE"""),"Ninguna")</f>
        <v>Ninguna</v>
      </c>
      <c r="V144" s="4"/>
      <c r="W144" s="4" t="str">
        <f>IFERROR(__xludf.DUMMYFUNCTION("""COMPUTED_VALUE"""),"Proyecto")</f>
        <v>Proyecto</v>
      </c>
      <c r="X144" s="4" t="str">
        <f>IFERROR(__xludf.DUMMYFUNCTION("""COMPUTED_VALUE"""),"UdeA")</f>
        <v>UdeA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 t="str">
        <f>IFERROR(__xludf.DUMMYFUNCTION("""COMPUTED_VALUE"""),"Pascual Bravo")</f>
        <v>Pascual Bravo</v>
      </c>
      <c r="AK144" s="4" t="str">
        <f>IFERROR(__xludf.DUMMYFUNCTION("""COMPUTED_VALUE"""),"Ninguna")</f>
        <v>Ninguna</v>
      </c>
      <c r="AL144" s="4"/>
      <c r="AM144" s="4" t="str">
        <f>IFERROR(__xludf.DUMMYFUNCTION("""COMPUTED_VALUE"""),"Adicional")</f>
        <v>Adicional</v>
      </c>
      <c r="AN144" s="4">
        <f>IFERROR(__xludf.DUMMYFUNCTION("""COMPUTED_VALUE"""),3.0)</f>
        <v>3</v>
      </c>
      <c r="AO144" s="4">
        <f>IFERROR(__xludf.DUMMYFUNCTION("""COMPUTED_VALUE"""),2.0)</f>
        <v>2</v>
      </c>
      <c r="AP144" s="4">
        <f>IFERROR(__xludf.DUMMYFUNCTION("""COMPUTED_VALUE"""),2.0)</f>
        <v>2</v>
      </c>
      <c r="AQ144" s="4">
        <f>IFERROR(__xludf.DUMMYFUNCTION("""COMPUTED_VALUE"""),1.0)</f>
        <v>1</v>
      </c>
      <c r="AR144" s="4">
        <f>IFERROR(__xludf.DUMMYFUNCTION("""COMPUTED_VALUE"""),2.0)</f>
        <v>2</v>
      </c>
      <c r="AS144" s="4">
        <f>IFERROR(__xludf.DUMMYFUNCTION("""COMPUTED_VALUE"""),1.0)</f>
        <v>1</v>
      </c>
      <c r="AT144" s="4" t="str">
        <f>IFERROR(__xludf.DUMMYFUNCTION("""COMPUTED_VALUE"""),"doi:10.3390/electronics9101740")</f>
        <v>doi:10.3390/electronics9101740</v>
      </c>
      <c r="AU144" s="5" t="str">
        <f>IFERROR(__xludf.DUMMYFUNCTION("""COMPUTED_VALUE"""),"https://drive.google.com/file/d/1ZLc6ZJwRJbYv6kpuH_iRYEvOCSD3iBK8/view?usp=sharing")</f>
        <v>https://drive.google.com/file/d/1ZLc6ZJwRJbYv6kpuH_iRYEvOCSD3iBK8/view?usp=sharing</v>
      </c>
      <c r="AV144" s="4"/>
      <c r="AW144" s="4"/>
      <c r="AX144" s="4">
        <f>IFERROR(__xludf.DUMMYFUNCTION("""COMPUTED_VALUE"""),5.0)</f>
        <v>5</v>
      </c>
      <c r="AY144" s="4" t="str">
        <f>IFERROR(__xludf.DUMMYFUNCTION("""COMPUTED_VALUE"""),"An Approach for Optimal Coordination of
Over-Current Relays in Microgrids with
Distributed Generation")</f>
        <v>An Approach for Optimal Coordination of
Over-Current Relays in Microgrids with
Distributed Generation</v>
      </c>
      <c r="AZ144" s="4"/>
    </row>
    <row r="145">
      <c r="A145" s="4" t="str">
        <f>IFERROR(__xludf.DUMMYFUNCTION("""COMPUTED_VALUE"""),"Proy15")</f>
        <v>Proy15</v>
      </c>
      <c r="B145" s="4" t="str">
        <f>IFERROR(__xludf.DUMMYFUNCTION("""COMPUTED_VALUE"""),"Nuevo_Conocimiento")</f>
        <v>Nuevo_Conocimiento</v>
      </c>
      <c r="C145" s="4" t="str">
        <f>IFERROR(__xludf.DUMMYFUNCTION("""COMPUTED_VALUE"""),"Artículo B")</f>
        <v>Artículo B</v>
      </c>
      <c r="D145" s="4" t="str">
        <f>IFERROR(__xludf.DUMMYFUNCTION("""COMPUTED_VALUE"""),"Artículo A1")</f>
        <v>Artículo A1</v>
      </c>
      <c r="E145" s="4" t="str">
        <f>IFERROR(__xludf.DUMMYFUNCTION("""COMPUTED_VALUE"""),"Artículo A2")</f>
        <v>Artículo A2</v>
      </c>
      <c r="F145" s="4" t="str">
        <f>IFERROR(__xludf.DUMMYFUNCTION("""COMPUTED_VALUE"""),"Artículo B")</f>
        <v>Artículo B</v>
      </c>
      <c r="G145" s="4" t="str">
        <f>IFERROR(__xludf.DUMMYFUNCTION("""COMPUTED_VALUE"""),"Artículo C")</f>
        <v>Artículo C</v>
      </c>
      <c r="H145" s="4" t="str">
        <f>IFERROR(__xludf.DUMMYFUNCTION("""COMPUTED_VALUE"""),"Capítulo de libro A")</f>
        <v>Capítulo de libro A</v>
      </c>
      <c r="I145" s="4" t="str">
        <f>IFERROR(__xludf.DUMMYFUNCTION("""COMPUTED_VALUE"""),"Capítulo de libro A1")</f>
        <v>Capítulo de libro A1</v>
      </c>
      <c r="J145" s="4" t="str">
        <f>IFERROR(__xludf.DUMMYFUNCTION("""COMPUTED_VALUE"""),"Capítulo de libro B")</f>
        <v>Capítulo de libro B</v>
      </c>
      <c r="K145" s="4" t="str">
        <f>IFERROR(__xludf.DUMMYFUNCTION("""COMPUTED_VALUE"""),"Libro A")</f>
        <v>Libro A</v>
      </c>
      <c r="L145" s="4" t="str">
        <f>IFERROR(__xludf.DUMMYFUNCTION("""COMPUTED_VALUE"""),"Libro A1")</f>
        <v>Libro A1</v>
      </c>
      <c r="M145" s="4" t="str">
        <f>IFERROR(__xludf.DUMMYFUNCTION("""COMPUTED_VALUE"""),"Libro B")</f>
        <v>Libro B</v>
      </c>
      <c r="N145" s="4" t="str">
        <f>IFERROR(__xludf.DUMMYFUNCTION("""COMPUTED_VALUE"""),"Solicitud Patente de invención y-o modelo de utitlidad")</f>
        <v>Solicitud Patente de invención y-o modelo de utitlidad</v>
      </c>
      <c r="O145" s="4" t="str">
        <f>IFERROR(__xludf.DUMMYFUNCTION("""COMPUTED_VALUE"""),"Patente de invención")</f>
        <v>Patente de invención</v>
      </c>
      <c r="P145" s="4" t="str">
        <f>IFERROR(__xludf.DUMMYFUNCTION("""COMPUTED_VALUE"""),"Patente de modelo de utilidad")</f>
        <v>Patente de modelo de utilidad</v>
      </c>
      <c r="Q145" s="4" t="str">
        <f>IFERROR(__xludf.DUMMYFUNCTION("""COMPUTED_VALUE"""),"Artículo sin clasificar")</f>
        <v>Artículo sin clasificar</v>
      </c>
      <c r="R145" s="4" t="str">
        <f>IFERROR(__xludf.DUMMYFUNCTION("""COMPUTED_VALUE"""),"Capítulo sin clasificar")</f>
        <v>Capítulo sin clasificar</v>
      </c>
      <c r="S145" s="4"/>
      <c r="T145" s="4"/>
      <c r="U145" s="4" t="str">
        <f>IFERROR(__xludf.DUMMYFUNCTION("""COMPUTED_VALUE"""),"Ninguna")</f>
        <v>Ninguna</v>
      </c>
      <c r="V145" s="4"/>
      <c r="W145" s="4" t="str">
        <f>IFERROR(__xludf.DUMMYFUNCTION("""COMPUTED_VALUE"""),"Proyecto")</f>
        <v>Proyecto</v>
      </c>
      <c r="X145" s="4" t="str">
        <f>IFERROR(__xludf.DUMMYFUNCTION("""COMPUTED_VALUE"""),"UdeA")</f>
        <v>UdeA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 t="str">
        <f>IFERROR(__xludf.DUMMYFUNCTION("""COMPUTED_VALUE"""),"Ninguna")</f>
        <v>Ninguna</v>
      </c>
      <c r="AL145" s="4"/>
      <c r="AM145" s="4" t="str">
        <f>IFERROR(__xludf.DUMMYFUNCTION("""COMPUTED_VALUE"""),"Obligatorio")</f>
        <v>Obligatorio</v>
      </c>
      <c r="AN145" s="4">
        <f>IFERROR(__xludf.DUMMYFUNCTION("""COMPUTED_VALUE"""),3.0)</f>
        <v>3</v>
      </c>
      <c r="AO145" s="4">
        <f>IFERROR(__xludf.DUMMYFUNCTION("""COMPUTED_VALUE"""),1.0)</f>
        <v>1</v>
      </c>
      <c r="AP145" s="4">
        <f>IFERROR(__xludf.DUMMYFUNCTION("""COMPUTED_VALUE"""),1.0)</f>
        <v>1</v>
      </c>
      <c r="AQ145" s="4">
        <f>IFERROR(__xludf.DUMMYFUNCTION("""COMPUTED_VALUE"""),1.0)</f>
        <v>1</v>
      </c>
      <c r="AR145" s="4">
        <f>IFERROR(__xludf.DUMMYFUNCTION("""COMPUTED_VALUE"""),1.0)</f>
        <v>1</v>
      </c>
      <c r="AS145" s="4">
        <f>IFERROR(__xludf.DUMMYFUNCTION("""COMPUTED_VALUE"""),1.0)</f>
        <v>1</v>
      </c>
      <c r="AT145" s="5" t="str">
        <f>IFERROR(__xludf.DUMMYFUNCTION("""COMPUTED_VALUE"""),"https://doi.org/10.14483/23448393.15993")</f>
        <v>https://doi.org/10.14483/23448393.15993</v>
      </c>
      <c r="AU145" s="5" t="str">
        <f>IFERROR(__xludf.DUMMYFUNCTION("""COMPUTED_VALUE"""),"https://drive.google.com/file/d/117P8P4Jk33RCOYeH7wz7dtY2BilbMJdW/view?usp=sharing")</f>
        <v>https://drive.google.com/file/d/117P8P4Jk33RCOYeH7wz7dtY2BilbMJdW/view?usp=sharing</v>
      </c>
      <c r="AV145" s="4"/>
      <c r="AW145" s="4"/>
      <c r="AX145" s="4">
        <f>IFERROR(__xludf.DUMMYFUNCTION("""COMPUTED_VALUE"""),5.0)</f>
        <v>5</v>
      </c>
      <c r="AY145" s="4" t="str">
        <f>IFERROR(__xludf.DUMMYFUNCTION("""COMPUTED_VALUE"""),"Influencia de los Suelos en la Dinámica de Transferencia de Nutrientes en
la Interfase Suelo-Agua en un Embalse Tropical")</f>
        <v>Influencia de los Suelos en la Dinámica de Transferencia de Nutrientes en
la Interfase Suelo-Agua en un Embalse Tropical</v>
      </c>
      <c r="AZ145" s="4"/>
    </row>
    <row r="146">
      <c r="A146" s="4" t="str">
        <f>IFERROR(__xludf.DUMMYFUNCTION("""COMPUTED_VALUE"""),"Proy1")</f>
        <v>Proy1</v>
      </c>
      <c r="B146" s="4" t="str">
        <f>IFERROR(__xludf.DUMMYFUNCTION("""COMPUTED_VALUE"""),"Formación_RH")</f>
        <v>Formación_RH</v>
      </c>
      <c r="C146" s="4" t="str">
        <f>IFERROR(__xludf.DUMMYFUNCTION("""COMPUTED_VALUE"""),"Formación de estudiante de maestría")</f>
        <v>Formación de estudiante de maestría</v>
      </c>
      <c r="D146" s="4" t="str">
        <f>IFERROR(__xludf.DUMMYFUNCTION("""COMPUTED_VALUE"""),"Vinculación de estudiante de doctorado")</f>
        <v>Vinculación de estudiante de doctorado</v>
      </c>
      <c r="E146" s="4" t="str">
        <f>IFERROR(__xludf.DUMMYFUNCTION("""COMPUTED_VALUE"""),"Formación de estudiante de doctorado")</f>
        <v>Formación de estudiante de doctorado</v>
      </c>
      <c r="F146" s="4" t="str">
        <f>IFERROR(__xludf.DUMMYFUNCTION("""COMPUTED_VALUE"""),"Vinculación de estudiante de maestría")</f>
        <v>Vinculación de estudiante de maestría</v>
      </c>
      <c r="G146" s="4" t="str">
        <f>IFERROR(__xludf.DUMMYFUNCTION("""COMPUTED_VALUE"""),"Formación de estudiante de maestría")</f>
        <v>Formación de estudiante de maestría</v>
      </c>
      <c r="H146" s="4" t="str">
        <f>IFERROR(__xludf.DUMMYFUNCTION("""COMPUTED_VALUE"""),"Vinculación de estudiante de pregrado")</f>
        <v>Vinculación de estudiante de pregrado</v>
      </c>
      <c r="I146" s="4" t="str">
        <f>IFERROR(__xludf.DUMMYFUNCTION("""COMPUTED_VALUE"""),"Formación de estudiante de pregrado")</f>
        <v>Formación de estudiante de pregrado</v>
      </c>
      <c r="J146" s="4" t="str">
        <f>IFERROR(__xludf.DUMMYFUNCTION("""COMPUTED_VALUE"""),"Joven investigador")</f>
        <v>Joven investigador</v>
      </c>
      <c r="K146" s="4" t="str">
        <f>IFERROR(__xludf.DUMMYFUNCTION("""COMPUTED_VALUE"""),"Pasantía nacional")</f>
        <v>Pasantía nacional</v>
      </c>
      <c r="L146" s="4" t="str">
        <f>IFERROR(__xludf.DUMMYFUNCTION("""COMPUTED_VALUE"""),"Pasantía internacional")</f>
        <v>Pasantía internacional</v>
      </c>
      <c r="M146" s="4"/>
      <c r="N146" s="4"/>
      <c r="O146" s="4"/>
      <c r="P146" s="4"/>
      <c r="Q146" s="4"/>
      <c r="R146" s="4"/>
      <c r="S146" s="4"/>
      <c r="T146" s="4"/>
      <c r="U146" s="4" t="str">
        <f>IFERROR(__xludf.DUMMYFUNCTION("""COMPUTED_VALUE"""),"Ninguna")</f>
        <v>Ninguna</v>
      </c>
      <c r="V146" s="4"/>
      <c r="W146" s="4" t="str">
        <f>IFERROR(__xludf.DUMMYFUNCTION("""COMPUTED_VALUE"""),"Proyecto")</f>
        <v>Proyecto</v>
      </c>
      <c r="X146" s="4" t="str">
        <f>IFERROR(__xludf.DUMMYFUNCTION("""COMPUTED_VALUE"""),"UdeA")</f>
        <v>UdeA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 t="str">
        <f>IFERROR(__xludf.DUMMYFUNCTION("""COMPUTED_VALUE"""),"Ninguna")</f>
        <v>Ninguna</v>
      </c>
      <c r="AL146" s="4"/>
      <c r="AM146" s="4" t="str">
        <f>IFERROR(__xludf.DUMMYFUNCTION("""COMPUTED_VALUE"""),"Obligatorio")</f>
        <v>Obligatorio</v>
      </c>
      <c r="AN146" s="4"/>
      <c r="AO146" s="4"/>
      <c r="AP146" s="4"/>
      <c r="AQ146" s="4"/>
      <c r="AR146" s="4"/>
      <c r="AS146" s="4"/>
      <c r="AT146" s="4" t="str">
        <f>IFERROR(__xludf.DUMMYFUNCTION("""COMPUTED_VALUE"""),"Jonathan Aguilar Bedoya - MSc Ing. Mecánica")</f>
        <v>Jonathan Aguilar Bedoya - MSc Ing. Mecánica</v>
      </c>
      <c r="AU146" s="5" t="str">
        <f>IFERROR(__xludf.DUMMYFUNCTION("""COMPUTED_VALUE"""),"https://drive.google.com/file/d/1Fg7ui0265bTZFHPRvm4LcS51c4A5AZtT/view?usp=sharing")</f>
        <v>https://drive.google.com/file/d/1Fg7ui0265bTZFHPRvm4LcS51c4A5AZtT/view?usp=sharing</v>
      </c>
      <c r="AV146" s="4"/>
      <c r="AW146" s="4" t="str">
        <f>IFERROR(__xludf.DUMMYFUNCTION("""COMPUTED_VALUE"""),"Finalizado")</f>
        <v>Finalizado</v>
      </c>
      <c r="AX146" s="4">
        <f>IFERROR(__xludf.DUMMYFUNCTION("""COMPUTED_VALUE"""),5.0)</f>
        <v>5</v>
      </c>
      <c r="AY146" s="4" t="str">
        <f>IFERROR(__xludf.DUMMYFUNCTION("""COMPUTED_VALUE"""),"MSc en Ingeniería Mecánica - UdeA")</f>
        <v>MSc en Ingeniería Mecánica - UdeA</v>
      </c>
      <c r="AZ146" s="4"/>
    </row>
    <row r="147">
      <c r="A147" s="4" t="str">
        <f>IFERROR(__xludf.DUMMYFUNCTION("""COMPUTED_VALUE"""),"Proy1")</f>
        <v>Proy1</v>
      </c>
      <c r="B147" s="4" t="str">
        <f>IFERROR(__xludf.DUMMYFUNCTION("""COMPUTED_VALUE"""),"Nuevo_Conocimiento")</f>
        <v>Nuevo_Conocimiento</v>
      </c>
      <c r="C147" s="4" t="str">
        <f>IFERROR(__xludf.DUMMYFUNCTION("""COMPUTED_VALUE"""),"Artículo B")</f>
        <v>Artículo B</v>
      </c>
      <c r="D147" s="4" t="str">
        <f>IFERROR(__xludf.DUMMYFUNCTION("""COMPUTED_VALUE"""),"Artículo A1")</f>
        <v>Artículo A1</v>
      </c>
      <c r="E147" s="4" t="str">
        <f>IFERROR(__xludf.DUMMYFUNCTION("""COMPUTED_VALUE"""),"Artículo A2")</f>
        <v>Artículo A2</v>
      </c>
      <c r="F147" s="4" t="str">
        <f>IFERROR(__xludf.DUMMYFUNCTION("""COMPUTED_VALUE"""),"Artículo B")</f>
        <v>Artículo B</v>
      </c>
      <c r="G147" s="4" t="str">
        <f>IFERROR(__xludf.DUMMYFUNCTION("""COMPUTED_VALUE"""),"Artículo C")</f>
        <v>Artículo C</v>
      </c>
      <c r="H147" s="4" t="str">
        <f>IFERROR(__xludf.DUMMYFUNCTION("""COMPUTED_VALUE"""),"Capítulo de libro A")</f>
        <v>Capítulo de libro A</v>
      </c>
      <c r="I147" s="4" t="str">
        <f>IFERROR(__xludf.DUMMYFUNCTION("""COMPUTED_VALUE"""),"Capítulo de libro A1")</f>
        <v>Capítulo de libro A1</v>
      </c>
      <c r="J147" s="4" t="str">
        <f>IFERROR(__xludf.DUMMYFUNCTION("""COMPUTED_VALUE"""),"Capítulo de libro B")</f>
        <v>Capítulo de libro B</v>
      </c>
      <c r="K147" s="4" t="str">
        <f>IFERROR(__xludf.DUMMYFUNCTION("""COMPUTED_VALUE"""),"Libro A")</f>
        <v>Libro A</v>
      </c>
      <c r="L147" s="4" t="str">
        <f>IFERROR(__xludf.DUMMYFUNCTION("""COMPUTED_VALUE"""),"Libro A1")</f>
        <v>Libro A1</v>
      </c>
      <c r="M147" s="4" t="str">
        <f>IFERROR(__xludf.DUMMYFUNCTION("""COMPUTED_VALUE"""),"Libro B")</f>
        <v>Libro B</v>
      </c>
      <c r="N147" s="4" t="str">
        <f>IFERROR(__xludf.DUMMYFUNCTION("""COMPUTED_VALUE"""),"Solicitud Patente de invención y-o modelo de utitlidad")</f>
        <v>Solicitud Patente de invención y-o modelo de utitlidad</v>
      </c>
      <c r="O147" s="4" t="str">
        <f>IFERROR(__xludf.DUMMYFUNCTION("""COMPUTED_VALUE"""),"Patente de invención")</f>
        <v>Patente de invención</v>
      </c>
      <c r="P147" s="4" t="str">
        <f>IFERROR(__xludf.DUMMYFUNCTION("""COMPUTED_VALUE"""),"Patente de modelo de utilidad")</f>
        <v>Patente de modelo de utilidad</v>
      </c>
      <c r="Q147" s="4" t="str">
        <f>IFERROR(__xludf.DUMMYFUNCTION("""COMPUTED_VALUE"""),"Artículo sin clasificar")</f>
        <v>Artículo sin clasificar</v>
      </c>
      <c r="R147" s="4" t="str">
        <f>IFERROR(__xludf.DUMMYFUNCTION("""COMPUTED_VALUE"""),"Capítulo sin clasificar")</f>
        <v>Capítulo sin clasificar</v>
      </c>
      <c r="S147" s="4"/>
      <c r="T147" s="4"/>
      <c r="U147" s="4" t="str">
        <f>IFERROR(__xludf.DUMMYFUNCTION("""COMPUTED_VALUE"""),"Ninguna")</f>
        <v>Ninguna</v>
      </c>
      <c r="V147" s="4"/>
      <c r="W147" s="4" t="str">
        <f>IFERROR(__xludf.DUMMYFUNCTION("""COMPUTED_VALUE"""),"Proyecto")</f>
        <v>Proyecto</v>
      </c>
      <c r="X147" s="4" t="str">
        <f>IFERROR(__xludf.DUMMYFUNCTION("""COMPUTED_VALUE"""),"UdeA")</f>
        <v>UdeA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 t="str">
        <f>IFERROR(__xludf.DUMMYFUNCTION("""COMPUTED_VALUE"""),"Ninguna")</f>
        <v>Ninguna</v>
      </c>
      <c r="AL147" s="4"/>
      <c r="AM147" s="4" t="str">
        <f>IFERROR(__xludf.DUMMYFUNCTION("""COMPUTED_VALUE"""),"Adicional")</f>
        <v>Adicional</v>
      </c>
      <c r="AN147" s="4">
        <f>IFERROR(__xludf.DUMMYFUNCTION("""COMPUTED_VALUE"""),3.0)</f>
        <v>3</v>
      </c>
      <c r="AO147" s="4">
        <f>IFERROR(__xludf.DUMMYFUNCTION("""COMPUTED_VALUE"""),1.0)</f>
        <v>1</v>
      </c>
      <c r="AP147" s="4">
        <f>IFERROR(__xludf.DUMMYFUNCTION("""COMPUTED_VALUE"""),1.0)</f>
        <v>1</v>
      </c>
      <c r="AQ147" s="4">
        <f>IFERROR(__xludf.DUMMYFUNCTION("""COMPUTED_VALUE"""),1.0)</f>
        <v>1</v>
      </c>
      <c r="AR147" s="4">
        <f>IFERROR(__xludf.DUMMYFUNCTION("""COMPUTED_VALUE"""),1.0)</f>
        <v>1</v>
      </c>
      <c r="AS147" s="4">
        <f>IFERROR(__xludf.DUMMYFUNCTION("""COMPUTED_VALUE"""),1.0)</f>
        <v>1</v>
      </c>
      <c r="AT147" s="4" t="str">
        <f>IFERROR(__xludf.DUMMYFUNCTION("""COMPUTED_VALUE"""),"doi: 10.18273/revuin.v20n1-2021003")</f>
        <v>doi: 10.18273/revuin.v20n1-2021003</v>
      </c>
      <c r="AU147" s="5" t="str">
        <f>IFERROR(__xludf.DUMMYFUNCTION("""COMPUTED_VALUE"""),"https://drive.google.com/file/d/1pa5emUroqPURpj0InUCsMX1ikIETi9KS/view?usp=sharing")</f>
        <v>https://drive.google.com/file/d/1pa5emUroqPURpj0InUCsMX1ikIETi9KS/view?usp=sharing</v>
      </c>
      <c r="AV147" s="4"/>
      <c r="AW147" s="4"/>
      <c r="AX147" s="4">
        <f>IFERROR(__xludf.DUMMYFUNCTION("""COMPUTED_VALUE"""),5.0)</f>
        <v>5</v>
      </c>
      <c r="AY147" s="4" t="str">
        <f>IFERROR(__xludf.DUMMYFUNCTION("""COMPUTED_VALUE"""),"Consideraciones de diseño de una turbina Michell-Banki")</f>
        <v>Consideraciones de diseño de una turbina Michell-Banki</v>
      </c>
      <c r="AZ147" s="4"/>
    </row>
    <row r="148">
      <c r="A148" s="4" t="str">
        <f>IFERROR(__xludf.DUMMYFUNCTION("""COMPUTED_VALUE"""),"Proy1")</f>
        <v>Proy1</v>
      </c>
      <c r="B148" s="4" t="str">
        <f>IFERROR(__xludf.DUMMYFUNCTION("""COMPUTED_VALUE"""),"Apropiación")</f>
        <v>Apropiación</v>
      </c>
      <c r="C148" s="4" t="str">
        <f>IFERROR(__xludf.DUMMYFUNCTION("""COMPUTED_VALUE"""),"Ponencia")</f>
        <v>Ponencia</v>
      </c>
      <c r="D148" s="4" t="str">
        <f>IFERROR(__xludf.DUMMYFUNCTION("""COMPUTED_VALUE"""),"Ponencia")</f>
        <v>Ponencia</v>
      </c>
      <c r="E148" s="4" t="str">
        <f>IFERROR(__xludf.DUMMYFUNCTION("""COMPUTED_VALUE"""),"Evento científico")</f>
        <v>Evento científico</v>
      </c>
      <c r="F148" s="4" t="str">
        <f>IFERROR(__xludf.DUMMYFUNCTION("""COMPUTED_VALUE"""),"Cartilla")</f>
        <v>Cartilla</v>
      </c>
      <c r="G148" s="4" t="str">
        <f>IFERROR(__xludf.DUMMYFUNCTION("""COMPUTED_VALUE"""),"Curso de capacitación, seminario o taller")</f>
        <v>Curso de capacitación, seminario o taller</v>
      </c>
      <c r="H148" s="4" t="str">
        <f>IFERROR(__xludf.DUMMYFUNCTION("""COMPUTED_VALUE"""),"Socialización de resultados a actores del sector")</f>
        <v>Socialización de resultados a actores del sector</v>
      </c>
      <c r="I148" s="4" t="str">
        <f>IFERROR(__xludf.DUMMYFUNCTION("""COMPUTED_VALUE"""),"Articulación de redes de conocimiento")</f>
        <v>Articulación de redes de conocimiento</v>
      </c>
      <c r="J148" s="4" t="str">
        <f>IFERROR(__xludf.DUMMYFUNCTION("""COMPUTED_VALUE"""),"Circulación de conocimiento especializado - boletines")</f>
        <v>Circulación de conocimiento especializado - boletines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 t="str">
        <f>IFERROR(__xludf.DUMMYFUNCTION("""COMPUTED_VALUE"""),"Ninguna")</f>
        <v>Ninguna</v>
      </c>
      <c r="V148" s="4"/>
      <c r="W148" s="4" t="str">
        <f>IFERROR(__xludf.DUMMYFUNCTION("""COMPUTED_VALUE"""),"Proyecto")</f>
        <v>Proyecto</v>
      </c>
      <c r="X148" s="4" t="str">
        <f>IFERROR(__xludf.DUMMYFUNCTION("""COMPUTED_VALUE"""),"UdeA")</f>
        <v>UdeA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 t="str">
        <f>IFERROR(__xludf.DUMMYFUNCTION("""COMPUTED_VALUE"""),"Tecnológico de Antioquia")</f>
        <v>Tecnológico de Antioquia</v>
      </c>
      <c r="AK148" s="4" t="str">
        <f>IFERROR(__xludf.DUMMYFUNCTION("""COMPUTED_VALUE"""),"Ninguna")</f>
        <v>Ninguna</v>
      </c>
      <c r="AL148" s="4"/>
      <c r="AM148" s="4" t="str">
        <f>IFERROR(__xludf.DUMMYFUNCTION("""COMPUTED_VALUE"""),"Adicional")</f>
        <v>Adicional</v>
      </c>
      <c r="AN148" s="4">
        <f>IFERROR(__xludf.DUMMYFUNCTION("""COMPUTED_VALUE"""),3.0)</f>
        <v>3</v>
      </c>
      <c r="AO148" s="4">
        <f>IFERROR(__xludf.DUMMYFUNCTION("""COMPUTED_VALUE"""),1.0)</f>
        <v>1</v>
      </c>
      <c r="AP148" s="4">
        <f>IFERROR(__xludf.DUMMYFUNCTION("""COMPUTED_VALUE"""),2.0)</f>
        <v>2</v>
      </c>
      <c r="AQ148" s="4">
        <f>IFERROR(__xludf.DUMMYFUNCTION("""COMPUTED_VALUE"""),1.0)</f>
        <v>1</v>
      </c>
      <c r="AR148" s="4">
        <f>IFERROR(__xludf.DUMMYFUNCTION("""COMPUTED_VALUE"""),2.0)</f>
        <v>2</v>
      </c>
      <c r="AS148" s="4">
        <f>IFERROR(__xludf.DUMMYFUNCTION("""COMPUTED_VALUE"""),1.0)</f>
        <v>1</v>
      </c>
      <c r="AT148" s="4" t="str">
        <f>IFERROR(__xludf.DUMMYFUNCTION("""COMPUTED_VALUE"""),"International Conference on Renewable Energies
and Power Quality (ICREPQ’20)")</f>
        <v>International Conference on Renewable Energies
and Power Quality (ICREPQ’20)</v>
      </c>
      <c r="AU148" s="5" t="str">
        <f>IFERROR(__xludf.DUMMYFUNCTION("""COMPUTED_VALUE"""),"https://drive.google.com/file/d/1Q1dovmTc0aLDD_mNbY8vCPtTWvvyDpzO/view?usp=sharing")</f>
        <v>https://drive.google.com/file/d/1Q1dovmTc0aLDD_mNbY8vCPtTWvvyDpzO/view?usp=sharing</v>
      </c>
      <c r="AV148" s="4"/>
      <c r="AW148" s="4"/>
      <c r="AX148" s="4">
        <f>IFERROR(__xludf.DUMMYFUNCTION("""COMPUTED_VALUE"""),5.0)</f>
        <v>5</v>
      </c>
      <c r="AY148" s="4" t="str">
        <f>IFERROR(__xludf.DUMMYFUNCTION("""COMPUTED_VALUE"""),"Surrogate modelling for high-lift multi-element hydrofoil shape optimization of a
hydrokinetic turbine blade")</f>
        <v>Surrogate modelling for high-lift multi-element hydrofoil shape optimization of a
hydrokinetic turbine blade</v>
      </c>
      <c r="AZ148" s="4"/>
    </row>
    <row r="149">
      <c r="A149" s="4" t="str">
        <f>IFERROR(__xludf.DUMMYFUNCTION("""COMPUTED_VALUE"""),"Proy1")</f>
        <v>Proy1</v>
      </c>
      <c r="B149" s="4" t="str">
        <f>IFERROR(__xludf.DUMMYFUNCTION("""COMPUTED_VALUE"""),"Apropiación")</f>
        <v>Apropiación</v>
      </c>
      <c r="C149" s="4" t="str">
        <f>IFERROR(__xludf.DUMMYFUNCTION("""COMPUTED_VALUE"""),"Ponencia")</f>
        <v>Ponencia</v>
      </c>
      <c r="D149" s="4" t="str">
        <f>IFERROR(__xludf.DUMMYFUNCTION("""COMPUTED_VALUE"""),"Ponencia")</f>
        <v>Ponencia</v>
      </c>
      <c r="E149" s="4" t="str">
        <f>IFERROR(__xludf.DUMMYFUNCTION("""COMPUTED_VALUE"""),"Evento científico")</f>
        <v>Evento científico</v>
      </c>
      <c r="F149" s="4" t="str">
        <f>IFERROR(__xludf.DUMMYFUNCTION("""COMPUTED_VALUE"""),"Cartilla")</f>
        <v>Cartilla</v>
      </c>
      <c r="G149" s="4" t="str">
        <f>IFERROR(__xludf.DUMMYFUNCTION("""COMPUTED_VALUE"""),"Curso de capacitación, seminario o taller")</f>
        <v>Curso de capacitación, seminario o taller</v>
      </c>
      <c r="H149" s="4" t="str">
        <f>IFERROR(__xludf.DUMMYFUNCTION("""COMPUTED_VALUE"""),"Socialización de resultados a actores del sector")</f>
        <v>Socialización de resultados a actores del sector</v>
      </c>
      <c r="I149" s="4" t="str">
        <f>IFERROR(__xludf.DUMMYFUNCTION("""COMPUTED_VALUE"""),"Articulación de redes de conocimiento")</f>
        <v>Articulación de redes de conocimiento</v>
      </c>
      <c r="J149" s="4" t="str">
        <f>IFERROR(__xludf.DUMMYFUNCTION("""COMPUTED_VALUE"""),"Circulación de conocimiento especializado - boletines")</f>
        <v>Circulación de conocimiento especializado - boletines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 t="str">
        <f>IFERROR(__xludf.DUMMYFUNCTION("""COMPUTED_VALUE"""),"Ninguna")</f>
        <v>Ninguna</v>
      </c>
      <c r="V149" s="4"/>
      <c r="W149" s="4" t="str">
        <f>IFERROR(__xludf.DUMMYFUNCTION("""COMPUTED_VALUE"""),"Proyecto")</f>
        <v>Proyecto</v>
      </c>
      <c r="X149" s="4" t="str">
        <f>IFERROR(__xludf.DUMMYFUNCTION("""COMPUTED_VALUE"""),"UdeA")</f>
        <v>UdeA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 t="str">
        <f>IFERROR(__xludf.DUMMYFUNCTION("""COMPUTED_VALUE"""),"Tecnológico de Antioquia")</f>
        <v>Tecnológico de Antioquia</v>
      </c>
      <c r="AK149" s="4" t="str">
        <f>IFERROR(__xludf.DUMMYFUNCTION("""COMPUTED_VALUE"""),"Ninguna")</f>
        <v>Ninguna</v>
      </c>
      <c r="AL149" s="4"/>
      <c r="AM149" s="4" t="str">
        <f>IFERROR(__xludf.DUMMYFUNCTION("""COMPUTED_VALUE"""),"Adicional")</f>
        <v>Adicional</v>
      </c>
      <c r="AN149" s="4">
        <f>IFERROR(__xludf.DUMMYFUNCTION("""COMPUTED_VALUE"""),3.0)</f>
        <v>3</v>
      </c>
      <c r="AO149" s="4">
        <f>IFERROR(__xludf.DUMMYFUNCTION("""COMPUTED_VALUE"""),1.0)</f>
        <v>1</v>
      </c>
      <c r="AP149" s="4">
        <f>IFERROR(__xludf.DUMMYFUNCTION("""COMPUTED_VALUE"""),2.0)</f>
        <v>2</v>
      </c>
      <c r="AQ149" s="4">
        <f>IFERROR(__xludf.DUMMYFUNCTION("""COMPUTED_VALUE"""),1.0)</f>
        <v>1</v>
      </c>
      <c r="AR149" s="4">
        <f>IFERROR(__xludf.DUMMYFUNCTION("""COMPUTED_VALUE"""),2.0)</f>
        <v>2</v>
      </c>
      <c r="AS149" s="4">
        <f>IFERROR(__xludf.DUMMYFUNCTION("""COMPUTED_VALUE"""),1.0)</f>
        <v>1</v>
      </c>
      <c r="AT149" s="4" t="str">
        <f>IFERROR(__xludf.DUMMYFUNCTION("""COMPUTED_VALUE"""),"International Conference on Renewable Energies
and Power Quality (ICREPQ’20)")</f>
        <v>International Conference on Renewable Energies
and Power Quality (ICREPQ’20)</v>
      </c>
      <c r="AU149" s="5" t="str">
        <f>IFERROR(__xludf.DUMMYFUNCTION("""COMPUTED_VALUE"""),"https://drive.google.com/file/d/1jrWYMN3fAGiIntWQO5F_9nJRAQWuB-Pm/view?usp=sharing")</f>
        <v>https://drive.google.com/file/d/1jrWYMN3fAGiIntWQO5F_9nJRAQWuB-Pm/view?usp=sharing</v>
      </c>
      <c r="AV149" s="4"/>
      <c r="AW149" s="4"/>
      <c r="AX149" s="4">
        <f>IFERROR(__xludf.DUMMYFUNCTION("""COMPUTED_VALUE"""),5.0)</f>
        <v>5</v>
      </c>
      <c r="AY149" s="4" t="str">
        <f>IFERROR(__xludf.DUMMYFUNCTION("""COMPUTED_VALUE"""),"Numerical analysis of the inlet channel and basin geometries for vortex generation in a gravitational water vortex power plant")</f>
        <v>Numerical analysis of the inlet channel and basin geometries for vortex generation in a gravitational water vortex power plant</v>
      </c>
      <c r="AZ149" s="4"/>
    </row>
    <row r="150">
      <c r="A150" s="4" t="str">
        <f>IFERROR(__xludf.DUMMYFUNCTION("""COMPUTED_VALUE"""),"Proy13")</f>
        <v>Proy13</v>
      </c>
      <c r="B150" s="4" t="str">
        <f>IFERROR(__xludf.DUMMYFUNCTION("""COMPUTED_VALUE"""),"Nuevo_Conocimiento")</f>
        <v>Nuevo_Conocimiento</v>
      </c>
      <c r="C150" s="4" t="str">
        <f>IFERROR(__xludf.DUMMYFUNCTION("""COMPUTED_VALUE"""),"Artículo A1")</f>
        <v>Artículo A1</v>
      </c>
      <c r="D150" s="4" t="str">
        <f>IFERROR(__xludf.DUMMYFUNCTION("""COMPUTED_VALUE"""),"Artículo A1")</f>
        <v>Artículo A1</v>
      </c>
      <c r="E150" s="4" t="str">
        <f>IFERROR(__xludf.DUMMYFUNCTION("""COMPUTED_VALUE"""),"Artículo A2")</f>
        <v>Artículo A2</v>
      </c>
      <c r="F150" s="4" t="str">
        <f>IFERROR(__xludf.DUMMYFUNCTION("""COMPUTED_VALUE"""),"Artículo B")</f>
        <v>Artículo B</v>
      </c>
      <c r="G150" s="4" t="str">
        <f>IFERROR(__xludf.DUMMYFUNCTION("""COMPUTED_VALUE"""),"Artículo C")</f>
        <v>Artículo C</v>
      </c>
      <c r="H150" s="4" t="str">
        <f>IFERROR(__xludf.DUMMYFUNCTION("""COMPUTED_VALUE"""),"Capítulo de libro A")</f>
        <v>Capítulo de libro A</v>
      </c>
      <c r="I150" s="4" t="str">
        <f>IFERROR(__xludf.DUMMYFUNCTION("""COMPUTED_VALUE"""),"Capítulo de libro A1")</f>
        <v>Capítulo de libro A1</v>
      </c>
      <c r="J150" s="4" t="str">
        <f>IFERROR(__xludf.DUMMYFUNCTION("""COMPUTED_VALUE"""),"Capítulo de libro B")</f>
        <v>Capítulo de libro B</v>
      </c>
      <c r="K150" s="4" t="str">
        <f>IFERROR(__xludf.DUMMYFUNCTION("""COMPUTED_VALUE"""),"Libro A")</f>
        <v>Libro A</v>
      </c>
      <c r="L150" s="4" t="str">
        <f>IFERROR(__xludf.DUMMYFUNCTION("""COMPUTED_VALUE"""),"Libro A1")</f>
        <v>Libro A1</v>
      </c>
      <c r="M150" s="4" t="str">
        <f>IFERROR(__xludf.DUMMYFUNCTION("""COMPUTED_VALUE"""),"Libro B")</f>
        <v>Libro B</v>
      </c>
      <c r="N150" s="4" t="str">
        <f>IFERROR(__xludf.DUMMYFUNCTION("""COMPUTED_VALUE"""),"Solicitud Patente de invención y-o modelo de utitlidad")</f>
        <v>Solicitud Patente de invención y-o modelo de utitlidad</v>
      </c>
      <c r="O150" s="4" t="str">
        <f>IFERROR(__xludf.DUMMYFUNCTION("""COMPUTED_VALUE"""),"Patente de invención")</f>
        <v>Patente de invención</v>
      </c>
      <c r="P150" s="4" t="str">
        <f>IFERROR(__xludf.DUMMYFUNCTION("""COMPUTED_VALUE"""),"Patente de modelo de utilidad")</f>
        <v>Patente de modelo de utilidad</v>
      </c>
      <c r="Q150" s="4" t="str">
        <f>IFERROR(__xludf.DUMMYFUNCTION("""COMPUTED_VALUE"""),"Artículo sin clasificar")</f>
        <v>Artículo sin clasificar</v>
      </c>
      <c r="R150" s="4" t="str">
        <f>IFERROR(__xludf.DUMMYFUNCTION("""COMPUTED_VALUE"""),"Capítulo sin clasificar")</f>
        <v>Capítulo sin clasificar</v>
      </c>
      <c r="S150" s="4"/>
      <c r="T150" s="4"/>
      <c r="U150" s="4" t="str">
        <f>IFERROR(__xludf.DUMMYFUNCTION("""COMPUTED_VALUE"""),"Ninguna")</f>
        <v>Ninguna</v>
      </c>
      <c r="V150" s="4"/>
      <c r="W150" s="4" t="str">
        <f>IFERROR(__xludf.DUMMYFUNCTION("""COMPUTED_VALUE"""),"Proyecto")</f>
        <v>Proyecto</v>
      </c>
      <c r="X150" s="4" t="str">
        <f>IFERROR(__xludf.DUMMYFUNCTION("""COMPUTED_VALUE"""),"UdeA")</f>
        <v>UdeA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 t="str">
        <f>IFERROR(__xludf.DUMMYFUNCTION("""COMPUTED_VALUE"""),"Ninguna")</f>
        <v>Ninguna</v>
      </c>
      <c r="AL150" s="4"/>
      <c r="AM150" s="4" t="str">
        <f>IFERROR(__xludf.DUMMYFUNCTION("""COMPUTED_VALUE"""),"Obligatorio")</f>
        <v>Obligatorio</v>
      </c>
      <c r="AN150" s="4">
        <f>IFERROR(__xludf.DUMMYFUNCTION("""COMPUTED_VALUE"""),3.0)</f>
        <v>3</v>
      </c>
      <c r="AO150" s="4">
        <f>IFERROR(__xludf.DUMMYFUNCTION("""COMPUTED_VALUE"""),2.0)</f>
        <v>2</v>
      </c>
      <c r="AP150" s="4">
        <f>IFERROR(__xludf.DUMMYFUNCTION("""COMPUTED_VALUE"""),1.0)</f>
        <v>1</v>
      </c>
      <c r="AQ150" s="4">
        <f>IFERROR(__xludf.DUMMYFUNCTION("""COMPUTED_VALUE"""),1.0)</f>
        <v>1</v>
      </c>
      <c r="AR150" s="4">
        <f>IFERROR(__xludf.DUMMYFUNCTION("""COMPUTED_VALUE"""),1.0)</f>
        <v>1</v>
      </c>
      <c r="AS150" s="4">
        <f>IFERROR(__xludf.DUMMYFUNCTION("""COMPUTED_VALUE"""),1.0)</f>
        <v>1</v>
      </c>
      <c r="AT150" s="4" t="str">
        <f>IFERROR(__xludf.DUMMYFUNCTION("""COMPUTED_VALUE"""),"doi:10.3390/en13236253")</f>
        <v>doi:10.3390/en13236253</v>
      </c>
      <c r="AU150" s="5" t="str">
        <f>IFERROR(__xludf.DUMMYFUNCTION("""COMPUTED_VALUE"""),"https://drive.google.com/file/d/1MtOrKiJSZZbc6Koo92dAXJQkJerKslqX/view?usp=sharing")</f>
        <v>https://drive.google.com/file/d/1MtOrKiJSZZbc6Koo92dAXJQkJerKslqX/view?usp=sharing</v>
      </c>
      <c r="AV150" s="4"/>
      <c r="AW150" s="4"/>
      <c r="AX150" s="4">
        <f>IFERROR(__xludf.DUMMYFUNCTION("""COMPUTED_VALUE"""),5.0)</f>
        <v>5</v>
      </c>
      <c r="AY150" s="4" t="str">
        <f>IFERROR(__xludf.DUMMYFUNCTION("""COMPUTED_VALUE"""),"Robust Control of Shunt Active Power Filters:
A Dynamical Model-Based Approach with
Verified Controllability")</f>
        <v>Robust Control of Shunt Active Power Filters:
A Dynamical Model-Based Approach with
Verified Controllability</v>
      </c>
      <c r="AZ150" s="4"/>
    </row>
    <row r="151">
      <c r="A151" s="4" t="str">
        <f>IFERROR(__xludf.DUMMYFUNCTION("""COMPUTED_VALUE"""),"Proy7")</f>
        <v>Proy7</v>
      </c>
      <c r="B151" s="4" t="str">
        <f>IFERROR(__xludf.DUMMYFUNCTION("""COMPUTED_VALUE"""),"Apropiación")</f>
        <v>Apropiación</v>
      </c>
      <c r="C151" s="4" t="str">
        <f>IFERROR(__xludf.DUMMYFUNCTION("""COMPUTED_VALUE"""),"Ponencia")</f>
        <v>Ponencia</v>
      </c>
      <c r="D151" s="4" t="str">
        <f>IFERROR(__xludf.DUMMYFUNCTION("""COMPUTED_VALUE"""),"Ponencia")</f>
        <v>Ponencia</v>
      </c>
      <c r="E151" s="4" t="str">
        <f>IFERROR(__xludf.DUMMYFUNCTION("""COMPUTED_VALUE"""),"Evento científico")</f>
        <v>Evento científico</v>
      </c>
      <c r="F151" s="4" t="str">
        <f>IFERROR(__xludf.DUMMYFUNCTION("""COMPUTED_VALUE"""),"Cartilla")</f>
        <v>Cartilla</v>
      </c>
      <c r="G151" s="4" t="str">
        <f>IFERROR(__xludf.DUMMYFUNCTION("""COMPUTED_VALUE"""),"Curso de capacitación, seminario o taller")</f>
        <v>Curso de capacitación, seminario o taller</v>
      </c>
      <c r="H151" s="4" t="str">
        <f>IFERROR(__xludf.DUMMYFUNCTION("""COMPUTED_VALUE"""),"Socialización de resultados a actores del sector")</f>
        <v>Socialización de resultados a actores del sector</v>
      </c>
      <c r="I151" s="4" t="str">
        <f>IFERROR(__xludf.DUMMYFUNCTION("""COMPUTED_VALUE"""),"Articulación de redes de conocimiento")</f>
        <v>Articulación de redes de conocimiento</v>
      </c>
      <c r="J151" s="4" t="str">
        <f>IFERROR(__xludf.DUMMYFUNCTION("""COMPUTED_VALUE"""),"Circulación de conocimiento especializado - boletines")</f>
        <v>Circulación de conocimiento especializado - boletines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 t="str">
        <f>IFERROR(__xludf.DUMMYFUNCTION("""COMPUTED_VALUE"""),"Ninguna")</f>
        <v>Ninguna</v>
      </c>
      <c r="V151" s="4"/>
      <c r="W151" s="4" t="str">
        <f>IFERROR(__xludf.DUMMYFUNCTION("""COMPUTED_VALUE"""),"Proyecto")</f>
        <v>Proyecto</v>
      </c>
      <c r="X151" s="4" t="str">
        <f>IFERROR(__xludf.DUMMYFUNCTION("""COMPUTED_VALUE"""),"UdeA")</f>
        <v>UdeA</v>
      </c>
      <c r="Y151" s="4" t="str">
        <f>IFERROR(__xludf.DUMMYFUNCTION("""COMPUTED_VALUE"""),"UniCórdoba")</f>
        <v>UniCórdoba</v>
      </c>
      <c r="Z151" s="4" t="str">
        <f>IFERROR(__xludf.DUMMYFUNCTION("""COMPUTED_VALUE"""),"Frigosinú")</f>
        <v>Frigosinú</v>
      </c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 t="str">
        <f>IFERROR(__xludf.DUMMYFUNCTION("""COMPUTED_VALUE"""),"Ninguna")</f>
        <v>Ninguna</v>
      </c>
      <c r="AL151" s="4"/>
      <c r="AM151" s="4" t="str">
        <f>IFERROR(__xludf.DUMMYFUNCTION("""COMPUTED_VALUE"""),"Obligatorio")</f>
        <v>Obligatorio</v>
      </c>
      <c r="AN151" s="4">
        <f>IFERROR(__xludf.DUMMYFUNCTION("""COMPUTED_VALUE"""),6.0)</f>
        <v>6</v>
      </c>
      <c r="AO151" s="4">
        <f>IFERROR(__xludf.DUMMYFUNCTION("""COMPUTED_VALUE"""),4.0)</f>
        <v>4</v>
      </c>
      <c r="AP151" s="4">
        <f>IFERROR(__xludf.DUMMYFUNCTION("""COMPUTED_VALUE"""),3.0)</f>
        <v>3</v>
      </c>
      <c r="AQ151" s="4">
        <f>IFERROR(__xludf.DUMMYFUNCTION("""COMPUTED_VALUE"""),3.0)</f>
        <v>3</v>
      </c>
      <c r="AR151" s="4">
        <f>IFERROR(__xludf.DUMMYFUNCTION("""COMPUTED_VALUE"""),3.0)</f>
        <v>3</v>
      </c>
      <c r="AS151" s="4">
        <f>IFERROR(__xludf.DUMMYFUNCTION("""COMPUTED_VALUE"""),3.0)</f>
        <v>3</v>
      </c>
      <c r="AT151" s="4" t="str">
        <f>IFERROR(__xludf.DUMMYFUNCTION("""COMPUTED_VALUE"""),"Primer Congreso Internacional ODS")</f>
        <v>Primer Congreso Internacional ODS</v>
      </c>
      <c r="AU151" s="5" t="str">
        <f>IFERROR(__xludf.DUMMYFUNCTION("""COMPUTED_VALUE"""),"https://drive.google.com/file/d/1YfVukD3Lqojl6AnvkJd1bmeaWZBd4KlK/view?usp=sharing")</f>
        <v>https://drive.google.com/file/d/1YfVukD3Lqojl6AnvkJd1bmeaWZBd4KlK/view?usp=sharing</v>
      </c>
      <c r="AV151" s="4"/>
      <c r="AW151" s="4"/>
      <c r="AX151" s="4">
        <f>IFERROR(__xludf.DUMMYFUNCTION("""COMPUTED_VALUE"""),5.0)</f>
        <v>5</v>
      </c>
      <c r="AY151" s="4" t="str">
        <f>IFERROR(__xludf.DUMMYFUNCTION("""COMPUTED_VALUE"""),"POTENCIAL ENERGÉTICO DEL CONTENIDO RUMINAL")</f>
        <v>POTENCIAL ENERGÉTICO DEL CONTENIDO RUMINAL</v>
      </c>
      <c r="AZ151" s="4"/>
    </row>
    <row r="152">
      <c r="A152" s="4" t="str">
        <f>IFERROR(__xludf.DUMMYFUNCTION("""COMPUTED_VALUE"""),"Proy9")</f>
        <v>Proy9</v>
      </c>
      <c r="B152" s="4" t="str">
        <f>IFERROR(__xludf.DUMMYFUNCTION("""COMPUTED_VALUE"""),"Apropiación")</f>
        <v>Apropiación</v>
      </c>
      <c r="C152" s="4" t="str">
        <f>IFERROR(__xludf.DUMMYFUNCTION("""COMPUTED_VALUE"""),"Ponencia")</f>
        <v>Ponencia</v>
      </c>
      <c r="D152" s="4" t="str">
        <f>IFERROR(__xludf.DUMMYFUNCTION("""COMPUTED_VALUE"""),"Ponencia")</f>
        <v>Ponencia</v>
      </c>
      <c r="E152" s="4" t="str">
        <f>IFERROR(__xludf.DUMMYFUNCTION("""COMPUTED_VALUE"""),"Evento científico")</f>
        <v>Evento científico</v>
      </c>
      <c r="F152" s="4" t="str">
        <f>IFERROR(__xludf.DUMMYFUNCTION("""COMPUTED_VALUE"""),"Cartilla")</f>
        <v>Cartilla</v>
      </c>
      <c r="G152" s="4" t="str">
        <f>IFERROR(__xludf.DUMMYFUNCTION("""COMPUTED_VALUE"""),"Curso de capacitación, seminario o taller")</f>
        <v>Curso de capacitación, seminario o taller</v>
      </c>
      <c r="H152" s="4" t="str">
        <f>IFERROR(__xludf.DUMMYFUNCTION("""COMPUTED_VALUE"""),"Socialización de resultados a actores del sector")</f>
        <v>Socialización de resultados a actores del sector</v>
      </c>
      <c r="I152" s="4" t="str">
        <f>IFERROR(__xludf.DUMMYFUNCTION("""COMPUTED_VALUE"""),"Articulación de redes de conocimiento")</f>
        <v>Articulación de redes de conocimiento</v>
      </c>
      <c r="J152" s="4" t="str">
        <f>IFERROR(__xludf.DUMMYFUNCTION("""COMPUTED_VALUE"""),"Circulación de conocimiento especializado - boletines")</f>
        <v>Circulación de conocimiento especializado - boletines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 t="str">
        <f>IFERROR(__xludf.DUMMYFUNCTION("""COMPUTED_VALUE"""),"Ninguna")</f>
        <v>Ninguna</v>
      </c>
      <c r="V152" s="4"/>
      <c r="W152" s="4" t="str">
        <f>IFERROR(__xludf.DUMMYFUNCTION("""COMPUTED_VALUE"""),"Proyecto")</f>
        <v>Proyecto</v>
      </c>
      <c r="X152" s="4" t="str">
        <f>IFERROR(__xludf.DUMMYFUNCTION("""COMPUTED_VALUE"""),"UdeA")</f>
        <v>UdeA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 t="str">
        <f>IFERROR(__xludf.DUMMYFUNCTION("""COMPUTED_VALUE"""),"Ninguna")</f>
        <v>Ninguna</v>
      </c>
      <c r="AL152" s="4"/>
      <c r="AM152" s="4" t="str">
        <f>IFERROR(__xludf.DUMMYFUNCTION("""COMPUTED_VALUE"""),"Adicional")</f>
        <v>Adicional</v>
      </c>
      <c r="AN152" s="4">
        <f>IFERROR(__xludf.DUMMYFUNCTION("""COMPUTED_VALUE"""),3.0)</f>
        <v>3</v>
      </c>
      <c r="AO152" s="4">
        <f>IFERROR(__xludf.DUMMYFUNCTION("""COMPUTED_VALUE"""),1.0)</f>
        <v>1</v>
      </c>
      <c r="AP152" s="4">
        <f>IFERROR(__xludf.DUMMYFUNCTION("""COMPUTED_VALUE"""),1.0)</f>
        <v>1</v>
      </c>
      <c r="AQ152" s="4">
        <f>IFERROR(__xludf.DUMMYFUNCTION("""COMPUTED_VALUE"""),1.0)</f>
        <v>1</v>
      </c>
      <c r="AR152" s="4">
        <f>IFERROR(__xludf.DUMMYFUNCTION("""COMPUTED_VALUE"""),1.0)</f>
        <v>1</v>
      </c>
      <c r="AS152" s="4">
        <f>IFERROR(__xludf.DUMMYFUNCTION("""COMPUTED_VALUE"""),1.0)</f>
        <v>1</v>
      </c>
      <c r="AT152" s="4" t="str">
        <f>IFERROR(__xludf.DUMMYFUNCTION("""COMPUTED_VALUE"""),"Primer Congreso Internacional ODS")</f>
        <v>Primer Congreso Internacional ODS</v>
      </c>
      <c r="AU152" s="5" t="str">
        <f>IFERROR(__xludf.DUMMYFUNCTION("""COMPUTED_VALUE"""),"https://drive.google.com/file/d/19BGGgQrX-raiE5ADpiFC9RssM17xYG-V/view?usp=sharing")</f>
        <v>https://drive.google.com/file/d/19BGGgQrX-raiE5ADpiFC9RssM17xYG-V/view?usp=sharing</v>
      </c>
      <c r="AV152" s="4"/>
      <c r="AW152" s="4"/>
      <c r="AX152" s="4">
        <f>IFERROR(__xludf.DUMMYFUNCTION("""COMPUTED_VALUE"""),5.0)</f>
        <v>5</v>
      </c>
      <c r="AY152" s="4" t="str">
        <f>IFERROR(__xludf.DUMMYFUNCTION("""COMPUTED_VALUE"""),"Determinación del potencial eólico del Golfo de Urabá")</f>
        <v>Determinación del potencial eólico del Golfo de Urabá</v>
      </c>
      <c r="AZ152" s="4"/>
    </row>
    <row r="153">
      <c r="A153" s="4" t="str">
        <f>IFERROR(__xludf.DUMMYFUNCTION("""COMPUTED_VALUE"""),"Proy8")</f>
        <v>Proy8</v>
      </c>
      <c r="B153" s="4" t="str">
        <f>IFERROR(__xludf.DUMMYFUNCTION("""COMPUTED_VALUE"""),"Formación_RH")</f>
        <v>Formación_RH</v>
      </c>
      <c r="C153" s="4" t="str">
        <f>IFERROR(__xludf.DUMMYFUNCTION("""COMPUTED_VALUE"""),"Vinculación de estudiante de doctorado")</f>
        <v>Vinculación de estudiante de doctorado</v>
      </c>
      <c r="D153" s="4" t="str">
        <f>IFERROR(__xludf.DUMMYFUNCTION("""COMPUTED_VALUE"""),"Vinculación de estudiante de doctorado")</f>
        <v>Vinculación de estudiante de doctorado</v>
      </c>
      <c r="E153" s="4" t="str">
        <f>IFERROR(__xludf.DUMMYFUNCTION("""COMPUTED_VALUE"""),"Formación de estudiante de doctorado")</f>
        <v>Formación de estudiante de doctorado</v>
      </c>
      <c r="F153" s="4" t="str">
        <f>IFERROR(__xludf.DUMMYFUNCTION("""COMPUTED_VALUE"""),"Vinculación de estudiante de maestría")</f>
        <v>Vinculación de estudiante de maestría</v>
      </c>
      <c r="G153" s="4" t="str">
        <f>IFERROR(__xludf.DUMMYFUNCTION("""COMPUTED_VALUE"""),"Formación de estudiante de maestría")</f>
        <v>Formación de estudiante de maestría</v>
      </c>
      <c r="H153" s="4" t="str">
        <f>IFERROR(__xludf.DUMMYFUNCTION("""COMPUTED_VALUE"""),"Vinculación de estudiante de pregrado")</f>
        <v>Vinculación de estudiante de pregrado</v>
      </c>
      <c r="I153" s="4" t="str">
        <f>IFERROR(__xludf.DUMMYFUNCTION("""COMPUTED_VALUE"""),"Formación de estudiante de pregrado")</f>
        <v>Formación de estudiante de pregrado</v>
      </c>
      <c r="J153" s="4" t="str">
        <f>IFERROR(__xludf.DUMMYFUNCTION("""COMPUTED_VALUE"""),"Joven investigador")</f>
        <v>Joven investigador</v>
      </c>
      <c r="K153" s="4" t="str">
        <f>IFERROR(__xludf.DUMMYFUNCTION("""COMPUTED_VALUE"""),"Pasantía nacional")</f>
        <v>Pasantía nacional</v>
      </c>
      <c r="L153" s="4" t="str">
        <f>IFERROR(__xludf.DUMMYFUNCTION("""COMPUTED_VALUE"""),"Pasantía internacional")</f>
        <v>Pasantía internacional</v>
      </c>
      <c r="M153" s="4"/>
      <c r="N153" s="4"/>
      <c r="O153" s="4"/>
      <c r="P153" s="4"/>
      <c r="Q153" s="4"/>
      <c r="R153" s="4"/>
      <c r="S153" s="4"/>
      <c r="T153" s="4"/>
      <c r="U153" s="4" t="str">
        <f>IFERROR(__xludf.DUMMYFUNCTION("""COMPUTED_VALUE"""),"Ninguna")</f>
        <v>Ninguna</v>
      </c>
      <c r="V153" s="4"/>
      <c r="W153" s="4" t="str">
        <f>IFERROR(__xludf.DUMMYFUNCTION("""COMPUTED_VALUE"""),"Proyecto")</f>
        <v>Proyecto</v>
      </c>
      <c r="X153" s="4" t="str">
        <f>IFERROR(__xludf.DUMMYFUNCTION("""COMPUTED_VALUE"""),"UdeA")</f>
        <v>UdeA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 t="str">
        <f>IFERROR(__xludf.DUMMYFUNCTION("""COMPUTED_VALUE"""),"Ninguna")</f>
        <v>Ninguna</v>
      </c>
      <c r="AL153" s="4"/>
      <c r="AM153" s="4" t="str">
        <f>IFERROR(__xludf.DUMMYFUNCTION("""COMPUTED_VALUE"""),"Obligatorio")</f>
        <v>Obligatorio</v>
      </c>
      <c r="AN153" s="4"/>
      <c r="AO153" s="4"/>
      <c r="AP153" s="4"/>
      <c r="AQ153" s="4"/>
      <c r="AR153" s="4"/>
      <c r="AS153" s="4"/>
      <c r="AT153" s="4" t="str">
        <f>IFERROR(__xludf.DUMMYFUNCTION("""COMPUTED_VALUE"""),"David Ocampo")</f>
        <v>David Ocampo</v>
      </c>
      <c r="AU153" s="4"/>
      <c r="AV153" s="4"/>
      <c r="AW153" s="4" t="str">
        <f>IFERROR(__xludf.DUMMYFUNCTION("""COMPUTED_VALUE"""),"En Curso")</f>
        <v>En Curso</v>
      </c>
      <c r="AX153" s="4">
        <f>IFERROR(__xludf.DUMMYFUNCTION("""COMPUTED_VALUE"""),5.0)</f>
        <v>5</v>
      </c>
      <c r="AY153" s="4" t="str">
        <f>IFERROR(__xludf.DUMMYFUNCTION("""COMPUTED_VALUE"""),"Doctorado en Ingeniería Ambiental -UdeA, con pasantía en Argos")</f>
        <v>Doctorado en Ingeniería Ambiental -UdeA, con pasantía en Argos</v>
      </c>
      <c r="AZ153" s="4"/>
    </row>
    <row r="154">
      <c r="A154" s="4" t="str">
        <f>IFERROR(__xludf.DUMMYFUNCTION("""COMPUTED_VALUE"""),"Proy8")</f>
        <v>Proy8</v>
      </c>
      <c r="B154" s="4" t="str">
        <f>IFERROR(__xludf.DUMMYFUNCTION("""COMPUTED_VALUE"""),"Formación_RH")</f>
        <v>Formación_RH</v>
      </c>
      <c r="C154" s="4" t="str">
        <f>IFERROR(__xludf.DUMMYFUNCTION("""COMPUTED_VALUE"""),"Vinculación de estudiante de pregrado")</f>
        <v>Vinculación de estudiante de pregrado</v>
      </c>
      <c r="D154" s="4" t="str">
        <f>IFERROR(__xludf.DUMMYFUNCTION("""COMPUTED_VALUE"""),"Vinculación de estudiante de doctorado")</f>
        <v>Vinculación de estudiante de doctorado</v>
      </c>
      <c r="E154" s="4" t="str">
        <f>IFERROR(__xludf.DUMMYFUNCTION("""COMPUTED_VALUE"""),"Formación de estudiante de doctorado")</f>
        <v>Formación de estudiante de doctorado</v>
      </c>
      <c r="F154" s="4" t="str">
        <f>IFERROR(__xludf.DUMMYFUNCTION("""COMPUTED_VALUE"""),"Vinculación de estudiante de maestría")</f>
        <v>Vinculación de estudiante de maestría</v>
      </c>
      <c r="G154" s="4" t="str">
        <f>IFERROR(__xludf.DUMMYFUNCTION("""COMPUTED_VALUE"""),"Formación de estudiante de maestría")</f>
        <v>Formación de estudiante de maestría</v>
      </c>
      <c r="H154" s="4" t="str">
        <f>IFERROR(__xludf.DUMMYFUNCTION("""COMPUTED_VALUE"""),"Vinculación de estudiante de pregrado")</f>
        <v>Vinculación de estudiante de pregrado</v>
      </c>
      <c r="I154" s="4" t="str">
        <f>IFERROR(__xludf.DUMMYFUNCTION("""COMPUTED_VALUE"""),"Formación de estudiante de pregrado")</f>
        <v>Formación de estudiante de pregrado</v>
      </c>
      <c r="J154" s="4" t="str">
        <f>IFERROR(__xludf.DUMMYFUNCTION("""COMPUTED_VALUE"""),"Joven investigador")</f>
        <v>Joven investigador</v>
      </c>
      <c r="K154" s="4" t="str">
        <f>IFERROR(__xludf.DUMMYFUNCTION("""COMPUTED_VALUE"""),"Pasantía nacional")</f>
        <v>Pasantía nacional</v>
      </c>
      <c r="L154" s="4" t="str">
        <f>IFERROR(__xludf.DUMMYFUNCTION("""COMPUTED_VALUE"""),"Pasantía internacional")</f>
        <v>Pasantía internacional</v>
      </c>
      <c r="M154" s="4"/>
      <c r="N154" s="4"/>
      <c r="O154" s="4"/>
      <c r="P154" s="4"/>
      <c r="Q154" s="4"/>
      <c r="R154" s="4"/>
      <c r="S154" s="4"/>
      <c r="T154" s="4"/>
      <c r="U154" s="4" t="str">
        <f>IFERROR(__xludf.DUMMYFUNCTION("""COMPUTED_VALUE"""),"Ninguna")</f>
        <v>Ninguna</v>
      </c>
      <c r="V154" s="4"/>
      <c r="W154" s="4" t="str">
        <f>IFERROR(__xludf.DUMMYFUNCTION("""COMPUTED_VALUE"""),"Proyecto")</f>
        <v>Proyecto</v>
      </c>
      <c r="X154" s="4" t="str">
        <f>IFERROR(__xludf.DUMMYFUNCTION("""COMPUTED_VALUE"""),"UdeA")</f>
        <v>UdeA</v>
      </c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 t="str">
        <f>IFERROR(__xludf.DUMMYFUNCTION("""COMPUTED_VALUE"""),"Ninguna")</f>
        <v>Ninguna</v>
      </c>
      <c r="AL154" s="4"/>
      <c r="AM154" s="4" t="str">
        <f>IFERROR(__xludf.DUMMYFUNCTION("""COMPUTED_VALUE"""),"Obligatorio")</f>
        <v>Obligatorio</v>
      </c>
      <c r="AN154" s="4"/>
      <c r="AO154" s="4"/>
      <c r="AP154" s="4"/>
      <c r="AQ154" s="4"/>
      <c r="AR154" s="4"/>
      <c r="AS154" s="4"/>
      <c r="AT154" s="4" t="str">
        <f>IFERROR(__xludf.DUMMYFUNCTION("""COMPUTED_VALUE"""),"María Paulina Parra")</f>
        <v>María Paulina Parra</v>
      </c>
      <c r="AU154" s="4"/>
      <c r="AV154" s="4"/>
      <c r="AW154" s="4" t="str">
        <f>IFERROR(__xludf.DUMMYFUNCTION("""COMPUTED_VALUE"""),"En Curso")</f>
        <v>En Curso</v>
      </c>
      <c r="AX154" s="4">
        <f>IFERROR(__xludf.DUMMYFUNCTION("""COMPUTED_VALUE"""),5.0)</f>
        <v>5</v>
      </c>
      <c r="AY154" s="4" t="str">
        <f>IFERROR(__xludf.DUMMYFUNCTION("""COMPUTED_VALUE"""),"Ingeniería Química - UdeA")</f>
        <v>Ingeniería Química - UdeA</v>
      </c>
      <c r="AZ154" s="4"/>
    </row>
    <row r="155">
      <c r="A155" s="4" t="str">
        <f>IFERROR(__xludf.DUMMYFUNCTION("""COMPUTED_VALUE"""),"Proy8")</f>
        <v>Proy8</v>
      </c>
      <c r="B155" s="4" t="str">
        <f>IFERROR(__xludf.DUMMYFUNCTION("""COMPUTED_VALUE"""),"Formación_RH")</f>
        <v>Formación_RH</v>
      </c>
      <c r="C155" s="4" t="str">
        <f>IFERROR(__xludf.DUMMYFUNCTION("""COMPUTED_VALUE"""),"Formación de estudiante de pregrado")</f>
        <v>Formación de estudiante de pregrado</v>
      </c>
      <c r="D155" s="4" t="str">
        <f>IFERROR(__xludf.DUMMYFUNCTION("""COMPUTED_VALUE"""),"Vinculación de estudiante de doctorado")</f>
        <v>Vinculación de estudiante de doctorado</v>
      </c>
      <c r="E155" s="4" t="str">
        <f>IFERROR(__xludf.DUMMYFUNCTION("""COMPUTED_VALUE"""),"Formación de estudiante de doctorado")</f>
        <v>Formación de estudiante de doctorado</v>
      </c>
      <c r="F155" s="4" t="str">
        <f>IFERROR(__xludf.DUMMYFUNCTION("""COMPUTED_VALUE"""),"Vinculación de estudiante de maestría")</f>
        <v>Vinculación de estudiante de maestría</v>
      </c>
      <c r="G155" s="4" t="str">
        <f>IFERROR(__xludf.DUMMYFUNCTION("""COMPUTED_VALUE"""),"Formación de estudiante de maestría")</f>
        <v>Formación de estudiante de maestría</v>
      </c>
      <c r="H155" s="4" t="str">
        <f>IFERROR(__xludf.DUMMYFUNCTION("""COMPUTED_VALUE"""),"Vinculación de estudiante de pregrado")</f>
        <v>Vinculación de estudiante de pregrado</v>
      </c>
      <c r="I155" s="4" t="str">
        <f>IFERROR(__xludf.DUMMYFUNCTION("""COMPUTED_VALUE"""),"Formación de estudiante de pregrado")</f>
        <v>Formación de estudiante de pregrado</v>
      </c>
      <c r="J155" s="4" t="str">
        <f>IFERROR(__xludf.DUMMYFUNCTION("""COMPUTED_VALUE"""),"Joven investigador")</f>
        <v>Joven investigador</v>
      </c>
      <c r="K155" s="4" t="str">
        <f>IFERROR(__xludf.DUMMYFUNCTION("""COMPUTED_VALUE"""),"Pasantía nacional")</f>
        <v>Pasantía nacional</v>
      </c>
      <c r="L155" s="4" t="str">
        <f>IFERROR(__xludf.DUMMYFUNCTION("""COMPUTED_VALUE"""),"Pasantía internacional")</f>
        <v>Pasantía internacional</v>
      </c>
      <c r="M155" s="4"/>
      <c r="N155" s="4"/>
      <c r="O155" s="4"/>
      <c r="P155" s="4"/>
      <c r="Q155" s="4"/>
      <c r="R155" s="4"/>
      <c r="S155" s="4"/>
      <c r="T155" s="4"/>
      <c r="U155" s="4" t="str">
        <f>IFERROR(__xludf.DUMMYFUNCTION("""COMPUTED_VALUE"""),"Ninguna")</f>
        <v>Ninguna</v>
      </c>
      <c r="V155" s="4"/>
      <c r="W155" s="4" t="str">
        <f>IFERROR(__xludf.DUMMYFUNCTION("""COMPUTED_VALUE"""),"Proyecto")</f>
        <v>Proyecto</v>
      </c>
      <c r="X155" s="4" t="str">
        <f>IFERROR(__xludf.DUMMYFUNCTION("""COMPUTED_VALUE"""),"UdeA")</f>
        <v>UdeA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 t="str">
        <f>IFERROR(__xludf.DUMMYFUNCTION("""COMPUTED_VALUE"""),"Ninguna")</f>
        <v>Ninguna</v>
      </c>
      <c r="AL155" s="4"/>
      <c r="AM155" s="4" t="str">
        <f>IFERROR(__xludf.DUMMYFUNCTION("""COMPUTED_VALUE"""),"Obligatorio")</f>
        <v>Obligatorio</v>
      </c>
      <c r="AN155" s="4"/>
      <c r="AO155" s="4"/>
      <c r="AP155" s="4"/>
      <c r="AQ155" s="4"/>
      <c r="AR155" s="4"/>
      <c r="AS155" s="4"/>
      <c r="AT155" s="4" t="str">
        <f>IFERROR(__xludf.DUMMYFUNCTION("""COMPUTED_VALUE"""),"Jobany Nausa")</f>
        <v>Jobany Nausa</v>
      </c>
      <c r="AU155" s="4"/>
      <c r="AV155" s="4"/>
      <c r="AW155" s="4" t="str">
        <f>IFERROR(__xludf.DUMMYFUNCTION("""COMPUTED_VALUE"""),"En Curso")</f>
        <v>En Curso</v>
      </c>
      <c r="AX155" s="4">
        <f>IFERROR(__xludf.DUMMYFUNCTION("""COMPUTED_VALUE"""),5.0)</f>
        <v>5</v>
      </c>
      <c r="AY155" s="4" t="str">
        <f>IFERROR(__xludf.DUMMYFUNCTION("""COMPUTED_VALUE"""),"Ingeniería Química - UdeA")</f>
        <v>Ingeniería Química - UdeA</v>
      </c>
      <c r="AZ155" s="4"/>
    </row>
    <row r="156">
      <c r="A156" s="4" t="str">
        <f>IFERROR(__xludf.DUMMYFUNCTION("""COMPUTED_VALUE"""),"Proy1")</f>
        <v>Proy1</v>
      </c>
      <c r="B156" s="4" t="str">
        <f>IFERROR(__xludf.DUMMYFUNCTION("""COMPUTED_VALUE"""),"Apropiación")</f>
        <v>Apropiación</v>
      </c>
      <c r="C156" s="4" t="str">
        <f>IFERROR(__xludf.DUMMYFUNCTION("""COMPUTED_VALUE"""),"Ponencia")</f>
        <v>Ponencia</v>
      </c>
      <c r="D156" s="4" t="str">
        <f>IFERROR(__xludf.DUMMYFUNCTION("""COMPUTED_VALUE"""),"Ponencia")</f>
        <v>Ponencia</v>
      </c>
      <c r="E156" s="4" t="str">
        <f>IFERROR(__xludf.DUMMYFUNCTION("""COMPUTED_VALUE"""),"Evento científico")</f>
        <v>Evento científico</v>
      </c>
      <c r="F156" s="4" t="str">
        <f>IFERROR(__xludf.DUMMYFUNCTION("""COMPUTED_VALUE"""),"Cartilla")</f>
        <v>Cartilla</v>
      </c>
      <c r="G156" s="4" t="str">
        <f>IFERROR(__xludf.DUMMYFUNCTION("""COMPUTED_VALUE"""),"Curso de capacitación, seminario o taller")</f>
        <v>Curso de capacitación, seminario o taller</v>
      </c>
      <c r="H156" s="4" t="str">
        <f>IFERROR(__xludf.DUMMYFUNCTION("""COMPUTED_VALUE"""),"Socialización de resultados a actores del sector")</f>
        <v>Socialización de resultados a actores del sector</v>
      </c>
      <c r="I156" s="4" t="str">
        <f>IFERROR(__xludf.DUMMYFUNCTION("""COMPUTED_VALUE"""),"Articulación de redes de conocimiento")</f>
        <v>Articulación de redes de conocimiento</v>
      </c>
      <c r="J156" s="4" t="str">
        <f>IFERROR(__xludf.DUMMYFUNCTION("""COMPUTED_VALUE"""),"Circulación de conocimiento especializado - boletines")</f>
        <v>Circulación de conocimiento especializado - boletines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 t="str">
        <f>IFERROR(__xludf.DUMMYFUNCTION("""COMPUTED_VALUE"""),"Ninguna")</f>
        <v>Ninguna</v>
      </c>
      <c r="V156" s="4"/>
      <c r="W156" s="4" t="str">
        <f>IFERROR(__xludf.DUMMYFUNCTION("""COMPUTED_VALUE"""),"Proyecto")</f>
        <v>Proyecto</v>
      </c>
      <c r="X156" s="4" t="str">
        <f>IFERROR(__xludf.DUMMYFUNCTION("""COMPUTED_VALUE"""),"UdeA")</f>
        <v>UdeA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 t="str">
        <f>IFERROR(__xludf.DUMMYFUNCTION("""COMPUTED_VALUE"""),"Pascual Bravo")</f>
        <v>Pascual Bravo</v>
      </c>
      <c r="AK156" s="4" t="str">
        <f>IFERROR(__xludf.DUMMYFUNCTION("""COMPUTED_VALUE"""),"Ninguna")</f>
        <v>Ninguna</v>
      </c>
      <c r="AL156" s="4"/>
      <c r="AM156" s="4" t="str">
        <f>IFERROR(__xludf.DUMMYFUNCTION("""COMPUTED_VALUE"""),"Adicional")</f>
        <v>Adicional</v>
      </c>
      <c r="AN156" s="4">
        <f>IFERROR(__xludf.DUMMYFUNCTION("""COMPUTED_VALUE"""),3.0)</f>
        <v>3</v>
      </c>
      <c r="AO156" s="4">
        <f>IFERROR(__xludf.DUMMYFUNCTION("""COMPUTED_VALUE"""),1.0)</f>
        <v>1</v>
      </c>
      <c r="AP156" s="4">
        <f>IFERROR(__xludf.DUMMYFUNCTION("""COMPUTED_VALUE"""),2.0)</f>
        <v>2</v>
      </c>
      <c r="AQ156" s="4">
        <f>IFERROR(__xludf.DUMMYFUNCTION("""COMPUTED_VALUE"""),1.0)</f>
        <v>1</v>
      </c>
      <c r="AR156" s="4">
        <f>IFERROR(__xludf.DUMMYFUNCTION("""COMPUTED_VALUE"""),2.0)</f>
        <v>2</v>
      </c>
      <c r="AS156" s="4">
        <f>IFERROR(__xludf.DUMMYFUNCTION("""COMPUTED_VALUE"""),1.0)</f>
        <v>1</v>
      </c>
      <c r="AT156" s="4" t="str">
        <f>IFERROR(__xludf.DUMMYFUNCTION("""COMPUTED_VALUE"""),"Primer Congreso Internacional ODS")</f>
        <v>Primer Congreso Internacional ODS</v>
      </c>
      <c r="AU156" s="5" t="str">
        <f>IFERROR(__xludf.DUMMYFUNCTION("""COMPUTED_VALUE"""),"https://drive.google.com/file/d/1xChBuDZjwXdXP1J3nErOTp5Z7C0_WiHv/view?usp=sharing")</f>
        <v>https://drive.google.com/file/d/1xChBuDZjwXdXP1J3nErOTp5Z7C0_WiHv/view?usp=sharing</v>
      </c>
      <c r="AV156" s="4"/>
      <c r="AW156" s="4"/>
      <c r="AX156" s="4">
        <f>IFERROR(__xludf.DUMMYFUNCTION("""COMPUTED_VALUE"""),5.0)</f>
        <v>5</v>
      </c>
      <c r="AY156" s="4" t="str">
        <f>IFERROR(__xludf.DUMMYFUNCTION("""COMPUTED_VALUE"""),"AVANCES EN EL DESARROLLO DE TURBINAS HIDRÁULICAS DE VÓRTICE GRAVITACIONAL PARA LA GENERACIÓN DE ENERGÍA ELÉCTRICA A PEQUEÑA ESCALA")</f>
        <v>AVANCES EN EL DESARROLLO DE TURBINAS HIDRÁULICAS DE VÓRTICE GRAVITACIONAL PARA LA GENERACIÓN DE ENERGÍA ELÉCTRICA A PEQUEÑA ESCALA</v>
      </c>
      <c r="AZ156" s="4"/>
    </row>
    <row r="157">
      <c r="A157" s="4" t="str">
        <f>IFERROR(__xludf.DUMMYFUNCTION("""COMPUTED_VALUE"""),"Proy1")</f>
        <v>Proy1</v>
      </c>
      <c r="B157" s="4" t="str">
        <f>IFERROR(__xludf.DUMMYFUNCTION("""COMPUTED_VALUE"""),"Apropiación")</f>
        <v>Apropiación</v>
      </c>
      <c r="C157" s="4" t="str">
        <f>IFERROR(__xludf.DUMMYFUNCTION("""COMPUTED_VALUE"""),"Ponencia")</f>
        <v>Ponencia</v>
      </c>
      <c r="D157" s="4" t="str">
        <f>IFERROR(__xludf.DUMMYFUNCTION("""COMPUTED_VALUE"""),"Ponencia")</f>
        <v>Ponencia</v>
      </c>
      <c r="E157" s="4" t="str">
        <f>IFERROR(__xludf.DUMMYFUNCTION("""COMPUTED_VALUE"""),"Evento científico")</f>
        <v>Evento científico</v>
      </c>
      <c r="F157" s="4" t="str">
        <f>IFERROR(__xludf.DUMMYFUNCTION("""COMPUTED_VALUE"""),"Cartilla")</f>
        <v>Cartilla</v>
      </c>
      <c r="G157" s="4" t="str">
        <f>IFERROR(__xludf.DUMMYFUNCTION("""COMPUTED_VALUE"""),"Curso de capacitación, seminario o taller")</f>
        <v>Curso de capacitación, seminario o taller</v>
      </c>
      <c r="H157" s="4" t="str">
        <f>IFERROR(__xludf.DUMMYFUNCTION("""COMPUTED_VALUE"""),"Socialización de resultados a actores del sector")</f>
        <v>Socialización de resultados a actores del sector</v>
      </c>
      <c r="I157" s="4" t="str">
        <f>IFERROR(__xludf.DUMMYFUNCTION("""COMPUTED_VALUE"""),"Articulación de redes de conocimiento")</f>
        <v>Articulación de redes de conocimiento</v>
      </c>
      <c r="J157" s="4" t="str">
        <f>IFERROR(__xludf.DUMMYFUNCTION("""COMPUTED_VALUE"""),"Circulación de conocimiento especializado - boletines")</f>
        <v>Circulación de conocimiento especializado - boletines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 t="str">
        <f>IFERROR(__xludf.DUMMYFUNCTION("""COMPUTED_VALUE"""),"Ninguna")</f>
        <v>Ninguna</v>
      </c>
      <c r="V157" s="4"/>
      <c r="W157" s="4" t="str">
        <f>IFERROR(__xludf.DUMMYFUNCTION("""COMPUTED_VALUE"""),"Proyecto")</f>
        <v>Proyecto</v>
      </c>
      <c r="X157" s="4" t="str">
        <f>IFERROR(__xludf.DUMMYFUNCTION("""COMPUTED_VALUE"""),"UdeA")</f>
        <v>UdeA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 t="str">
        <f>IFERROR(__xludf.DUMMYFUNCTION("""COMPUTED_VALUE"""),"Ninguna")</f>
        <v>Ninguna</v>
      </c>
      <c r="AL157" s="4"/>
      <c r="AM157" s="4" t="str">
        <f>IFERROR(__xludf.DUMMYFUNCTION("""COMPUTED_VALUE"""),"Adicional")</f>
        <v>Adicional</v>
      </c>
      <c r="AN157" s="4">
        <f>IFERROR(__xludf.DUMMYFUNCTION("""COMPUTED_VALUE"""),3.0)</f>
        <v>3</v>
      </c>
      <c r="AO157" s="4">
        <f>IFERROR(__xludf.DUMMYFUNCTION("""COMPUTED_VALUE"""),2.0)</f>
        <v>2</v>
      </c>
      <c r="AP157" s="4">
        <f>IFERROR(__xludf.DUMMYFUNCTION("""COMPUTED_VALUE"""),1.0)</f>
        <v>1</v>
      </c>
      <c r="AQ157" s="4">
        <f>IFERROR(__xludf.DUMMYFUNCTION("""COMPUTED_VALUE"""),1.0)</f>
        <v>1</v>
      </c>
      <c r="AR157" s="4">
        <f>IFERROR(__xludf.DUMMYFUNCTION("""COMPUTED_VALUE"""),1.0)</f>
        <v>1</v>
      </c>
      <c r="AS157" s="4">
        <f>IFERROR(__xludf.DUMMYFUNCTION("""COMPUTED_VALUE"""),1.0)</f>
        <v>1</v>
      </c>
      <c r="AT157" s="4" t="str">
        <f>IFERROR(__xludf.DUMMYFUNCTION("""COMPUTED_VALUE"""),"ICREN 2020")</f>
        <v>ICREN 2020</v>
      </c>
      <c r="AU157" s="5" t="str">
        <f>IFERROR(__xludf.DUMMYFUNCTION("""COMPUTED_VALUE"""),"https://drive.google.com/file/d/1pPeqD6r2TiR_hfJ7TdhtFt69haabSsEL/view?usp=sharing")</f>
        <v>https://drive.google.com/file/d/1pPeqD6r2TiR_hfJ7TdhtFt69haabSsEL/view?usp=sharing</v>
      </c>
      <c r="AV157" s="4"/>
      <c r="AW157" s="4"/>
      <c r="AX157" s="4">
        <f>IFERROR(__xludf.DUMMYFUNCTION("""COMPUTED_VALUE"""),5.0)</f>
        <v>5</v>
      </c>
      <c r="AY157" s="4" t="str">
        <f>IFERROR(__xludf.DUMMYFUNCTION("""COMPUTED_VALUE"""),"Comparison of simulation methodologies for the design of hydraulic turbines. International conference on Renewable Energy")</f>
        <v>Comparison of simulation methodologies for the design of hydraulic turbines. International conference on Renewable Energy</v>
      </c>
      <c r="AZ157" s="4"/>
    </row>
    <row r="158">
      <c r="A158" s="4" t="str">
        <f>IFERROR(__xludf.DUMMYFUNCTION("""COMPUTED_VALUE"""),"Proy3")</f>
        <v>Proy3</v>
      </c>
      <c r="B158" s="4" t="str">
        <f>IFERROR(__xludf.DUMMYFUNCTION("""COMPUTED_VALUE"""),"Apropiación")</f>
        <v>Apropiación</v>
      </c>
      <c r="C158" s="4" t="str">
        <f>IFERROR(__xludf.DUMMYFUNCTION("""COMPUTED_VALUE"""),"Ponencia")</f>
        <v>Ponencia</v>
      </c>
      <c r="D158" s="4" t="str">
        <f>IFERROR(__xludf.DUMMYFUNCTION("""COMPUTED_VALUE"""),"Ponencia")</f>
        <v>Ponencia</v>
      </c>
      <c r="E158" s="4" t="str">
        <f>IFERROR(__xludf.DUMMYFUNCTION("""COMPUTED_VALUE"""),"Evento científico")</f>
        <v>Evento científico</v>
      </c>
      <c r="F158" s="4" t="str">
        <f>IFERROR(__xludf.DUMMYFUNCTION("""COMPUTED_VALUE"""),"Cartilla")</f>
        <v>Cartilla</v>
      </c>
      <c r="G158" s="4" t="str">
        <f>IFERROR(__xludf.DUMMYFUNCTION("""COMPUTED_VALUE"""),"Curso de capacitación, seminario o taller")</f>
        <v>Curso de capacitación, seminario o taller</v>
      </c>
      <c r="H158" s="4" t="str">
        <f>IFERROR(__xludf.DUMMYFUNCTION("""COMPUTED_VALUE"""),"Socialización de resultados a actores del sector")</f>
        <v>Socialización de resultados a actores del sector</v>
      </c>
      <c r="I158" s="4" t="str">
        <f>IFERROR(__xludf.DUMMYFUNCTION("""COMPUTED_VALUE"""),"Articulación de redes de conocimiento")</f>
        <v>Articulación de redes de conocimiento</v>
      </c>
      <c r="J158" s="4" t="str">
        <f>IFERROR(__xludf.DUMMYFUNCTION("""COMPUTED_VALUE"""),"Circulación de conocimiento especializado - boletines")</f>
        <v>Circulación de conocimiento especializado - boletines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 t="str">
        <f>IFERROR(__xludf.DUMMYFUNCTION("""COMPUTED_VALUE"""),"Ninguna")</f>
        <v>Ninguna</v>
      </c>
      <c r="V158" s="4"/>
      <c r="W158" s="4" t="str">
        <f>IFERROR(__xludf.DUMMYFUNCTION("""COMPUTED_VALUE"""),"Proyecto")</f>
        <v>Proyecto</v>
      </c>
      <c r="X158" s="4" t="str">
        <f>IFERROR(__xludf.DUMMYFUNCTION("""COMPUTED_VALUE"""),"UdeA")</f>
        <v>UdeA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 t="str">
        <f>IFERROR(__xludf.DUMMYFUNCTION("""COMPUTED_VALUE"""),"Ninguna")</f>
        <v>Ninguna</v>
      </c>
      <c r="AL158" s="4"/>
      <c r="AM158" s="4" t="str">
        <f>IFERROR(__xludf.DUMMYFUNCTION("""COMPUTED_VALUE"""),"Adicional")</f>
        <v>Adicional</v>
      </c>
      <c r="AN158" s="4">
        <f>IFERROR(__xludf.DUMMYFUNCTION("""COMPUTED_VALUE"""),3.0)</f>
        <v>3</v>
      </c>
      <c r="AO158" s="4">
        <f>IFERROR(__xludf.DUMMYFUNCTION("""COMPUTED_VALUE"""),2.0)</f>
        <v>2</v>
      </c>
      <c r="AP158" s="4">
        <f>IFERROR(__xludf.DUMMYFUNCTION("""COMPUTED_VALUE"""),1.0)</f>
        <v>1</v>
      </c>
      <c r="AQ158" s="4">
        <f>IFERROR(__xludf.DUMMYFUNCTION("""COMPUTED_VALUE"""),1.0)</f>
        <v>1</v>
      </c>
      <c r="AR158" s="4">
        <f>IFERROR(__xludf.DUMMYFUNCTION("""COMPUTED_VALUE"""),1.0)</f>
        <v>1</v>
      </c>
      <c r="AS158" s="4">
        <f>IFERROR(__xludf.DUMMYFUNCTION("""COMPUTED_VALUE"""),1.0)</f>
        <v>1</v>
      </c>
      <c r="AT158" s="4" t="str">
        <f>IFERROR(__xludf.DUMMYFUNCTION("""COMPUTED_VALUE"""),"Primer Congreso Internacional ODS")</f>
        <v>Primer Congreso Internacional ODS</v>
      </c>
      <c r="AU158" s="5" t="str">
        <f>IFERROR(__xludf.DUMMYFUNCTION("""COMPUTED_VALUE"""),"https://drive.google.com/file/d/1icavu2SocQEu9uWXc7Hg727psu3FLX_x/view?usp=sharing")</f>
        <v>https://drive.google.com/file/d/1icavu2SocQEu9uWXc7Hg727psu3FLX_x/view?usp=sharing</v>
      </c>
      <c r="AV158" s="4"/>
      <c r="AW158" s="4"/>
      <c r="AX158" s="4">
        <f>IFERROR(__xludf.DUMMYFUNCTION("""COMPUTED_VALUE"""),5.0)</f>
        <v>5</v>
      </c>
      <c r="AY158" s="4" t="str">
        <f>IFERROR(__xludf.DUMMYFUNCTION("""COMPUTED_VALUE"""),"DISEÑO Y SIMULACIÓN DE UNA TURBINA EÓLICA DE EJE VERTICAL BIOINSPIRADA")</f>
        <v>DISEÑO Y SIMULACIÓN DE UNA TURBINA EÓLICA DE EJE VERTICAL BIOINSPIRADA</v>
      </c>
      <c r="AZ158" s="4"/>
    </row>
    <row r="159">
      <c r="A159" s="4" t="str">
        <f>IFERROR(__xludf.DUMMYFUNCTION("""COMPUTED_VALUE"""),"Proy1")</f>
        <v>Proy1</v>
      </c>
      <c r="B159" s="4" t="str">
        <f>IFERROR(__xludf.DUMMYFUNCTION("""COMPUTED_VALUE"""),"Nuevo_Conocimiento")</f>
        <v>Nuevo_Conocimiento</v>
      </c>
      <c r="C159" s="4" t="str">
        <f>IFERROR(__xludf.DUMMYFUNCTION("""COMPUTED_VALUE"""),"Artículo A2")</f>
        <v>Artículo A2</v>
      </c>
      <c r="D159" s="4" t="str">
        <f>IFERROR(__xludf.DUMMYFUNCTION("""COMPUTED_VALUE"""),"Artículo A1")</f>
        <v>Artículo A1</v>
      </c>
      <c r="E159" s="4" t="str">
        <f>IFERROR(__xludf.DUMMYFUNCTION("""COMPUTED_VALUE"""),"Artículo A2")</f>
        <v>Artículo A2</v>
      </c>
      <c r="F159" s="4" t="str">
        <f>IFERROR(__xludf.DUMMYFUNCTION("""COMPUTED_VALUE"""),"Artículo B")</f>
        <v>Artículo B</v>
      </c>
      <c r="G159" s="4" t="str">
        <f>IFERROR(__xludf.DUMMYFUNCTION("""COMPUTED_VALUE"""),"Artículo C")</f>
        <v>Artículo C</v>
      </c>
      <c r="H159" s="4" t="str">
        <f>IFERROR(__xludf.DUMMYFUNCTION("""COMPUTED_VALUE"""),"Capítulo de libro A")</f>
        <v>Capítulo de libro A</v>
      </c>
      <c r="I159" s="4" t="str">
        <f>IFERROR(__xludf.DUMMYFUNCTION("""COMPUTED_VALUE"""),"Capítulo de libro A1")</f>
        <v>Capítulo de libro A1</v>
      </c>
      <c r="J159" s="4" t="str">
        <f>IFERROR(__xludf.DUMMYFUNCTION("""COMPUTED_VALUE"""),"Capítulo de libro B")</f>
        <v>Capítulo de libro B</v>
      </c>
      <c r="K159" s="4" t="str">
        <f>IFERROR(__xludf.DUMMYFUNCTION("""COMPUTED_VALUE"""),"Libro A")</f>
        <v>Libro A</v>
      </c>
      <c r="L159" s="4" t="str">
        <f>IFERROR(__xludf.DUMMYFUNCTION("""COMPUTED_VALUE"""),"Libro A1")</f>
        <v>Libro A1</v>
      </c>
      <c r="M159" s="4" t="str">
        <f>IFERROR(__xludf.DUMMYFUNCTION("""COMPUTED_VALUE"""),"Libro B")</f>
        <v>Libro B</v>
      </c>
      <c r="N159" s="4" t="str">
        <f>IFERROR(__xludf.DUMMYFUNCTION("""COMPUTED_VALUE"""),"Solicitud Patente de invención y-o modelo de utitlidad")</f>
        <v>Solicitud Patente de invención y-o modelo de utitlidad</v>
      </c>
      <c r="O159" s="4" t="str">
        <f>IFERROR(__xludf.DUMMYFUNCTION("""COMPUTED_VALUE"""),"Patente de invención")</f>
        <v>Patente de invención</v>
      </c>
      <c r="P159" s="4" t="str">
        <f>IFERROR(__xludf.DUMMYFUNCTION("""COMPUTED_VALUE"""),"Patente de modelo de utilidad")</f>
        <v>Patente de modelo de utilidad</v>
      </c>
      <c r="Q159" s="4" t="str">
        <f>IFERROR(__xludf.DUMMYFUNCTION("""COMPUTED_VALUE"""),"Artículo sin clasificar")</f>
        <v>Artículo sin clasificar</v>
      </c>
      <c r="R159" s="4" t="str">
        <f>IFERROR(__xludf.DUMMYFUNCTION("""COMPUTED_VALUE"""),"Capítulo sin clasificar")</f>
        <v>Capítulo sin clasificar</v>
      </c>
      <c r="S159" s="4"/>
      <c r="T159" s="4"/>
      <c r="U159" s="4" t="str">
        <f>IFERROR(__xludf.DUMMYFUNCTION("""COMPUTED_VALUE"""),"Ninguna")</f>
        <v>Ninguna</v>
      </c>
      <c r="V159" s="4"/>
      <c r="W159" s="4" t="str">
        <f>IFERROR(__xludf.DUMMYFUNCTION("""COMPUTED_VALUE"""),"Proyecto")</f>
        <v>Proyecto</v>
      </c>
      <c r="X159" s="4" t="str">
        <f>IFERROR(__xludf.DUMMYFUNCTION("""COMPUTED_VALUE"""),"UdeA")</f>
        <v>UdeA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 t="str">
        <f>IFERROR(__xludf.DUMMYFUNCTION("""COMPUTED_VALUE"""),"Tecnológico de Antioquia")</f>
        <v>Tecnológico de Antioquia</v>
      </c>
      <c r="AK159" s="4" t="str">
        <f>IFERROR(__xludf.DUMMYFUNCTION("""COMPUTED_VALUE"""),"Ninguna")</f>
        <v>Ninguna</v>
      </c>
      <c r="AL159" s="4"/>
      <c r="AM159" s="4" t="str">
        <f>IFERROR(__xludf.DUMMYFUNCTION("""COMPUTED_VALUE"""),"Adicional")</f>
        <v>Adicional</v>
      </c>
      <c r="AN159" s="4">
        <f>IFERROR(__xludf.DUMMYFUNCTION("""COMPUTED_VALUE"""),3.0)</f>
        <v>3</v>
      </c>
      <c r="AO159" s="4">
        <f>IFERROR(__xludf.DUMMYFUNCTION("""COMPUTED_VALUE"""),1.0)</f>
        <v>1</v>
      </c>
      <c r="AP159" s="4">
        <f>IFERROR(__xludf.DUMMYFUNCTION("""COMPUTED_VALUE"""),2.0)</f>
        <v>2</v>
      </c>
      <c r="AQ159" s="4">
        <f>IFERROR(__xludf.DUMMYFUNCTION("""COMPUTED_VALUE"""),1.0)</f>
        <v>1</v>
      </c>
      <c r="AR159" s="4">
        <f>IFERROR(__xludf.DUMMYFUNCTION("""COMPUTED_VALUE"""),2.0)</f>
        <v>2</v>
      </c>
      <c r="AS159" s="4">
        <f>IFERROR(__xludf.DUMMYFUNCTION("""COMPUTED_VALUE"""),1.0)</f>
        <v>1</v>
      </c>
      <c r="AT159" s="5" t="str">
        <f>IFERROR(__xludf.DUMMYFUNCTION("""COMPUTED_VALUE"""),"https://doi.org/10.15282/jmes.13.4.2019.21.0477")</f>
        <v>https://doi.org/10.15282/jmes.13.4.2019.21.0477</v>
      </c>
      <c r="AU159" s="5" t="str">
        <f>IFERROR(__xludf.DUMMYFUNCTION("""COMPUTED_VALUE"""),"https://drive.google.com/file/d/1pa5emUroqPURpj0InUCsMX1ikIETi9KS/view?usp=sharing")</f>
        <v>https://drive.google.com/file/d/1pa5emUroqPURpj0InUCsMX1ikIETi9KS/view?usp=sharing</v>
      </c>
      <c r="AV159" s="4"/>
      <c r="AW159" s="4"/>
      <c r="AX159" s="4">
        <f>IFERROR(__xludf.DUMMYFUNCTION("""COMPUTED_VALUE"""),5.0)</f>
        <v>5</v>
      </c>
      <c r="AY159" s="4" t="str">
        <f>IFERROR(__xludf.DUMMYFUNCTION("""COMPUTED_VALUE"""),"Design and numerical analysis of an efficient H-Darrieus vertical-axis hydrokinetic turbine")</f>
        <v>Design and numerical analysis of an efficient H-Darrieus vertical-axis hydrokinetic turbine</v>
      </c>
      <c r="AZ159" s="4"/>
    </row>
    <row r="160">
      <c r="A160" s="4" t="str">
        <f>IFERROR(__xludf.DUMMYFUNCTION("""COMPUTED_VALUE"""),"Proy2")</f>
        <v>Proy2</v>
      </c>
      <c r="B160" s="4" t="str">
        <f>IFERROR(__xludf.DUMMYFUNCTION("""COMPUTED_VALUE"""),"Nuevo_Conocimiento")</f>
        <v>Nuevo_Conocimiento</v>
      </c>
      <c r="C160" s="4" t="str">
        <f>IFERROR(__xludf.DUMMYFUNCTION("""COMPUTED_VALUE"""),"Artículo A1")</f>
        <v>Artículo A1</v>
      </c>
      <c r="D160" s="4" t="str">
        <f>IFERROR(__xludf.DUMMYFUNCTION("""COMPUTED_VALUE"""),"Artículo A1")</f>
        <v>Artículo A1</v>
      </c>
      <c r="E160" s="4" t="str">
        <f>IFERROR(__xludf.DUMMYFUNCTION("""COMPUTED_VALUE"""),"Artículo A2")</f>
        <v>Artículo A2</v>
      </c>
      <c r="F160" s="4" t="str">
        <f>IFERROR(__xludf.DUMMYFUNCTION("""COMPUTED_VALUE"""),"Artículo B")</f>
        <v>Artículo B</v>
      </c>
      <c r="G160" s="4" t="str">
        <f>IFERROR(__xludf.DUMMYFUNCTION("""COMPUTED_VALUE"""),"Artículo C")</f>
        <v>Artículo C</v>
      </c>
      <c r="H160" s="4" t="str">
        <f>IFERROR(__xludf.DUMMYFUNCTION("""COMPUTED_VALUE"""),"Capítulo de libro A")</f>
        <v>Capítulo de libro A</v>
      </c>
      <c r="I160" s="4" t="str">
        <f>IFERROR(__xludf.DUMMYFUNCTION("""COMPUTED_VALUE"""),"Capítulo de libro A1")</f>
        <v>Capítulo de libro A1</v>
      </c>
      <c r="J160" s="4" t="str">
        <f>IFERROR(__xludf.DUMMYFUNCTION("""COMPUTED_VALUE"""),"Capítulo de libro B")</f>
        <v>Capítulo de libro B</v>
      </c>
      <c r="K160" s="4" t="str">
        <f>IFERROR(__xludf.DUMMYFUNCTION("""COMPUTED_VALUE"""),"Libro A")</f>
        <v>Libro A</v>
      </c>
      <c r="L160" s="4" t="str">
        <f>IFERROR(__xludf.DUMMYFUNCTION("""COMPUTED_VALUE"""),"Libro A1")</f>
        <v>Libro A1</v>
      </c>
      <c r="M160" s="4" t="str">
        <f>IFERROR(__xludf.DUMMYFUNCTION("""COMPUTED_VALUE"""),"Libro B")</f>
        <v>Libro B</v>
      </c>
      <c r="N160" s="4" t="str">
        <f>IFERROR(__xludf.DUMMYFUNCTION("""COMPUTED_VALUE"""),"Solicitud Patente de invención y-o modelo de utitlidad")</f>
        <v>Solicitud Patente de invención y-o modelo de utitlidad</v>
      </c>
      <c r="O160" s="4" t="str">
        <f>IFERROR(__xludf.DUMMYFUNCTION("""COMPUTED_VALUE"""),"Patente de invención")</f>
        <v>Patente de invención</v>
      </c>
      <c r="P160" s="4" t="str">
        <f>IFERROR(__xludf.DUMMYFUNCTION("""COMPUTED_VALUE"""),"Patente de modelo de utilidad")</f>
        <v>Patente de modelo de utilidad</v>
      </c>
      <c r="Q160" s="4" t="str">
        <f>IFERROR(__xludf.DUMMYFUNCTION("""COMPUTED_VALUE"""),"Artículo sin clasificar")</f>
        <v>Artículo sin clasificar</v>
      </c>
      <c r="R160" s="4" t="str">
        <f>IFERROR(__xludf.DUMMYFUNCTION("""COMPUTED_VALUE"""),"Capítulo sin clasificar")</f>
        <v>Capítulo sin clasificar</v>
      </c>
      <c r="S160" s="4"/>
      <c r="T160" s="4"/>
      <c r="U160" s="4" t="str">
        <f>IFERROR(__xludf.DUMMYFUNCTION("""COMPUTED_VALUE"""),"Ninguna")</f>
        <v>Ninguna</v>
      </c>
      <c r="V160" s="4"/>
      <c r="W160" s="4" t="str">
        <f>IFERROR(__xludf.DUMMYFUNCTION("""COMPUTED_VALUE"""),"Proyecto")</f>
        <v>Proyecto</v>
      </c>
      <c r="X160" s="4" t="str">
        <f>IFERROR(__xludf.DUMMYFUNCTION("""COMPUTED_VALUE"""),"UdeA")</f>
        <v>UdeA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 t="str">
        <f>IFERROR(__xludf.DUMMYFUNCTION("""COMPUTED_VALUE"""),"Ninguna")</f>
        <v>Ninguna</v>
      </c>
      <c r="AL160" s="4"/>
      <c r="AM160" s="4" t="str">
        <f>IFERROR(__xludf.DUMMYFUNCTION("""COMPUTED_VALUE"""),"Obligatorio")</f>
        <v>Obligatorio</v>
      </c>
      <c r="AN160" s="4">
        <f>IFERROR(__xludf.DUMMYFUNCTION("""COMPUTED_VALUE"""),4.0)</f>
        <v>4</v>
      </c>
      <c r="AO160" s="4">
        <f>IFERROR(__xludf.DUMMYFUNCTION("""COMPUTED_VALUE"""),1.0)</f>
        <v>1</v>
      </c>
      <c r="AP160" s="4">
        <f>IFERROR(__xludf.DUMMYFUNCTION("""COMPUTED_VALUE"""),1.0)</f>
        <v>1</v>
      </c>
      <c r="AQ160" s="4">
        <f>IFERROR(__xludf.DUMMYFUNCTION("""COMPUTED_VALUE"""),1.0)</f>
        <v>1</v>
      </c>
      <c r="AR160" s="4">
        <f>IFERROR(__xludf.DUMMYFUNCTION("""COMPUTED_VALUE"""),1.0)</f>
        <v>1</v>
      </c>
      <c r="AS160" s="4">
        <f>IFERROR(__xludf.DUMMYFUNCTION("""COMPUTED_VALUE"""),1.0)</f>
        <v>1</v>
      </c>
      <c r="AT160" s="5" t="str">
        <f>IFERROR(__xludf.DUMMYFUNCTION("""COMPUTED_VALUE"""),"https://doi.org/10.1016/j.jechem.2020.08.059")</f>
        <v>https://doi.org/10.1016/j.jechem.2020.08.059</v>
      </c>
      <c r="AU160" s="5" t="str">
        <f>IFERROR(__xludf.DUMMYFUNCTION("""COMPUTED_VALUE"""),"https://drive.google.com/file/d/1m2c-jlQ0uEpFMLyVanlKdB0tq82lbu_4/view?usp=sharing")</f>
        <v>https://drive.google.com/file/d/1m2c-jlQ0uEpFMLyVanlKdB0tq82lbu_4/view?usp=sharing</v>
      </c>
      <c r="AV160" s="4"/>
      <c r="AW160" s="4"/>
      <c r="AX160" s="4">
        <f>IFERROR(__xludf.DUMMYFUNCTION("""COMPUTED_VALUE"""),5.0)</f>
        <v>5</v>
      </c>
      <c r="AY160" s="4" t="str">
        <f>IFERROR(__xludf.DUMMYFUNCTION("""COMPUTED_VALUE"""),"Understanding the precursor chemistry for one-step deposition of mixed cation perovskite solar cells by methylamine route")</f>
        <v>Understanding the precursor chemistry for one-step deposition of mixed cation perovskite solar cells by methylamine route</v>
      </c>
      <c r="AZ160" s="4"/>
    </row>
    <row r="161">
      <c r="A161" s="4" t="str">
        <f>IFERROR(__xludf.DUMMYFUNCTION("""COMPUTED_VALUE"""),"Proy2")</f>
        <v>Proy2</v>
      </c>
      <c r="B161" s="4" t="str">
        <f>IFERROR(__xludf.DUMMYFUNCTION("""COMPUTED_VALUE"""),"Nuevo_Conocimiento")</f>
        <v>Nuevo_Conocimiento</v>
      </c>
      <c r="C161" s="4" t="str">
        <f>IFERROR(__xludf.DUMMYFUNCTION("""COMPUTED_VALUE"""),"Capítulo de libro A1")</f>
        <v>Capítulo de libro A1</v>
      </c>
      <c r="D161" s="4" t="str">
        <f>IFERROR(__xludf.DUMMYFUNCTION("""COMPUTED_VALUE"""),"Artículo A1")</f>
        <v>Artículo A1</v>
      </c>
      <c r="E161" s="4" t="str">
        <f>IFERROR(__xludf.DUMMYFUNCTION("""COMPUTED_VALUE"""),"Artículo A2")</f>
        <v>Artículo A2</v>
      </c>
      <c r="F161" s="4" t="str">
        <f>IFERROR(__xludf.DUMMYFUNCTION("""COMPUTED_VALUE"""),"Artículo B")</f>
        <v>Artículo B</v>
      </c>
      <c r="G161" s="4" t="str">
        <f>IFERROR(__xludf.DUMMYFUNCTION("""COMPUTED_VALUE"""),"Artículo C")</f>
        <v>Artículo C</v>
      </c>
      <c r="H161" s="4" t="str">
        <f>IFERROR(__xludf.DUMMYFUNCTION("""COMPUTED_VALUE"""),"Capítulo de libro A")</f>
        <v>Capítulo de libro A</v>
      </c>
      <c r="I161" s="4" t="str">
        <f>IFERROR(__xludf.DUMMYFUNCTION("""COMPUTED_VALUE"""),"Capítulo de libro A1")</f>
        <v>Capítulo de libro A1</v>
      </c>
      <c r="J161" s="4" t="str">
        <f>IFERROR(__xludf.DUMMYFUNCTION("""COMPUTED_VALUE"""),"Capítulo de libro B")</f>
        <v>Capítulo de libro B</v>
      </c>
      <c r="K161" s="4" t="str">
        <f>IFERROR(__xludf.DUMMYFUNCTION("""COMPUTED_VALUE"""),"Libro A")</f>
        <v>Libro A</v>
      </c>
      <c r="L161" s="4" t="str">
        <f>IFERROR(__xludf.DUMMYFUNCTION("""COMPUTED_VALUE"""),"Libro A1")</f>
        <v>Libro A1</v>
      </c>
      <c r="M161" s="4" t="str">
        <f>IFERROR(__xludf.DUMMYFUNCTION("""COMPUTED_VALUE"""),"Libro B")</f>
        <v>Libro B</v>
      </c>
      <c r="N161" s="4" t="str">
        <f>IFERROR(__xludf.DUMMYFUNCTION("""COMPUTED_VALUE"""),"Solicitud Patente de invención y-o modelo de utitlidad")</f>
        <v>Solicitud Patente de invención y-o modelo de utitlidad</v>
      </c>
      <c r="O161" s="4" t="str">
        <f>IFERROR(__xludf.DUMMYFUNCTION("""COMPUTED_VALUE"""),"Patente de invención")</f>
        <v>Patente de invención</v>
      </c>
      <c r="P161" s="4" t="str">
        <f>IFERROR(__xludf.DUMMYFUNCTION("""COMPUTED_VALUE"""),"Patente de modelo de utilidad")</f>
        <v>Patente de modelo de utilidad</v>
      </c>
      <c r="Q161" s="4" t="str">
        <f>IFERROR(__xludf.DUMMYFUNCTION("""COMPUTED_VALUE"""),"Artículo sin clasificar")</f>
        <v>Artículo sin clasificar</v>
      </c>
      <c r="R161" s="4" t="str">
        <f>IFERROR(__xludf.DUMMYFUNCTION("""COMPUTED_VALUE"""),"Capítulo sin clasificar")</f>
        <v>Capítulo sin clasificar</v>
      </c>
      <c r="S161" s="4"/>
      <c r="T161" s="4"/>
      <c r="U161" s="4" t="str">
        <f>IFERROR(__xludf.DUMMYFUNCTION("""COMPUTED_VALUE"""),"Ninguna")</f>
        <v>Ninguna</v>
      </c>
      <c r="V161" s="4"/>
      <c r="W161" s="4" t="str">
        <f>IFERROR(__xludf.DUMMYFUNCTION("""COMPUTED_VALUE"""),"Proyecto")</f>
        <v>Proyecto</v>
      </c>
      <c r="X161" s="4" t="str">
        <f>IFERROR(__xludf.DUMMYFUNCTION("""COMPUTED_VALUE"""),"UdeA")</f>
        <v>UdeA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 t="str">
        <f>IFERROR(__xludf.DUMMYFUNCTION("""COMPUTED_VALUE"""),"Ninguna")</f>
        <v>Ninguna</v>
      </c>
      <c r="AL161" s="4"/>
      <c r="AM161" s="4" t="str">
        <f>IFERROR(__xludf.DUMMYFUNCTION("""COMPUTED_VALUE"""),"Obligatorio")</f>
        <v>Obligatorio</v>
      </c>
      <c r="AN161" s="4">
        <f>IFERROR(__xludf.DUMMYFUNCTION("""COMPUTED_VALUE"""),5.0)</f>
        <v>5</v>
      </c>
      <c r="AO161" s="4">
        <f>IFERROR(__xludf.DUMMYFUNCTION("""COMPUTED_VALUE"""),1.0)</f>
        <v>1</v>
      </c>
      <c r="AP161" s="4">
        <f>IFERROR(__xludf.DUMMYFUNCTION("""COMPUTED_VALUE"""),1.0)</f>
        <v>1</v>
      </c>
      <c r="AQ161" s="4">
        <f>IFERROR(__xludf.DUMMYFUNCTION("""COMPUTED_VALUE"""),1.0)</f>
        <v>1</v>
      </c>
      <c r="AR161" s="4">
        <f>IFERROR(__xludf.DUMMYFUNCTION("""COMPUTED_VALUE"""),1.0)</f>
        <v>1</v>
      </c>
      <c r="AS161" s="4">
        <f>IFERROR(__xludf.DUMMYFUNCTION("""COMPUTED_VALUE"""),1.0)</f>
        <v>1</v>
      </c>
      <c r="AT161" s="5" t="str">
        <f>IFERROR(__xludf.DUMMYFUNCTION("""COMPUTED_VALUE"""),"Libro: CHEMICAL SOLUTION SYNTHESIS FOR MATERIALS DESIGN AND THIN FILM DEVICE APPLICATIONS, https://doi.org/10.1016/B978-0-12-819718-9.00009-1")</f>
        <v>Libro: CHEMICAL SOLUTION SYNTHESIS FOR MATERIALS DESIGN AND THIN FILM DEVICE APPLICATIONS, https://doi.org/10.1016/B978-0-12-819718-9.00009-1</v>
      </c>
      <c r="AU161" s="5" t="str">
        <f>IFERROR(__xludf.DUMMYFUNCTION("""COMPUTED_VALUE"""),"https://drive.google.com/file/d/13UJZrVgJ1An8f00kkUNz1kSmPL9ACqmH/view?usp=sharing")</f>
        <v>https://drive.google.com/file/d/13UJZrVgJ1An8f00kkUNz1kSmPL9ACqmH/view?usp=sharing</v>
      </c>
      <c r="AV161" s="4"/>
      <c r="AW161" s="4"/>
      <c r="AX161" s="4">
        <f>IFERROR(__xludf.DUMMYFUNCTION("""COMPUTED_VALUE"""),5.0)</f>
        <v>5</v>
      </c>
      <c r="AY161" s="4" t="str">
        <f>IFERROR(__xludf.DUMMYFUNCTION("""COMPUTED_VALUE"""),"Perovskite solar cells: New precursors
and challenges for scaling-up")</f>
        <v>Perovskite solar cells: New precursors
and challenges for scaling-up</v>
      </c>
      <c r="AZ161" s="4"/>
    </row>
    <row r="162">
      <c r="A162" s="4" t="str">
        <f>IFERROR(__xludf.DUMMYFUNCTION("""COMPUTED_VALUE"""),"Proy2")</f>
        <v>Proy2</v>
      </c>
      <c r="B162" s="4" t="str">
        <f>IFERROR(__xludf.DUMMYFUNCTION("""COMPUTED_VALUE"""),"Nuevo_Conocimiento")</f>
        <v>Nuevo_Conocimiento</v>
      </c>
      <c r="C162" s="4" t="str">
        <f>IFERROR(__xludf.DUMMYFUNCTION("""COMPUTED_VALUE"""),"Artículo A1")</f>
        <v>Artículo A1</v>
      </c>
      <c r="D162" s="4" t="str">
        <f>IFERROR(__xludf.DUMMYFUNCTION("""COMPUTED_VALUE"""),"Artículo A1")</f>
        <v>Artículo A1</v>
      </c>
      <c r="E162" s="4" t="str">
        <f>IFERROR(__xludf.DUMMYFUNCTION("""COMPUTED_VALUE"""),"Artículo A2")</f>
        <v>Artículo A2</v>
      </c>
      <c r="F162" s="4" t="str">
        <f>IFERROR(__xludf.DUMMYFUNCTION("""COMPUTED_VALUE"""),"Artículo B")</f>
        <v>Artículo B</v>
      </c>
      <c r="G162" s="4" t="str">
        <f>IFERROR(__xludf.DUMMYFUNCTION("""COMPUTED_VALUE"""),"Artículo C")</f>
        <v>Artículo C</v>
      </c>
      <c r="H162" s="4" t="str">
        <f>IFERROR(__xludf.DUMMYFUNCTION("""COMPUTED_VALUE"""),"Capítulo de libro A")</f>
        <v>Capítulo de libro A</v>
      </c>
      <c r="I162" s="4" t="str">
        <f>IFERROR(__xludf.DUMMYFUNCTION("""COMPUTED_VALUE"""),"Capítulo de libro A1")</f>
        <v>Capítulo de libro A1</v>
      </c>
      <c r="J162" s="4" t="str">
        <f>IFERROR(__xludf.DUMMYFUNCTION("""COMPUTED_VALUE"""),"Capítulo de libro B")</f>
        <v>Capítulo de libro B</v>
      </c>
      <c r="K162" s="4" t="str">
        <f>IFERROR(__xludf.DUMMYFUNCTION("""COMPUTED_VALUE"""),"Libro A")</f>
        <v>Libro A</v>
      </c>
      <c r="L162" s="4" t="str">
        <f>IFERROR(__xludf.DUMMYFUNCTION("""COMPUTED_VALUE"""),"Libro A1")</f>
        <v>Libro A1</v>
      </c>
      <c r="M162" s="4" t="str">
        <f>IFERROR(__xludf.DUMMYFUNCTION("""COMPUTED_VALUE"""),"Libro B")</f>
        <v>Libro B</v>
      </c>
      <c r="N162" s="4" t="str">
        <f>IFERROR(__xludf.DUMMYFUNCTION("""COMPUTED_VALUE"""),"Solicitud Patente de invención y-o modelo de utitlidad")</f>
        <v>Solicitud Patente de invención y-o modelo de utitlidad</v>
      </c>
      <c r="O162" s="4" t="str">
        <f>IFERROR(__xludf.DUMMYFUNCTION("""COMPUTED_VALUE"""),"Patente de invención")</f>
        <v>Patente de invención</v>
      </c>
      <c r="P162" s="4" t="str">
        <f>IFERROR(__xludf.DUMMYFUNCTION("""COMPUTED_VALUE"""),"Patente de modelo de utilidad")</f>
        <v>Patente de modelo de utilidad</v>
      </c>
      <c r="Q162" s="4" t="str">
        <f>IFERROR(__xludf.DUMMYFUNCTION("""COMPUTED_VALUE"""),"Artículo sin clasificar")</f>
        <v>Artículo sin clasificar</v>
      </c>
      <c r="R162" s="4" t="str">
        <f>IFERROR(__xludf.DUMMYFUNCTION("""COMPUTED_VALUE"""),"Capítulo sin clasificar")</f>
        <v>Capítulo sin clasificar</v>
      </c>
      <c r="S162" s="4"/>
      <c r="T162" s="4"/>
      <c r="U162" s="4" t="str">
        <f>IFERROR(__xludf.DUMMYFUNCTION("""COMPUTED_VALUE"""),"Otros actores")</f>
        <v>Otros actores</v>
      </c>
      <c r="V162" s="4" t="str">
        <f>IFERROR(__xludf.DUMMYFUNCTION("""COMPUTED_VALUE"""),"Jaume I University, Castelló de la Plana, Spain")</f>
        <v>Jaume I University, Castelló de la Plana, Spain</v>
      </c>
      <c r="W162" s="4" t="str">
        <f>IFERROR(__xludf.DUMMYFUNCTION("""COMPUTED_VALUE"""),"Proyecto")</f>
        <v>Proyecto</v>
      </c>
      <c r="X162" s="4" t="str">
        <f>IFERROR(__xludf.DUMMYFUNCTION("""COMPUTED_VALUE"""),"UdeA")</f>
        <v>UdeA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 t="str">
        <f>IFERROR(__xludf.DUMMYFUNCTION("""COMPUTED_VALUE"""),"Ninguna")</f>
        <v>Ninguna</v>
      </c>
      <c r="AL162" s="4"/>
      <c r="AM162" s="4" t="str">
        <f>IFERROR(__xludf.DUMMYFUNCTION("""COMPUTED_VALUE"""),"Obligatorio")</f>
        <v>Obligatorio</v>
      </c>
      <c r="AN162" s="4">
        <f>IFERROR(__xludf.DUMMYFUNCTION("""COMPUTED_VALUE"""),3.0)</f>
        <v>3</v>
      </c>
      <c r="AO162" s="4">
        <f>IFERROR(__xludf.DUMMYFUNCTION("""COMPUTED_VALUE"""),2.0)</f>
        <v>2</v>
      </c>
      <c r="AP162" s="4">
        <f>IFERROR(__xludf.DUMMYFUNCTION("""COMPUTED_VALUE"""),2.0)</f>
        <v>2</v>
      </c>
      <c r="AQ162" s="4">
        <f>IFERROR(__xludf.DUMMYFUNCTION("""COMPUTED_VALUE"""),1.0)</f>
        <v>1</v>
      </c>
      <c r="AR162" s="4">
        <f>IFERROR(__xludf.DUMMYFUNCTION("""COMPUTED_VALUE"""),2.0)</f>
        <v>2</v>
      </c>
      <c r="AS162" s="4">
        <f>IFERROR(__xludf.DUMMYFUNCTION("""COMPUTED_VALUE"""),1.0)</f>
        <v>1</v>
      </c>
      <c r="AT162" s="5" t="str">
        <f>IFERROR(__xludf.DUMMYFUNCTION("""COMPUTED_VALUE"""),"https://doi.org/10.1038/s41560-020-00747-9")</f>
        <v>https://doi.org/10.1038/s41560-020-00747-9</v>
      </c>
      <c r="AU162" s="5" t="str">
        <f>IFERROR(__xludf.DUMMYFUNCTION("""COMPUTED_VALUE"""),"https://drive.google.com/file/d/1vawr49unO95xYrAsGkIAFrkaBrGPGpQ8/view?usp=sharing")</f>
        <v>https://drive.google.com/file/d/1vawr49unO95xYrAsGkIAFrkaBrGPGpQ8/view?usp=sharing</v>
      </c>
      <c r="AV162" s="4"/>
      <c r="AW162" s="4"/>
      <c r="AX162" s="4">
        <f>IFERROR(__xludf.DUMMYFUNCTION("""COMPUTED_VALUE"""),5.0)</f>
        <v>5</v>
      </c>
      <c r="AY162" s="4" t="str">
        <f>IFERROR(__xludf.DUMMYFUNCTION("""COMPUTED_VALUE"""),"High-throughput analysis of the ideality factor to
evaluate the outdoor performance of perovskite
solar minimodules")</f>
        <v>High-throughput analysis of the ideality factor to
evaluate the outdoor performance of perovskite
solar minimodules</v>
      </c>
      <c r="AZ162" s="4"/>
    </row>
    <row r="163">
      <c r="A163" s="4" t="str">
        <f>IFERROR(__xludf.DUMMYFUNCTION("""COMPUTED_VALUE"""),"Proy4")</f>
        <v>Proy4</v>
      </c>
      <c r="B163" s="4" t="str">
        <f>IFERROR(__xludf.DUMMYFUNCTION("""COMPUTED_VALUE"""),"Nuevo_Conocimiento")</f>
        <v>Nuevo_Conocimiento</v>
      </c>
      <c r="C163" s="4" t="str">
        <f>IFERROR(__xludf.DUMMYFUNCTION("""COMPUTED_VALUE"""),"Artículo A1")</f>
        <v>Artículo A1</v>
      </c>
      <c r="D163" s="4" t="str">
        <f>IFERROR(__xludf.DUMMYFUNCTION("""COMPUTED_VALUE"""),"Artículo A1")</f>
        <v>Artículo A1</v>
      </c>
      <c r="E163" s="4" t="str">
        <f>IFERROR(__xludf.DUMMYFUNCTION("""COMPUTED_VALUE"""),"Artículo A2")</f>
        <v>Artículo A2</v>
      </c>
      <c r="F163" s="4" t="str">
        <f>IFERROR(__xludf.DUMMYFUNCTION("""COMPUTED_VALUE"""),"Artículo B")</f>
        <v>Artículo B</v>
      </c>
      <c r="G163" s="4" t="str">
        <f>IFERROR(__xludf.DUMMYFUNCTION("""COMPUTED_VALUE"""),"Artículo C")</f>
        <v>Artículo C</v>
      </c>
      <c r="H163" s="4" t="str">
        <f>IFERROR(__xludf.DUMMYFUNCTION("""COMPUTED_VALUE"""),"Capítulo de libro A")</f>
        <v>Capítulo de libro A</v>
      </c>
      <c r="I163" s="4" t="str">
        <f>IFERROR(__xludf.DUMMYFUNCTION("""COMPUTED_VALUE"""),"Capítulo de libro A1")</f>
        <v>Capítulo de libro A1</v>
      </c>
      <c r="J163" s="4" t="str">
        <f>IFERROR(__xludf.DUMMYFUNCTION("""COMPUTED_VALUE"""),"Capítulo de libro B")</f>
        <v>Capítulo de libro B</v>
      </c>
      <c r="K163" s="4" t="str">
        <f>IFERROR(__xludf.DUMMYFUNCTION("""COMPUTED_VALUE"""),"Libro A")</f>
        <v>Libro A</v>
      </c>
      <c r="L163" s="4" t="str">
        <f>IFERROR(__xludf.DUMMYFUNCTION("""COMPUTED_VALUE"""),"Libro A1")</f>
        <v>Libro A1</v>
      </c>
      <c r="M163" s="4" t="str">
        <f>IFERROR(__xludf.DUMMYFUNCTION("""COMPUTED_VALUE"""),"Libro B")</f>
        <v>Libro B</v>
      </c>
      <c r="N163" s="4" t="str">
        <f>IFERROR(__xludf.DUMMYFUNCTION("""COMPUTED_VALUE"""),"Solicitud Patente de invención y-o modelo de utitlidad")</f>
        <v>Solicitud Patente de invención y-o modelo de utitlidad</v>
      </c>
      <c r="O163" s="4" t="str">
        <f>IFERROR(__xludf.DUMMYFUNCTION("""COMPUTED_VALUE"""),"Patente de invención")</f>
        <v>Patente de invención</v>
      </c>
      <c r="P163" s="4" t="str">
        <f>IFERROR(__xludf.DUMMYFUNCTION("""COMPUTED_VALUE"""),"Patente de modelo de utilidad")</f>
        <v>Patente de modelo de utilidad</v>
      </c>
      <c r="Q163" s="4" t="str">
        <f>IFERROR(__xludf.DUMMYFUNCTION("""COMPUTED_VALUE"""),"Artículo sin clasificar")</f>
        <v>Artículo sin clasificar</v>
      </c>
      <c r="R163" s="4" t="str">
        <f>IFERROR(__xludf.DUMMYFUNCTION("""COMPUTED_VALUE"""),"Capítulo sin clasificar")</f>
        <v>Capítulo sin clasificar</v>
      </c>
      <c r="S163" s="4"/>
      <c r="T163" s="4"/>
      <c r="U163" s="4" t="str">
        <f>IFERROR(__xludf.DUMMYFUNCTION("""COMPUTED_VALUE"""),"Otros actores")</f>
        <v>Otros actores</v>
      </c>
      <c r="V163" s="4"/>
      <c r="W163" s="4" t="str">
        <f>IFERROR(__xludf.DUMMYFUNCTION("""COMPUTED_VALUE"""),"Programa")</f>
        <v>Programa</v>
      </c>
      <c r="X163" s="4" t="str">
        <f>IFERROR(__xludf.DUMMYFUNCTION("""COMPUTED_VALUE"""),"UdeA")</f>
        <v>UdeA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 t="str">
        <f>IFERROR(__xludf.DUMMYFUNCTION("""COMPUTED_VALUE"""),"Colaboración")</f>
        <v>Colaboración</v>
      </c>
      <c r="AL163" s="4" t="str">
        <f>IFERROR(__xludf.DUMMYFUNCTION("""COMPUTED_VALUE"""),"P2")</f>
        <v>P2</v>
      </c>
      <c r="AM163" s="4" t="str">
        <f>IFERROR(__xludf.DUMMYFUNCTION("""COMPUTED_VALUE"""),"Obligatorio")</f>
        <v>Obligatorio</v>
      </c>
      <c r="AN163" s="4">
        <f>IFERROR(__xludf.DUMMYFUNCTION("""COMPUTED_VALUE"""),4.0)</f>
        <v>4</v>
      </c>
      <c r="AO163" s="4">
        <f>IFERROR(__xludf.DUMMYFUNCTION("""COMPUTED_VALUE"""),2.0)</f>
        <v>2</v>
      </c>
      <c r="AP163" s="4">
        <f>IFERROR(__xludf.DUMMYFUNCTION("""COMPUTED_VALUE"""),1.0)</f>
        <v>1</v>
      </c>
      <c r="AQ163" s="4">
        <f>IFERROR(__xludf.DUMMYFUNCTION("""COMPUTED_VALUE"""),1.0)</f>
        <v>1</v>
      </c>
      <c r="AR163" s="4">
        <f>IFERROR(__xludf.DUMMYFUNCTION("""COMPUTED_VALUE"""),1.0)</f>
        <v>1</v>
      </c>
      <c r="AS163" s="4">
        <f>IFERROR(__xludf.DUMMYFUNCTION("""COMPUTED_VALUE"""),1.0)</f>
        <v>1</v>
      </c>
      <c r="AT163" s="5" t="str">
        <f>IFERROR(__xludf.DUMMYFUNCTION("""COMPUTED_VALUE"""),"https://doi.org/10.1016/j.ssi.2019.115199")</f>
        <v>https://doi.org/10.1016/j.ssi.2019.115199</v>
      </c>
      <c r="AU163" s="5" t="str">
        <f>IFERROR(__xludf.DUMMYFUNCTION("""COMPUTED_VALUE"""),"https://drive.google.com/file/d/1pRa4BzeL_K-mVxxG7xjBb63qETXLtd0v/view?usp=sharing")</f>
        <v>https://drive.google.com/file/d/1pRa4BzeL_K-mVxxG7xjBb63qETXLtd0v/view?usp=sharing</v>
      </c>
      <c r="AV163" s="4"/>
      <c r="AW163" s="4"/>
      <c r="AX163" s="4">
        <f>IFERROR(__xludf.DUMMYFUNCTION("""COMPUTED_VALUE"""),5.0)</f>
        <v>5</v>
      </c>
      <c r="AY163" s="4" t="str">
        <f>IFERROR(__xludf.DUMMYFUNCTION("""COMPUTED_VALUE"""),"Novel hybrid organic-inorganic CH 3 NH 3 NiCl 3 active material for high-capacity and sustainable lithium-ion batteries")</f>
        <v>Novel hybrid organic-inorganic CH 3 NH 3 NiCl 3 active material for high-capacity and sustainable lithium-ion batteries</v>
      </c>
      <c r="AZ163" s="4"/>
    </row>
    <row r="164">
      <c r="A164" s="4" t="str">
        <f>IFERROR(__xludf.DUMMYFUNCTION("""COMPUTED_VALUE"""),"Proy3")</f>
        <v>Proy3</v>
      </c>
      <c r="B164" s="4" t="str">
        <f>IFERROR(__xludf.DUMMYFUNCTION("""COMPUTED_VALUE"""),"Nuevo_Conocimiento")</f>
        <v>Nuevo_Conocimiento</v>
      </c>
      <c r="C164" s="4" t="str">
        <f>IFERROR(__xludf.DUMMYFUNCTION("""COMPUTED_VALUE"""),"Artículo C")</f>
        <v>Artículo C</v>
      </c>
      <c r="D164" s="4" t="str">
        <f>IFERROR(__xludf.DUMMYFUNCTION("""COMPUTED_VALUE"""),"Artículo A1")</f>
        <v>Artículo A1</v>
      </c>
      <c r="E164" s="4" t="str">
        <f>IFERROR(__xludf.DUMMYFUNCTION("""COMPUTED_VALUE"""),"Artículo A2")</f>
        <v>Artículo A2</v>
      </c>
      <c r="F164" s="4" t="str">
        <f>IFERROR(__xludf.DUMMYFUNCTION("""COMPUTED_VALUE"""),"Artículo B")</f>
        <v>Artículo B</v>
      </c>
      <c r="G164" s="4" t="str">
        <f>IFERROR(__xludf.DUMMYFUNCTION("""COMPUTED_VALUE"""),"Artículo C")</f>
        <v>Artículo C</v>
      </c>
      <c r="H164" s="4" t="str">
        <f>IFERROR(__xludf.DUMMYFUNCTION("""COMPUTED_VALUE"""),"Capítulo de libro A")</f>
        <v>Capítulo de libro A</v>
      </c>
      <c r="I164" s="4" t="str">
        <f>IFERROR(__xludf.DUMMYFUNCTION("""COMPUTED_VALUE"""),"Capítulo de libro A1")</f>
        <v>Capítulo de libro A1</v>
      </c>
      <c r="J164" s="4" t="str">
        <f>IFERROR(__xludf.DUMMYFUNCTION("""COMPUTED_VALUE"""),"Capítulo de libro B")</f>
        <v>Capítulo de libro B</v>
      </c>
      <c r="K164" s="4" t="str">
        <f>IFERROR(__xludf.DUMMYFUNCTION("""COMPUTED_VALUE"""),"Libro A")</f>
        <v>Libro A</v>
      </c>
      <c r="L164" s="4" t="str">
        <f>IFERROR(__xludf.DUMMYFUNCTION("""COMPUTED_VALUE"""),"Libro A1")</f>
        <v>Libro A1</v>
      </c>
      <c r="M164" s="4" t="str">
        <f>IFERROR(__xludf.DUMMYFUNCTION("""COMPUTED_VALUE"""),"Libro B")</f>
        <v>Libro B</v>
      </c>
      <c r="N164" s="4" t="str">
        <f>IFERROR(__xludf.DUMMYFUNCTION("""COMPUTED_VALUE"""),"Solicitud Patente de invención y-o modelo de utitlidad")</f>
        <v>Solicitud Patente de invención y-o modelo de utitlidad</v>
      </c>
      <c r="O164" s="4" t="str">
        <f>IFERROR(__xludf.DUMMYFUNCTION("""COMPUTED_VALUE"""),"Patente de invención")</f>
        <v>Patente de invención</v>
      </c>
      <c r="P164" s="4" t="str">
        <f>IFERROR(__xludf.DUMMYFUNCTION("""COMPUTED_VALUE"""),"Patente de modelo de utilidad")</f>
        <v>Patente de modelo de utilidad</v>
      </c>
      <c r="Q164" s="4" t="str">
        <f>IFERROR(__xludf.DUMMYFUNCTION("""COMPUTED_VALUE"""),"Artículo sin clasificar")</f>
        <v>Artículo sin clasificar</v>
      </c>
      <c r="R164" s="4" t="str">
        <f>IFERROR(__xludf.DUMMYFUNCTION("""COMPUTED_VALUE"""),"Capítulo sin clasificar")</f>
        <v>Capítulo sin clasificar</v>
      </c>
      <c r="S164" s="4"/>
      <c r="T164" s="4"/>
      <c r="U164" s="4" t="str">
        <f>IFERROR(__xludf.DUMMYFUNCTION("""COMPUTED_VALUE"""),"Ninguna")</f>
        <v>Ninguna</v>
      </c>
      <c r="V164" s="4"/>
      <c r="W164" s="4" t="str">
        <f>IFERROR(__xludf.DUMMYFUNCTION("""COMPUTED_VALUE"""),"Proyecto")</f>
        <v>Proyecto</v>
      </c>
      <c r="X164" s="4" t="str">
        <f>IFERROR(__xludf.DUMMYFUNCTION("""COMPUTED_VALUE"""),"U. Pamplona")</f>
        <v>U. Pamplona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 t="str">
        <f>IFERROR(__xludf.DUMMYFUNCTION("""COMPUTED_VALUE"""),"Ninguna")</f>
        <v>Ninguna</v>
      </c>
      <c r="AL164" s="4"/>
      <c r="AM164" s="4" t="str">
        <f>IFERROR(__xludf.DUMMYFUNCTION("""COMPUTED_VALUE"""),"Adicional")</f>
        <v>Adicional</v>
      </c>
      <c r="AN164" s="4">
        <f>IFERROR(__xludf.DUMMYFUNCTION("""COMPUTED_VALUE"""),3.0)</f>
        <v>3</v>
      </c>
      <c r="AO164" s="4">
        <f>IFERROR(__xludf.DUMMYFUNCTION("""COMPUTED_VALUE"""),1.0)</f>
        <v>1</v>
      </c>
      <c r="AP164" s="4">
        <f>IFERROR(__xludf.DUMMYFUNCTION("""COMPUTED_VALUE"""),1.0)</f>
        <v>1</v>
      </c>
      <c r="AQ164" s="4">
        <f>IFERROR(__xludf.DUMMYFUNCTION("""COMPUTED_VALUE"""),1.0)</f>
        <v>1</v>
      </c>
      <c r="AR164" s="4">
        <f>IFERROR(__xludf.DUMMYFUNCTION("""COMPUTED_VALUE"""),1.0)</f>
        <v>1</v>
      </c>
      <c r="AS164" s="4">
        <f>IFERROR(__xludf.DUMMYFUNCTION("""COMPUTED_VALUE"""),1.0)</f>
        <v>1</v>
      </c>
      <c r="AT164" s="4" t="str">
        <f>IFERROR(__xludf.DUMMYFUNCTION("""COMPUTED_VALUE"""),"ISSN 2172-038 X, Volume No.18, June 2020")</f>
        <v>ISSN 2172-038 X, Volume No.18, June 2020</v>
      </c>
      <c r="AU164" s="5" t="str">
        <f>IFERROR(__xludf.DUMMYFUNCTION("""COMPUTED_VALUE"""),"https://drive.google.com/file/d/1LZP7hCXfSecYlHAfEVjTbIGbvkqsUY0l/view?usp=sharing")</f>
        <v>https://drive.google.com/file/d/1LZP7hCXfSecYlHAfEVjTbIGbvkqsUY0l/view?usp=sharing</v>
      </c>
      <c r="AV164" s="4"/>
      <c r="AW164" s="4"/>
      <c r="AX164" s="4">
        <f>IFERROR(__xludf.DUMMYFUNCTION("""COMPUTED_VALUE"""),5.0)</f>
        <v>5</v>
      </c>
      <c r="AY164" s="4" t="str">
        <f>IFERROR(__xludf.DUMMYFUNCTION("""COMPUTED_VALUE"""),"Statistical methodologies for wind resource analysis,
case: Catatumbo region - Norte de Santander, Colombia")</f>
        <v>Statistical methodologies for wind resource analysis,
case: Catatumbo region - Norte de Santander, Colombia</v>
      </c>
      <c r="AZ164" s="4"/>
    </row>
    <row r="165">
      <c r="A165" s="4" t="str">
        <f>IFERROR(__xludf.DUMMYFUNCTION("""COMPUTED_VALUE"""),"Proy4")</f>
        <v>Proy4</v>
      </c>
      <c r="B165" s="4" t="str">
        <f>IFERROR(__xludf.DUMMYFUNCTION("""COMPUTED_VALUE"""),"Apropiación")</f>
        <v>Apropiación</v>
      </c>
      <c r="C165" s="4" t="str">
        <f>IFERROR(__xludf.DUMMYFUNCTION("""COMPUTED_VALUE"""),"Ponencia")</f>
        <v>Ponencia</v>
      </c>
      <c r="D165" s="4" t="str">
        <f>IFERROR(__xludf.DUMMYFUNCTION("""COMPUTED_VALUE"""),"Ponencia")</f>
        <v>Ponencia</v>
      </c>
      <c r="E165" s="4" t="str">
        <f>IFERROR(__xludf.DUMMYFUNCTION("""COMPUTED_VALUE"""),"Evento científico")</f>
        <v>Evento científico</v>
      </c>
      <c r="F165" s="4" t="str">
        <f>IFERROR(__xludf.DUMMYFUNCTION("""COMPUTED_VALUE"""),"Cartilla")</f>
        <v>Cartilla</v>
      </c>
      <c r="G165" s="4" t="str">
        <f>IFERROR(__xludf.DUMMYFUNCTION("""COMPUTED_VALUE"""),"Curso de capacitación, seminario o taller")</f>
        <v>Curso de capacitación, seminario o taller</v>
      </c>
      <c r="H165" s="4" t="str">
        <f>IFERROR(__xludf.DUMMYFUNCTION("""COMPUTED_VALUE"""),"Socialización de resultados a actores del sector")</f>
        <v>Socialización de resultados a actores del sector</v>
      </c>
      <c r="I165" s="4" t="str">
        <f>IFERROR(__xludf.DUMMYFUNCTION("""COMPUTED_VALUE"""),"Articulación de redes de conocimiento")</f>
        <v>Articulación de redes de conocimiento</v>
      </c>
      <c r="J165" s="4" t="str">
        <f>IFERROR(__xludf.DUMMYFUNCTION("""COMPUTED_VALUE"""),"Circulación de conocimiento especializado - boletines")</f>
        <v>Circulación de conocimiento especializado - boletines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 t="str">
        <f>IFERROR(__xludf.DUMMYFUNCTION("""COMPUTED_VALUE"""),"Ninguna")</f>
        <v>Ninguna</v>
      </c>
      <c r="V165" s="4"/>
      <c r="W165" s="4" t="str">
        <f>IFERROR(__xludf.DUMMYFUNCTION("""COMPUTED_VALUE"""),"Proyecto")</f>
        <v>Proyecto</v>
      </c>
      <c r="X165" s="4" t="str">
        <f>IFERROR(__xludf.DUMMYFUNCTION("""COMPUTED_VALUE"""),"UdeA")</f>
        <v>UdeA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 t="str">
        <f>IFERROR(__xludf.DUMMYFUNCTION("""COMPUTED_VALUE"""),"Ninguna")</f>
        <v>Ninguna</v>
      </c>
      <c r="AL165" s="4"/>
      <c r="AM165" s="4" t="str">
        <f>IFERROR(__xludf.DUMMYFUNCTION("""COMPUTED_VALUE"""),"Obligatorio")</f>
        <v>Obligatorio</v>
      </c>
      <c r="AN165" s="4"/>
      <c r="AO165" s="4"/>
      <c r="AP165" s="4"/>
      <c r="AQ165" s="4"/>
      <c r="AR165" s="4"/>
      <c r="AS165" s="4"/>
      <c r="AT165" s="4" t="str">
        <f>IFERROR(__xludf.DUMMYFUNCTION("""COMPUTED_VALUE"""),"Congreso Colombiano de Electroquímica")</f>
        <v>Congreso Colombiano de Electroquímica</v>
      </c>
      <c r="AU165" s="5" t="str">
        <f>IFERROR(__xludf.DUMMYFUNCTION("""COMPUTED_VALUE"""),"https://drive.google.com/file/d/1VWofz2IRyMb6JJN1cUbEeEVTMnQNGuEr/view?usp=sharing")</f>
        <v>https://drive.google.com/file/d/1VWofz2IRyMb6JJN1cUbEeEVTMnQNGuEr/view?usp=sharing</v>
      </c>
      <c r="AV165" s="4"/>
      <c r="AW165" s="4"/>
      <c r="AX165" s="4">
        <f>IFERROR(__xludf.DUMMYFUNCTION("""COMPUTED_VALUE"""),5.0)</f>
        <v>5</v>
      </c>
      <c r="AY165" s="4" t="str">
        <f>IFERROR(__xludf.DUMMYFUNCTION("""COMPUTED_VALUE"""),"Desempeño
de LiMn 1 x V x PO 4 obtenido por síntesis
asistida por microondas como cátodo para baterías
de Li ion")</f>
        <v>Desempeño
de LiMn 1 x V x PO 4 obtenido por síntesis
asistida por microondas como cátodo para baterías
de Li ion</v>
      </c>
      <c r="AZ165" s="4"/>
    </row>
    <row r="166">
      <c r="A166" s="4" t="str">
        <f>IFERROR(__xludf.DUMMYFUNCTION("""COMPUTED_VALUE"""),"Proy4")</f>
        <v>Proy4</v>
      </c>
      <c r="B166" s="4" t="str">
        <f>IFERROR(__xludf.DUMMYFUNCTION("""COMPUTED_VALUE"""),"Apropiación")</f>
        <v>Apropiación</v>
      </c>
      <c r="C166" s="4" t="str">
        <f>IFERROR(__xludf.DUMMYFUNCTION("""COMPUTED_VALUE"""),"Ponencia")</f>
        <v>Ponencia</v>
      </c>
      <c r="D166" s="4" t="str">
        <f>IFERROR(__xludf.DUMMYFUNCTION("""COMPUTED_VALUE"""),"Ponencia")</f>
        <v>Ponencia</v>
      </c>
      <c r="E166" s="4" t="str">
        <f>IFERROR(__xludf.DUMMYFUNCTION("""COMPUTED_VALUE"""),"Evento científico")</f>
        <v>Evento científico</v>
      </c>
      <c r="F166" s="4" t="str">
        <f>IFERROR(__xludf.DUMMYFUNCTION("""COMPUTED_VALUE"""),"Cartilla")</f>
        <v>Cartilla</v>
      </c>
      <c r="G166" s="4" t="str">
        <f>IFERROR(__xludf.DUMMYFUNCTION("""COMPUTED_VALUE"""),"Curso de capacitación, seminario o taller")</f>
        <v>Curso de capacitación, seminario o taller</v>
      </c>
      <c r="H166" s="4" t="str">
        <f>IFERROR(__xludf.DUMMYFUNCTION("""COMPUTED_VALUE"""),"Socialización de resultados a actores del sector")</f>
        <v>Socialización de resultados a actores del sector</v>
      </c>
      <c r="I166" s="4" t="str">
        <f>IFERROR(__xludf.DUMMYFUNCTION("""COMPUTED_VALUE"""),"Articulación de redes de conocimiento")</f>
        <v>Articulación de redes de conocimiento</v>
      </c>
      <c r="J166" s="4" t="str">
        <f>IFERROR(__xludf.DUMMYFUNCTION("""COMPUTED_VALUE"""),"Circulación de conocimiento especializado - boletines")</f>
        <v>Circulación de conocimiento especializado - boletines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 t="str">
        <f>IFERROR(__xludf.DUMMYFUNCTION("""COMPUTED_VALUE"""),"Ninguna")</f>
        <v>Ninguna</v>
      </c>
      <c r="V166" s="4"/>
      <c r="W166" s="4" t="str">
        <f>IFERROR(__xludf.DUMMYFUNCTION("""COMPUTED_VALUE"""),"Proyecto")</f>
        <v>Proyecto</v>
      </c>
      <c r="X166" s="4" t="str">
        <f>IFERROR(__xludf.DUMMYFUNCTION("""COMPUTED_VALUE"""),"UdeA")</f>
        <v>UdeA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 t="str">
        <f>IFERROR(__xludf.DUMMYFUNCTION("""COMPUTED_VALUE"""),"Ninguna")</f>
        <v>Ninguna</v>
      </c>
      <c r="AL166" s="4"/>
      <c r="AM166" s="4" t="str">
        <f>IFERROR(__xludf.DUMMYFUNCTION("""COMPUTED_VALUE"""),"Obligatorio")</f>
        <v>Obligatorio</v>
      </c>
      <c r="AN166" s="4">
        <f>IFERROR(__xludf.DUMMYFUNCTION("""COMPUTED_VALUE"""),3.0)</f>
        <v>3</v>
      </c>
      <c r="AO166" s="4">
        <f>IFERROR(__xludf.DUMMYFUNCTION("""COMPUTED_VALUE"""),1.0)</f>
        <v>1</v>
      </c>
      <c r="AP166" s="4">
        <f>IFERROR(__xludf.DUMMYFUNCTION("""COMPUTED_VALUE"""),1.0)</f>
        <v>1</v>
      </c>
      <c r="AQ166" s="4">
        <f>IFERROR(__xludf.DUMMYFUNCTION("""COMPUTED_VALUE"""),1.0)</f>
        <v>1</v>
      </c>
      <c r="AR166" s="4">
        <f>IFERROR(__xludf.DUMMYFUNCTION("""COMPUTED_VALUE"""),1.0)</f>
        <v>1</v>
      </c>
      <c r="AS166" s="4">
        <f>IFERROR(__xludf.DUMMYFUNCTION("""COMPUTED_VALUE"""),1.0)</f>
        <v>1</v>
      </c>
      <c r="AT166" s="4" t="str">
        <f>IFERROR(__xludf.DUMMYFUNCTION("""COMPUTED_VALUE"""),"Congreso Colombiano de Electroquímica")</f>
        <v>Congreso Colombiano de Electroquímica</v>
      </c>
      <c r="AU166" s="5" t="str">
        <f>IFERROR(__xludf.DUMMYFUNCTION("""COMPUTED_VALUE"""),"https://drive.google.com/file/d/1kMYpaVVDV_vtOspspyE7VHNjlo6pzWIv/view?usp=sharing")</f>
        <v>https://drive.google.com/file/d/1kMYpaVVDV_vtOspspyE7VHNjlo6pzWIv/view?usp=sharing</v>
      </c>
      <c r="AV166" s="4"/>
      <c r="AW166" s="4"/>
      <c r="AX166" s="4">
        <f>IFERROR(__xludf.DUMMYFUNCTION("""COMPUTED_VALUE"""),5.0)</f>
        <v>5</v>
      </c>
      <c r="AY166" s="4" t="str">
        <f>IFERROR(__xludf.DUMMYFUNCTION("""COMPUTED_VALUE"""),"DESARROLLO DE RECUBRIMIENTOS CATALÍTICOS
NANOESTRUCTURADOS")</f>
        <v>DESARROLLO DE RECUBRIMIENTOS CATALÍTICOS
NANOESTRUCTURADOS</v>
      </c>
      <c r="AZ166" s="4"/>
    </row>
    <row r="167">
      <c r="A167" s="4" t="str">
        <f>IFERROR(__xludf.DUMMYFUNCTION("""COMPUTED_VALUE"""),"Proy6")</f>
        <v>Proy6</v>
      </c>
      <c r="B167" s="4" t="str">
        <f>IFERROR(__xludf.DUMMYFUNCTION("""COMPUTED_VALUE"""),"Apropiación")</f>
        <v>Apropiación</v>
      </c>
      <c r="C167" s="4" t="str">
        <f>IFERROR(__xludf.DUMMYFUNCTION("""COMPUTED_VALUE"""),"Ponencia")</f>
        <v>Ponencia</v>
      </c>
      <c r="D167" s="4" t="str">
        <f>IFERROR(__xludf.DUMMYFUNCTION("""COMPUTED_VALUE"""),"Ponencia")</f>
        <v>Ponencia</v>
      </c>
      <c r="E167" s="4" t="str">
        <f>IFERROR(__xludf.DUMMYFUNCTION("""COMPUTED_VALUE"""),"Evento científico")</f>
        <v>Evento científico</v>
      </c>
      <c r="F167" s="4" t="str">
        <f>IFERROR(__xludf.DUMMYFUNCTION("""COMPUTED_VALUE"""),"Cartilla")</f>
        <v>Cartilla</v>
      </c>
      <c r="G167" s="4" t="str">
        <f>IFERROR(__xludf.DUMMYFUNCTION("""COMPUTED_VALUE"""),"Curso de capacitación, seminario o taller")</f>
        <v>Curso de capacitación, seminario o taller</v>
      </c>
      <c r="H167" s="4" t="str">
        <f>IFERROR(__xludf.DUMMYFUNCTION("""COMPUTED_VALUE"""),"Socialización de resultados a actores del sector")</f>
        <v>Socialización de resultados a actores del sector</v>
      </c>
      <c r="I167" s="4" t="str">
        <f>IFERROR(__xludf.DUMMYFUNCTION("""COMPUTED_VALUE"""),"Articulación de redes de conocimiento")</f>
        <v>Articulación de redes de conocimiento</v>
      </c>
      <c r="J167" s="4" t="str">
        <f>IFERROR(__xludf.DUMMYFUNCTION("""COMPUTED_VALUE"""),"Circulación de conocimiento especializado - boletines")</f>
        <v>Circulación de conocimiento especializado - boletines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 t="str">
        <f>IFERROR(__xludf.DUMMYFUNCTION("""COMPUTED_VALUE"""),"Ninguna")</f>
        <v>Ninguna</v>
      </c>
      <c r="V167" s="4"/>
      <c r="W167" s="4" t="str">
        <f>IFERROR(__xludf.DUMMYFUNCTION("""COMPUTED_VALUE"""),"Proyecto")</f>
        <v>Proyecto</v>
      </c>
      <c r="X167" s="4" t="str">
        <f>IFERROR(__xludf.DUMMYFUNCTION("""COMPUTED_VALUE"""),"UdeA")</f>
        <v>UdeA</v>
      </c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 t="str">
        <f>IFERROR(__xludf.DUMMYFUNCTION("""COMPUTED_VALUE"""),"Ninguna")</f>
        <v>Ninguna</v>
      </c>
      <c r="AL167" s="4"/>
      <c r="AM167" s="4" t="str">
        <f>IFERROR(__xludf.DUMMYFUNCTION("""COMPUTED_VALUE"""),"Obligatorio")</f>
        <v>Obligatorio</v>
      </c>
      <c r="AN167" s="4">
        <f>IFERROR(__xludf.DUMMYFUNCTION("""COMPUTED_VALUE"""),1.0)</f>
        <v>1</v>
      </c>
      <c r="AO167" s="4">
        <f>IFERROR(__xludf.DUMMYFUNCTION("""COMPUTED_VALUE"""),1.0)</f>
        <v>1</v>
      </c>
      <c r="AP167" s="4">
        <f>IFERROR(__xludf.DUMMYFUNCTION("""COMPUTED_VALUE"""),1.0)</f>
        <v>1</v>
      </c>
      <c r="AQ167" s="4">
        <f>IFERROR(__xludf.DUMMYFUNCTION("""COMPUTED_VALUE"""),1.0)</f>
        <v>1</v>
      </c>
      <c r="AR167" s="4">
        <f>IFERROR(__xludf.DUMMYFUNCTION("""COMPUTED_VALUE"""),1.0)</f>
        <v>1</v>
      </c>
      <c r="AS167" s="4">
        <f>IFERROR(__xludf.DUMMYFUNCTION("""COMPUTED_VALUE"""),1.0)</f>
        <v>1</v>
      </c>
      <c r="AT167" s="4" t="str">
        <f>IFERROR(__xludf.DUMMYFUNCTION("""COMPUTED_VALUE"""),"Latin American Meetings on Anaerobic Digestion")</f>
        <v>Latin American Meetings on Anaerobic Digestion</v>
      </c>
      <c r="AU167" s="5" t="str">
        <f>IFERROR(__xludf.DUMMYFUNCTION("""COMPUTED_VALUE"""),"https://drive.google.com/file/d/1xEe3hNDP80ls0q0ldKcqFqHEZs8CI19I/view?usp=sharing")</f>
        <v>https://drive.google.com/file/d/1xEe3hNDP80ls0q0ldKcqFqHEZs8CI19I/view?usp=sharing</v>
      </c>
      <c r="AV167" s="4"/>
      <c r="AW167" s="4"/>
      <c r="AX167" s="4">
        <f>IFERROR(__xludf.DUMMYFUNCTION("""COMPUTED_VALUE"""),5.0)</f>
        <v>5</v>
      </c>
      <c r="AY167" s="4" t="str">
        <f>IFERROR(__xludf.DUMMYFUNCTION("""COMPUTED_VALUE"""),"Use of the daily dynamics in an ASBR to predict its long term behaviour through mathematical modelling")</f>
        <v>Use of the daily dynamics in an ASBR to predict its long term behaviour through mathematical modelling</v>
      </c>
      <c r="AZ167" s="4"/>
    </row>
    <row r="168">
      <c r="A168" s="4" t="str">
        <f>IFERROR(__xludf.DUMMYFUNCTION("""COMPUTED_VALUE"""),"Proy6")</f>
        <v>Proy6</v>
      </c>
      <c r="B168" s="4" t="str">
        <f>IFERROR(__xludf.DUMMYFUNCTION("""COMPUTED_VALUE"""),"Apropiación")</f>
        <v>Apropiación</v>
      </c>
      <c r="C168" s="4" t="str">
        <f>IFERROR(__xludf.DUMMYFUNCTION("""COMPUTED_VALUE"""),"Ponencia")</f>
        <v>Ponencia</v>
      </c>
      <c r="D168" s="4" t="str">
        <f>IFERROR(__xludf.DUMMYFUNCTION("""COMPUTED_VALUE"""),"Ponencia")</f>
        <v>Ponencia</v>
      </c>
      <c r="E168" s="4" t="str">
        <f>IFERROR(__xludf.DUMMYFUNCTION("""COMPUTED_VALUE"""),"Evento científico")</f>
        <v>Evento científico</v>
      </c>
      <c r="F168" s="4" t="str">
        <f>IFERROR(__xludf.DUMMYFUNCTION("""COMPUTED_VALUE"""),"Cartilla")</f>
        <v>Cartilla</v>
      </c>
      <c r="G168" s="4" t="str">
        <f>IFERROR(__xludf.DUMMYFUNCTION("""COMPUTED_VALUE"""),"Curso de capacitación, seminario o taller")</f>
        <v>Curso de capacitación, seminario o taller</v>
      </c>
      <c r="H168" s="4" t="str">
        <f>IFERROR(__xludf.DUMMYFUNCTION("""COMPUTED_VALUE"""),"Socialización de resultados a actores del sector")</f>
        <v>Socialización de resultados a actores del sector</v>
      </c>
      <c r="I168" s="4" t="str">
        <f>IFERROR(__xludf.DUMMYFUNCTION("""COMPUTED_VALUE"""),"Articulación de redes de conocimiento")</f>
        <v>Articulación de redes de conocimiento</v>
      </c>
      <c r="J168" s="4" t="str">
        <f>IFERROR(__xludf.DUMMYFUNCTION("""COMPUTED_VALUE"""),"Circulación de conocimiento especializado - boletines")</f>
        <v>Circulación de conocimiento especializado - boletines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 t="str">
        <f>IFERROR(__xludf.DUMMYFUNCTION("""COMPUTED_VALUE"""),"Ninguna")</f>
        <v>Ninguna</v>
      </c>
      <c r="V168" s="4"/>
      <c r="W168" s="4" t="str">
        <f>IFERROR(__xludf.DUMMYFUNCTION("""COMPUTED_VALUE"""),"Proyecto")</f>
        <v>Proyecto</v>
      </c>
      <c r="X168" s="4" t="str">
        <f>IFERROR(__xludf.DUMMYFUNCTION("""COMPUTED_VALUE"""),"UdeA")</f>
        <v>UdeA</v>
      </c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 t="str">
        <f>IFERROR(__xludf.DUMMYFUNCTION("""COMPUTED_VALUE"""),"Ninguna")</f>
        <v>Ninguna</v>
      </c>
      <c r="AL168" s="4"/>
      <c r="AM168" s="4" t="str">
        <f>IFERROR(__xludf.DUMMYFUNCTION("""COMPUTED_VALUE"""),"Obligatorio")</f>
        <v>Obligatorio</v>
      </c>
      <c r="AN168" s="4">
        <f>IFERROR(__xludf.DUMMYFUNCTION("""COMPUTED_VALUE"""),3.0)</f>
        <v>3</v>
      </c>
      <c r="AO168" s="4">
        <f>IFERROR(__xludf.DUMMYFUNCTION("""COMPUTED_VALUE"""),2.0)</f>
        <v>2</v>
      </c>
      <c r="AP168" s="4">
        <f>IFERROR(__xludf.DUMMYFUNCTION("""COMPUTED_VALUE"""),2.0)</f>
        <v>2</v>
      </c>
      <c r="AQ168" s="4">
        <f>IFERROR(__xludf.DUMMYFUNCTION("""COMPUTED_VALUE"""),2.0)</f>
        <v>2</v>
      </c>
      <c r="AR168" s="4">
        <f>IFERROR(__xludf.DUMMYFUNCTION("""COMPUTED_VALUE"""),1.0)</f>
        <v>1</v>
      </c>
      <c r="AS168" s="4">
        <f>IFERROR(__xludf.DUMMYFUNCTION("""COMPUTED_VALUE"""),1.0)</f>
        <v>1</v>
      </c>
      <c r="AT168" s="4" t="str">
        <f>IFERROR(__xludf.DUMMYFUNCTION("""COMPUTED_VALUE"""),"Latin American Meetings on Anaerobic Digestion")</f>
        <v>Latin American Meetings on Anaerobic Digestion</v>
      </c>
      <c r="AU168" s="5" t="str">
        <f>IFERROR(__xludf.DUMMYFUNCTION("""COMPUTED_VALUE"""),"https://drive.google.com/file/d/1wB2cPVH8TMP3Qp_Y3BfY1l60_qfTGmt7/view?usp=sharing")</f>
        <v>https://drive.google.com/file/d/1wB2cPVH8TMP3Qp_Y3BfY1l60_qfTGmt7/view?usp=sharing</v>
      </c>
      <c r="AV168" s="4"/>
      <c r="AW168" s="4"/>
      <c r="AX168" s="4">
        <f>IFERROR(__xludf.DUMMYFUNCTION("""COMPUTED_VALUE"""),5.0)</f>
        <v>5</v>
      </c>
      <c r="AY168" s="4" t="str">
        <f>IFERROR(__xludf.DUMMYFUNCTION("""COMPUTED_VALUE"""),"Potential co-substrates for biogas production from pome")</f>
        <v>Potential co-substrates for biogas production from pome</v>
      </c>
      <c r="AZ168" s="4"/>
    </row>
    <row r="169">
      <c r="A169" s="4" t="str">
        <f>IFERROR(__xludf.DUMMYFUNCTION("""COMPUTED_VALUE"""),"Proy10")</f>
        <v>Proy10</v>
      </c>
      <c r="B169" s="4" t="str">
        <f>IFERROR(__xludf.DUMMYFUNCTION("""COMPUTED_VALUE"""),"Apropiación")</f>
        <v>Apropiación</v>
      </c>
      <c r="C169" s="4" t="str">
        <f>IFERROR(__xludf.DUMMYFUNCTION("""COMPUTED_VALUE"""),"Ponencia")</f>
        <v>Ponencia</v>
      </c>
      <c r="D169" s="4" t="str">
        <f>IFERROR(__xludf.DUMMYFUNCTION("""COMPUTED_VALUE"""),"Ponencia")</f>
        <v>Ponencia</v>
      </c>
      <c r="E169" s="4" t="str">
        <f>IFERROR(__xludf.DUMMYFUNCTION("""COMPUTED_VALUE"""),"Evento científico")</f>
        <v>Evento científico</v>
      </c>
      <c r="F169" s="4" t="str">
        <f>IFERROR(__xludf.DUMMYFUNCTION("""COMPUTED_VALUE"""),"Cartilla")</f>
        <v>Cartilla</v>
      </c>
      <c r="G169" s="4" t="str">
        <f>IFERROR(__xludf.DUMMYFUNCTION("""COMPUTED_VALUE"""),"Curso de capacitación, seminario o taller")</f>
        <v>Curso de capacitación, seminario o taller</v>
      </c>
      <c r="H169" s="4" t="str">
        <f>IFERROR(__xludf.DUMMYFUNCTION("""COMPUTED_VALUE"""),"Socialización de resultados a actores del sector")</f>
        <v>Socialización de resultados a actores del sector</v>
      </c>
      <c r="I169" s="4" t="str">
        <f>IFERROR(__xludf.DUMMYFUNCTION("""COMPUTED_VALUE"""),"Articulación de redes de conocimiento")</f>
        <v>Articulación de redes de conocimiento</v>
      </c>
      <c r="J169" s="4" t="str">
        <f>IFERROR(__xludf.DUMMYFUNCTION("""COMPUTED_VALUE"""),"Circulación de conocimiento especializado - boletines")</f>
        <v>Circulación de conocimiento especializado - boletines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 t="str">
        <f>IFERROR(__xludf.DUMMYFUNCTION("""COMPUTED_VALUE"""),"Ninguna")</f>
        <v>Ninguna</v>
      </c>
      <c r="V169" s="4"/>
      <c r="W169" s="4" t="str">
        <f>IFERROR(__xludf.DUMMYFUNCTION("""COMPUTED_VALUE"""),"Proyecto")</f>
        <v>Proyecto</v>
      </c>
      <c r="X169" s="4" t="str">
        <f>IFERROR(__xludf.DUMMYFUNCTION("""COMPUTED_VALUE"""),"UdeA")</f>
        <v>UdeA</v>
      </c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 t="str">
        <f>IFERROR(__xludf.DUMMYFUNCTION("""COMPUTED_VALUE"""),"Ninguna")</f>
        <v>Ninguna</v>
      </c>
      <c r="AL169" s="4"/>
      <c r="AM169" s="4" t="str">
        <f>IFERROR(__xludf.DUMMYFUNCTION("""COMPUTED_VALUE"""),"Obligatorio")</f>
        <v>Obligatorio</v>
      </c>
      <c r="AN169" s="4">
        <f>IFERROR(__xludf.DUMMYFUNCTION("""COMPUTED_VALUE"""),5.0)</f>
        <v>5</v>
      </c>
      <c r="AO169" s="4">
        <f>IFERROR(__xludf.DUMMYFUNCTION("""COMPUTED_VALUE"""),1.0)</f>
        <v>1</v>
      </c>
      <c r="AP169" s="4">
        <f>IFERROR(__xludf.DUMMYFUNCTION("""COMPUTED_VALUE"""),1.0)</f>
        <v>1</v>
      </c>
      <c r="AQ169" s="4">
        <f>IFERROR(__xludf.DUMMYFUNCTION("""COMPUTED_VALUE"""),1.0)</f>
        <v>1</v>
      </c>
      <c r="AR169" s="4">
        <f>IFERROR(__xludf.DUMMYFUNCTION("""COMPUTED_VALUE"""),1.0)</f>
        <v>1</v>
      </c>
      <c r="AS169" s="4">
        <f>IFERROR(__xludf.DUMMYFUNCTION("""COMPUTED_VALUE"""),1.0)</f>
        <v>1</v>
      </c>
      <c r="AT169" s="4" t="str">
        <f>IFERROR(__xludf.DUMMYFUNCTION("""COMPUTED_VALUE"""),"I Congreso Internacional de Gestión Integral frente al Cambio Climático")</f>
        <v>I Congreso Internacional de Gestión Integral frente al Cambio Climático</v>
      </c>
      <c r="AU169" s="5" t="str">
        <f>IFERROR(__xludf.DUMMYFUNCTION("""COMPUTED_VALUE"""),"https://drive.google.com/file/d/1TCxtDo6qY58r07cgoK8RqgfYKmtknjVd/view?usp=sharing")</f>
        <v>https://drive.google.com/file/d/1TCxtDo6qY58r07cgoK8RqgfYKmtknjVd/view?usp=sharing</v>
      </c>
      <c r="AV169" s="4"/>
      <c r="AW169" s="4"/>
      <c r="AX169" s="4">
        <f>IFERROR(__xludf.DUMMYFUNCTION("""COMPUTED_VALUE"""),5.0)</f>
        <v>5</v>
      </c>
      <c r="AY169" s="4" t="str">
        <f>IFERROR(__xludf.DUMMYFUNCTION("""COMPUTED_VALUE"""),"Reducción del consumo de combustible en la producción de
fertilizantes mediante la optimización del contacto gas sólido en
secadores rotativos")</f>
        <v>Reducción del consumo de combustible en la producción de
fertilizantes mediante la optimización del contacto gas sólido en
secadores rotativos</v>
      </c>
      <c r="AZ169" s="4"/>
    </row>
    <row r="170">
      <c r="A170" s="4" t="str">
        <f>IFERROR(__xludf.DUMMYFUNCTION("""COMPUTED_VALUE"""),"Proy7")</f>
        <v>Proy7</v>
      </c>
      <c r="B170" s="4" t="str">
        <f>IFERROR(__xludf.DUMMYFUNCTION("""COMPUTED_VALUE"""),"Apropiación")</f>
        <v>Apropiación</v>
      </c>
      <c r="C170" s="4" t="str">
        <f>IFERROR(__xludf.DUMMYFUNCTION("""COMPUTED_VALUE"""),"Evento científico")</f>
        <v>Evento científico</v>
      </c>
      <c r="D170" s="4" t="str">
        <f>IFERROR(__xludf.DUMMYFUNCTION("""COMPUTED_VALUE"""),"Ponencia")</f>
        <v>Ponencia</v>
      </c>
      <c r="E170" s="4" t="str">
        <f>IFERROR(__xludf.DUMMYFUNCTION("""COMPUTED_VALUE"""),"Evento científico")</f>
        <v>Evento científico</v>
      </c>
      <c r="F170" s="4" t="str">
        <f>IFERROR(__xludf.DUMMYFUNCTION("""COMPUTED_VALUE"""),"Cartilla")</f>
        <v>Cartilla</v>
      </c>
      <c r="G170" s="4" t="str">
        <f>IFERROR(__xludf.DUMMYFUNCTION("""COMPUTED_VALUE"""),"Curso de capacitación, seminario o taller")</f>
        <v>Curso de capacitación, seminario o taller</v>
      </c>
      <c r="H170" s="4" t="str">
        <f>IFERROR(__xludf.DUMMYFUNCTION("""COMPUTED_VALUE"""),"Socialización de resultados a actores del sector")</f>
        <v>Socialización de resultados a actores del sector</v>
      </c>
      <c r="I170" s="4" t="str">
        <f>IFERROR(__xludf.DUMMYFUNCTION("""COMPUTED_VALUE"""),"Articulación de redes de conocimiento")</f>
        <v>Articulación de redes de conocimiento</v>
      </c>
      <c r="J170" s="4" t="str">
        <f>IFERROR(__xludf.DUMMYFUNCTION("""COMPUTED_VALUE"""),"Circulación de conocimiento especializado - boletines")</f>
        <v>Circulación de conocimiento especializado - boletines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 t="str">
        <f>IFERROR(__xludf.DUMMYFUNCTION("""COMPUTED_VALUE"""),"Ninguna")</f>
        <v>Ninguna</v>
      </c>
      <c r="V170" s="4"/>
      <c r="W170" s="4" t="str">
        <f>IFERROR(__xludf.DUMMYFUNCTION("""COMPUTED_VALUE"""),"Proyecto")</f>
        <v>Proyecto</v>
      </c>
      <c r="X170" s="4" t="str">
        <f>IFERROR(__xludf.DUMMYFUNCTION("""COMPUTED_VALUE"""),"UniCórdoba, UdeA")</f>
        <v>UniCórdoba, UdeA</v>
      </c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 t="str">
        <f>IFERROR(__xludf.DUMMYFUNCTION("""COMPUTED_VALUE"""),"Colaboración")</f>
        <v>Colaboración</v>
      </c>
      <c r="AL170" s="4"/>
      <c r="AM170" s="4" t="str">
        <f>IFERROR(__xludf.DUMMYFUNCTION("""COMPUTED_VALUE"""),"Obligatorio")</f>
        <v>Obligatorio</v>
      </c>
      <c r="AN170" s="4"/>
      <c r="AO170" s="4"/>
      <c r="AP170" s="4"/>
      <c r="AQ170" s="4"/>
      <c r="AR170" s="4"/>
      <c r="AS170" s="4"/>
      <c r="AT170" s="4" t="str">
        <f>IFERROR(__xludf.DUMMYFUNCTION("""COMPUTED_VALUE"""),"Segundo Encuentro SÉNECA")</f>
        <v>Segundo Encuentro SÉNECA</v>
      </c>
      <c r="AU170" s="4"/>
      <c r="AV170" s="4"/>
      <c r="AW170" s="4"/>
      <c r="AX170" s="4">
        <f>IFERROR(__xludf.DUMMYFUNCTION("""COMPUTED_VALUE"""),5.0)</f>
        <v>5</v>
      </c>
      <c r="AY170" s="4" t="str">
        <f>IFERROR(__xludf.DUMMYFUNCTION("""COMPUTED_VALUE"""),"Segundo Encuentro Séneca")</f>
        <v>Segundo Encuentro Séneca</v>
      </c>
      <c r="AZ170" s="4"/>
    </row>
    <row r="171">
      <c r="A171" s="4" t="str">
        <f>IFERROR(__xludf.DUMMYFUNCTION("""COMPUTED_VALUE"""),"Proy9")</f>
        <v>Proy9</v>
      </c>
      <c r="B171" s="4" t="str">
        <f>IFERROR(__xludf.DUMMYFUNCTION("""COMPUTED_VALUE"""),"Apropiación")</f>
        <v>Apropiación</v>
      </c>
      <c r="C171" s="4" t="str">
        <f>IFERROR(__xludf.DUMMYFUNCTION("""COMPUTED_VALUE"""),"Ponencia")</f>
        <v>Ponencia</v>
      </c>
      <c r="D171" s="4" t="str">
        <f>IFERROR(__xludf.DUMMYFUNCTION("""COMPUTED_VALUE"""),"Ponencia")</f>
        <v>Ponencia</v>
      </c>
      <c r="E171" s="4" t="str">
        <f>IFERROR(__xludf.DUMMYFUNCTION("""COMPUTED_VALUE"""),"Evento científico")</f>
        <v>Evento científico</v>
      </c>
      <c r="F171" s="4" t="str">
        <f>IFERROR(__xludf.DUMMYFUNCTION("""COMPUTED_VALUE"""),"Cartilla")</f>
        <v>Cartilla</v>
      </c>
      <c r="G171" s="4" t="str">
        <f>IFERROR(__xludf.DUMMYFUNCTION("""COMPUTED_VALUE"""),"Curso de capacitación, seminario o taller")</f>
        <v>Curso de capacitación, seminario o taller</v>
      </c>
      <c r="H171" s="4" t="str">
        <f>IFERROR(__xludf.DUMMYFUNCTION("""COMPUTED_VALUE"""),"Socialización de resultados a actores del sector")</f>
        <v>Socialización de resultados a actores del sector</v>
      </c>
      <c r="I171" s="4" t="str">
        <f>IFERROR(__xludf.DUMMYFUNCTION("""COMPUTED_VALUE"""),"Articulación de redes de conocimiento")</f>
        <v>Articulación de redes de conocimiento</v>
      </c>
      <c r="J171" s="4" t="str">
        <f>IFERROR(__xludf.DUMMYFUNCTION("""COMPUTED_VALUE"""),"Circulación de conocimiento especializado - boletines")</f>
        <v>Circulación de conocimiento especializado - boletines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 t="str">
        <f>IFERROR(__xludf.DUMMYFUNCTION("""COMPUTED_VALUE"""),"Ninguna")</f>
        <v>Ninguna</v>
      </c>
      <c r="V171" s="4"/>
      <c r="W171" s="4" t="str">
        <f>IFERROR(__xludf.DUMMYFUNCTION("""COMPUTED_VALUE"""),"Proyecto")</f>
        <v>Proyecto</v>
      </c>
      <c r="X171" s="4" t="str">
        <f>IFERROR(__xludf.DUMMYFUNCTION("""COMPUTED_VALUE"""),"UdeA")</f>
        <v>UdeA</v>
      </c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 t="str">
        <f>IFERROR(__xludf.DUMMYFUNCTION("""COMPUTED_VALUE"""),"Ninguna")</f>
        <v>Ninguna</v>
      </c>
      <c r="AL171" s="4"/>
      <c r="AM171" s="4" t="str">
        <f>IFERROR(__xludf.DUMMYFUNCTION("""COMPUTED_VALUE"""),"Obligatorio")</f>
        <v>Obligatorio</v>
      </c>
      <c r="AN171" s="4">
        <f>IFERROR(__xludf.DUMMYFUNCTION("""COMPUTED_VALUE"""),1.0)</f>
        <v>1</v>
      </c>
      <c r="AO171" s="4">
        <f>IFERROR(__xludf.DUMMYFUNCTION("""COMPUTED_VALUE"""),1.0)</f>
        <v>1</v>
      </c>
      <c r="AP171" s="4">
        <f>IFERROR(__xludf.DUMMYFUNCTION("""COMPUTED_VALUE"""),1.0)</f>
        <v>1</v>
      </c>
      <c r="AQ171" s="4">
        <f>IFERROR(__xludf.DUMMYFUNCTION("""COMPUTED_VALUE"""),1.0)</f>
        <v>1</v>
      </c>
      <c r="AR171" s="4">
        <f>IFERROR(__xludf.DUMMYFUNCTION("""COMPUTED_VALUE"""),1.0)</f>
        <v>1</v>
      </c>
      <c r="AS171" s="4">
        <f>IFERROR(__xludf.DUMMYFUNCTION("""COMPUTED_VALUE"""),1.0)</f>
        <v>1</v>
      </c>
      <c r="AT171" s="4" t="str">
        <f>IFERROR(__xludf.DUMMYFUNCTION("""COMPUTED_VALUE"""),"I Congreso Internacional de Gestión Integral frente al Cambio Climático")</f>
        <v>I Congreso Internacional de Gestión Integral frente al Cambio Climático</v>
      </c>
      <c r="AU171" s="5" t="str">
        <f>IFERROR(__xludf.DUMMYFUNCTION("""COMPUTED_VALUE"""),"https://drive.google.com/file/d/1pJgFmnAU4XW1UxPuPy8-GF5OqMXW-PbG/view?usp=sharing")</f>
        <v>https://drive.google.com/file/d/1pJgFmnAU4XW1UxPuPy8-GF5OqMXW-PbG/view?usp=sharing</v>
      </c>
      <c r="AV171" s="4"/>
      <c r="AW171" s="4"/>
      <c r="AX171" s="4">
        <f>IFERROR(__xludf.DUMMYFUNCTION("""COMPUTED_VALUE"""),5.0)</f>
        <v>5</v>
      </c>
      <c r="AY171" s="4" t="str">
        <f>IFERROR(__xludf.DUMMYFUNCTION("""COMPUTED_VALUE"""),"Perspectivas de la tecnología Power to Gas en el contexto de los recursos energéticos del departamento de La Guajira")</f>
        <v>Perspectivas de la tecnología Power to Gas en el contexto de los recursos energéticos del departamento de La Guajira</v>
      </c>
      <c r="AZ171" s="4"/>
    </row>
    <row r="172">
      <c r="A172" s="4" t="str">
        <f>IFERROR(__xludf.DUMMYFUNCTION("""COMPUTED_VALUE"""),"Proy10")</f>
        <v>Proy10</v>
      </c>
      <c r="B172" s="4" t="str">
        <f>IFERROR(__xludf.DUMMYFUNCTION("""COMPUTED_VALUE"""),"Apropiación")</f>
        <v>Apropiación</v>
      </c>
      <c r="C172" s="4" t="str">
        <f>IFERROR(__xludf.DUMMYFUNCTION("""COMPUTED_VALUE"""),"Ponencia")</f>
        <v>Ponencia</v>
      </c>
      <c r="D172" s="4" t="str">
        <f>IFERROR(__xludf.DUMMYFUNCTION("""COMPUTED_VALUE"""),"Ponencia")</f>
        <v>Ponencia</v>
      </c>
      <c r="E172" s="4" t="str">
        <f>IFERROR(__xludf.DUMMYFUNCTION("""COMPUTED_VALUE"""),"Evento científico")</f>
        <v>Evento científico</v>
      </c>
      <c r="F172" s="4" t="str">
        <f>IFERROR(__xludf.DUMMYFUNCTION("""COMPUTED_VALUE"""),"Cartilla")</f>
        <v>Cartilla</v>
      </c>
      <c r="G172" s="4" t="str">
        <f>IFERROR(__xludf.DUMMYFUNCTION("""COMPUTED_VALUE"""),"Curso de capacitación, seminario o taller")</f>
        <v>Curso de capacitación, seminario o taller</v>
      </c>
      <c r="H172" s="4" t="str">
        <f>IFERROR(__xludf.DUMMYFUNCTION("""COMPUTED_VALUE"""),"Socialización de resultados a actores del sector")</f>
        <v>Socialización de resultados a actores del sector</v>
      </c>
      <c r="I172" s="4" t="str">
        <f>IFERROR(__xludf.DUMMYFUNCTION("""COMPUTED_VALUE"""),"Articulación de redes de conocimiento")</f>
        <v>Articulación de redes de conocimiento</v>
      </c>
      <c r="J172" s="4" t="str">
        <f>IFERROR(__xludf.DUMMYFUNCTION("""COMPUTED_VALUE"""),"Circulación de conocimiento especializado - boletines")</f>
        <v>Circulación de conocimiento especializado - boletines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 t="str">
        <f>IFERROR(__xludf.DUMMYFUNCTION("""COMPUTED_VALUE"""),"Ninguna")</f>
        <v>Ninguna</v>
      </c>
      <c r="V172" s="4"/>
      <c r="W172" s="4" t="str">
        <f>IFERROR(__xludf.DUMMYFUNCTION("""COMPUTED_VALUE"""),"Proyecto")</f>
        <v>Proyecto</v>
      </c>
      <c r="X172" s="4" t="str">
        <f>IFERROR(__xludf.DUMMYFUNCTION("""COMPUTED_VALUE"""),"UdeA")</f>
        <v>UdeA</v>
      </c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 t="str">
        <f>IFERROR(__xludf.DUMMYFUNCTION("""COMPUTED_VALUE"""),"Ninguna")</f>
        <v>Ninguna</v>
      </c>
      <c r="AL172" s="4"/>
      <c r="AM172" s="4" t="str">
        <f>IFERROR(__xludf.DUMMYFUNCTION("""COMPUTED_VALUE"""),"Obligatorio")</f>
        <v>Obligatorio</v>
      </c>
      <c r="AN172" s="4">
        <f>IFERROR(__xludf.DUMMYFUNCTION("""COMPUTED_VALUE"""),3.0)</f>
        <v>3</v>
      </c>
      <c r="AO172" s="4">
        <f>IFERROR(__xludf.DUMMYFUNCTION("""COMPUTED_VALUE"""),1.0)</f>
        <v>1</v>
      </c>
      <c r="AP172" s="4">
        <f>IFERROR(__xludf.DUMMYFUNCTION("""COMPUTED_VALUE"""),1.0)</f>
        <v>1</v>
      </c>
      <c r="AQ172" s="4">
        <f>IFERROR(__xludf.DUMMYFUNCTION("""COMPUTED_VALUE"""),1.0)</f>
        <v>1</v>
      </c>
      <c r="AR172" s="4">
        <f>IFERROR(__xludf.DUMMYFUNCTION("""COMPUTED_VALUE"""),1.0)</f>
        <v>1</v>
      </c>
      <c r="AS172" s="4">
        <f>IFERROR(__xludf.DUMMYFUNCTION("""COMPUTED_VALUE"""),1.0)</f>
        <v>1</v>
      </c>
      <c r="AT172" s="4" t="str">
        <f>IFERROR(__xludf.DUMMYFUNCTION("""COMPUTED_VALUE"""),"I Congreso Internacional de Gestión Integral frente al Cambio Climático")</f>
        <v>I Congreso Internacional de Gestión Integral frente al Cambio Climático</v>
      </c>
      <c r="AU172" s="5" t="str">
        <f>IFERROR(__xludf.DUMMYFUNCTION("""COMPUTED_VALUE"""),"https://drive.google.com/file/d/1TCxtDo6qY58r07cgoK8RqgfYKmtknjVd/view?usp=sharing")</f>
        <v>https://drive.google.com/file/d/1TCxtDo6qY58r07cgoK8RqgfYKmtknjVd/view?usp=sharing</v>
      </c>
      <c r="AV172" s="4"/>
      <c r="AW172" s="4"/>
      <c r="AX172" s="4">
        <f>IFERROR(__xludf.DUMMYFUNCTION("""COMPUTED_VALUE"""),5.0)</f>
        <v>5</v>
      </c>
      <c r="AY172" s="4" t="str">
        <f>IFERROR(__xludf.DUMMYFUNCTION("""COMPUTED_VALUE"""),"Estudio numérico de la combustión de mezclas gas naturalhidrógeno
bajo el régimen de combustión sin llama")</f>
        <v>Estudio numérico de la combustión de mezclas gas naturalhidrógeno
bajo el régimen de combustión sin llama</v>
      </c>
      <c r="AZ172" s="4"/>
    </row>
    <row r="173">
      <c r="A173" s="4" t="str">
        <f>IFERROR(__xludf.DUMMYFUNCTION("""COMPUTED_VALUE"""),"Proy10")</f>
        <v>Proy10</v>
      </c>
      <c r="B173" s="4" t="str">
        <f>IFERROR(__xludf.DUMMYFUNCTION("""COMPUTED_VALUE"""),"Apropiación")</f>
        <v>Apropiación</v>
      </c>
      <c r="C173" s="4" t="str">
        <f>IFERROR(__xludf.DUMMYFUNCTION("""COMPUTED_VALUE"""),"Ponencia")</f>
        <v>Ponencia</v>
      </c>
      <c r="D173" s="4" t="str">
        <f>IFERROR(__xludf.DUMMYFUNCTION("""COMPUTED_VALUE"""),"Ponencia")</f>
        <v>Ponencia</v>
      </c>
      <c r="E173" s="4" t="str">
        <f>IFERROR(__xludf.DUMMYFUNCTION("""COMPUTED_VALUE"""),"Evento científico")</f>
        <v>Evento científico</v>
      </c>
      <c r="F173" s="4" t="str">
        <f>IFERROR(__xludf.DUMMYFUNCTION("""COMPUTED_VALUE"""),"Cartilla")</f>
        <v>Cartilla</v>
      </c>
      <c r="G173" s="4" t="str">
        <f>IFERROR(__xludf.DUMMYFUNCTION("""COMPUTED_VALUE"""),"Curso de capacitación, seminario o taller")</f>
        <v>Curso de capacitación, seminario o taller</v>
      </c>
      <c r="H173" s="4" t="str">
        <f>IFERROR(__xludf.DUMMYFUNCTION("""COMPUTED_VALUE"""),"Socialización de resultados a actores del sector")</f>
        <v>Socialización de resultados a actores del sector</v>
      </c>
      <c r="I173" s="4" t="str">
        <f>IFERROR(__xludf.DUMMYFUNCTION("""COMPUTED_VALUE"""),"Articulación de redes de conocimiento")</f>
        <v>Articulación de redes de conocimiento</v>
      </c>
      <c r="J173" s="4" t="str">
        <f>IFERROR(__xludf.DUMMYFUNCTION("""COMPUTED_VALUE"""),"Circulación de conocimiento especializado - boletines")</f>
        <v>Circulación de conocimiento especializado - boletines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 t="str">
        <f>IFERROR(__xludf.DUMMYFUNCTION("""COMPUTED_VALUE"""),"Ninguna")</f>
        <v>Ninguna</v>
      </c>
      <c r="V173" s="4"/>
      <c r="W173" s="4" t="str">
        <f>IFERROR(__xludf.DUMMYFUNCTION("""COMPUTED_VALUE"""),"Proyecto")</f>
        <v>Proyecto</v>
      </c>
      <c r="X173" s="4" t="str">
        <f>IFERROR(__xludf.DUMMYFUNCTION("""COMPUTED_VALUE"""),"UdeA")</f>
        <v>UdeA</v>
      </c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 t="str">
        <f>IFERROR(__xludf.DUMMYFUNCTION("""COMPUTED_VALUE"""),"Ninguna")</f>
        <v>Ninguna</v>
      </c>
      <c r="AL173" s="4"/>
      <c r="AM173" s="4" t="str">
        <f>IFERROR(__xludf.DUMMYFUNCTION("""COMPUTED_VALUE"""),"Obligatorio")</f>
        <v>Obligatorio</v>
      </c>
      <c r="AN173" s="4">
        <f>IFERROR(__xludf.DUMMYFUNCTION("""COMPUTED_VALUE"""),4.0)</f>
        <v>4</v>
      </c>
      <c r="AO173" s="4">
        <f>IFERROR(__xludf.DUMMYFUNCTION("""COMPUTED_VALUE"""),1.0)</f>
        <v>1</v>
      </c>
      <c r="AP173" s="4">
        <f>IFERROR(__xludf.DUMMYFUNCTION("""COMPUTED_VALUE"""),1.0)</f>
        <v>1</v>
      </c>
      <c r="AQ173" s="4">
        <f>IFERROR(__xludf.DUMMYFUNCTION("""COMPUTED_VALUE"""),1.0)</f>
        <v>1</v>
      </c>
      <c r="AR173" s="4">
        <f>IFERROR(__xludf.DUMMYFUNCTION("""COMPUTED_VALUE"""),1.0)</f>
        <v>1</v>
      </c>
      <c r="AS173" s="4">
        <f>IFERROR(__xludf.DUMMYFUNCTION("""COMPUTED_VALUE"""),1.0)</f>
        <v>1</v>
      </c>
      <c r="AT173" s="4" t="str">
        <f>IFERROR(__xludf.DUMMYFUNCTION("""COMPUTED_VALUE"""),"I Congreso Internacional de Gestión Integral frente al Cambio Climático")</f>
        <v>I Congreso Internacional de Gestión Integral frente al Cambio Climático</v>
      </c>
      <c r="AU173" s="5" t="str">
        <f>IFERROR(__xludf.DUMMYFUNCTION("""COMPUTED_VALUE"""),"https://drive.google.com/file/d/1TCxtDo6qY58r07cgoK8RqgfYKmtknjVd/view?usp=sharing")</f>
        <v>https://drive.google.com/file/d/1TCxtDo6qY58r07cgoK8RqgfYKmtknjVd/view?usp=sharing</v>
      </c>
      <c r="AV173" s="4"/>
      <c r="AW173" s="4"/>
      <c r="AX173" s="4">
        <f>IFERROR(__xludf.DUMMYFUNCTION("""COMPUTED_VALUE"""),5.0)</f>
        <v>5</v>
      </c>
      <c r="AY173" s="4" t="str">
        <f>IFERROR(__xludf.DUMMYFUNCTION("""COMPUTED_VALUE"""),"Efecto de la adición de CO2 sobre la uniformidad del régimen de
combustión sin llama para evaluar su potencial de reducción de GEI
en procesos altamente contaminantes
C. Mejía")</f>
        <v>Efecto de la adición de CO2 sobre la uniformidad del régimen de
combustión sin llama para evaluar su potencial de reducción de GEI
en procesos altamente contaminantes
C. Mejía</v>
      </c>
      <c r="AZ173" s="4"/>
    </row>
    <row r="174">
      <c r="A174" s="4" t="str">
        <f>IFERROR(__xludf.DUMMYFUNCTION("""COMPUTED_VALUE"""),"Proy10")</f>
        <v>Proy10</v>
      </c>
      <c r="B174" s="4" t="str">
        <f>IFERROR(__xludf.DUMMYFUNCTION("""COMPUTED_VALUE"""),"Nuevo_Conocimiento")</f>
        <v>Nuevo_Conocimiento</v>
      </c>
      <c r="C174" s="4" t="str">
        <f>IFERROR(__xludf.DUMMYFUNCTION("""COMPUTED_VALUE"""),"Artículo A1")</f>
        <v>Artículo A1</v>
      </c>
      <c r="D174" s="4" t="str">
        <f>IFERROR(__xludf.DUMMYFUNCTION("""COMPUTED_VALUE"""),"Artículo A1")</f>
        <v>Artículo A1</v>
      </c>
      <c r="E174" s="4" t="str">
        <f>IFERROR(__xludf.DUMMYFUNCTION("""COMPUTED_VALUE"""),"Artículo A2")</f>
        <v>Artículo A2</v>
      </c>
      <c r="F174" s="4" t="str">
        <f>IFERROR(__xludf.DUMMYFUNCTION("""COMPUTED_VALUE"""),"Artículo B")</f>
        <v>Artículo B</v>
      </c>
      <c r="G174" s="4" t="str">
        <f>IFERROR(__xludf.DUMMYFUNCTION("""COMPUTED_VALUE"""),"Artículo C")</f>
        <v>Artículo C</v>
      </c>
      <c r="H174" s="4" t="str">
        <f>IFERROR(__xludf.DUMMYFUNCTION("""COMPUTED_VALUE"""),"Capítulo de libro A")</f>
        <v>Capítulo de libro A</v>
      </c>
      <c r="I174" s="4" t="str">
        <f>IFERROR(__xludf.DUMMYFUNCTION("""COMPUTED_VALUE"""),"Capítulo de libro A1")</f>
        <v>Capítulo de libro A1</v>
      </c>
      <c r="J174" s="4" t="str">
        <f>IFERROR(__xludf.DUMMYFUNCTION("""COMPUTED_VALUE"""),"Capítulo de libro B")</f>
        <v>Capítulo de libro B</v>
      </c>
      <c r="K174" s="4" t="str">
        <f>IFERROR(__xludf.DUMMYFUNCTION("""COMPUTED_VALUE"""),"Libro A")</f>
        <v>Libro A</v>
      </c>
      <c r="L174" s="4" t="str">
        <f>IFERROR(__xludf.DUMMYFUNCTION("""COMPUTED_VALUE"""),"Libro A1")</f>
        <v>Libro A1</v>
      </c>
      <c r="M174" s="4" t="str">
        <f>IFERROR(__xludf.DUMMYFUNCTION("""COMPUTED_VALUE"""),"Libro B")</f>
        <v>Libro B</v>
      </c>
      <c r="N174" s="4" t="str">
        <f>IFERROR(__xludf.DUMMYFUNCTION("""COMPUTED_VALUE"""),"Solicitud Patente de invención y-o modelo de utitlidad")</f>
        <v>Solicitud Patente de invención y-o modelo de utitlidad</v>
      </c>
      <c r="O174" s="4" t="str">
        <f>IFERROR(__xludf.DUMMYFUNCTION("""COMPUTED_VALUE"""),"Patente de invención")</f>
        <v>Patente de invención</v>
      </c>
      <c r="P174" s="4" t="str">
        <f>IFERROR(__xludf.DUMMYFUNCTION("""COMPUTED_VALUE"""),"Patente de modelo de utilidad")</f>
        <v>Patente de modelo de utilidad</v>
      </c>
      <c r="Q174" s="4" t="str">
        <f>IFERROR(__xludf.DUMMYFUNCTION("""COMPUTED_VALUE"""),"Artículo sin clasificar")</f>
        <v>Artículo sin clasificar</v>
      </c>
      <c r="R174" s="4" t="str">
        <f>IFERROR(__xludf.DUMMYFUNCTION("""COMPUTED_VALUE"""),"Capítulo sin clasificar")</f>
        <v>Capítulo sin clasificar</v>
      </c>
      <c r="S174" s="4"/>
      <c r="T174" s="4"/>
      <c r="U174" s="4" t="str">
        <f>IFERROR(__xludf.DUMMYFUNCTION("""COMPUTED_VALUE"""),"Ninguna")</f>
        <v>Ninguna</v>
      </c>
      <c r="V174" s="4"/>
      <c r="W174" s="4" t="str">
        <f>IFERROR(__xludf.DUMMYFUNCTION("""COMPUTED_VALUE"""),"Proyecto")</f>
        <v>Proyecto</v>
      </c>
      <c r="X174" s="4" t="str">
        <f>IFERROR(__xludf.DUMMYFUNCTION("""COMPUTED_VALUE"""),"UdeA")</f>
        <v>UdeA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 t="str">
        <f>IFERROR(__xludf.DUMMYFUNCTION("""COMPUTED_VALUE"""),"Ninguna")</f>
        <v>Ninguna</v>
      </c>
      <c r="AL174" s="4"/>
      <c r="AM174" s="4" t="str">
        <f>IFERROR(__xludf.DUMMYFUNCTION("""COMPUTED_VALUE"""),"Obligatorio")</f>
        <v>Obligatorio</v>
      </c>
      <c r="AN174" s="4">
        <f>IFERROR(__xludf.DUMMYFUNCTION("""COMPUTED_VALUE"""),3.0)</f>
        <v>3</v>
      </c>
      <c r="AO174" s="4">
        <f>IFERROR(__xludf.DUMMYFUNCTION("""COMPUTED_VALUE"""),2.0)</f>
        <v>2</v>
      </c>
      <c r="AP174" s="4">
        <f>IFERROR(__xludf.DUMMYFUNCTION("""COMPUTED_VALUE"""),1.0)</f>
        <v>1</v>
      </c>
      <c r="AQ174" s="4">
        <f>IFERROR(__xludf.DUMMYFUNCTION("""COMPUTED_VALUE"""),1.0)</f>
        <v>1</v>
      </c>
      <c r="AR174" s="4">
        <f>IFERROR(__xludf.DUMMYFUNCTION("""COMPUTED_VALUE"""),1.0)</f>
        <v>1</v>
      </c>
      <c r="AS174" s="4">
        <f>IFERROR(__xludf.DUMMYFUNCTION("""COMPUTED_VALUE"""),1.0)</f>
        <v>1</v>
      </c>
      <c r="AT174" s="5" t="str">
        <f>IFERROR(__xludf.DUMMYFUNCTION("""COMPUTED_VALUE"""),"https://doi.org/10.1016/j.ijhydene.2020.09.236")</f>
        <v>https://doi.org/10.1016/j.ijhydene.2020.09.236</v>
      </c>
      <c r="AU174" s="5" t="str">
        <f>IFERROR(__xludf.DUMMYFUNCTION("""COMPUTED_VALUE"""),"https://drive.google.com/file/d/1CVLseszQAQQFAJwbjSZ0GHH2HM5TYKw4/view?usp=sharing")</f>
        <v>https://drive.google.com/file/d/1CVLseszQAQQFAJwbjSZ0GHH2HM5TYKw4/view?usp=sharing</v>
      </c>
      <c r="AV174" s="4"/>
      <c r="AW174" s="4"/>
      <c r="AX174" s="4">
        <f>IFERROR(__xludf.DUMMYFUNCTION("""COMPUTED_VALUE"""),5.0)</f>
        <v>5</v>
      </c>
      <c r="AY174" s="4" t="str">
        <f>IFERROR(__xludf.DUMMYFUNCTION("""COMPUTED_VALUE"""),"Emissions and dynamic stability of the flameless
combustion regime using hydrogen blends with
natural gas")</f>
        <v>Emissions and dynamic stability of the flameless
combustion regime using hydrogen blends with
natural gas</v>
      </c>
      <c r="AZ174" s="4"/>
    </row>
    <row r="175">
      <c r="A175" s="4" t="str">
        <f>IFERROR(__xludf.DUMMYFUNCTION("""COMPUTED_VALUE"""),"Proy6")</f>
        <v>Proy6</v>
      </c>
      <c r="B175" s="4" t="str">
        <f>IFERROR(__xludf.DUMMYFUNCTION("""COMPUTED_VALUE"""),"Formación_RH")</f>
        <v>Formación_RH</v>
      </c>
      <c r="C175" s="4" t="str">
        <f>IFERROR(__xludf.DUMMYFUNCTION("""COMPUTED_VALUE"""),"Vinculación de estudiante de maestría")</f>
        <v>Vinculación de estudiante de maestría</v>
      </c>
      <c r="D175" s="4" t="str">
        <f>IFERROR(__xludf.DUMMYFUNCTION("""COMPUTED_VALUE"""),"Ninguna")</f>
        <v>Ninguna</v>
      </c>
      <c r="E175" s="4"/>
      <c r="F175" s="4" t="str">
        <f>IFERROR(__xludf.DUMMYFUNCTION("""COMPUTED_VALUE"""),"Proyecto")</f>
        <v>Proyecto</v>
      </c>
      <c r="G175" s="4" t="str">
        <f>IFERROR(__xludf.DUMMYFUNCTION("""COMPUTED_VALUE"""),"UdeA")</f>
        <v>UdeA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 t="str">
        <f>IFERROR(__xludf.DUMMYFUNCTION("""COMPUTED_VALUE"""),"Ninguna")</f>
        <v>Ninguna</v>
      </c>
      <c r="U175" s="4" t="str">
        <f>IFERROR(__xludf.DUMMYFUNCTION("""COMPUTED_VALUE"""),"Ninguna")</f>
        <v>Ninguna</v>
      </c>
      <c r="V175" s="4"/>
      <c r="W175" s="4" t="str">
        <f>IFERROR(__xludf.DUMMYFUNCTION("""COMPUTED_VALUE"""),"Proyecto")</f>
        <v>Proyecto</v>
      </c>
      <c r="X175" s="4" t="str">
        <f>IFERROR(__xludf.DUMMYFUNCTION("""COMPUTED_VALUE"""),"UdeA")</f>
        <v>UdeA</v>
      </c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 t="str">
        <f>IFERROR(__xludf.DUMMYFUNCTION("""COMPUTED_VALUE"""),"Gabriel Agudelo Echavarria")</f>
        <v>Gabriel Agudelo Echavarria</v>
      </c>
      <c r="AU175" s="4"/>
      <c r="AV175" s="4"/>
      <c r="AW175" s="4" t="str">
        <f>IFERROR(__xludf.DUMMYFUNCTION("""COMPUTED_VALUE"""),"En Curso")</f>
        <v>En Curso</v>
      </c>
      <c r="AX175" s="4">
        <f>IFERROR(__xludf.DUMMYFUNCTION("""COMPUTED_VALUE"""),5.0)</f>
        <v>5</v>
      </c>
      <c r="AY175" s="4" t="str">
        <f>IFERROR(__xludf.DUMMYFUNCTION("""COMPUTED_VALUE"""),"Maestría en Ingeniería Ambiental")</f>
        <v>Maestría en Ingeniería Ambiental</v>
      </c>
      <c r="AZ175" s="4"/>
    </row>
    <row r="176">
      <c r="A176" s="4" t="str">
        <f>IFERROR(__xludf.DUMMYFUNCTION("""COMPUTED_VALUE"""),"Proy15")</f>
        <v>Proy15</v>
      </c>
      <c r="B176" s="4" t="str">
        <f>IFERROR(__xludf.DUMMYFUNCTION("""COMPUTED_VALUE"""),"Formación_RH")</f>
        <v>Formación_RH</v>
      </c>
      <c r="C176" s="4" t="str">
        <f>IFERROR(__xludf.DUMMYFUNCTION("""COMPUTED_VALUE"""),"Vinculación de estudiante de maestría")</f>
        <v>Vinculación de estudiante de maestría</v>
      </c>
      <c r="D176" s="4" t="str">
        <f>IFERROR(__xludf.DUMMYFUNCTION("""COMPUTED_VALUE"""),"Ninguna")</f>
        <v>Ninguna</v>
      </c>
      <c r="E176" s="4"/>
      <c r="F176" s="4" t="str">
        <f>IFERROR(__xludf.DUMMYFUNCTION("""COMPUTED_VALUE"""),"Proyecto")</f>
        <v>Proyecto</v>
      </c>
      <c r="G176" s="4" t="str">
        <f>IFERROR(__xludf.DUMMYFUNCTION("""COMPUTED_VALUE"""),"UdeA")</f>
        <v>UdeA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 t="str">
        <f>IFERROR(__xludf.DUMMYFUNCTION("""COMPUTED_VALUE"""),"Ninguna")</f>
        <v>Ninguna</v>
      </c>
      <c r="V176" s="4"/>
      <c r="W176" s="4" t="str">
        <f>IFERROR(__xludf.DUMMYFUNCTION("""COMPUTED_VALUE"""),"Proyecto")</f>
        <v>Proyecto</v>
      </c>
      <c r="X176" s="4" t="str">
        <f>IFERROR(__xludf.DUMMYFUNCTION("""COMPUTED_VALUE"""),"UdeA")</f>
        <v>UdeA</v>
      </c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 t="str">
        <f>IFERROR(__xludf.DUMMYFUNCTION("""COMPUTED_VALUE"""),"Verónica Isabel Castro Sánchez")</f>
        <v>Verónica Isabel Castro Sánchez</v>
      </c>
      <c r="AU176" s="4"/>
      <c r="AV176" s="4"/>
      <c r="AW176" s="4" t="str">
        <f>IFERROR(__xludf.DUMMYFUNCTION("""COMPUTED_VALUE"""),"En Curso")</f>
        <v>En Curso</v>
      </c>
      <c r="AX176" s="4">
        <f>IFERROR(__xludf.DUMMYFUNCTION("""COMPUTED_VALUE"""),5.0)</f>
        <v>5</v>
      </c>
      <c r="AY176" s="4" t="str">
        <f>IFERROR(__xludf.DUMMYFUNCTION("""COMPUTED_VALUE"""),"Maestría en Ingeniería Ambiental")</f>
        <v>Maestría en Ingeniería Ambiental</v>
      </c>
      <c r="AZ176" s="4"/>
    </row>
    <row r="177">
      <c r="A177" s="4" t="str">
        <f>IFERROR(__xludf.DUMMYFUNCTION("""COMPUTED_VALUE"""),"Proy15")</f>
        <v>Proy15</v>
      </c>
      <c r="B177" s="4" t="str">
        <f>IFERROR(__xludf.DUMMYFUNCTION("""COMPUTED_VALUE"""),"Formación_RH")</f>
        <v>Formación_RH</v>
      </c>
      <c r="C177" s="4" t="str">
        <f>IFERROR(__xludf.DUMMYFUNCTION("""COMPUTED_VALUE"""),"Vinculación de estudiante de maestría")</f>
        <v>Vinculación de estudiante de maestría</v>
      </c>
      <c r="D177" s="4" t="str">
        <f>IFERROR(__xludf.DUMMYFUNCTION("""COMPUTED_VALUE"""),"Ninguna")</f>
        <v>Ninguna</v>
      </c>
      <c r="E177" s="4"/>
      <c r="F177" s="4" t="str">
        <f>IFERROR(__xludf.DUMMYFUNCTION("""COMPUTED_VALUE"""),"Proyecto")</f>
        <v>Proyecto</v>
      </c>
      <c r="G177" s="4" t="str">
        <f>IFERROR(__xludf.DUMMYFUNCTION("""COMPUTED_VALUE"""),"UdeA")</f>
        <v>UdeA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 t="str">
        <f>IFERROR(__xludf.DUMMYFUNCTION("""COMPUTED_VALUE"""),"Ninguna")</f>
        <v>Ninguna</v>
      </c>
      <c r="V177" s="4"/>
      <c r="W177" s="4" t="str">
        <f>IFERROR(__xludf.DUMMYFUNCTION("""COMPUTED_VALUE"""),"Proyecto")</f>
        <v>Proyecto</v>
      </c>
      <c r="X177" s="4" t="str">
        <f>IFERROR(__xludf.DUMMYFUNCTION("""COMPUTED_VALUE"""),"UdeA")</f>
        <v>UdeA</v>
      </c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 t="str">
        <f>IFERROR(__xludf.DUMMYFUNCTION("""COMPUTED_VALUE"""),"Camilo Andrés Valderrama Benitez")</f>
        <v>Camilo Andrés Valderrama Benitez</v>
      </c>
      <c r="AU177" s="4"/>
      <c r="AV177" s="4"/>
      <c r="AW177" s="4" t="str">
        <f>IFERROR(__xludf.DUMMYFUNCTION("""COMPUTED_VALUE"""),"En Curso")</f>
        <v>En Curso</v>
      </c>
      <c r="AX177" s="4">
        <f>IFERROR(__xludf.DUMMYFUNCTION("""COMPUTED_VALUE"""),5.0)</f>
        <v>5</v>
      </c>
      <c r="AY177" s="4" t="str">
        <f>IFERROR(__xludf.DUMMYFUNCTION("""COMPUTED_VALUE"""),"Maestría en Ingeniería Ambiental")</f>
        <v>Maestría en Ingeniería Ambiental</v>
      </c>
      <c r="AZ177" s="4"/>
    </row>
    <row r="178">
      <c r="A178" s="4" t="str">
        <f>IFERROR(__xludf.DUMMYFUNCTION("""COMPUTED_VALUE"""),"Proy15")</f>
        <v>Proy15</v>
      </c>
      <c r="B178" s="4" t="str">
        <f>IFERROR(__xludf.DUMMYFUNCTION("""COMPUTED_VALUE"""),"Formación_RH")</f>
        <v>Formación_RH</v>
      </c>
      <c r="C178" s="4" t="str">
        <f>IFERROR(__xludf.DUMMYFUNCTION("""COMPUTED_VALUE"""),"Vinculación de estudiante de maestría")</f>
        <v>Vinculación de estudiante de maestría</v>
      </c>
      <c r="D178" s="4" t="str">
        <f>IFERROR(__xludf.DUMMYFUNCTION("""COMPUTED_VALUE"""),"Ninguna")</f>
        <v>Ninguna</v>
      </c>
      <c r="E178" s="4"/>
      <c r="F178" s="4" t="str">
        <f>IFERROR(__xludf.DUMMYFUNCTION("""COMPUTED_VALUE"""),"Proyecto")</f>
        <v>Proyecto</v>
      </c>
      <c r="G178" s="4" t="str">
        <f>IFERROR(__xludf.DUMMYFUNCTION("""COMPUTED_VALUE"""),"UdeA")</f>
        <v>UdeA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 t="str">
        <f>IFERROR(__xludf.DUMMYFUNCTION("""COMPUTED_VALUE"""),"Ninguna")</f>
        <v>Ninguna</v>
      </c>
      <c r="V178" s="4"/>
      <c r="W178" s="4" t="str">
        <f>IFERROR(__xludf.DUMMYFUNCTION("""COMPUTED_VALUE"""),"Proyecto")</f>
        <v>Proyecto</v>
      </c>
      <c r="X178" s="4" t="str">
        <f>IFERROR(__xludf.DUMMYFUNCTION("""COMPUTED_VALUE"""),"UdeA")</f>
        <v>UdeA</v>
      </c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str">
        <f>IFERROR(__xludf.DUMMYFUNCTION("""COMPUTED_VALUE"""),"Giovanni Andrés Quintana Pedraza")</f>
        <v>Giovanni Andrés Quintana Pedraza</v>
      </c>
      <c r="AU178" s="4"/>
      <c r="AV178" s="4"/>
      <c r="AW178" s="4" t="str">
        <f>IFERROR(__xludf.DUMMYFUNCTION("""COMPUTED_VALUE"""),"En Curso")</f>
        <v>En Curso</v>
      </c>
      <c r="AX178" s="4">
        <f>IFERROR(__xludf.DUMMYFUNCTION("""COMPUTED_VALUE"""),5.0)</f>
        <v>5</v>
      </c>
      <c r="AY178" s="4" t="str">
        <f>IFERROR(__xludf.DUMMYFUNCTION("""COMPUTED_VALUE"""),"Maestría en Ingeniería Ambiental")</f>
        <v>Maestría en Ingeniería Ambiental</v>
      </c>
      <c r="AZ178" s="4"/>
    </row>
    <row r="179">
      <c r="A179" s="4" t="str">
        <f>IFERROR(__xludf.DUMMYFUNCTION("""COMPUTED_VALUE"""),"Proy15")</f>
        <v>Proy15</v>
      </c>
      <c r="B179" s="4" t="str">
        <f>IFERROR(__xludf.DUMMYFUNCTION("""COMPUTED_VALUE"""),"Formación_RH")</f>
        <v>Formación_RH</v>
      </c>
      <c r="C179" s="4" t="str">
        <f>IFERROR(__xludf.DUMMYFUNCTION("""COMPUTED_VALUE"""),"Vinculación de estudiante de maestría")</f>
        <v>Vinculación de estudiante de maestría</v>
      </c>
      <c r="D179" s="4" t="str">
        <f>IFERROR(__xludf.DUMMYFUNCTION("""COMPUTED_VALUE"""),"Ninguna")</f>
        <v>Ninguna</v>
      </c>
      <c r="E179" s="4"/>
      <c r="F179" s="4" t="str">
        <f>IFERROR(__xludf.DUMMYFUNCTION("""COMPUTED_VALUE"""),"Proyecto")</f>
        <v>Proyecto</v>
      </c>
      <c r="G179" s="4" t="str">
        <f>IFERROR(__xludf.DUMMYFUNCTION("""COMPUTED_VALUE"""),"UdeA")</f>
        <v>UdeA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 t="str">
        <f>IFERROR(__xludf.DUMMYFUNCTION("""COMPUTED_VALUE"""),"Ninguna")</f>
        <v>Ninguna</v>
      </c>
      <c r="V179" s="4"/>
      <c r="W179" s="4" t="str">
        <f>IFERROR(__xludf.DUMMYFUNCTION("""COMPUTED_VALUE"""),"Proyecto")</f>
        <v>Proyecto</v>
      </c>
      <c r="X179" s="4" t="str">
        <f>IFERROR(__xludf.DUMMYFUNCTION("""COMPUTED_VALUE"""),"UdeA")</f>
        <v>UdeA</v>
      </c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 t="str">
        <f>IFERROR(__xludf.DUMMYFUNCTION("""COMPUTED_VALUE"""),"Ana María Zapata Cortínez")</f>
        <v>Ana María Zapata Cortínez</v>
      </c>
      <c r="AU179" s="4"/>
      <c r="AV179" s="4"/>
      <c r="AW179" s="4" t="str">
        <f>IFERROR(__xludf.DUMMYFUNCTION("""COMPUTED_VALUE"""),"En Curso")</f>
        <v>En Curso</v>
      </c>
      <c r="AX179" s="4">
        <f>IFERROR(__xludf.DUMMYFUNCTION("""COMPUTED_VALUE"""),5.0)</f>
        <v>5</v>
      </c>
      <c r="AY179" s="4" t="str">
        <f>IFERROR(__xludf.DUMMYFUNCTION("""COMPUTED_VALUE"""),"Maestría en Economía")</f>
        <v>Maestría en Economía</v>
      </c>
      <c r="AZ179" s="4"/>
    </row>
    <row r="180">
      <c r="A180" s="4" t="str">
        <f>IFERROR(__xludf.DUMMYFUNCTION("""COMPUTED_VALUE"""),"Proy3")</f>
        <v>Proy3</v>
      </c>
      <c r="B180" s="4" t="str">
        <f>IFERROR(__xludf.DUMMYFUNCTION("""COMPUTED_VALUE"""),"Formación_RH")</f>
        <v>Formación_RH</v>
      </c>
      <c r="C180" s="4" t="str">
        <f>IFERROR(__xludf.DUMMYFUNCTION("""COMPUTED_VALUE"""),"Vinculación de estudiante de maestría")</f>
        <v>Vinculación de estudiante de maestría</v>
      </c>
      <c r="D180" s="4" t="str">
        <f>IFERROR(__xludf.DUMMYFUNCTION("""COMPUTED_VALUE"""),"Ninguna")</f>
        <v>Ninguna</v>
      </c>
      <c r="E180" s="4"/>
      <c r="F180" s="4" t="str">
        <f>IFERROR(__xludf.DUMMYFUNCTION("""COMPUTED_VALUE"""),"Proyecto")</f>
        <v>Proyecto</v>
      </c>
      <c r="G180" s="4" t="str">
        <f>IFERROR(__xludf.DUMMYFUNCTION("""COMPUTED_VALUE"""),"UdeA")</f>
        <v>UdeA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 t="str">
        <f>IFERROR(__xludf.DUMMYFUNCTION("""COMPUTED_VALUE"""),"Ninguna")</f>
        <v>Ninguna</v>
      </c>
      <c r="V180" s="4"/>
      <c r="W180" s="4" t="str">
        <f>IFERROR(__xludf.DUMMYFUNCTION("""COMPUTED_VALUE"""),"Proyecto")</f>
        <v>Proyecto</v>
      </c>
      <c r="X180" s="4" t="str">
        <f>IFERROR(__xludf.DUMMYFUNCTION("""COMPUTED_VALUE"""),"UdeA")</f>
        <v>UdeA</v>
      </c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 t="str">
        <f>IFERROR(__xludf.DUMMYFUNCTION("""COMPUTED_VALUE"""),"Cristhian Pabón Rojas")</f>
        <v>Cristhian Pabón Rojas</v>
      </c>
      <c r="AU180" s="4"/>
      <c r="AV180" s="4"/>
      <c r="AW180" s="4" t="str">
        <f>IFERROR(__xludf.DUMMYFUNCTION("""COMPUTED_VALUE"""),"En Curso")</f>
        <v>En Curso</v>
      </c>
      <c r="AX180" s="4">
        <f>IFERROR(__xludf.DUMMYFUNCTION("""COMPUTED_VALUE"""),5.0)</f>
        <v>5</v>
      </c>
      <c r="AY180" s="4" t="str">
        <f>IFERROR(__xludf.DUMMYFUNCTION("""COMPUTED_VALUE"""),"Maestría en Ingeniería Mecánica")</f>
        <v>Maestría en Ingeniería Mecánica</v>
      </c>
      <c r="AZ180" s="4"/>
    </row>
    <row r="181">
      <c r="A181" s="4" t="str">
        <f>IFERROR(__xludf.DUMMYFUNCTION("""COMPUTED_VALUE"""),"Proy14")</f>
        <v>Proy14</v>
      </c>
      <c r="B181" s="4" t="str">
        <f>IFERROR(__xludf.DUMMYFUNCTION("""COMPUTED_VALUE"""),"Formación_RH")</f>
        <v>Formación_RH</v>
      </c>
      <c r="C181" s="4" t="str">
        <f>IFERROR(__xludf.DUMMYFUNCTION("""COMPUTED_VALUE"""),"Vinculación de estudiante de maestría")</f>
        <v>Vinculación de estudiante de maestría</v>
      </c>
      <c r="D181" s="4" t="str">
        <f>IFERROR(__xludf.DUMMYFUNCTION("""COMPUTED_VALUE"""),"Ninguna")</f>
        <v>Ninguna</v>
      </c>
      <c r="E181" s="4"/>
      <c r="F181" s="4" t="str">
        <f>IFERROR(__xludf.DUMMYFUNCTION("""COMPUTED_VALUE"""),"Proyecto")</f>
        <v>Proyecto</v>
      </c>
      <c r="G181" s="4" t="str">
        <f>IFERROR(__xludf.DUMMYFUNCTION("""COMPUTED_VALUE"""),"UniValle")</f>
        <v>UniValle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 t="str">
        <f>IFERROR(__xludf.DUMMYFUNCTION("""COMPUTED_VALUE"""),"Ninguna")</f>
        <v>Ninguna</v>
      </c>
      <c r="V181" s="4"/>
      <c r="W181" s="4" t="str">
        <f>IFERROR(__xludf.DUMMYFUNCTION("""COMPUTED_VALUE"""),"Proyecto")</f>
        <v>Proyecto</v>
      </c>
      <c r="X181" s="4" t="str">
        <f>IFERROR(__xludf.DUMMYFUNCTION("""COMPUTED_VALUE"""),"UniValle")</f>
        <v>UniValle</v>
      </c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 t="str">
        <f>IFERROR(__xludf.DUMMYFUNCTION("""COMPUTED_VALUE"""),"James Mauricio Gaviria Castro")</f>
        <v>James Mauricio Gaviria Castro</v>
      </c>
      <c r="AU181" s="4"/>
      <c r="AV181" s="4"/>
      <c r="AW181" s="4" t="str">
        <f>IFERROR(__xludf.DUMMYFUNCTION("""COMPUTED_VALUE"""),"En Curso")</f>
        <v>En Curso</v>
      </c>
      <c r="AX181" s="4">
        <f>IFERROR(__xludf.DUMMYFUNCTION("""COMPUTED_VALUE"""),5.0)</f>
        <v>5</v>
      </c>
      <c r="AY181" s="4" t="str">
        <f>IFERROR(__xludf.DUMMYFUNCTION("""COMPUTED_VALUE"""),"Maestría en Ingeniería con énfasis en Ingeniería Electrónica")</f>
        <v>Maestría en Ingeniería con énfasis en Ingeniería Electrónica</v>
      </c>
      <c r="AZ181" s="4"/>
    </row>
    <row r="182">
      <c r="A182" s="4" t="str">
        <f>IFERROR(__xludf.DUMMYFUNCTION("""COMPUTED_VALUE"""),"Proy1")</f>
        <v>Proy1</v>
      </c>
      <c r="B182" s="4" t="str">
        <f>IFERROR(__xludf.DUMMYFUNCTION("""COMPUTED_VALUE"""),"Formación_RH")</f>
        <v>Formación_RH</v>
      </c>
      <c r="C182" s="4" t="str">
        <f>IFERROR(__xludf.DUMMYFUNCTION("""COMPUTED_VALUE"""),"Vinculación de estudiante de maestría")</f>
        <v>Vinculación de estudiante de maestría</v>
      </c>
      <c r="D182" s="4" t="str">
        <f>IFERROR(__xludf.DUMMYFUNCTION("""COMPUTED_VALUE"""),"Ninguna")</f>
        <v>Ninguna</v>
      </c>
      <c r="E182" s="4"/>
      <c r="F182" s="4" t="str">
        <f>IFERROR(__xludf.DUMMYFUNCTION("""COMPUTED_VALUE"""),"Proyecto")</f>
        <v>Proyecto</v>
      </c>
      <c r="G182" s="4" t="str">
        <f>IFERROR(__xludf.DUMMYFUNCTION("""COMPUTED_VALUE"""),"UdeA")</f>
        <v>UdeA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 t="str">
        <f>IFERROR(__xludf.DUMMYFUNCTION("""COMPUTED_VALUE"""),"Ninguna")</f>
        <v>Ninguna</v>
      </c>
      <c r="V182" s="4"/>
      <c r="W182" s="4" t="str">
        <f>IFERROR(__xludf.DUMMYFUNCTION("""COMPUTED_VALUE"""),"Proyecto")</f>
        <v>Proyecto</v>
      </c>
      <c r="X182" s="4" t="str">
        <f>IFERROR(__xludf.DUMMYFUNCTION("""COMPUTED_VALUE"""),"UdeA")</f>
        <v>UdeA</v>
      </c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 t="str">
        <f>IFERROR(__xludf.DUMMYFUNCTION("""COMPUTED_VALUE"""),"Johan Betancour Osorio")</f>
        <v>Johan Betancour Osorio</v>
      </c>
      <c r="AU182" s="4"/>
      <c r="AV182" s="4"/>
      <c r="AW182" s="4" t="str">
        <f>IFERROR(__xludf.DUMMYFUNCTION("""COMPUTED_VALUE"""),"En Curso")</f>
        <v>En Curso</v>
      </c>
      <c r="AX182" s="4">
        <f>IFERROR(__xludf.DUMMYFUNCTION("""COMPUTED_VALUE"""),5.0)</f>
        <v>5</v>
      </c>
      <c r="AY182" s="4" t="str">
        <f>IFERROR(__xludf.DUMMYFUNCTION("""COMPUTED_VALUE"""),"Maestría en Ingeniería Mecánica")</f>
        <v>Maestría en Ingeniería Mecánica</v>
      </c>
      <c r="AZ182" s="4"/>
    </row>
    <row r="183">
      <c r="A183" s="4" t="str">
        <f>IFERROR(__xludf.DUMMYFUNCTION("""COMPUTED_VALUE"""),"Proy3")</f>
        <v>Proy3</v>
      </c>
      <c r="B183" s="4" t="str">
        <f>IFERROR(__xludf.DUMMYFUNCTION("""COMPUTED_VALUE"""),"Formación_RH")</f>
        <v>Formación_RH</v>
      </c>
      <c r="C183" s="4" t="str">
        <f>IFERROR(__xludf.DUMMYFUNCTION("""COMPUTED_VALUE"""),"Vinculación de estudiante de maestría")</f>
        <v>Vinculación de estudiante de maestría</v>
      </c>
      <c r="D183" s="4" t="str">
        <f>IFERROR(__xludf.DUMMYFUNCTION("""COMPUTED_VALUE"""),"Ninguna")</f>
        <v>Ninguna</v>
      </c>
      <c r="E183" s="4"/>
      <c r="F183" s="4" t="str">
        <f>IFERROR(__xludf.DUMMYFUNCTION("""COMPUTED_VALUE"""),"Proyecto")</f>
        <v>Proyecto</v>
      </c>
      <c r="G183" s="4" t="str">
        <f>IFERROR(__xludf.DUMMYFUNCTION("""COMPUTED_VALUE"""),"UdeA")</f>
        <v>UdeA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 t="str">
        <f>IFERROR(__xludf.DUMMYFUNCTION("""COMPUTED_VALUE"""),"Ninguna")</f>
        <v>Ninguna</v>
      </c>
      <c r="V183" s="4"/>
      <c r="W183" s="4" t="str">
        <f>IFERROR(__xludf.DUMMYFUNCTION("""COMPUTED_VALUE"""),"Proyecto")</f>
        <v>Proyecto</v>
      </c>
      <c r="X183" s="4" t="str">
        <f>IFERROR(__xludf.DUMMYFUNCTION("""COMPUTED_VALUE"""),"UdeA")</f>
        <v>UdeA</v>
      </c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 t="str">
        <f>IFERROR(__xludf.DUMMYFUNCTION("""COMPUTED_VALUE"""),"Luis Antonio Gallo Jaramillo")</f>
        <v>Luis Antonio Gallo Jaramillo</v>
      </c>
      <c r="AU183" s="4"/>
      <c r="AV183" s="4"/>
      <c r="AW183" s="4" t="str">
        <f>IFERROR(__xludf.DUMMYFUNCTION("""COMPUTED_VALUE"""),"En Curso")</f>
        <v>En Curso</v>
      </c>
      <c r="AX183" s="4">
        <f>IFERROR(__xludf.DUMMYFUNCTION("""COMPUTED_VALUE"""),5.0)</f>
        <v>5</v>
      </c>
      <c r="AY183" s="4" t="str">
        <f>IFERROR(__xludf.DUMMYFUNCTION("""COMPUTED_VALUE"""),"Maestría en Ingeniería Mecánica")</f>
        <v>Maestría en Ingeniería Mecánica</v>
      </c>
      <c r="AZ183" s="4"/>
    </row>
    <row r="184">
      <c r="A184" s="4" t="str">
        <f>IFERROR(__xludf.DUMMYFUNCTION("""COMPUTED_VALUE"""),"Proy8")</f>
        <v>Proy8</v>
      </c>
      <c r="B184" s="4" t="str">
        <f>IFERROR(__xludf.DUMMYFUNCTION("""COMPUTED_VALUE"""),"Formación_RH")</f>
        <v>Formación_RH</v>
      </c>
      <c r="C184" s="4" t="str">
        <f>IFERROR(__xludf.DUMMYFUNCTION("""COMPUTED_VALUE"""),"Vinculación de estudiante de maestría")</f>
        <v>Vinculación de estudiante de maestría</v>
      </c>
      <c r="D184" s="4" t="str">
        <f>IFERROR(__xludf.DUMMYFUNCTION("""COMPUTED_VALUE"""),"Ninguna")</f>
        <v>Ninguna</v>
      </c>
      <c r="E184" s="4"/>
      <c r="F184" s="4" t="str">
        <f>IFERROR(__xludf.DUMMYFUNCTION("""COMPUTED_VALUE"""),"Proyecto")</f>
        <v>Proyecto</v>
      </c>
      <c r="G184" s="4" t="str">
        <f>IFERROR(__xludf.DUMMYFUNCTION("""COMPUTED_VALUE"""),"Univerasidad de La Sabana")</f>
        <v>Univerasidad de La Sabana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 t="str">
        <f>IFERROR(__xludf.DUMMYFUNCTION("""COMPUTED_VALUE"""),"Ninguna")</f>
        <v>Ninguna</v>
      </c>
      <c r="V184" s="4"/>
      <c r="W184" s="4" t="str">
        <f>IFERROR(__xludf.DUMMYFUNCTION("""COMPUTED_VALUE"""),"Proyecto")</f>
        <v>Proyecto</v>
      </c>
      <c r="X184" s="4" t="str">
        <f>IFERROR(__xludf.DUMMYFUNCTION("""COMPUTED_VALUE"""),"Univerasidad de La Sabana")</f>
        <v>Univerasidad de La Sabana</v>
      </c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 t="str">
        <f>IFERROR(__xludf.DUMMYFUNCTION("""COMPUTED_VALUE"""),"Santiago Ortiz Laverde")</f>
        <v>Santiago Ortiz Laverde</v>
      </c>
      <c r="AU184" s="4"/>
      <c r="AV184" s="4"/>
      <c r="AW184" s="4" t="str">
        <f>IFERROR(__xludf.DUMMYFUNCTION("""COMPUTED_VALUE"""),"En Curso")</f>
        <v>En Curso</v>
      </c>
      <c r="AX184" s="4">
        <f>IFERROR(__xludf.DUMMYFUNCTION("""COMPUTED_VALUE"""),5.0)</f>
        <v>5</v>
      </c>
      <c r="AY184" s="4" t="str">
        <f>IFERROR(__xludf.DUMMYFUNCTION("""COMPUTED_VALUE"""),"Maestría en Diseño y Gestión de Procesos")</f>
        <v>Maestría en Diseño y Gestión de Procesos</v>
      </c>
      <c r="AZ184" s="4"/>
    </row>
    <row r="185">
      <c r="A185" s="4" t="str">
        <f>IFERROR(__xludf.DUMMYFUNCTION("""COMPUTED_VALUE"""),"Proy4")</f>
        <v>Proy4</v>
      </c>
      <c r="B185" s="4" t="str">
        <f>IFERROR(__xludf.DUMMYFUNCTION("""COMPUTED_VALUE"""),"Formación_RH")</f>
        <v>Formación_RH</v>
      </c>
      <c r="C185" s="4" t="str">
        <f>IFERROR(__xludf.DUMMYFUNCTION("""COMPUTED_VALUE"""),"Vinculación de estudiante de maestría")</f>
        <v>Vinculación de estudiante de maestría</v>
      </c>
      <c r="D185" s="4" t="str">
        <f>IFERROR(__xludf.DUMMYFUNCTION("""COMPUTED_VALUE"""),"Ninguna")</f>
        <v>Ninguna</v>
      </c>
      <c r="E185" s="4"/>
      <c r="F185" s="4" t="str">
        <f>IFERROR(__xludf.DUMMYFUNCTION("""COMPUTED_VALUE"""),"Proyecto")</f>
        <v>Proyecto</v>
      </c>
      <c r="G185" s="4" t="str">
        <f>IFERROR(__xludf.DUMMYFUNCTION("""COMPUTED_VALUE"""),"UdeA")</f>
        <v>UdeA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 t="str">
        <f>IFERROR(__xludf.DUMMYFUNCTION("""COMPUTED_VALUE"""),"Ninguna")</f>
        <v>Ninguna</v>
      </c>
      <c r="V185" s="4"/>
      <c r="W185" s="4" t="str">
        <f>IFERROR(__xludf.DUMMYFUNCTION("""COMPUTED_VALUE"""),"Proyecto")</f>
        <v>Proyecto</v>
      </c>
      <c r="X185" s="4" t="str">
        <f>IFERROR(__xludf.DUMMYFUNCTION("""COMPUTED_VALUE"""),"UdeA")</f>
        <v>UdeA</v>
      </c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 t="str">
        <f>IFERROR(__xludf.DUMMYFUNCTION("""COMPUTED_VALUE"""),"Mauricio Alberto Roque Morales")</f>
        <v>Mauricio Alberto Roque Morales</v>
      </c>
      <c r="AU185" s="4"/>
      <c r="AV185" s="4"/>
      <c r="AW185" s="4" t="str">
        <f>IFERROR(__xludf.DUMMYFUNCTION("""COMPUTED_VALUE"""),"En Curso")</f>
        <v>En Curso</v>
      </c>
      <c r="AX185" s="4">
        <f>IFERROR(__xludf.DUMMYFUNCTION("""COMPUTED_VALUE"""),5.0)</f>
        <v>5</v>
      </c>
      <c r="AY185" s="4" t="str">
        <f>IFERROR(__xludf.DUMMYFUNCTION("""COMPUTED_VALUE"""),"Maestría en Ingeniería Mecánica")</f>
        <v>Maestría en Ingeniería Mecánica</v>
      </c>
      <c r="AZ185" s="4"/>
    </row>
    <row r="186">
      <c r="A186" s="4" t="str">
        <f>IFERROR(__xludf.DUMMYFUNCTION("""COMPUTED_VALUE"""),"Proy15")</f>
        <v>Proy15</v>
      </c>
      <c r="B186" s="4" t="str">
        <f>IFERROR(__xludf.DUMMYFUNCTION("""COMPUTED_VALUE"""),"Formación_RH")</f>
        <v>Formación_RH</v>
      </c>
      <c r="C186" s="4" t="str">
        <f>IFERROR(__xludf.DUMMYFUNCTION("""COMPUTED_VALUE"""),"Vinculación de estudiante de maestría")</f>
        <v>Vinculación de estudiante de maestría</v>
      </c>
      <c r="D186" s="4" t="str">
        <f>IFERROR(__xludf.DUMMYFUNCTION("""COMPUTED_VALUE"""),"Vinculación de estudiante de doctorado")</f>
        <v>Vinculación de estudiante de doctorado</v>
      </c>
      <c r="E186" s="4" t="str">
        <f>IFERROR(__xludf.DUMMYFUNCTION("""COMPUTED_VALUE"""),"Formación de estudiante de doctorado")</f>
        <v>Formación de estudiante de doctorado</v>
      </c>
      <c r="F186" s="4" t="str">
        <f>IFERROR(__xludf.DUMMYFUNCTION("""COMPUTED_VALUE"""),"Vinculación de estudiante de maestría")</f>
        <v>Vinculación de estudiante de maestría</v>
      </c>
      <c r="G186" s="4" t="str">
        <f>IFERROR(__xludf.DUMMYFUNCTION("""COMPUTED_VALUE"""),"Formación de estudiante de maestría")</f>
        <v>Formación de estudiante de maestría</v>
      </c>
      <c r="H186" s="4" t="str">
        <f>IFERROR(__xludf.DUMMYFUNCTION("""COMPUTED_VALUE"""),"Vinculación de estudiante de pregrado")</f>
        <v>Vinculación de estudiante de pregrado</v>
      </c>
      <c r="I186" s="4" t="str">
        <f>IFERROR(__xludf.DUMMYFUNCTION("""COMPUTED_VALUE"""),"Formación de estudiante de pregrado")</f>
        <v>Formación de estudiante de pregrado</v>
      </c>
      <c r="J186" s="4" t="str">
        <f>IFERROR(__xludf.DUMMYFUNCTION("""COMPUTED_VALUE"""),"Joven investigador")</f>
        <v>Joven investigador</v>
      </c>
      <c r="K186" s="4" t="str">
        <f>IFERROR(__xludf.DUMMYFUNCTION("""COMPUTED_VALUE"""),"Pasantía nacional")</f>
        <v>Pasantía nacional</v>
      </c>
      <c r="L186" s="4" t="str">
        <f>IFERROR(__xludf.DUMMYFUNCTION("""COMPUTED_VALUE"""),"Pasantía internacional")</f>
        <v>Pasantía internacional</v>
      </c>
      <c r="M186" s="4"/>
      <c r="N186" s="4"/>
      <c r="O186" s="4"/>
      <c r="P186" s="4"/>
      <c r="Q186" s="4"/>
      <c r="R186" s="4"/>
      <c r="S186" s="4"/>
      <c r="T186" s="4"/>
      <c r="U186" s="4" t="str">
        <f>IFERROR(__xludf.DUMMYFUNCTION("""COMPUTED_VALUE"""),"Ninguna")</f>
        <v>Ninguna</v>
      </c>
      <c r="V186" s="4"/>
      <c r="W186" s="4" t="str">
        <f>IFERROR(__xludf.DUMMYFUNCTION("""COMPUTED_VALUE"""),"Proyecto")</f>
        <v>Proyecto</v>
      </c>
      <c r="X186" s="4" t="str">
        <f>IFERROR(__xludf.DUMMYFUNCTION("""COMPUTED_VALUE"""),"UdeA")</f>
        <v>UdeA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 t="str">
        <f>IFERROR(__xludf.DUMMYFUNCTION("""COMPUTED_VALUE"""),"Andrea Cuervo Gómez")</f>
        <v>Andrea Cuervo Gómez</v>
      </c>
      <c r="AU186" s="4"/>
      <c r="AV186" s="4"/>
      <c r="AW186" s="4" t="str">
        <f>IFERROR(__xludf.DUMMYFUNCTION("""COMPUTED_VALUE"""),"En Curso")</f>
        <v>En Curso</v>
      </c>
      <c r="AX186" s="4">
        <f>IFERROR(__xludf.DUMMYFUNCTION("""COMPUTED_VALUE"""),5.0)</f>
        <v>5</v>
      </c>
      <c r="AY186" s="4" t="str">
        <f>IFERROR(__xludf.DUMMYFUNCTION("""COMPUTED_VALUE"""),"Maestría en Ingeniería Ambiental")</f>
        <v>Maestría en Ingeniería Ambiental</v>
      </c>
      <c r="AZ186" s="4"/>
    </row>
    <row r="187">
      <c r="A187" s="4" t="str">
        <f>IFERROR(__xludf.DUMMYFUNCTION("""COMPUTED_VALUE"""),"Proy4")</f>
        <v>Proy4</v>
      </c>
      <c r="B187" s="4" t="str">
        <f>IFERROR(__xludf.DUMMYFUNCTION("""COMPUTED_VALUE"""),"Apropiación")</f>
        <v>Apropiación</v>
      </c>
      <c r="C187" s="4" t="str">
        <f>IFERROR(__xludf.DUMMYFUNCTION("""COMPUTED_VALUE"""),"Ponencia")</f>
        <v>Ponencia</v>
      </c>
      <c r="D187" s="4" t="str">
        <f>IFERROR(__xludf.DUMMYFUNCTION("""COMPUTED_VALUE"""),"Ponencia")</f>
        <v>Ponencia</v>
      </c>
      <c r="E187" s="4" t="str">
        <f>IFERROR(__xludf.DUMMYFUNCTION("""COMPUTED_VALUE"""),"Evento científico")</f>
        <v>Evento científico</v>
      </c>
      <c r="F187" s="4" t="str">
        <f>IFERROR(__xludf.DUMMYFUNCTION("""COMPUTED_VALUE"""),"Cartilla")</f>
        <v>Cartilla</v>
      </c>
      <c r="G187" s="4" t="str">
        <f>IFERROR(__xludf.DUMMYFUNCTION("""COMPUTED_VALUE"""),"Curso de capacitación, seminario o taller")</f>
        <v>Curso de capacitación, seminario o taller</v>
      </c>
      <c r="H187" s="4" t="str">
        <f>IFERROR(__xludf.DUMMYFUNCTION("""COMPUTED_VALUE"""),"Socialización de resultados a actores del sector")</f>
        <v>Socialización de resultados a actores del sector</v>
      </c>
      <c r="I187" s="4" t="str">
        <f>IFERROR(__xludf.DUMMYFUNCTION("""COMPUTED_VALUE"""),"Articulación de redes de conocimiento")</f>
        <v>Articulación de redes de conocimiento</v>
      </c>
      <c r="J187" s="4" t="str">
        <f>IFERROR(__xludf.DUMMYFUNCTION("""COMPUTED_VALUE"""),"Circulación de conocimiento especializado - boletines")</f>
        <v>Circulación de conocimiento especializado - boletines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 t="str">
        <f>IFERROR(__xludf.DUMMYFUNCTION("""COMPUTED_VALUE"""),"Ninguna")</f>
        <v>Ninguna</v>
      </c>
      <c r="V187" s="4"/>
      <c r="W187" s="4" t="str">
        <f>IFERROR(__xludf.DUMMYFUNCTION("""COMPUTED_VALUE"""),"Proyecto")</f>
        <v>Proyecto</v>
      </c>
      <c r="X187" s="4" t="str">
        <f>IFERROR(__xludf.DUMMYFUNCTION("""COMPUTED_VALUE"""),"UdeA")</f>
        <v>UdeA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 t="str">
        <f>IFERROR(__xludf.DUMMYFUNCTION("""COMPUTED_VALUE"""),"Ninguna")</f>
        <v>Ninguna</v>
      </c>
      <c r="AL187" s="4"/>
      <c r="AM187" s="4" t="str">
        <f>IFERROR(__xludf.DUMMYFUNCTION("""COMPUTED_VALUE"""),"Obligatorio")</f>
        <v>Obligatorio</v>
      </c>
      <c r="AN187" s="4"/>
      <c r="AO187" s="4"/>
      <c r="AP187" s="4"/>
      <c r="AQ187" s="4"/>
      <c r="AR187" s="4"/>
      <c r="AS187" s="4"/>
      <c r="AT187" s="4" t="str">
        <f>IFERROR(__xludf.DUMMYFUNCTION("""COMPUTED_VALUE""")," IV Congreso Colombiano de Electroquímica")</f>
        <v> IV Congreso Colombiano de Electroquímica</v>
      </c>
      <c r="AU187" s="5" t="str">
        <f>IFERROR(__xludf.DUMMYFUNCTION("""COMPUTED_VALUE"""),"https://drive.google.com/file/d/1P5cW_USpF2eVUlbQ_VhQZ50c5C1Xq248/view?usp=sharing")</f>
        <v>https://drive.google.com/file/d/1P5cW_USpF2eVUlbQ_VhQZ50c5C1Xq248/view?usp=sharing</v>
      </c>
      <c r="AV187" s="4"/>
      <c r="AW187" s="4"/>
      <c r="AX187" s="4">
        <f>IFERROR(__xludf.DUMMYFUNCTION("""COMPUTED_VALUE"""),6.0)</f>
        <v>6</v>
      </c>
      <c r="AY187" s="4" t="str">
        <f>IFERROR(__xludf.DUMMYFUNCTION("""COMPUTED_VALUE"""),"Estudio de la geometría y el régimen de flujo en el desempeño de un electrolizador alcalino")</f>
        <v>Estudio de la geometría y el régimen de flujo en el desempeño de un electrolizador alcalino</v>
      </c>
      <c r="AZ187" s="4"/>
    </row>
    <row r="188">
      <c r="A188" s="4" t="str">
        <f>IFERROR(__xludf.DUMMYFUNCTION("""COMPUTED_VALUE"""),"Proy4")</f>
        <v>Proy4</v>
      </c>
      <c r="B188" s="4" t="str">
        <f>IFERROR(__xludf.DUMMYFUNCTION("""COMPUTED_VALUE"""),"Apropiación")</f>
        <v>Apropiación</v>
      </c>
      <c r="C188" s="4" t="str">
        <f>IFERROR(__xludf.DUMMYFUNCTION("""COMPUTED_VALUE"""),"Ponencia")</f>
        <v>Ponencia</v>
      </c>
      <c r="D188" s="4" t="str">
        <f>IFERROR(__xludf.DUMMYFUNCTION("""COMPUTED_VALUE"""),"Ponencia")</f>
        <v>Ponencia</v>
      </c>
      <c r="E188" s="4" t="str">
        <f>IFERROR(__xludf.DUMMYFUNCTION("""COMPUTED_VALUE"""),"Evento científico")</f>
        <v>Evento científico</v>
      </c>
      <c r="F188" s="4" t="str">
        <f>IFERROR(__xludf.DUMMYFUNCTION("""COMPUTED_VALUE"""),"Cartilla")</f>
        <v>Cartilla</v>
      </c>
      <c r="G188" s="4" t="str">
        <f>IFERROR(__xludf.DUMMYFUNCTION("""COMPUTED_VALUE"""),"Curso de capacitación, seminario o taller")</f>
        <v>Curso de capacitación, seminario o taller</v>
      </c>
      <c r="H188" s="4" t="str">
        <f>IFERROR(__xludf.DUMMYFUNCTION("""COMPUTED_VALUE"""),"Socialización de resultados a actores del sector")</f>
        <v>Socialización de resultados a actores del sector</v>
      </c>
      <c r="I188" s="4" t="str">
        <f>IFERROR(__xludf.DUMMYFUNCTION("""COMPUTED_VALUE"""),"Articulación de redes de conocimiento")</f>
        <v>Articulación de redes de conocimiento</v>
      </c>
      <c r="J188" s="4" t="str">
        <f>IFERROR(__xludf.DUMMYFUNCTION("""COMPUTED_VALUE"""),"Circulación de conocimiento especializado - boletines")</f>
        <v>Circulación de conocimiento especializado - boletines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 t="str">
        <f>IFERROR(__xludf.DUMMYFUNCTION("""COMPUTED_VALUE"""),"Ninguna")</f>
        <v>Ninguna</v>
      </c>
      <c r="V188" s="4"/>
      <c r="W188" s="4" t="str">
        <f>IFERROR(__xludf.DUMMYFUNCTION("""COMPUTED_VALUE"""),"Proyecto")</f>
        <v>Proyecto</v>
      </c>
      <c r="X188" s="4" t="str">
        <f>IFERROR(__xludf.DUMMYFUNCTION("""COMPUTED_VALUE"""),"UdeA, UTCH")</f>
        <v>UdeA, UTCH</v>
      </c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 t="str">
        <f>IFERROR(__xludf.DUMMYFUNCTION("""COMPUTED_VALUE"""),"Ninguna")</f>
        <v>Ninguna</v>
      </c>
      <c r="AL188" s="4"/>
      <c r="AM188" s="4" t="str">
        <f>IFERROR(__xludf.DUMMYFUNCTION("""COMPUTED_VALUE"""),"Obligatorio")</f>
        <v>Obligatorio</v>
      </c>
      <c r="AN188" s="4"/>
      <c r="AO188" s="4"/>
      <c r="AP188" s="4"/>
      <c r="AQ188" s="4"/>
      <c r="AR188" s="4"/>
      <c r="AS188" s="4"/>
      <c r="AT188" s="4" t="str">
        <f>IFERROR(__xludf.DUMMYFUNCTION("""COMPUTED_VALUE""")," IV Congreso Colombiano de Electroquímica")</f>
        <v> IV Congreso Colombiano de Electroquímica</v>
      </c>
      <c r="AU188" s="5" t="str">
        <f>IFERROR(__xludf.DUMMYFUNCTION("""COMPUTED_VALUE"""),"https://drive.google.com/file/d/1dWVGBLGFxQKVA_0Zs6bu9YndwaU-Y021/view?usp=sharing")</f>
        <v>https://drive.google.com/file/d/1dWVGBLGFxQKVA_0Zs6bu9YndwaU-Y021/view?usp=sharing</v>
      </c>
      <c r="AV188" s="4"/>
      <c r="AW188" s="4"/>
      <c r="AX188" s="4">
        <f>IFERROR(__xludf.DUMMYFUNCTION("""COMPUTED_VALUE"""),6.0)</f>
        <v>6</v>
      </c>
      <c r="AY188" s="4" t="str">
        <f>IFERROR(__xludf.DUMMYFUNCTION("""COMPUTED_VALUE"""),"Óxidos metálicos mixtos para baterías de iones de litio de alto voltaje: una evaluación de propiedades electroquímicas y estructurales")</f>
        <v>Óxidos metálicos mixtos para baterías de iones de litio de alto voltaje: una evaluación de propiedades electroquímicas y estructurales</v>
      </c>
      <c r="AZ188" s="4"/>
    </row>
    <row r="189">
      <c r="A189" s="4" t="str">
        <f>IFERROR(__xludf.DUMMYFUNCTION("""COMPUTED_VALUE"""),"Proy4")</f>
        <v>Proy4</v>
      </c>
      <c r="B189" s="4" t="str">
        <f>IFERROR(__xludf.DUMMYFUNCTION("""COMPUTED_VALUE"""),"Apropiación")</f>
        <v>Apropiación</v>
      </c>
      <c r="C189" s="4" t="str">
        <f>IFERROR(__xludf.DUMMYFUNCTION("""COMPUTED_VALUE"""),"Ponencia")</f>
        <v>Ponencia</v>
      </c>
      <c r="D189" s="4" t="str">
        <f>IFERROR(__xludf.DUMMYFUNCTION("""COMPUTED_VALUE"""),"Ponencia")</f>
        <v>Ponencia</v>
      </c>
      <c r="E189" s="4" t="str">
        <f>IFERROR(__xludf.DUMMYFUNCTION("""COMPUTED_VALUE"""),"Evento científico")</f>
        <v>Evento científico</v>
      </c>
      <c r="F189" s="4" t="str">
        <f>IFERROR(__xludf.DUMMYFUNCTION("""COMPUTED_VALUE"""),"Cartilla")</f>
        <v>Cartilla</v>
      </c>
      <c r="G189" s="4" t="str">
        <f>IFERROR(__xludf.DUMMYFUNCTION("""COMPUTED_VALUE"""),"Curso de capacitación, seminario o taller")</f>
        <v>Curso de capacitación, seminario o taller</v>
      </c>
      <c r="H189" s="4" t="str">
        <f>IFERROR(__xludf.DUMMYFUNCTION("""COMPUTED_VALUE"""),"Socialización de resultados a actores del sector")</f>
        <v>Socialización de resultados a actores del sector</v>
      </c>
      <c r="I189" s="4" t="str">
        <f>IFERROR(__xludf.DUMMYFUNCTION("""COMPUTED_VALUE"""),"Articulación de redes de conocimiento")</f>
        <v>Articulación de redes de conocimiento</v>
      </c>
      <c r="J189" s="4" t="str">
        <f>IFERROR(__xludf.DUMMYFUNCTION("""COMPUTED_VALUE"""),"Circulación de conocimiento especializado - boletines")</f>
        <v>Circulación de conocimiento especializado - boletines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 t="str">
        <f>IFERROR(__xludf.DUMMYFUNCTION("""COMPUTED_VALUE"""),"Ninguna")</f>
        <v>Ninguna</v>
      </c>
      <c r="V189" s="4"/>
      <c r="W189" s="4" t="str">
        <f>IFERROR(__xludf.DUMMYFUNCTION("""COMPUTED_VALUE"""),"Proyecto")</f>
        <v>Proyecto</v>
      </c>
      <c r="X189" s="4" t="str">
        <f>IFERROR(__xludf.DUMMYFUNCTION("""COMPUTED_VALUE"""),"UdeA")</f>
        <v>UdeA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 t="str">
        <f>IFERROR(__xludf.DUMMYFUNCTION("""COMPUTED_VALUE"""),"Ninguna")</f>
        <v>Ninguna</v>
      </c>
      <c r="AL189" s="4"/>
      <c r="AM189" s="4" t="str">
        <f>IFERROR(__xludf.DUMMYFUNCTION("""COMPUTED_VALUE"""),"Obligatorio")</f>
        <v>Obligatorio</v>
      </c>
      <c r="AN189" s="4"/>
      <c r="AO189" s="4"/>
      <c r="AP189" s="4"/>
      <c r="AQ189" s="4"/>
      <c r="AR189" s="4"/>
      <c r="AS189" s="4"/>
      <c r="AT189" s="4" t="str">
        <f>IFERROR(__xludf.DUMMYFUNCTION("""COMPUTED_VALUE""")," IV Congreso Colombiano de Electroquímica")</f>
        <v> IV Congreso Colombiano de Electroquímica</v>
      </c>
      <c r="AU189" s="5" t="str">
        <f>IFERROR(__xludf.DUMMYFUNCTION("""COMPUTED_VALUE"""),"https://drive.google.com/file/d/1D-k-Dnlpac4YabeiaygYsSxuXO7YnB4R/view?usp=sharing")</f>
        <v>https://drive.google.com/file/d/1D-k-Dnlpac4YabeiaygYsSxuXO7YnB4R/view?usp=sharing</v>
      </c>
      <c r="AV189" s="4"/>
      <c r="AW189" s="4"/>
      <c r="AX189" s="4">
        <f>IFERROR(__xludf.DUMMYFUNCTION("""COMPUTED_VALUE"""),6.0)</f>
        <v>6</v>
      </c>
      <c r="AY189" s="4" t="str">
        <f>IFERROR(__xludf.DUMMYFUNCTION("""COMPUTED_VALUE"""),"Electrodo novedoso a base del compuesto híbrido CH3NH3NiCl3 para baterías de ion litio")</f>
        <v>Electrodo novedoso a base del compuesto híbrido CH3NH3NiCl3 para baterías de ion litio</v>
      </c>
      <c r="AZ189" s="4"/>
    </row>
    <row r="190">
      <c r="A190" s="4" t="str">
        <f>IFERROR(__xludf.DUMMYFUNCTION("""COMPUTED_VALUE"""),"Proy4")</f>
        <v>Proy4</v>
      </c>
      <c r="B190" s="4" t="str">
        <f>IFERROR(__xludf.DUMMYFUNCTION("""COMPUTED_VALUE"""),"Apropiación")</f>
        <v>Apropiación</v>
      </c>
      <c r="C190" s="4" t="str">
        <f>IFERROR(__xludf.DUMMYFUNCTION("""COMPUTED_VALUE"""),"Ponencia")</f>
        <v>Ponencia</v>
      </c>
      <c r="D190" s="4" t="str">
        <f>IFERROR(__xludf.DUMMYFUNCTION("""COMPUTED_VALUE"""),"Ponencia")</f>
        <v>Ponencia</v>
      </c>
      <c r="E190" s="4" t="str">
        <f>IFERROR(__xludf.DUMMYFUNCTION("""COMPUTED_VALUE"""),"Evento científico")</f>
        <v>Evento científico</v>
      </c>
      <c r="F190" s="4" t="str">
        <f>IFERROR(__xludf.DUMMYFUNCTION("""COMPUTED_VALUE"""),"Cartilla")</f>
        <v>Cartilla</v>
      </c>
      <c r="G190" s="4" t="str">
        <f>IFERROR(__xludf.DUMMYFUNCTION("""COMPUTED_VALUE"""),"Curso de capacitación, seminario o taller")</f>
        <v>Curso de capacitación, seminario o taller</v>
      </c>
      <c r="H190" s="4" t="str">
        <f>IFERROR(__xludf.DUMMYFUNCTION("""COMPUTED_VALUE"""),"Socialización de resultados a actores del sector")</f>
        <v>Socialización de resultados a actores del sector</v>
      </c>
      <c r="I190" s="4" t="str">
        <f>IFERROR(__xludf.DUMMYFUNCTION("""COMPUTED_VALUE"""),"Articulación de redes de conocimiento")</f>
        <v>Articulación de redes de conocimiento</v>
      </c>
      <c r="J190" s="4" t="str">
        <f>IFERROR(__xludf.DUMMYFUNCTION("""COMPUTED_VALUE"""),"Circulación de conocimiento especializado - boletines")</f>
        <v>Circulación de conocimiento especializado - boletines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 t="str">
        <f>IFERROR(__xludf.DUMMYFUNCTION("""COMPUTED_VALUE"""),"Ninguna")</f>
        <v>Ninguna</v>
      </c>
      <c r="V190" s="4"/>
      <c r="W190" s="4" t="str">
        <f>IFERROR(__xludf.DUMMYFUNCTION("""COMPUTED_VALUE"""),"Proyecto")</f>
        <v>Proyecto</v>
      </c>
      <c r="X190" s="4" t="str">
        <f>IFERROR(__xludf.DUMMYFUNCTION("""COMPUTED_VALUE"""),"UdeA")</f>
        <v>UdeA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 t="str">
        <f>IFERROR(__xludf.DUMMYFUNCTION("""COMPUTED_VALUE"""),"Ninguna")</f>
        <v>Ninguna</v>
      </c>
      <c r="AL190" s="4"/>
      <c r="AM190" s="4" t="str">
        <f>IFERROR(__xludf.DUMMYFUNCTION("""COMPUTED_VALUE"""),"Obligatorio")</f>
        <v>Obligatorio</v>
      </c>
      <c r="AN190" s="4"/>
      <c r="AO190" s="4"/>
      <c r="AP190" s="4"/>
      <c r="AQ190" s="4"/>
      <c r="AR190" s="4"/>
      <c r="AS190" s="4"/>
      <c r="AT190" s="4" t="str">
        <f>IFERROR(__xludf.DUMMYFUNCTION("""COMPUTED_VALUE""")," IV Congreso Colombiano de Electroquímica")</f>
        <v> IV Congreso Colombiano de Electroquímica</v>
      </c>
      <c r="AU190" s="5" t="str">
        <f>IFERROR(__xludf.DUMMYFUNCTION("""COMPUTED_VALUE"""),"https://drive.google.com/file/d/1iEHze9EqUU76-LL9RCGaq0vLTGoF5N0h/view?usp=sharing")</f>
        <v>https://drive.google.com/file/d/1iEHze9EqUU76-LL9RCGaq0vLTGoF5N0h/view?usp=sharing</v>
      </c>
      <c r="AV190" s="4"/>
      <c r="AW190" s="4"/>
      <c r="AX190" s="4">
        <f>IFERROR(__xludf.DUMMYFUNCTION("""COMPUTED_VALUE"""),6.0)</f>
        <v>6</v>
      </c>
      <c r="AY190" s="4" t="str">
        <f>IFERROR(__xludf.DUMMYFUNCTION("""COMPUTED_VALUE"""),"Evaluación electroquímica de la espinela LiMn1,8Ti2O4 N-grafeno como potencial cátodo para baterías de ion-Li")</f>
        <v>Evaluación electroquímica de la espinela LiMn1,8Ti2O4 N-grafeno como potencial cátodo para baterías de ion-Li</v>
      </c>
      <c r="AZ190" s="4"/>
    </row>
    <row r="191">
      <c r="A191" s="4" t="str">
        <f>IFERROR(__xludf.DUMMYFUNCTION("""COMPUTED_VALUE"""),"Proy4")</f>
        <v>Proy4</v>
      </c>
      <c r="B191" s="4" t="str">
        <f>IFERROR(__xludf.DUMMYFUNCTION("""COMPUTED_VALUE"""),"Apropiación")</f>
        <v>Apropiación</v>
      </c>
      <c r="C191" s="4" t="str">
        <f>IFERROR(__xludf.DUMMYFUNCTION("""COMPUTED_VALUE"""),"Ponencia")</f>
        <v>Ponencia</v>
      </c>
      <c r="D191" s="4" t="str">
        <f>IFERROR(__xludf.DUMMYFUNCTION("""COMPUTED_VALUE"""),"Ponencia")</f>
        <v>Ponencia</v>
      </c>
      <c r="E191" s="4" t="str">
        <f>IFERROR(__xludf.DUMMYFUNCTION("""COMPUTED_VALUE"""),"Evento científico")</f>
        <v>Evento científico</v>
      </c>
      <c r="F191" s="4" t="str">
        <f>IFERROR(__xludf.DUMMYFUNCTION("""COMPUTED_VALUE"""),"Cartilla")</f>
        <v>Cartilla</v>
      </c>
      <c r="G191" s="4" t="str">
        <f>IFERROR(__xludf.DUMMYFUNCTION("""COMPUTED_VALUE"""),"Curso de capacitación, seminario o taller")</f>
        <v>Curso de capacitación, seminario o taller</v>
      </c>
      <c r="H191" s="4" t="str">
        <f>IFERROR(__xludf.DUMMYFUNCTION("""COMPUTED_VALUE"""),"Socialización de resultados a actores del sector")</f>
        <v>Socialización de resultados a actores del sector</v>
      </c>
      <c r="I191" s="4" t="str">
        <f>IFERROR(__xludf.DUMMYFUNCTION("""COMPUTED_VALUE"""),"Articulación de redes de conocimiento")</f>
        <v>Articulación de redes de conocimiento</v>
      </c>
      <c r="J191" s="4" t="str">
        <f>IFERROR(__xludf.DUMMYFUNCTION("""COMPUTED_VALUE"""),"Circulación de conocimiento especializado - boletines")</f>
        <v>Circulación de conocimiento especializado - boletines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 t="str">
        <f>IFERROR(__xludf.DUMMYFUNCTION("""COMPUTED_VALUE"""),"Ninguna")</f>
        <v>Ninguna</v>
      </c>
      <c r="V191" s="4"/>
      <c r="W191" s="4" t="str">
        <f>IFERROR(__xludf.DUMMYFUNCTION("""COMPUTED_VALUE"""),"Proyecto")</f>
        <v>Proyecto</v>
      </c>
      <c r="X191" s="4" t="str">
        <f>IFERROR(__xludf.DUMMYFUNCTION("""COMPUTED_VALUE"""),"UdeA")</f>
        <v>UdeA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 t="str">
        <f>IFERROR(__xludf.DUMMYFUNCTION("""COMPUTED_VALUE"""),"Ninguna")</f>
        <v>Ninguna</v>
      </c>
      <c r="AL191" s="4"/>
      <c r="AM191" s="4" t="str">
        <f>IFERROR(__xludf.DUMMYFUNCTION("""COMPUTED_VALUE"""),"Obligatorio")</f>
        <v>Obligatorio</v>
      </c>
      <c r="AN191" s="4"/>
      <c r="AO191" s="4"/>
      <c r="AP191" s="4"/>
      <c r="AQ191" s="4"/>
      <c r="AR191" s="4"/>
      <c r="AS191" s="4"/>
      <c r="AT191" s="4" t="str">
        <f>IFERROR(__xludf.DUMMYFUNCTION("""COMPUTED_VALUE"""),"Online nanoGe Fall Meeting 20")</f>
        <v>Online nanoGe Fall Meeting 20</v>
      </c>
      <c r="AU191" s="5" t="str">
        <f>IFERROR(__xludf.DUMMYFUNCTION("""COMPUTED_VALUE"""),"https://drive.google.com/file/d/1s52HsM97EQuzwb_Ju-PfXk98PszVoRC1/view?usp=sharing")</f>
        <v>https://drive.google.com/file/d/1s52HsM97EQuzwb_Ju-PfXk98PszVoRC1/view?usp=sharing</v>
      </c>
      <c r="AV191" s="4"/>
      <c r="AW191" s="4"/>
      <c r="AX191" s="4">
        <f>IFERROR(__xludf.DUMMYFUNCTION("""COMPUTED_VALUE"""),6.0)</f>
        <v>6</v>
      </c>
      <c r="AY191" s="4" t="str">
        <f>IFERROR(__xludf.DUMMYFUNCTION("""COMPUTED_VALUE"""),"Measuring accurately and reproducibly interfacial charge transfer efficiencies in photo-electrodes - an experimental approach")</f>
        <v>Measuring accurately and reproducibly interfacial charge transfer efficiencies in photo-electrodes - an experimental approach</v>
      </c>
      <c r="AZ191" s="4"/>
    </row>
    <row r="192">
      <c r="A192" s="4" t="str">
        <f>IFERROR(__xludf.DUMMYFUNCTION("""COMPUTED_VALUE"""),"Proy4")</f>
        <v>Proy4</v>
      </c>
      <c r="B192" s="4" t="str">
        <f>IFERROR(__xludf.DUMMYFUNCTION("""COMPUTED_VALUE"""),"Apropiación")</f>
        <v>Apropiación</v>
      </c>
      <c r="C192" s="4" t="str">
        <f>IFERROR(__xludf.DUMMYFUNCTION("""COMPUTED_VALUE"""),"Ponencia")</f>
        <v>Ponencia</v>
      </c>
      <c r="D192" s="4" t="str">
        <f>IFERROR(__xludf.DUMMYFUNCTION("""COMPUTED_VALUE"""),"Ponencia")</f>
        <v>Ponencia</v>
      </c>
      <c r="E192" s="4" t="str">
        <f>IFERROR(__xludf.DUMMYFUNCTION("""COMPUTED_VALUE"""),"Evento científico")</f>
        <v>Evento científico</v>
      </c>
      <c r="F192" s="4" t="str">
        <f>IFERROR(__xludf.DUMMYFUNCTION("""COMPUTED_VALUE"""),"Cartilla")</f>
        <v>Cartilla</v>
      </c>
      <c r="G192" s="4" t="str">
        <f>IFERROR(__xludf.DUMMYFUNCTION("""COMPUTED_VALUE"""),"Curso de capacitación, seminario o taller")</f>
        <v>Curso de capacitación, seminario o taller</v>
      </c>
      <c r="H192" s="4" t="str">
        <f>IFERROR(__xludf.DUMMYFUNCTION("""COMPUTED_VALUE"""),"Socialización de resultados a actores del sector")</f>
        <v>Socialización de resultados a actores del sector</v>
      </c>
      <c r="I192" s="4" t="str">
        <f>IFERROR(__xludf.DUMMYFUNCTION("""COMPUTED_VALUE"""),"Articulación de redes de conocimiento")</f>
        <v>Articulación de redes de conocimiento</v>
      </c>
      <c r="J192" s="4" t="str">
        <f>IFERROR(__xludf.DUMMYFUNCTION("""COMPUTED_VALUE"""),"Circulación de conocimiento especializado - boletines")</f>
        <v>Circulación de conocimiento especializado - boletines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 t="str">
        <f>IFERROR(__xludf.DUMMYFUNCTION("""COMPUTED_VALUE"""),"Ninguna")</f>
        <v>Ninguna</v>
      </c>
      <c r="V192" s="4"/>
      <c r="W192" s="4" t="str">
        <f>IFERROR(__xludf.DUMMYFUNCTION("""COMPUTED_VALUE"""),"Proyecto")</f>
        <v>Proyecto</v>
      </c>
      <c r="X192" s="4" t="str">
        <f>IFERROR(__xludf.DUMMYFUNCTION("""COMPUTED_VALUE"""),"UdeA")</f>
        <v>UdeA</v>
      </c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 t="str">
        <f>IFERROR(__xludf.DUMMYFUNCTION("""COMPUTED_VALUE"""),"Ninguna")</f>
        <v>Ninguna</v>
      </c>
      <c r="AL192" s="4"/>
      <c r="AM192" s="4" t="str">
        <f>IFERROR(__xludf.DUMMYFUNCTION("""COMPUTED_VALUE"""),"Obligatorio")</f>
        <v>Obligatorio</v>
      </c>
      <c r="AN192" s="4"/>
      <c r="AO192" s="4"/>
      <c r="AP192" s="4"/>
      <c r="AQ192" s="4"/>
      <c r="AR192" s="4"/>
      <c r="AS192" s="4"/>
      <c r="AT192" s="4" t="str">
        <f>IFERROR(__xludf.DUMMYFUNCTION("""COMPUTED_VALUE"""),"71st Annual Meeting of the International Society of Electrochemistry")</f>
        <v>71st Annual Meeting of the International Society of Electrochemistry</v>
      </c>
      <c r="AU192" s="5" t="str">
        <f>IFERROR(__xludf.DUMMYFUNCTION("""COMPUTED_VALUE"""),"https://drive.google.com/file/d/1UwI9kbEKxOhSKja0QdkVRtM1yEKauK4r/view?usp=sharing")</f>
        <v>https://drive.google.com/file/d/1UwI9kbEKxOhSKja0QdkVRtM1yEKauK4r/view?usp=sharing</v>
      </c>
      <c r="AV192" s="4"/>
      <c r="AW192" s="4"/>
      <c r="AX192" s="4">
        <f>IFERROR(__xludf.DUMMYFUNCTION("""COMPUTED_VALUE"""),6.0)</f>
        <v>6</v>
      </c>
      <c r="AY192" s="4" t="str">
        <f>IFERROR(__xludf.DUMMYFUNCTION("""COMPUTED_VALUE"""),"Unravelling the Capacity Fading Enigma of Spinel LixMn2-yTiyO4 by using Distribution of Relaxation Times (DRT)")</f>
        <v>Unravelling the Capacity Fading Enigma of Spinel LixMn2-yTiyO4 by using Distribution of Relaxation Times (DRT)</v>
      </c>
      <c r="AZ192" s="4"/>
    </row>
    <row r="193">
      <c r="A193" s="4" t="str">
        <f>IFERROR(__xludf.DUMMYFUNCTION("""COMPUTED_VALUE"""),"Proy8")</f>
        <v>Proy8</v>
      </c>
      <c r="B193" s="4" t="str">
        <f>IFERROR(__xludf.DUMMYFUNCTION("""COMPUTED_VALUE"""),"Nuevo_Conocimiento")</f>
        <v>Nuevo_Conocimiento</v>
      </c>
      <c r="C193" s="4" t="str">
        <f>IFERROR(__xludf.DUMMYFUNCTION("""COMPUTED_VALUE"""),"Artículo A1")</f>
        <v>Artículo A1</v>
      </c>
      <c r="D193" s="4" t="str">
        <f>IFERROR(__xludf.DUMMYFUNCTION("""COMPUTED_VALUE"""),"Artículo A1")</f>
        <v>Artículo A1</v>
      </c>
      <c r="E193" s="4" t="str">
        <f>IFERROR(__xludf.DUMMYFUNCTION("""COMPUTED_VALUE"""),"Artículo A2")</f>
        <v>Artículo A2</v>
      </c>
      <c r="F193" s="4" t="str">
        <f>IFERROR(__xludf.DUMMYFUNCTION("""COMPUTED_VALUE"""),"Artículo B")</f>
        <v>Artículo B</v>
      </c>
      <c r="G193" s="4" t="str">
        <f>IFERROR(__xludf.DUMMYFUNCTION("""COMPUTED_VALUE"""),"Artículo C")</f>
        <v>Artículo C</v>
      </c>
      <c r="H193" s="4" t="str">
        <f>IFERROR(__xludf.DUMMYFUNCTION("""COMPUTED_VALUE"""),"Capítulo de libro A")</f>
        <v>Capítulo de libro A</v>
      </c>
      <c r="I193" s="4" t="str">
        <f>IFERROR(__xludf.DUMMYFUNCTION("""COMPUTED_VALUE"""),"Capítulo de libro A1")</f>
        <v>Capítulo de libro A1</v>
      </c>
      <c r="J193" s="4" t="str">
        <f>IFERROR(__xludf.DUMMYFUNCTION("""COMPUTED_VALUE"""),"Capítulo de libro B")</f>
        <v>Capítulo de libro B</v>
      </c>
      <c r="K193" s="4" t="str">
        <f>IFERROR(__xludf.DUMMYFUNCTION("""COMPUTED_VALUE"""),"Libro A")</f>
        <v>Libro A</v>
      </c>
      <c r="L193" s="4" t="str">
        <f>IFERROR(__xludf.DUMMYFUNCTION("""COMPUTED_VALUE"""),"Libro A1")</f>
        <v>Libro A1</v>
      </c>
      <c r="M193" s="4" t="str">
        <f>IFERROR(__xludf.DUMMYFUNCTION("""COMPUTED_VALUE"""),"Libro B")</f>
        <v>Libro B</v>
      </c>
      <c r="N193" s="4" t="str">
        <f>IFERROR(__xludf.DUMMYFUNCTION("""COMPUTED_VALUE"""),"Solicitud Patente de invención y-o modelo de utitlidad")</f>
        <v>Solicitud Patente de invención y-o modelo de utitlidad</v>
      </c>
      <c r="O193" s="4" t="str">
        <f>IFERROR(__xludf.DUMMYFUNCTION("""COMPUTED_VALUE"""),"Patente de invención")</f>
        <v>Patente de invención</v>
      </c>
      <c r="P193" s="4" t="str">
        <f>IFERROR(__xludf.DUMMYFUNCTION("""COMPUTED_VALUE"""),"Patente de modelo de utilidad")</f>
        <v>Patente de modelo de utilidad</v>
      </c>
      <c r="Q193" s="4" t="str">
        <f>IFERROR(__xludf.DUMMYFUNCTION("""COMPUTED_VALUE"""),"Artículo sin clasificar")</f>
        <v>Artículo sin clasificar</v>
      </c>
      <c r="R193" s="4" t="str">
        <f>IFERROR(__xludf.DUMMYFUNCTION("""COMPUTED_VALUE"""),"Capítulo sin clasificar")</f>
        <v>Capítulo sin clasificar</v>
      </c>
      <c r="S193" s="4"/>
      <c r="T193" s="4"/>
      <c r="U193" s="4" t="str">
        <f>IFERROR(__xludf.DUMMYFUNCTION("""COMPUTED_VALUE"""),"Ninguna")</f>
        <v>Ninguna</v>
      </c>
      <c r="V193" s="4"/>
      <c r="W193" s="4" t="str">
        <f>IFERROR(__xludf.DUMMYFUNCTION("""COMPUTED_VALUE"""),"Proyecto")</f>
        <v>Proyecto</v>
      </c>
      <c r="X193" s="4" t="str">
        <f>IFERROR(__xludf.DUMMYFUNCTION("""COMPUTED_VALUE"""),"UniSabana")</f>
        <v>UniSabana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 t="str">
        <f>IFERROR(__xludf.DUMMYFUNCTION("""COMPUTED_VALUE"""),"Ninguna")</f>
        <v>Ninguna</v>
      </c>
      <c r="AL193" s="4"/>
      <c r="AM193" s="4" t="str">
        <f>IFERROR(__xludf.DUMMYFUNCTION("""COMPUTED_VALUE"""),"Obligatorio")</f>
        <v>Obligatorio</v>
      </c>
      <c r="AN193" s="4">
        <f>IFERROR(__xludf.DUMMYFUNCTION("""COMPUTED_VALUE"""),4.0)</f>
        <v>4</v>
      </c>
      <c r="AO193" s="4">
        <f>IFERROR(__xludf.DUMMYFUNCTION("""COMPUTED_VALUE"""),1.0)</f>
        <v>1</v>
      </c>
      <c r="AP193" s="4">
        <f>IFERROR(__xludf.DUMMYFUNCTION("""COMPUTED_VALUE"""),1.0)</f>
        <v>1</v>
      </c>
      <c r="AQ193" s="4">
        <f>IFERROR(__xludf.DUMMYFUNCTION("""COMPUTED_VALUE"""),1.0)</f>
        <v>1</v>
      </c>
      <c r="AR193" s="4">
        <f>IFERROR(__xludf.DUMMYFUNCTION("""COMPUTED_VALUE"""),1.0)</f>
        <v>1</v>
      </c>
      <c r="AS193" s="4">
        <f>IFERROR(__xludf.DUMMYFUNCTION("""COMPUTED_VALUE"""),1.0)</f>
        <v>1</v>
      </c>
      <c r="AT193" s="5" t="str">
        <f>IFERROR(__xludf.DUMMYFUNCTION("""COMPUTED_VALUE"""),"https://doi.org/10.1016/j.heliyon.2020.e05772
")</f>
        <v>https://doi.org/10.1016/j.heliyon.2020.e05772
</v>
      </c>
      <c r="AU193" s="5" t="str">
        <f>IFERROR(__xludf.DUMMYFUNCTION("""COMPUTED_VALUE"""),"https://drive.google.com/file/d/1JFrj4uHHd71pr8kxB30q88_Sw7g_Kevi/view?usp=sharing")</f>
        <v>https://drive.google.com/file/d/1JFrj4uHHd71pr8kxB30q88_Sw7g_Kevi/view?usp=sharing</v>
      </c>
      <c r="AV193" s="4"/>
      <c r="AW193" s="4"/>
      <c r="AX193" s="4">
        <f>IFERROR(__xludf.DUMMYFUNCTION("""COMPUTED_VALUE"""),6.0)</f>
        <v>6</v>
      </c>
      <c r="AY193" s="4" t="str">
        <f>IFERROR(__xludf.DUMMYFUNCTION("""COMPUTED_VALUE"""),"Proposal of an open-source computational toolbox for solving PDEs in the
context of chemical reaction engineering using FEniCS and
complementary components")</f>
        <v>Proposal of an open-source computational toolbox for solving PDEs in the
context of chemical reaction engineering using FEniCS and
complementary components</v>
      </c>
      <c r="AZ193" s="4"/>
    </row>
    <row r="194">
      <c r="A194" s="4" t="str">
        <f>IFERROR(__xludf.DUMMYFUNCTION("""COMPUTED_VALUE"""),"Proy8")</f>
        <v>Proy8</v>
      </c>
      <c r="B194" s="4" t="str">
        <f>IFERROR(__xludf.DUMMYFUNCTION("""COMPUTED_VALUE"""),"Nuevo_Conocimiento")</f>
        <v>Nuevo_Conocimiento</v>
      </c>
      <c r="C194" s="4" t="str">
        <f>IFERROR(__xludf.DUMMYFUNCTION("""COMPUTED_VALUE"""),"Artículo A1")</f>
        <v>Artículo A1</v>
      </c>
      <c r="D194" s="4" t="str">
        <f>IFERROR(__xludf.DUMMYFUNCTION("""COMPUTED_VALUE"""),"Artículo A1")</f>
        <v>Artículo A1</v>
      </c>
      <c r="E194" s="4" t="str">
        <f>IFERROR(__xludf.DUMMYFUNCTION("""COMPUTED_VALUE"""),"Artículo A2")</f>
        <v>Artículo A2</v>
      </c>
      <c r="F194" s="4" t="str">
        <f>IFERROR(__xludf.DUMMYFUNCTION("""COMPUTED_VALUE"""),"Artículo B")</f>
        <v>Artículo B</v>
      </c>
      <c r="G194" s="4" t="str">
        <f>IFERROR(__xludf.DUMMYFUNCTION("""COMPUTED_VALUE"""),"Artículo C")</f>
        <v>Artículo C</v>
      </c>
      <c r="H194" s="4" t="str">
        <f>IFERROR(__xludf.DUMMYFUNCTION("""COMPUTED_VALUE"""),"Capítulo de libro A")</f>
        <v>Capítulo de libro A</v>
      </c>
      <c r="I194" s="4" t="str">
        <f>IFERROR(__xludf.DUMMYFUNCTION("""COMPUTED_VALUE"""),"Capítulo de libro A1")</f>
        <v>Capítulo de libro A1</v>
      </c>
      <c r="J194" s="4" t="str">
        <f>IFERROR(__xludf.DUMMYFUNCTION("""COMPUTED_VALUE"""),"Capítulo de libro B")</f>
        <v>Capítulo de libro B</v>
      </c>
      <c r="K194" s="4" t="str">
        <f>IFERROR(__xludf.DUMMYFUNCTION("""COMPUTED_VALUE"""),"Libro A")</f>
        <v>Libro A</v>
      </c>
      <c r="L194" s="4" t="str">
        <f>IFERROR(__xludf.DUMMYFUNCTION("""COMPUTED_VALUE"""),"Libro A1")</f>
        <v>Libro A1</v>
      </c>
      <c r="M194" s="4" t="str">
        <f>IFERROR(__xludf.DUMMYFUNCTION("""COMPUTED_VALUE"""),"Libro B")</f>
        <v>Libro B</v>
      </c>
      <c r="N194" s="4" t="str">
        <f>IFERROR(__xludf.DUMMYFUNCTION("""COMPUTED_VALUE"""),"Solicitud Patente de invención y-o modelo de utitlidad")</f>
        <v>Solicitud Patente de invención y-o modelo de utitlidad</v>
      </c>
      <c r="O194" s="4" t="str">
        <f>IFERROR(__xludf.DUMMYFUNCTION("""COMPUTED_VALUE"""),"Patente de invención")</f>
        <v>Patente de invención</v>
      </c>
      <c r="P194" s="4" t="str">
        <f>IFERROR(__xludf.DUMMYFUNCTION("""COMPUTED_VALUE"""),"Patente de modelo de utilidad")</f>
        <v>Patente de modelo de utilidad</v>
      </c>
      <c r="Q194" s="4" t="str">
        <f>IFERROR(__xludf.DUMMYFUNCTION("""COMPUTED_VALUE"""),"Artículo sin clasificar")</f>
        <v>Artículo sin clasificar</v>
      </c>
      <c r="R194" s="4" t="str">
        <f>IFERROR(__xludf.DUMMYFUNCTION("""COMPUTED_VALUE"""),"Capítulo sin clasificar")</f>
        <v>Capítulo sin clasificar</v>
      </c>
      <c r="S194" s="4"/>
      <c r="T194" s="4"/>
      <c r="U194" s="4" t="str">
        <f>IFERROR(__xludf.DUMMYFUNCTION("""COMPUTED_VALUE"""),"Ninguna")</f>
        <v>Ninguna</v>
      </c>
      <c r="V194" s="4"/>
      <c r="W194" s="4" t="str">
        <f>IFERROR(__xludf.DUMMYFUNCTION("""COMPUTED_VALUE"""),"Proyecto")</f>
        <v>Proyecto</v>
      </c>
      <c r="X194" s="4" t="str">
        <f>IFERROR(__xludf.DUMMYFUNCTION("""COMPUTED_VALUE"""),"UdeA")</f>
        <v>UdeA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 t="str">
        <f>IFERROR(__xludf.DUMMYFUNCTION("""COMPUTED_VALUE"""),"Ninguna")</f>
        <v>Ninguna</v>
      </c>
      <c r="AL194" s="4"/>
      <c r="AM194" s="4" t="str">
        <f>IFERROR(__xludf.DUMMYFUNCTION("""COMPUTED_VALUE"""),"Obligatorio")</f>
        <v>Obligatorio</v>
      </c>
      <c r="AN194" s="4">
        <f>IFERROR(__xludf.DUMMYFUNCTION("""COMPUTED_VALUE"""),5.0)</f>
        <v>5</v>
      </c>
      <c r="AO194" s="4">
        <f>IFERROR(__xludf.DUMMYFUNCTION("""COMPUTED_VALUE"""),1.0)</f>
        <v>1</v>
      </c>
      <c r="AP194" s="4">
        <f>IFERROR(__xludf.DUMMYFUNCTION("""COMPUTED_VALUE"""),1.0)</f>
        <v>1</v>
      </c>
      <c r="AQ194" s="4">
        <f>IFERROR(__xludf.DUMMYFUNCTION("""COMPUTED_VALUE"""),1.0)</f>
        <v>1</v>
      </c>
      <c r="AR194" s="4">
        <f>IFERROR(__xludf.DUMMYFUNCTION("""COMPUTED_VALUE"""),1.0)</f>
        <v>1</v>
      </c>
      <c r="AS194" s="4">
        <f>IFERROR(__xludf.DUMMYFUNCTION("""COMPUTED_VALUE"""),1.0)</f>
        <v>1</v>
      </c>
      <c r="AT194" s="5" t="str">
        <f>IFERROR(__xludf.DUMMYFUNCTION("""COMPUTED_VALUE"""),"https://doi.org/10.1016/j.renene.2020.12.086")</f>
        <v>https://doi.org/10.1016/j.renene.2020.12.086</v>
      </c>
      <c r="AU194" s="5" t="str">
        <f>IFERROR(__xludf.DUMMYFUNCTION("""COMPUTED_VALUE"""),"https://drive.google.com/file/d/19p3Z31Xm9IkCI1UVHJTZqA7ghFSHDkTl/view?usp=sharing")</f>
        <v>https://drive.google.com/file/d/19p3Z31Xm9IkCI1UVHJTZqA7ghFSHDkTl/view?usp=sharing</v>
      </c>
      <c r="AV194" s="4"/>
      <c r="AW194" s="4"/>
      <c r="AX194" s="4">
        <f>IFERROR(__xludf.DUMMYFUNCTION("""COMPUTED_VALUE"""),6.0)</f>
        <v>6</v>
      </c>
      <c r="AY194" s="4" t="str">
        <f>IFERROR(__xludf.DUMMYFUNCTION("""COMPUTED_VALUE"""),"Pre-hydrogenation stage as a strategy to improve the continuous
production of a diesel-like biofuel from palm oil")</f>
        <v>Pre-hydrogenation stage as a strategy to improve the continuous
production of a diesel-like biofuel from palm oil</v>
      </c>
      <c r="AZ194" s="4"/>
    </row>
    <row r="195">
      <c r="A195" s="4" t="str">
        <f>IFERROR(__xludf.DUMMYFUNCTION("""COMPUTED_VALUE"""),"Proy12")</f>
        <v>Proy12</v>
      </c>
      <c r="B195" s="4" t="str">
        <f>IFERROR(__xludf.DUMMYFUNCTION("""COMPUTED_VALUE"""),"Formación_RH")</f>
        <v>Formación_RH</v>
      </c>
      <c r="C195" s="4" t="str">
        <f>IFERROR(__xludf.DUMMYFUNCTION("""COMPUTED_VALUE"""),"Vinculación de estudiante de pregrado")</f>
        <v>Vinculación de estudiante de pregrado</v>
      </c>
      <c r="D195" s="4" t="str">
        <f>IFERROR(__xludf.DUMMYFUNCTION("""COMPUTED_VALUE"""),"Vinculación de estudiante de doctorado")</f>
        <v>Vinculación de estudiante de doctorado</v>
      </c>
      <c r="E195" s="4" t="str">
        <f>IFERROR(__xludf.DUMMYFUNCTION("""COMPUTED_VALUE"""),"Formación de estudiante de doctorado")</f>
        <v>Formación de estudiante de doctorado</v>
      </c>
      <c r="F195" s="4" t="str">
        <f>IFERROR(__xludf.DUMMYFUNCTION("""COMPUTED_VALUE"""),"Vinculación de estudiante de maestría")</f>
        <v>Vinculación de estudiante de maestría</v>
      </c>
      <c r="G195" s="4" t="str">
        <f>IFERROR(__xludf.DUMMYFUNCTION("""COMPUTED_VALUE"""),"Formación de estudiante de maestría")</f>
        <v>Formación de estudiante de maestría</v>
      </c>
      <c r="H195" s="4" t="str">
        <f>IFERROR(__xludf.DUMMYFUNCTION("""COMPUTED_VALUE"""),"Vinculación de estudiante de pregrado")</f>
        <v>Vinculación de estudiante de pregrado</v>
      </c>
      <c r="I195" s="4" t="str">
        <f>IFERROR(__xludf.DUMMYFUNCTION("""COMPUTED_VALUE"""),"Formación de estudiante de pregrado")</f>
        <v>Formación de estudiante de pregrado</v>
      </c>
      <c r="J195" s="4" t="str">
        <f>IFERROR(__xludf.DUMMYFUNCTION("""COMPUTED_VALUE"""),"Joven investigador")</f>
        <v>Joven investigador</v>
      </c>
      <c r="K195" s="4" t="str">
        <f>IFERROR(__xludf.DUMMYFUNCTION("""COMPUTED_VALUE"""),"Pasantía nacional")</f>
        <v>Pasantía nacional</v>
      </c>
      <c r="L195" s="4" t="str">
        <f>IFERROR(__xludf.DUMMYFUNCTION("""COMPUTED_VALUE"""),"Pasantía internacional")</f>
        <v>Pasantía internacional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>
        <f>IFERROR(__xludf.DUMMYFUNCTION("""COMPUTED_VALUE"""),1.0)</f>
        <v>1</v>
      </c>
      <c r="AQ195" s="4">
        <f>IFERROR(__xludf.DUMMYFUNCTION("""COMPUTED_VALUE"""),1.0)</f>
        <v>1</v>
      </c>
      <c r="AR195" s="4">
        <f>IFERROR(__xludf.DUMMYFUNCTION("""COMPUTED_VALUE"""),1.0)</f>
        <v>1</v>
      </c>
      <c r="AS195" s="4">
        <f>IFERROR(__xludf.DUMMYFUNCTION("""COMPUTED_VALUE"""),1.0)</f>
        <v>1</v>
      </c>
      <c r="AT195" s="4" t="str">
        <f>IFERROR(__xludf.DUMMYFUNCTION("""COMPUTED_VALUE"""),"Andrés Felipe Garzón")</f>
        <v>Andrés Felipe Garzón</v>
      </c>
      <c r="AU195" s="4"/>
      <c r="AV195" s="4"/>
      <c r="AW195" s="4" t="str">
        <f>IFERROR(__xludf.DUMMYFUNCTION("""COMPUTED_VALUE"""),"En Curso")</f>
        <v>En Curso</v>
      </c>
      <c r="AX195" s="4">
        <f>IFERROR(__xludf.DUMMYFUNCTION("""COMPUTED_VALUE"""),6.0)</f>
        <v>6</v>
      </c>
      <c r="AY195" s="4" t="str">
        <f>IFERROR(__xludf.DUMMYFUNCTION("""COMPUTED_VALUE"""),"Ingeniería Mecánica Udea")</f>
        <v>Ingeniería Mecánica Udea</v>
      </c>
      <c r="AZ195" s="4"/>
    </row>
    <row r="196">
      <c r="A196" s="4" t="str">
        <f>IFERROR(__xludf.DUMMYFUNCTION("""COMPUTED_VALUE"""),"Proy12")</f>
        <v>Proy12</v>
      </c>
      <c r="B196" s="4" t="str">
        <f>IFERROR(__xludf.DUMMYFUNCTION("""COMPUTED_VALUE"""),"Formación_RH")</f>
        <v>Formación_RH</v>
      </c>
      <c r="C196" s="4" t="str">
        <f>IFERROR(__xludf.DUMMYFUNCTION("""COMPUTED_VALUE"""),"Vinculación de estudiante de pregrado")</f>
        <v>Vinculación de estudiante de pregrado</v>
      </c>
      <c r="D196" s="4" t="str">
        <f>IFERROR(__xludf.DUMMYFUNCTION("""COMPUTED_VALUE"""),"Vinculación de estudiante de doctorado")</f>
        <v>Vinculación de estudiante de doctorado</v>
      </c>
      <c r="E196" s="4" t="str">
        <f>IFERROR(__xludf.DUMMYFUNCTION("""COMPUTED_VALUE"""),"Formación de estudiante de doctorado")</f>
        <v>Formación de estudiante de doctorado</v>
      </c>
      <c r="F196" s="4" t="str">
        <f>IFERROR(__xludf.DUMMYFUNCTION("""COMPUTED_VALUE"""),"Vinculación de estudiante de maestría")</f>
        <v>Vinculación de estudiante de maestría</v>
      </c>
      <c r="G196" s="4" t="str">
        <f>IFERROR(__xludf.DUMMYFUNCTION("""COMPUTED_VALUE"""),"Formación de estudiante de maestría")</f>
        <v>Formación de estudiante de maestría</v>
      </c>
      <c r="H196" s="4" t="str">
        <f>IFERROR(__xludf.DUMMYFUNCTION("""COMPUTED_VALUE"""),"Vinculación de estudiante de pregrado")</f>
        <v>Vinculación de estudiante de pregrado</v>
      </c>
      <c r="I196" s="4" t="str">
        <f>IFERROR(__xludf.DUMMYFUNCTION("""COMPUTED_VALUE"""),"Formación de estudiante de pregrado")</f>
        <v>Formación de estudiante de pregrado</v>
      </c>
      <c r="J196" s="4" t="str">
        <f>IFERROR(__xludf.DUMMYFUNCTION("""COMPUTED_VALUE"""),"Joven investigador")</f>
        <v>Joven investigador</v>
      </c>
      <c r="K196" s="4" t="str">
        <f>IFERROR(__xludf.DUMMYFUNCTION("""COMPUTED_VALUE"""),"Pasantía nacional")</f>
        <v>Pasantía nacional</v>
      </c>
      <c r="L196" s="4" t="str">
        <f>IFERROR(__xludf.DUMMYFUNCTION("""COMPUTED_VALUE"""),"Pasantía internacional")</f>
        <v>Pasantía internacional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>
        <f>IFERROR(__xludf.DUMMYFUNCTION("""COMPUTED_VALUE"""),1.0)</f>
        <v>1</v>
      </c>
      <c r="AQ196" s="4">
        <f>IFERROR(__xludf.DUMMYFUNCTION("""COMPUTED_VALUE"""),1.0)</f>
        <v>1</v>
      </c>
      <c r="AR196" s="4">
        <f>IFERROR(__xludf.DUMMYFUNCTION("""COMPUTED_VALUE"""),1.0)</f>
        <v>1</v>
      </c>
      <c r="AS196" s="4">
        <f>IFERROR(__xludf.DUMMYFUNCTION("""COMPUTED_VALUE"""),1.0)</f>
        <v>1</v>
      </c>
      <c r="AT196" s="4" t="str">
        <f>IFERROR(__xludf.DUMMYFUNCTION("""COMPUTED_VALUE"""),"Juan Pablo Buitrago")</f>
        <v>Juan Pablo Buitrago</v>
      </c>
      <c r="AU196" s="4"/>
      <c r="AV196" s="4"/>
      <c r="AW196" s="4" t="str">
        <f>IFERROR(__xludf.DUMMYFUNCTION("""COMPUTED_VALUE"""),"En Curso")</f>
        <v>En Curso</v>
      </c>
      <c r="AX196" s="4">
        <f>IFERROR(__xludf.DUMMYFUNCTION("""COMPUTED_VALUE"""),6.0)</f>
        <v>6</v>
      </c>
      <c r="AY196" s="4" t="str">
        <f>IFERROR(__xludf.DUMMYFUNCTION("""COMPUTED_VALUE"""),"Ingeniería Mecánica Udea")</f>
        <v>Ingeniería Mecánica Udea</v>
      </c>
      <c r="AZ196" s="4"/>
    </row>
    <row r="197">
      <c r="A197" s="4" t="str">
        <f>IFERROR(__xludf.DUMMYFUNCTION("""COMPUTED_VALUE"""),"Proy13")</f>
        <v>Proy13</v>
      </c>
      <c r="B197" s="4" t="str">
        <f>IFERROR(__xludf.DUMMYFUNCTION("""COMPUTED_VALUE"""),"Nuevo_Conocimiento")</f>
        <v>Nuevo_Conocimiento</v>
      </c>
      <c r="C197" s="4" t="str">
        <f>IFERROR(__xludf.DUMMYFUNCTION("""COMPUTED_VALUE"""),"Artículo A1")</f>
        <v>Artículo A1</v>
      </c>
      <c r="D197" s="4" t="str">
        <f>IFERROR(__xludf.DUMMYFUNCTION("""COMPUTED_VALUE"""),"Artículo A1")</f>
        <v>Artículo A1</v>
      </c>
      <c r="E197" s="4" t="str">
        <f>IFERROR(__xludf.DUMMYFUNCTION("""COMPUTED_VALUE"""),"Artículo A2")</f>
        <v>Artículo A2</v>
      </c>
      <c r="F197" s="4" t="str">
        <f>IFERROR(__xludf.DUMMYFUNCTION("""COMPUTED_VALUE"""),"Artículo B")</f>
        <v>Artículo B</v>
      </c>
      <c r="G197" s="4" t="str">
        <f>IFERROR(__xludf.DUMMYFUNCTION("""COMPUTED_VALUE"""),"Artículo C")</f>
        <v>Artículo C</v>
      </c>
      <c r="H197" s="4" t="str">
        <f>IFERROR(__xludf.DUMMYFUNCTION("""COMPUTED_VALUE"""),"Capítulo de libro A")</f>
        <v>Capítulo de libro A</v>
      </c>
      <c r="I197" s="4" t="str">
        <f>IFERROR(__xludf.DUMMYFUNCTION("""COMPUTED_VALUE"""),"Capítulo de libro A1")</f>
        <v>Capítulo de libro A1</v>
      </c>
      <c r="J197" s="4" t="str">
        <f>IFERROR(__xludf.DUMMYFUNCTION("""COMPUTED_VALUE"""),"Capítulo de libro B")</f>
        <v>Capítulo de libro B</v>
      </c>
      <c r="K197" s="4" t="str">
        <f>IFERROR(__xludf.DUMMYFUNCTION("""COMPUTED_VALUE"""),"Libro A")</f>
        <v>Libro A</v>
      </c>
      <c r="L197" s="4" t="str">
        <f>IFERROR(__xludf.DUMMYFUNCTION("""COMPUTED_VALUE"""),"Libro A1")</f>
        <v>Libro A1</v>
      </c>
      <c r="M197" s="4" t="str">
        <f>IFERROR(__xludf.DUMMYFUNCTION("""COMPUTED_VALUE"""),"Libro B")</f>
        <v>Libro B</v>
      </c>
      <c r="N197" s="4" t="str">
        <f>IFERROR(__xludf.DUMMYFUNCTION("""COMPUTED_VALUE"""),"Solicitud Patente de invención y-o modelo de utitlidad")</f>
        <v>Solicitud Patente de invención y-o modelo de utitlidad</v>
      </c>
      <c r="O197" s="4" t="str">
        <f>IFERROR(__xludf.DUMMYFUNCTION("""COMPUTED_VALUE"""),"Patente de invención")</f>
        <v>Patente de invención</v>
      </c>
      <c r="P197" s="4" t="str">
        <f>IFERROR(__xludf.DUMMYFUNCTION("""COMPUTED_VALUE"""),"Patente de modelo de utilidad")</f>
        <v>Patente de modelo de utilidad</v>
      </c>
      <c r="Q197" s="4" t="str">
        <f>IFERROR(__xludf.DUMMYFUNCTION("""COMPUTED_VALUE"""),"Artículo sin clasificar")</f>
        <v>Artículo sin clasificar</v>
      </c>
      <c r="R197" s="4" t="str">
        <f>IFERROR(__xludf.DUMMYFUNCTION("""COMPUTED_VALUE"""),"Capítulo sin clasificar")</f>
        <v>Capítulo sin clasificar</v>
      </c>
      <c r="S197" s="4"/>
      <c r="T197" s="4"/>
      <c r="U197" s="4" t="str">
        <f>IFERROR(__xludf.DUMMYFUNCTION("""COMPUTED_VALUE"""),"Ninguna")</f>
        <v>Ninguna</v>
      </c>
      <c r="V197" s="4"/>
      <c r="W197" s="4" t="str">
        <f>IFERROR(__xludf.DUMMYFUNCTION("""COMPUTED_VALUE"""),"Proyecto")</f>
        <v>Proyecto</v>
      </c>
      <c r="X197" s="4" t="str">
        <f>IFERROR(__xludf.DUMMYFUNCTION("""COMPUTED_VALUE"""),"UdeA")</f>
        <v>UdeA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 t="str">
        <f>IFERROR(__xludf.DUMMYFUNCTION("""COMPUTED_VALUE"""),"UniMinuto")</f>
        <v>UniMinuto</v>
      </c>
      <c r="AK197" s="4" t="str">
        <f>IFERROR(__xludf.DUMMYFUNCTION("""COMPUTED_VALUE"""),"Ninguna")</f>
        <v>Ninguna</v>
      </c>
      <c r="AL197" s="4"/>
      <c r="AM197" s="4" t="str">
        <f>IFERROR(__xludf.DUMMYFUNCTION("""COMPUTED_VALUE"""),"Obligatorio")</f>
        <v>Obligatorio</v>
      </c>
      <c r="AN197" s="4">
        <f>IFERROR(__xludf.DUMMYFUNCTION("""COMPUTED_VALUE"""),5.0)</f>
        <v>5</v>
      </c>
      <c r="AO197" s="4">
        <f>IFERROR(__xludf.DUMMYFUNCTION("""COMPUTED_VALUE"""),3.0)</f>
        <v>3</v>
      </c>
      <c r="AP197" s="4">
        <f>IFERROR(__xludf.DUMMYFUNCTION("""COMPUTED_VALUE"""),2.0)</f>
        <v>2</v>
      </c>
      <c r="AQ197" s="4">
        <f>IFERROR(__xludf.DUMMYFUNCTION("""COMPUTED_VALUE"""),1.0)</f>
        <v>1</v>
      </c>
      <c r="AR197" s="4">
        <f>IFERROR(__xludf.DUMMYFUNCTION("""COMPUTED_VALUE"""),2.0)</f>
        <v>2</v>
      </c>
      <c r="AS197" s="4">
        <f>IFERROR(__xludf.DUMMYFUNCTION("""COMPUTED_VALUE"""),1.0)</f>
        <v>1</v>
      </c>
      <c r="AT197" s="5" t="str">
        <f>IFERROR(__xludf.DUMMYFUNCTION("""COMPUTED_VALUE"""),"https://doi.org/10.3390/app11041873")</f>
        <v>https://doi.org/10.3390/app11041873</v>
      </c>
      <c r="AU197" s="5" t="str">
        <f>IFERROR(__xludf.DUMMYFUNCTION("""COMPUTED_VALUE"""),"https://drive.google.com/file/d/1lCQyUXSPlPVw6yIZUr19eaqmpRAV8RWt/view?usp=sharing")</f>
        <v>https://drive.google.com/file/d/1lCQyUXSPlPVw6yIZUr19eaqmpRAV8RWt/view?usp=sharing</v>
      </c>
      <c r="AV197" s="4"/>
      <c r="AW197" s="4"/>
      <c r="AX197" s="4">
        <f>IFERROR(__xludf.DUMMYFUNCTION("""COMPUTED_VALUE"""),6.0)</f>
        <v>6</v>
      </c>
      <c r="AY197" s="4" t="str">
        <f>IFERROR(__xludf.DUMMYFUNCTION("""COMPUTED_VALUE"""),"A Sliding Surface for Controlling a Semi-Bridgeless Boost Converter with Power Factor Correction and Adaptive Hysteresis Band")</f>
        <v>A Sliding Surface for Controlling a Semi-Bridgeless Boost Converter with Power Factor Correction and Adaptive Hysteresis Band</v>
      </c>
      <c r="AZ197" s="4"/>
    </row>
    <row r="198">
      <c r="A198" s="4" t="str">
        <f>IFERROR(__xludf.DUMMYFUNCTION("""COMPUTED_VALUE"""),"Proy13")</f>
        <v>Proy13</v>
      </c>
      <c r="B198" s="4" t="str">
        <f>IFERROR(__xludf.DUMMYFUNCTION("""COMPUTED_VALUE"""),"Nuevo_Conocimiento")</f>
        <v>Nuevo_Conocimiento</v>
      </c>
      <c r="C198" s="4" t="str">
        <f>IFERROR(__xludf.DUMMYFUNCTION("""COMPUTED_VALUE"""),"Artículo A2")</f>
        <v>Artículo A2</v>
      </c>
      <c r="D198" s="4" t="str">
        <f>IFERROR(__xludf.DUMMYFUNCTION("""COMPUTED_VALUE"""),"Artículo A1")</f>
        <v>Artículo A1</v>
      </c>
      <c r="E198" s="4" t="str">
        <f>IFERROR(__xludf.DUMMYFUNCTION("""COMPUTED_VALUE"""),"Artículo A2")</f>
        <v>Artículo A2</v>
      </c>
      <c r="F198" s="4" t="str">
        <f>IFERROR(__xludf.DUMMYFUNCTION("""COMPUTED_VALUE"""),"Artículo B")</f>
        <v>Artículo B</v>
      </c>
      <c r="G198" s="4" t="str">
        <f>IFERROR(__xludf.DUMMYFUNCTION("""COMPUTED_VALUE"""),"Artículo C")</f>
        <v>Artículo C</v>
      </c>
      <c r="H198" s="4" t="str">
        <f>IFERROR(__xludf.DUMMYFUNCTION("""COMPUTED_VALUE"""),"Capítulo de libro A")</f>
        <v>Capítulo de libro A</v>
      </c>
      <c r="I198" s="4" t="str">
        <f>IFERROR(__xludf.DUMMYFUNCTION("""COMPUTED_VALUE"""),"Capítulo de libro A1")</f>
        <v>Capítulo de libro A1</v>
      </c>
      <c r="J198" s="4" t="str">
        <f>IFERROR(__xludf.DUMMYFUNCTION("""COMPUTED_VALUE"""),"Capítulo de libro B")</f>
        <v>Capítulo de libro B</v>
      </c>
      <c r="K198" s="4" t="str">
        <f>IFERROR(__xludf.DUMMYFUNCTION("""COMPUTED_VALUE"""),"Libro A")</f>
        <v>Libro A</v>
      </c>
      <c r="L198" s="4" t="str">
        <f>IFERROR(__xludf.DUMMYFUNCTION("""COMPUTED_VALUE"""),"Libro A1")</f>
        <v>Libro A1</v>
      </c>
      <c r="M198" s="4" t="str">
        <f>IFERROR(__xludf.DUMMYFUNCTION("""COMPUTED_VALUE"""),"Libro B")</f>
        <v>Libro B</v>
      </c>
      <c r="N198" s="4" t="str">
        <f>IFERROR(__xludf.DUMMYFUNCTION("""COMPUTED_VALUE"""),"Solicitud Patente de invención y-o modelo de utitlidad")</f>
        <v>Solicitud Patente de invención y-o modelo de utitlidad</v>
      </c>
      <c r="O198" s="4" t="str">
        <f>IFERROR(__xludf.DUMMYFUNCTION("""COMPUTED_VALUE"""),"Patente de invención")</f>
        <v>Patente de invención</v>
      </c>
      <c r="P198" s="4" t="str">
        <f>IFERROR(__xludf.DUMMYFUNCTION("""COMPUTED_VALUE"""),"Patente de modelo de utilidad")</f>
        <v>Patente de modelo de utilidad</v>
      </c>
      <c r="Q198" s="4" t="str">
        <f>IFERROR(__xludf.DUMMYFUNCTION("""COMPUTED_VALUE"""),"Artículo sin clasificar")</f>
        <v>Artículo sin clasificar</v>
      </c>
      <c r="R198" s="4" t="str">
        <f>IFERROR(__xludf.DUMMYFUNCTION("""COMPUTED_VALUE"""),"Capítulo sin clasificar")</f>
        <v>Capítulo sin clasificar</v>
      </c>
      <c r="S198" s="4"/>
      <c r="T198" s="4"/>
      <c r="U198" s="4" t="str">
        <f>IFERROR(__xludf.DUMMYFUNCTION("""COMPUTED_VALUE"""),"Ninguna")</f>
        <v>Ninguna</v>
      </c>
      <c r="V198" s="4"/>
      <c r="W198" s="4" t="str">
        <f>IFERROR(__xludf.DUMMYFUNCTION("""COMPUTED_VALUE"""),"Proyecto")</f>
        <v>Proyecto</v>
      </c>
      <c r="X198" s="4" t="str">
        <f>IFERROR(__xludf.DUMMYFUNCTION("""COMPUTED_VALUE"""),"UdeA")</f>
        <v>UdeA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 t="str">
        <f>IFERROR(__xludf.DUMMYFUNCTION("""COMPUTED_VALUE"""),"Ninguna")</f>
        <v>Ninguna</v>
      </c>
      <c r="AL198" s="4"/>
      <c r="AM198" s="4" t="str">
        <f>IFERROR(__xludf.DUMMYFUNCTION("""COMPUTED_VALUE"""),"Adicional")</f>
        <v>Adicional</v>
      </c>
      <c r="AN198" s="4">
        <f>IFERROR(__xludf.DUMMYFUNCTION("""COMPUTED_VALUE"""),3.0)</f>
        <v>3</v>
      </c>
      <c r="AO198" s="4">
        <f>IFERROR(__xludf.DUMMYFUNCTION("""COMPUTED_VALUE"""),3.0)</f>
        <v>3</v>
      </c>
      <c r="AP198" s="4">
        <f>IFERROR(__xludf.DUMMYFUNCTION("""COMPUTED_VALUE"""),1.0)</f>
        <v>1</v>
      </c>
      <c r="AQ198" s="4">
        <f>IFERROR(__xludf.DUMMYFUNCTION("""COMPUTED_VALUE"""),1.0)</f>
        <v>1</v>
      </c>
      <c r="AR198" s="4">
        <f>IFERROR(__xludf.DUMMYFUNCTION("""COMPUTED_VALUE"""),1.0)</f>
        <v>1</v>
      </c>
      <c r="AS198" s="4">
        <f>IFERROR(__xludf.DUMMYFUNCTION("""COMPUTED_VALUE"""),1.0)</f>
        <v>1</v>
      </c>
      <c r="AT198" s="4" t="str">
        <f>IFERROR(__xludf.DUMMYFUNCTION("""COMPUTED_VALUE"""),"IEEE LATIN AMERICA TRANSACTIONS, VOL. 18, NO. 10, OCTOBER 2020 ")</f>
        <v>IEEE LATIN AMERICA TRANSACTIONS, VOL. 18, NO. 10, OCTOBER 2020 </v>
      </c>
      <c r="AU198" s="5" t="str">
        <f>IFERROR(__xludf.DUMMYFUNCTION("""COMPUTED_VALUE"""),"https://drive.google.com/file/d/15Bp4ckDy_wb_ew4A2ir-0ilU4gCWlt3t/view?usp=sharing")</f>
        <v>https://drive.google.com/file/d/15Bp4ckDy_wb_ew4A2ir-0ilU4gCWlt3t/view?usp=sharing</v>
      </c>
      <c r="AV198" s="4"/>
      <c r="AW198" s="4"/>
      <c r="AX198" s="4">
        <f>IFERROR(__xludf.DUMMYFUNCTION("""COMPUTED_VALUE"""),6.0)</f>
        <v>6</v>
      </c>
      <c r="AY198" s="4" t="str">
        <f>IFERROR(__xludf.DUMMYFUNCTION("""COMPUTED_VALUE"""),"Protection Coordination in Microgrids: Current Weaknesses, Available Solutions and Future Challenges")</f>
        <v>Protection Coordination in Microgrids: Current Weaknesses, Available Solutions and Future Challenges</v>
      </c>
      <c r="AZ198" s="4"/>
    </row>
    <row r="199">
      <c r="A199" s="4" t="str">
        <f>IFERROR(__xludf.DUMMYFUNCTION("""COMPUTED_VALUE"""),"Proy8")</f>
        <v>Proy8</v>
      </c>
      <c r="B199" s="4" t="str">
        <f>IFERROR(__xludf.DUMMYFUNCTION("""COMPUTED_VALUE"""),"Nuevo_Conocimiento")</f>
        <v>Nuevo_Conocimiento</v>
      </c>
      <c r="C199" s="4" t="str">
        <f>IFERROR(__xludf.DUMMYFUNCTION("""COMPUTED_VALUE"""),"Artículo A1")</f>
        <v>Artículo A1</v>
      </c>
      <c r="D199" s="4" t="str">
        <f>IFERROR(__xludf.DUMMYFUNCTION("""COMPUTED_VALUE"""),"Artículo A1")</f>
        <v>Artículo A1</v>
      </c>
      <c r="E199" s="4" t="str">
        <f>IFERROR(__xludf.DUMMYFUNCTION("""COMPUTED_VALUE"""),"Artículo A2")</f>
        <v>Artículo A2</v>
      </c>
      <c r="F199" s="4" t="str">
        <f>IFERROR(__xludf.DUMMYFUNCTION("""COMPUTED_VALUE"""),"Artículo B")</f>
        <v>Artículo B</v>
      </c>
      <c r="G199" s="4" t="str">
        <f>IFERROR(__xludf.DUMMYFUNCTION("""COMPUTED_VALUE"""),"Artículo C")</f>
        <v>Artículo C</v>
      </c>
      <c r="H199" s="4" t="str">
        <f>IFERROR(__xludf.DUMMYFUNCTION("""COMPUTED_VALUE"""),"Capítulo de libro A")</f>
        <v>Capítulo de libro A</v>
      </c>
      <c r="I199" s="4" t="str">
        <f>IFERROR(__xludf.DUMMYFUNCTION("""COMPUTED_VALUE"""),"Capítulo de libro A1")</f>
        <v>Capítulo de libro A1</v>
      </c>
      <c r="J199" s="4" t="str">
        <f>IFERROR(__xludf.DUMMYFUNCTION("""COMPUTED_VALUE"""),"Capítulo de libro B")</f>
        <v>Capítulo de libro B</v>
      </c>
      <c r="K199" s="4" t="str">
        <f>IFERROR(__xludf.DUMMYFUNCTION("""COMPUTED_VALUE"""),"Libro A")</f>
        <v>Libro A</v>
      </c>
      <c r="L199" s="4" t="str">
        <f>IFERROR(__xludf.DUMMYFUNCTION("""COMPUTED_VALUE"""),"Libro A1")</f>
        <v>Libro A1</v>
      </c>
      <c r="M199" s="4" t="str">
        <f>IFERROR(__xludf.DUMMYFUNCTION("""COMPUTED_VALUE"""),"Libro B")</f>
        <v>Libro B</v>
      </c>
      <c r="N199" s="4" t="str">
        <f>IFERROR(__xludf.DUMMYFUNCTION("""COMPUTED_VALUE"""),"Solicitud Patente de invención y-o modelo de utitlidad")</f>
        <v>Solicitud Patente de invención y-o modelo de utitlidad</v>
      </c>
      <c r="O199" s="4" t="str">
        <f>IFERROR(__xludf.DUMMYFUNCTION("""COMPUTED_VALUE"""),"Patente de invención")</f>
        <v>Patente de invención</v>
      </c>
      <c r="P199" s="4" t="str">
        <f>IFERROR(__xludf.DUMMYFUNCTION("""COMPUTED_VALUE"""),"Patente de modelo de utilidad")</f>
        <v>Patente de modelo de utilidad</v>
      </c>
      <c r="Q199" s="4" t="str">
        <f>IFERROR(__xludf.DUMMYFUNCTION("""COMPUTED_VALUE"""),"Artículo sin clasificar")</f>
        <v>Artículo sin clasificar</v>
      </c>
      <c r="R199" s="4" t="str">
        <f>IFERROR(__xludf.DUMMYFUNCTION("""COMPUTED_VALUE"""),"Capítulo sin clasificar")</f>
        <v>Capítulo sin clasificar</v>
      </c>
      <c r="S199" s="4"/>
      <c r="T199" s="4"/>
      <c r="U199" s="4" t="str">
        <f>IFERROR(__xludf.DUMMYFUNCTION("""COMPUTED_VALUE"""),"Ninguna")</f>
        <v>Ninguna</v>
      </c>
      <c r="V199" s="4"/>
      <c r="W199" s="4" t="str">
        <f>IFERROR(__xludf.DUMMYFUNCTION("""COMPUTED_VALUE"""),"Proyecto")</f>
        <v>Proyecto</v>
      </c>
      <c r="X199" s="4" t="str">
        <f>IFERROR(__xludf.DUMMYFUNCTION("""COMPUTED_VALUE"""),"UdeA")</f>
        <v>UdeA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 t="str">
        <f>IFERROR(__xludf.DUMMYFUNCTION("""COMPUTED_VALUE"""),"Ninguna")</f>
        <v>Ninguna</v>
      </c>
      <c r="AL199" s="4"/>
      <c r="AM199" s="4" t="str">
        <f>IFERROR(__xludf.DUMMYFUNCTION("""COMPUTED_VALUE"""),"Obligatorio")</f>
        <v>Obligatorio</v>
      </c>
      <c r="AN199" s="4">
        <f>IFERROR(__xludf.DUMMYFUNCTION("""COMPUTED_VALUE"""),6.0)</f>
        <v>6</v>
      </c>
      <c r="AO199" s="4">
        <f>IFERROR(__xludf.DUMMYFUNCTION("""COMPUTED_VALUE"""),1.0)</f>
        <v>1</v>
      </c>
      <c r="AP199" s="4">
        <f>IFERROR(__xludf.DUMMYFUNCTION("""COMPUTED_VALUE"""),1.0)</f>
        <v>1</v>
      </c>
      <c r="AQ199" s="4">
        <f>IFERROR(__xludf.DUMMYFUNCTION("""COMPUTED_VALUE"""),1.0)</f>
        <v>1</v>
      </c>
      <c r="AR199" s="4">
        <f>IFERROR(__xludf.DUMMYFUNCTION("""COMPUTED_VALUE"""),1.0)</f>
        <v>1</v>
      </c>
      <c r="AS199" s="4">
        <f>IFERROR(__xludf.DUMMYFUNCTION("""COMPUTED_VALUE"""),1.0)</f>
        <v>1</v>
      </c>
      <c r="AT199" s="5" t="str">
        <f>IFERROR(__xludf.DUMMYFUNCTION("""COMPUTED_VALUE"""),"https://doi.org/10.1016/j.seta.2021.101072")</f>
        <v>https://doi.org/10.1016/j.seta.2021.101072</v>
      </c>
      <c r="AU199" s="5" t="str">
        <f>IFERROR(__xludf.DUMMYFUNCTION("""COMPUTED_VALUE"""),"https://drive.google.com/file/d/1s-be4JVhsa5sIBgPK2Wr7VSDcqqXo1_A/view?usp=sharing")</f>
        <v>https://drive.google.com/file/d/1s-be4JVhsa5sIBgPK2Wr7VSDcqqXo1_A/view?usp=sharing</v>
      </c>
      <c r="AV199" s="4"/>
      <c r="AW199" s="4"/>
      <c r="AX199" s="4">
        <f>IFERROR(__xludf.DUMMYFUNCTION("""COMPUTED_VALUE"""),6.0)</f>
        <v>6</v>
      </c>
      <c r="AY199" s="4" t="str">
        <f>IFERROR(__xludf.DUMMYFUNCTION("""COMPUTED_VALUE"""),"Valorization of banana residues via gasification coupled with electricity generation")</f>
        <v>Valorization of banana residues via gasification coupled with electricity generation</v>
      </c>
      <c r="AZ199" s="4"/>
    </row>
    <row r="200">
      <c r="A200" s="4" t="str">
        <f>IFERROR(__xludf.DUMMYFUNCTION("""COMPUTED_VALUE"""),"Proy8")</f>
        <v>Proy8</v>
      </c>
      <c r="B200" s="4" t="str">
        <f>IFERROR(__xludf.DUMMYFUNCTION("""COMPUTED_VALUE"""),"Nuevo_Conocimiento")</f>
        <v>Nuevo_Conocimiento</v>
      </c>
      <c r="C200" s="4" t="str">
        <f>IFERROR(__xludf.DUMMYFUNCTION("""COMPUTED_VALUE"""),"Artículo A1")</f>
        <v>Artículo A1</v>
      </c>
      <c r="D200" s="4" t="str">
        <f>IFERROR(__xludf.DUMMYFUNCTION("""COMPUTED_VALUE"""),"Artículo A1")</f>
        <v>Artículo A1</v>
      </c>
      <c r="E200" s="4" t="str">
        <f>IFERROR(__xludf.DUMMYFUNCTION("""COMPUTED_VALUE"""),"Artículo A2")</f>
        <v>Artículo A2</v>
      </c>
      <c r="F200" s="4" t="str">
        <f>IFERROR(__xludf.DUMMYFUNCTION("""COMPUTED_VALUE"""),"Artículo B")</f>
        <v>Artículo B</v>
      </c>
      <c r="G200" s="4" t="str">
        <f>IFERROR(__xludf.DUMMYFUNCTION("""COMPUTED_VALUE"""),"Artículo C")</f>
        <v>Artículo C</v>
      </c>
      <c r="H200" s="4" t="str">
        <f>IFERROR(__xludf.DUMMYFUNCTION("""COMPUTED_VALUE"""),"Capítulo de libro A")</f>
        <v>Capítulo de libro A</v>
      </c>
      <c r="I200" s="4" t="str">
        <f>IFERROR(__xludf.DUMMYFUNCTION("""COMPUTED_VALUE"""),"Capítulo de libro A1")</f>
        <v>Capítulo de libro A1</v>
      </c>
      <c r="J200" s="4" t="str">
        <f>IFERROR(__xludf.DUMMYFUNCTION("""COMPUTED_VALUE"""),"Capítulo de libro B")</f>
        <v>Capítulo de libro B</v>
      </c>
      <c r="K200" s="4" t="str">
        <f>IFERROR(__xludf.DUMMYFUNCTION("""COMPUTED_VALUE"""),"Libro A")</f>
        <v>Libro A</v>
      </c>
      <c r="L200" s="4" t="str">
        <f>IFERROR(__xludf.DUMMYFUNCTION("""COMPUTED_VALUE"""),"Libro A1")</f>
        <v>Libro A1</v>
      </c>
      <c r="M200" s="4" t="str">
        <f>IFERROR(__xludf.DUMMYFUNCTION("""COMPUTED_VALUE"""),"Libro B")</f>
        <v>Libro B</v>
      </c>
      <c r="N200" s="4" t="str">
        <f>IFERROR(__xludf.DUMMYFUNCTION("""COMPUTED_VALUE"""),"Solicitud Patente de invención y-o modelo de utitlidad")</f>
        <v>Solicitud Patente de invención y-o modelo de utitlidad</v>
      </c>
      <c r="O200" s="4" t="str">
        <f>IFERROR(__xludf.DUMMYFUNCTION("""COMPUTED_VALUE"""),"Patente de invención")</f>
        <v>Patente de invención</v>
      </c>
      <c r="P200" s="4" t="str">
        <f>IFERROR(__xludf.DUMMYFUNCTION("""COMPUTED_VALUE"""),"Patente de modelo de utilidad")</f>
        <v>Patente de modelo de utilidad</v>
      </c>
      <c r="Q200" s="4" t="str">
        <f>IFERROR(__xludf.DUMMYFUNCTION("""COMPUTED_VALUE"""),"Artículo sin clasificar")</f>
        <v>Artículo sin clasificar</v>
      </c>
      <c r="R200" s="4" t="str">
        <f>IFERROR(__xludf.DUMMYFUNCTION("""COMPUTED_VALUE"""),"Capítulo sin clasificar")</f>
        <v>Capítulo sin clasificar</v>
      </c>
      <c r="S200" s="4"/>
      <c r="T200" s="4"/>
      <c r="U200" s="4" t="str">
        <f>IFERROR(__xludf.DUMMYFUNCTION("""COMPUTED_VALUE"""),"Aliados de Séneca")</f>
        <v>Aliados de Séneca</v>
      </c>
      <c r="V200" s="4" t="str">
        <f>IFERROR(__xludf.DUMMYFUNCTION("""COMPUTED_VALUE"""),"Columbia University")</f>
        <v>Columbia University</v>
      </c>
      <c r="W200" s="4" t="str">
        <f>IFERROR(__xludf.DUMMYFUNCTION("""COMPUTED_VALUE"""),"Proyecto")</f>
        <v>Proyecto</v>
      </c>
      <c r="X200" s="4" t="str">
        <f>IFERROR(__xludf.DUMMYFUNCTION("""COMPUTED_VALUE"""),"UdeA")</f>
        <v>UdeA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 t="str">
        <f>IFERROR(__xludf.DUMMYFUNCTION("""COMPUTED_VALUE"""),"Ninguna")</f>
        <v>Ninguna</v>
      </c>
      <c r="AL200" s="4"/>
      <c r="AM200" s="4" t="str">
        <f>IFERROR(__xludf.DUMMYFUNCTION("""COMPUTED_VALUE"""),"Obligatorio")</f>
        <v>Obligatorio</v>
      </c>
      <c r="AN200" s="4">
        <f>IFERROR(__xludf.DUMMYFUNCTION("""COMPUTED_VALUE"""),6.0)</f>
        <v>6</v>
      </c>
      <c r="AO200" s="4">
        <f>IFERROR(__xludf.DUMMYFUNCTION("""COMPUTED_VALUE"""),1.0)</f>
        <v>1</v>
      </c>
      <c r="AP200" s="4">
        <f>IFERROR(__xludf.DUMMYFUNCTION("""COMPUTED_VALUE"""),2.0)</f>
        <v>2</v>
      </c>
      <c r="AQ200" s="4">
        <f>IFERROR(__xludf.DUMMYFUNCTION("""COMPUTED_VALUE"""),1.0)</f>
        <v>1</v>
      </c>
      <c r="AR200" s="4">
        <f>IFERROR(__xludf.DUMMYFUNCTION("""COMPUTED_VALUE"""),2.0)</f>
        <v>2</v>
      </c>
      <c r="AS200" s="4">
        <f>IFERROR(__xludf.DUMMYFUNCTION("""COMPUTED_VALUE"""),1.0)</f>
        <v>1</v>
      </c>
      <c r="AT200" s="5" t="str">
        <f>IFERROR(__xludf.DUMMYFUNCTION("""COMPUTED_VALUE"""),"https://doi.org/10.1016/j.apsusc.2020.147469")</f>
        <v>https://doi.org/10.1016/j.apsusc.2020.147469</v>
      </c>
      <c r="AU200" s="5" t="str">
        <f>IFERROR(__xludf.DUMMYFUNCTION("""COMPUTED_VALUE"""),"https://drive.google.com/file/d/1HlpEkNnBfzZmYpnLx-DrQy2lMA9ofvwf/view?usp=sharing")</f>
        <v>https://drive.google.com/file/d/1HlpEkNnBfzZmYpnLx-DrQy2lMA9ofvwf/view?usp=sharing</v>
      </c>
      <c r="AV200" s="4"/>
      <c r="AW200" s="4"/>
      <c r="AX200" s="4">
        <f>IFERROR(__xludf.DUMMYFUNCTION("""COMPUTED_VALUE"""),6.0)</f>
        <v>6</v>
      </c>
      <c r="AY200" s="4" t="str">
        <f>IFERROR(__xludf.DUMMYFUNCTION("""COMPUTED_VALUE"""),"Mechanistic assessment of dual function materials, composed of Ru-Ni,
Na2O/Al2O3 and Pt-Ni, Na2O/Al2O3, for CO2 capture and methanation by insitu DRIFTS")</f>
        <v>Mechanistic assessment of dual function materials, composed of Ru-Ni,
Na2O/Al2O3 and Pt-Ni, Na2O/Al2O3, for CO2 capture and methanation by insitu DRIFTS</v>
      </c>
      <c r="AZ200" s="4"/>
    </row>
    <row r="201">
      <c r="A201" s="4" t="str">
        <f>IFERROR(__xludf.DUMMYFUNCTION("""COMPUTED_VALUE"""),"Proy15")</f>
        <v>Proy15</v>
      </c>
      <c r="B201" s="4" t="str">
        <f>IFERROR(__xludf.DUMMYFUNCTION("""COMPUTED_VALUE"""),"Nuevo_Conocimiento")</f>
        <v>Nuevo_Conocimiento</v>
      </c>
      <c r="C201" s="4" t="str">
        <f>IFERROR(__xludf.DUMMYFUNCTION("""COMPUTED_VALUE"""),"Capítulo sin clasificar")</f>
        <v>Capítulo sin clasificar</v>
      </c>
      <c r="D201" s="4" t="str">
        <f>IFERROR(__xludf.DUMMYFUNCTION("""COMPUTED_VALUE"""),"Artículo A1")</f>
        <v>Artículo A1</v>
      </c>
      <c r="E201" s="4" t="str">
        <f>IFERROR(__xludf.DUMMYFUNCTION("""COMPUTED_VALUE"""),"Artículo A2")</f>
        <v>Artículo A2</v>
      </c>
      <c r="F201" s="4" t="str">
        <f>IFERROR(__xludf.DUMMYFUNCTION("""COMPUTED_VALUE"""),"Artículo B")</f>
        <v>Artículo B</v>
      </c>
      <c r="G201" s="4" t="str">
        <f>IFERROR(__xludf.DUMMYFUNCTION("""COMPUTED_VALUE"""),"Artículo C")</f>
        <v>Artículo C</v>
      </c>
      <c r="H201" s="4" t="str">
        <f>IFERROR(__xludf.DUMMYFUNCTION("""COMPUTED_VALUE"""),"Capítulo de libro A")</f>
        <v>Capítulo de libro A</v>
      </c>
      <c r="I201" s="4" t="str">
        <f>IFERROR(__xludf.DUMMYFUNCTION("""COMPUTED_VALUE"""),"Capítulo de libro A1")</f>
        <v>Capítulo de libro A1</v>
      </c>
      <c r="J201" s="4" t="str">
        <f>IFERROR(__xludf.DUMMYFUNCTION("""COMPUTED_VALUE"""),"Capítulo de libro B")</f>
        <v>Capítulo de libro B</v>
      </c>
      <c r="K201" s="4" t="str">
        <f>IFERROR(__xludf.DUMMYFUNCTION("""COMPUTED_VALUE"""),"Libro A")</f>
        <v>Libro A</v>
      </c>
      <c r="L201" s="4" t="str">
        <f>IFERROR(__xludf.DUMMYFUNCTION("""COMPUTED_VALUE"""),"Libro A1")</f>
        <v>Libro A1</v>
      </c>
      <c r="M201" s="4" t="str">
        <f>IFERROR(__xludf.DUMMYFUNCTION("""COMPUTED_VALUE"""),"Libro B")</f>
        <v>Libro B</v>
      </c>
      <c r="N201" s="4" t="str">
        <f>IFERROR(__xludf.DUMMYFUNCTION("""COMPUTED_VALUE"""),"Solicitud Patente de invención y-o modelo de utitlidad")</f>
        <v>Solicitud Patente de invención y-o modelo de utitlidad</v>
      </c>
      <c r="O201" s="4" t="str">
        <f>IFERROR(__xludf.DUMMYFUNCTION("""COMPUTED_VALUE"""),"Patente de invención")</f>
        <v>Patente de invención</v>
      </c>
      <c r="P201" s="4" t="str">
        <f>IFERROR(__xludf.DUMMYFUNCTION("""COMPUTED_VALUE"""),"Patente de modelo de utilidad")</f>
        <v>Patente de modelo de utilidad</v>
      </c>
      <c r="Q201" s="4" t="str">
        <f>IFERROR(__xludf.DUMMYFUNCTION("""COMPUTED_VALUE"""),"Artículo sin clasificar")</f>
        <v>Artículo sin clasificar</v>
      </c>
      <c r="R201" s="4" t="str">
        <f>IFERROR(__xludf.DUMMYFUNCTION("""COMPUTED_VALUE"""),"Capítulo sin clasificar")</f>
        <v>Capítulo sin clasificar</v>
      </c>
      <c r="S201" s="4"/>
      <c r="T201" s="4"/>
      <c r="U201" s="4" t="str">
        <f>IFERROR(__xludf.DUMMYFUNCTION("""COMPUTED_VALUE"""),"Ninguna")</f>
        <v>Ninguna</v>
      </c>
      <c r="V201" s="4"/>
      <c r="W201" s="4" t="str">
        <f>IFERROR(__xludf.DUMMYFUNCTION("""COMPUTED_VALUE"""),"Proyecto")</f>
        <v>Proyecto</v>
      </c>
      <c r="X201" s="4" t="str">
        <f>IFERROR(__xludf.DUMMYFUNCTION("""COMPUTED_VALUE"""),"UdeA")</f>
        <v>UdeA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 t="str">
        <f>IFERROR(__xludf.DUMMYFUNCTION("""COMPUTED_VALUE"""),"Tecnológico de Antioquia")</f>
        <v>Tecnológico de Antioquia</v>
      </c>
      <c r="AK201" s="4" t="str">
        <f>IFERROR(__xludf.DUMMYFUNCTION("""COMPUTED_VALUE"""),"Ninguna")</f>
        <v>Ninguna</v>
      </c>
      <c r="AL201" s="4"/>
      <c r="AM201" s="4" t="str">
        <f>IFERROR(__xludf.DUMMYFUNCTION("""COMPUTED_VALUE"""),"Adicional")</f>
        <v>Adicional</v>
      </c>
      <c r="AN201" s="4">
        <f>IFERROR(__xludf.DUMMYFUNCTION("""COMPUTED_VALUE"""),3.0)</f>
        <v>3</v>
      </c>
      <c r="AO201" s="4">
        <f>IFERROR(__xludf.DUMMYFUNCTION("""COMPUTED_VALUE"""),1.0)</f>
        <v>1</v>
      </c>
      <c r="AP201" s="4">
        <f>IFERROR(__xludf.DUMMYFUNCTION("""COMPUTED_VALUE"""),2.0)</f>
        <v>2</v>
      </c>
      <c r="AQ201" s="4">
        <f>IFERROR(__xludf.DUMMYFUNCTION("""COMPUTED_VALUE"""),1.0)</f>
        <v>1</v>
      </c>
      <c r="AR201" s="4">
        <f>IFERROR(__xludf.DUMMYFUNCTION("""COMPUTED_VALUE"""),2.0)</f>
        <v>2</v>
      </c>
      <c r="AS201" s="4">
        <f>IFERROR(__xludf.DUMMYFUNCTION("""COMPUTED_VALUE"""),1.0)</f>
        <v>1</v>
      </c>
      <c r="AT201" s="4" t="str">
        <f>IFERROR(__xludf.DUMMYFUNCTION("""COMPUTED_VALUE"""),"Gestión del riesgo y del medio ambiente
ISBN impreso: 978-958-8628-61-5")</f>
        <v>Gestión del riesgo y del medio ambiente
ISBN impreso: 978-958-8628-61-5</v>
      </c>
      <c r="AU201" s="5" t="str">
        <f>IFERROR(__xludf.DUMMYFUNCTION("""COMPUTED_VALUE"""),"https://drive.google.com/file/d/1Tje6sg0f2-393LRhdJQI_licYXVKkbSG/view?usp=sharing")</f>
        <v>https://drive.google.com/file/d/1Tje6sg0f2-393LRhdJQI_licYXVKkbSG/view?usp=sharing</v>
      </c>
      <c r="AV201" s="4"/>
      <c r="AW201" s="4"/>
      <c r="AX201" s="4">
        <f>IFERROR(__xludf.DUMMYFUNCTION("""COMPUTED_VALUE"""),6.0)</f>
        <v>6</v>
      </c>
      <c r="AY201" s="4" t="str">
        <f>IFERROR(__xludf.DUMMYFUNCTION("""COMPUTED_VALUE"""),"Métodos estadísticos
multivariados para el
análisis de macronutrientes
en especies forestales del
embalse Topocoro")</f>
        <v>Métodos estadísticos
multivariados para el
análisis de macronutrientes
en especies forestales del
embalse Topocoro</v>
      </c>
      <c r="AZ201" s="4"/>
    </row>
    <row r="202">
      <c r="A202" s="4" t="str">
        <f>IFERROR(__xludf.DUMMYFUNCTION("""COMPUTED_VALUE"""),"Proy13")</f>
        <v>Proy13</v>
      </c>
      <c r="B202" s="4" t="str">
        <f>IFERROR(__xludf.DUMMYFUNCTION("""COMPUTED_VALUE"""),"Nuevo_Conocimiento")</f>
        <v>Nuevo_Conocimiento</v>
      </c>
      <c r="C202" s="4" t="str">
        <f>IFERROR(__xludf.DUMMYFUNCTION("""COMPUTED_VALUE"""),"Artículo A2")</f>
        <v>Artículo A2</v>
      </c>
      <c r="D202" s="4" t="str">
        <f>IFERROR(__xludf.DUMMYFUNCTION("""COMPUTED_VALUE"""),"Artículo A1")</f>
        <v>Artículo A1</v>
      </c>
      <c r="E202" s="4" t="str">
        <f>IFERROR(__xludf.DUMMYFUNCTION("""COMPUTED_VALUE"""),"Artículo A2")</f>
        <v>Artículo A2</v>
      </c>
      <c r="F202" s="4" t="str">
        <f>IFERROR(__xludf.DUMMYFUNCTION("""COMPUTED_VALUE"""),"Artículo B")</f>
        <v>Artículo B</v>
      </c>
      <c r="G202" s="4" t="str">
        <f>IFERROR(__xludf.DUMMYFUNCTION("""COMPUTED_VALUE"""),"Artículo C")</f>
        <v>Artículo C</v>
      </c>
      <c r="H202" s="4" t="str">
        <f>IFERROR(__xludf.DUMMYFUNCTION("""COMPUTED_VALUE"""),"Capítulo de libro A")</f>
        <v>Capítulo de libro A</v>
      </c>
      <c r="I202" s="4" t="str">
        <f>IFERROR(__xludf.DUMMYFUNCTION("""COMPUTED_VALUE"""),"Capítulo de libro A1")</f>
        <v>Capítulo de libro A1</v>
      </c>
      <c r="J202" s="4" t="str">
        <f>IFERROR(__xludf.DUMMYFUNCTION("""COMPUTED_VALUE"""),"Capítulo de libro B")</f>
        <v>Capítulo de libro B</v>
      </c>
      <c r="K202" s="4" t="str">
        <f>IFERROR(__xludf.DUMMYFUNCTION("""COMPUTED_VALUE"""),"Libro A")</f>
        <v>Libro A</v>
      </c>
      <c r="L202" s="4" t="str">
        <f>IFERROR(__xludf.DUMMYFUNCTION("""COMPUTED_VALUE"""),"Libro A1")</f>
        <v>Libro A1</v>
      </c>
      <c r="M202" s="4" t="str">
        <f>IFERROR(__xludf.DUMMYFUNCTION("""COMPUTED_VALUE"""),"Libro B")</f>
        <v>Libro B</v>
      </c>
      <c r="N202" s="4" t="str">
        <f>IFERROR(__xludf.DUMMYFUNCTION("""COMPUTED_VALUE"""),"Solicitud Patente de invención y-o modelo de utitlidad")</f>
        <v>Solicitud Patente de invención y-o modelo de utitlidad</v>
      </c>
      <c r="O202" s="4" t="str">
        <f>IFERROR(__xludf.DUMMYFUNCTION("""COMPUTED_VALUE"""),"Patente de invención")</f>
        <v>Patente de invención</v>
      </c>
      <c r="P202" s="4" t="str">
        <f>IFERROR(__xludf.DUMMYFUNCTION("""COMPUTED_VALUE"""),"Patente de modelo de utilidad")</f>
        <v>Patente de modelo de utilidad</v>
      </c>
      <c r="Q202" s="4" t="str">
        <f>IFERROR(__xludf.DUMMYFUNCTION("""COMPUTED_VALUE"""),"Artículo sin clasificar")</f>
        <v>Artículo sin clasificar</v>
      </c>
      <c r="R202" s="4" t="str">
        <f>IFERROR(__xludf.DUMMYFUNCTION("""COMPUTED_VALUE"""),"Capítulo sin clasificar")</f>
        <v>Capítulo sin clasificar</v>
      </c>
      <c r="S202" s="4"/>
      <c r="T202" s="4"/>
      <c r="U202" s="4" t="str">
        <f>IFERROR(__xludf.DUMMYFUNCTION("""COMPUTED_VALUE"""),"Ninguna")</f>
        <v>Ninguna</v>
      </c>
      <c r="V202" s="4"/>
      <c r="W202" s="4" t="str">
        <f>IFERROR(__xludf.DUMMYFUNCTION("""COMPUTED_VALUE"""),"Proyecto")</f>
        <v>Proyecto</v>
      </c>
      <c r="X202" s="4" t="str">
        <f>IFERROR(__xludf.DUMMYFUNCTION("""COMPUTED_VALUE"""),"UdeA")</f>
        <v>UdeA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 t="str">
        <f>IFERROR(__xludf.DUMMYFUNCTION("""COMPUTED_VALUE"""),"Ninguna")</f>
        <v>Ninguna</v>
      </c>
      <c r="AL202" s="4"/>
      <c r="AM202" s="4" t="str">
        <f>IFERROR(__xludf.DUMMYFUNCTION("""COMPUTED_VALUE"""),"Adicional")</f>
        <v>Adicional</v>
      </c>
      <c r="AN202" s="4">
        <f>IFERROR(__xludf.DUMMYFUNCTION("""COMPUTED_VALUE"""),2.0)</f>
        <v>2</v>
      </c>
      <c r="AO202" s="4">
        <f>IFERROR(__xludf.DUMMYFUNCTION("""COMPUTED_VALUE"""),1.0)</f>
        <v>1</v>
      </c>
      <c r="AP202" s="4">
        <f>IFERROR(__xludf.DUMMYFUNCTION("""COMPUTED_VALUE"""),1.0)</f>
        <v>1</v>
      </c>
      <c r="AQ202" s="4">
        <f>IFERROR(__xludf.DUMMYFUNCTION("""COMPUTED_VALUE"""),1.0)</f>
        <v>1</v>
      </c>
      <c r="AR202" s="4">
        <f>IFERROR(__xludf.DUMMYFUNCTION("""COMPUTED_VALUE"""),1.0)</f>
        <v>1</v>
      </c>
      <c r="AS202" s="4">
        <f>IFERROR(__xludf.DUMMYFUNCTION("""COMPUTED_VALUE"""),1.0)</f>
        <v>1</v>
      </c>
      <c r="AT202" s="5" t="str">
        <f>IFERROR(__xludf.DUMMYFUNCTION("""COMPUTED_VALUE"""),"https://doi.org/10.3390/su13042010")</f>
        <v>https://doi.org/10.3390/su13042010</v>
      </c>
      <c r="AU202" s="5" t="str">
        <f>IFERROR(__xludf.DUMMYFUNCTION("""COMPUTED_VALUE"""),"https://drive.google.com/file/d/1Ce0gVlIBGGiU6MgDuEbvcL7mAIS_63Uv/view?usp=sharing")</f>
        <v>https://drive.google.com/file/d/1Ce0gVlIBGGiU6MgDuEbvcL7mAIS_63Uv/view?usp=sharing</v>
      </c>
      <c r="AV202" s="4"/>
      <c r="AW202" s="4"/>
      <c r="AX202" s="4">
        <f>IFERROR(__xludf.DUMMYFUNCTION("""COMPUTED_VALUE"""),6.0)</f>
        <v>6</v>
      </c>
      <c r="AY202" s="4" t="str">
        <f>IFERROR(__xludf.DUMMYFUNCTION("""COMPUTED_VALUE"""),"Measuring Financial Impacts of the Renewable Energy Based Fiscal Policy in Colombia under Electricity Price Uncertainty")</f>
        <v>Measuring Financial Impacts of the Renewable Energy Based Fiscal Policy in Colombia under Electricity Price Uncertainty</v>
      </c>
      <c r="AZ202" s="4"/>
    </row>
    <row r="203">
      <c r="A203" s="4" t="str">
        <f>IFERROR(__xludf.DUMMYFUNCTION("""COMPUTED_VALUE"""),"Proy14")</f>
        <v>Proy14</v>
      </c>
      <c r="B203" s="4" t="str">
        <f>IFERROR(__xludf.DUMMYFUNCTION("""COMPUTED_VALUE"""),"Formación_RH")</f>
        <v>Formación_RH</v>
      </c>
      <c r="C203" s="4" t="str">
        <f>IFERROR(__xludf.DUMMYFUNCTION("""COMPUTED_VALUE"""),"Vinculación de estudiante de maestría")</f>
        <v>Vinculación de estudiante de maestría</v>
      </c>
      <c r="D203" s="4" t="str">
        <f>IFERROR(__xludf.DUMMYFUNCTION("""COMPUTED_VALUE"""),"Vinculación de estudiante de doctorado")</f>
        <v>Vinculación de estudiante de doctorado</v>
      </c>
      <c r="E203" s="4" t="str">
        <f>IFERROR(__xludf.DUMMYFUNCTION("""COMPUTED_VALUE"""),"Formación de estudiante de doctorado")</f>
        <v>Formación de estudiante de doctorado</v>
      </c>
      <c r="F203" s="4" t="str">
        <f>IFERROR(__xludf.DUMMYFUNCTION("""COMPUTED_VALUE"""),"Vinculación de estudiante de maestría")</f>
        <v>Vinculación de estudiante de maestría</v>
      </c>
      <c r="G203" s="4" t="str">
        <f>IFERROR(__xludf.DUMMYFUNCTION("""COMPUTED_VALUE"""),"Formación de estudiante de maestría")</f>
        <v>Formación de estudiante de maestría</v>
      </c>
      <c r="H203" s="4" t="str">
        <f>IFERROR(__xludf.DUMMYFUNCTION("""COMPUTED_VALUE"""),"Vinculación de estudiante de pregrado")</f>
        <v>Vinculación de estudiante de pregrado</v>
      </c>
      <c r="I203" s="4" t="str">
        <f>IFERROR(__xludf.DUMMYFUNCTION("""COMPUTED_VALUE"""),"Formación de estudiante de pregrado")</f>
        <v>Formación de estudiante de pregrado</v>
      </c>
      <c r="J203" s="4" t="str">
        <f>IFERROR(__xludf.DUMMYFUNCTION("""COMPUTED_VALUE"""),"Joven investigador")</f>
        <v>Joven investigador</v>
      </c>
      <c r="K203" s="4" t="str">
        <f>IFERROR(__xludf.DUMMYFUNCTION("""COMPUTED_VALUE"""),"Pasantía nacional")</f>
        <v>Pasantía nacional</v>
      </c>
      <c r="L203" s="4" t="str">
        <f>IFERROR(__xludf.DUMMYFUNCTION("""COMPUTED_VALUE"""),"Pasantía internacional")</f>
        <v>Pasantía internacional</v>
      </c>
      <c r="M203" s="4"/>
      <c r="N203" s="4"/>
      <c r="O203" s="4"/>
      <c r="P203" s="4"/>
      <c r="Q203" s="4"/>
      <c r="R203" s="4"/>
      <c r="S203" s="4"/>
      <c r="T203" s="4"/>
      <c r="U203" s="4" t="str">
        <f>IFERROR(__xludf.DUMMYFUNCTION("""COMPUTED_VALUE"""),"Ninguna")</f>
        <v>Ninguna</v>
      </c>
      <c r="V203" s="4"/>
      <c r="W203" s="4" t="str">
        <f>IFERROR(__xludf.DUMMYFUNCTION("""COMPUTED_VALUE"""),"Proyecto")</f>
        <v>Proyecto</v>
      </c>
      <c r="X203" s="4" t="str">
        <f>IFERROR(__xludf.DUMMYFUNCTION("""COMPUTED_VALUE"""),"U. de Nariño")</f>
        <v>U. de Nariño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 t="str">
        <f>IFERROR(__xludf.DUMMYFUNCTION("""COMPUTED_VALUE"""),"Ninguna")</f>
        <v>Ninguna</v>
      </c>
      <c r="AL203" s="4"/>
      <c r="AM203" s="4" t="str">
        <f>IFERROR(__xludf.DUMMYFUNCTION("""COMPUTED_VALUE"""),"Obligatorio")</f>
        <v>Obligatorio</v>
      </c>
      <c r="AN203" s="4"/>
      <c r="AO203" s="4"/>
      <c r="AP203" s="4"/>
      <c r="AQ203" s="4"/>
      <c r="AR203" s="4"/>
      <c r="AS203" s="4"/>
      <c r="AT203" s="4" t="str">
        <f>IFERROR(__xludf.DUMMYFUNCTION("""COMPUTED_VALUE"""),"JAIME DANIEL BENAVIDES TREJO CC: 1085314613")</f>
        <v>JAIME DANIEL BENAVIDES TREJO CC: 1085314613</v>
      </c>
      <c r="AU203" s="4"/>
      <c r="AV203" s="4"/>
      <c r="AW203" s="4" t="str">
        <f>IFERROR(__xludf.DUMMYFUNCTION("""COMPUTED_VALUE"""),"En Curso")</f>
        <v>En Curso</v>
      </c>
      <c r="AX203" s="4">
        <f>IFERROR(__xludf.DUMMYFUNCTION("""COMPUTED_VALUE"""),6.0)</f>
        <v>6</v>
      </c>
      <c r="AY203" s="4" t="str">
        <f>IFERROR(__xludf.DUMMYFUNCTION("""COMPUTED_VALUE"""),"Maestría en Ingeniería Electrónica - U. de Nariño")</f>
        <v>Maestría en Ingeniería Electrónica - U. de Nariño</v>
      </c>
      <c r="AZ203" s="4"/>
    </row>
    <row r="204">
      <c r="A204" s="4" t="str">
        <f>IFERROR(__xludf.DUMMYFUNCTION("""COMPUTED_VALUE"""),"Proy14")</f>
        <v>Proy14</v>
      </c>
      <c r="B204" s="4" t="str">
        <f>IFERROR(__xludf.DUMMYFUNCTION("""COMPUTED_VALUE"""),"Formación_RH")</f>
        <v>Formación_RH</v>
      </c>
      <c r="C204" s="4" t="str">
        <f>IFERROR(__xludf.DUMMYFUNCTION("""COMPUTED_VALUE"""),"Vinculación de estudiante de maestría")</f>
        <v>Vinculación de estudiante de maestría</v>
      </c>
      <c r="D204" s="4" t="str">
        <f>IFERROR(__xludf.DUMMYFUNCTION("""COMPUTED_VALUE"""),"Vinculación de estudiante de doctorado")</f>
        <v>Vinculación de estudiante de doctorado</v>
      </c>
      <c r="E204" s="4" t="str">
        <f>IFERROR(__xludf.DUMMYFUNCTION("""COMPUTED_VALUE"""),"Formación de estudiante de doctorado")</f>
        <v>Formación de estudiante de doctorado</v>
      </c>
      <c r="F204" s="4" t="str">
        <f>IFERROR(__xludf.DUMMYFUNCTION("""COMPUTED_VALUE"""),"Vinculación de estudiante de maestría")</f>
        <v>Vinculación de estudiante de maestría</v>
      </c>
      <c r="G204" s="4" t="str">
        <f>IFERROR(__xludf.DUMMYFUNCTION("""COMPUTED_VALUE"""),"Formación de estudiante de maestría")</f>
        <v>Formación de estudiante de maestría</v>
      </c>
      <c r="H204" s="4" t="str">
        <f>IFERROR(__xludf.DUMMYFUNCTION("""COMPUTED_VALUE"""),"Vinculación de estudiante de pregrado")</f>
        <v>Vinculación de estudiante de pregrado</v>
      </c>
      <c r="I204" s="4" t="str">
        <f>IFERROR(__xludf.DUMMYFUNCTION("""COMPUTED_VALUE"""),"Formación de estudiante de pregrado")</f>
        <v>Formación de estudiante de pregrado</v>
      </c>
      <c r="J204" s="4" t="str">
        <f>IFERROR(__xludf.DUMMYFUNCTION("""COMPUTED_VALUE"""),"Joven investigador")</f>
        <v>Joven investigador</v>
      </c>
      <c r="K204" s="4" t="str">
        <f>IFERROR(__xludf.DUMMYFUNCTION("""COMPUTED_VALUE"""),"Pasantía nacional")</f>
        <v>Pasantía nacional</v>
      </c>
      <c r="L204" s="4" t="str">
        <f>IFERROR(__xludf.DUMMYFUNCTION("""COMPUTED_VALUE"""),"Pasantía internacional")</f>
        <v>Pasantía internacional</v>
      </c>
      <c r="M204" s="4"/>
      <c r="N204" s="4"/>
      <c r="O204" s="4"/>
      <c r="P204" s="4"/>
      <c r="Q204" s="4"/>
      <c r="R204" s="4"/>
      <c r="S204" s="4"/>
      <c r="T204" s="4"/>
      <c r="U204" s="4" t="str">
        <f>IFERROR(__xludf.DUMMYFUNCTION("""COMPUTED_VALUE"""),"Ninguna")</f>
        <v>Ninguna</v>
      </c>
      <c r="V204" s="4"/>
      <c r="W204" s="4" t="str">
        <f>IFERROR(__xludf.DUMMYFUNCTION("""COMPUTED_VALUE"""),"Proyecto")</f>
        <v>Proyecto</v>
      </c>
      <c r="X204" s="4" t="str">
        <f>IFERROR(__xludf.DUMMYFUNCTION("""COMPUTED_VALUE"""),"U. de Nariño")</f>
        <v>U. de Nariño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 t="str">
        <f>IFERROR(__xludf.DUMMYFUNCTION("""COMPUTED_VALUE"""),"Ninguna")</f>
        <v>Ninguna</v>
      </c>
      <c r="AL204" s="4"/>
      <c r="AM204" s="4" t="str">
        <f>IFERROR(__xludf.DUMMYFUNCTION("""COMPUTED_VALUE"""),"Obligatorio")</f>
        <v>Obligatorio</v>
      </c>
      <c r="AN204" s="4"/>
      <c r="AO204" s="4"/>
      <c r="AP204" s="4"/>
      <c r="AQ204" s="4"/>
      <c r="AR204" s="4"/>
      <c r="AS204" s="4"/>
      <c r="AT204" s="4" t="str">
        <f>IFERROR(__xludf.DUMMYFUNCTION("""COMPUTED_VALUE"""),"LUIS ALBERTO ROSERO NARVÁEZ CC: 87218314")</f>
        <v>LUIS ALBERTO ROSERO NARVÁEZ CC: 87218314</v>
      </c>
      <c r="AU204" s="4"/>
      <c r="AV204" s="4"/>
      <c r="AW204" s="4" t="str">
        <f>IFERROR(__xludf.DUMMYFUNCTION("""COMPUTED_VALUE"""),"En Curso")</f>
        <v>En Curso</v>
      </c>
      <c r="AX204" s="4">
        <f>IFERROR(__xludf.DUMMYFUNCTION("""COMPUTED_VALUE"""),6.0)</f>
        <v>6</v>
      </c>
      <c r="AY204" s="4" t="str">
        <f>IFERROR(__xludf.DUMMYFUNCTION("""COMPUTED_VALUE"""),"Maestría en Ingeniería Electrónica - U. de Nariño")</f>
        <v>Maestría en Ingeniería Electrónica - U. de Nariño</v>
      </c>
      <c r="AZ204" s="4"/>
    </row>
    <row r="205">
      <c r="A205" s="4" t="str">
        <f>IFERROR(__xludf.DUMMYFUNCTION("""COMPUTED_VALUE"""),"Proy4")</f>
        <v>Proy4</v>
      </c>
      <c r="B205" s="4" t="str">
        <f>IFERROR(__xludf.DUMMYFUNCTION("""COMPUTED_VALUE"""),"Nuevo_Conocimiento")</f>
        <v>Nuevo_Conocimiento</v>
      </c>
      <c r="C205" s="4" t="str">
        <f>IFERROR(__xludf.DUMMYFUNCTION("""COMPUTED_VALUE"""),"Artículo A1")</f>
        <v>Artículo A1</v>
      </c>
      <c r="D205" s="4" t="str">
        <f>IFERROR(__xludf.DUMMYFUNCTION("""COMPUTED_VALUE"""),"Artículo A1")</f>
        <v>Artículo A1</v>
      </c>
      <c r="E205" s="4" t="str">
        <f>IFERROR(__xludf.DUMMYFUNCTION("""COMPUTED_VALUE"""),"Artículo A2")</f>
        <v>Artículo A2</v>
      </c>
      <c r="F205" s="4" t="str">
        <f>IFERROR(__xludf.DUMMYFUNCTION("""COMPUTED_VALUE"""),"Artículo B")</f>
        <v>Artículo B</v>
      </c>
      <c r="G205" s="4" t="str">
        <f>IFERROR(__xludf.DUMMYFUNCTION("""COMPUTED_VALUE"""),"Artículo C")</f>
        <v>Artículo C</v>
      </c>
      <c r="H205" s="4" t="str">
        <f>IFERROR(__xludf.DUMMYFUNCTION("""COMPUTED_VALUE"""),"Capítulo de libro A")</f>
        <v>Capítulo de libro A</v>
      </c>
      <c r="I205" s="4" t="str">
        <f>IFERROR(__xludf.DUMMYFUNCTION("""COMPUTED_VALUE"""),"Capítulo de libro A1")</f>
        <v>Capítulo de libro A1</v>
      </c>
      <c r="J205" s="4" t="str">
        <f>IFERROR(__xludf.DUMMYFUNCTION("""COMPUTED_VALUE"""),"Capítulo de libro B")</f>
        <v>Capítulo de libro B</v>
      </c>
      <c r="K205" s="4" t="str">
        <f>IFERROR(__xludf.DUMMYFUNCTION("""COMPUTED_VALUE"""),"Libro A")</f>
        <v>Libro A</v>
      </c>
      <c r="L205" s="4" t="str">
        <f>IFERROR(__xludf.DUMMYFUNCTION("""COMPUTED_VALUE"""),"Libro A1")</f>
        <v>Libro A1</v>
      </c>
      <c r="M205" s="4" t="str">
        <f>IFERROR(__xludf.DUMMYFUNCTION("""COMPUTED_VALUE"""),"Libro B")</f>
        <v>Libro B</v>
      </c>
      <c r="N205" s="4" t="str">
        <f>IFERROR(__xludf.DUMMYFUNCTION("""COMPUTED_VALUE"""),"Solicitud Patente de invención y-o modelo de utitlidad")</f>
        <v>Solicitud Patente de invención y-o modelo de utitlidad</v>
      </c>
      <c r="O205" s="4" t="str">
        <f>IFERROR(__xludf.DUMMYFUNCTION("""COMPUTED_VALUE"""),"Patente de invención")</f>
        <v>Patente de invención</v>
      </c>
      <c r="P205" s="4" t="str">
        <f>IFERROR(__xludf.DUMMYFUNCTION("""COMPUTED_VALUE"""),"Patente de modelo de utilidad")</f>
        <v>Patente de modelo de utilidad</v>
      </c>
      <c r="Q205" s="4" t="str">
        <f>IFERROR(__xludf.DUMMYFUNCTION("""COMPUTED_VALUE"""),"Artículo sin clasificar")</f>
        <v>Artículo sin clasificar</v>
      </c>
      <c r="R205" s="4" t="str">
        <f>IFERROR(__xludf.DUMMYFUNCTION("""COMPUTED_VALUE"""),"Capítulo sin clasificar")</f>
        <v>Capítulo sin clasificar</v>
      </c>
      <c r="S205" s="4"/>
      <c r="T205" s="4"/>
      <c r="U205" s="4" t="str">
        <f>IFERROR(__xludf.DUMMYFUNCTION("""COMPUTED_VALUE"""),"Aliados de Séneca")</f>
        <v>Aliados de Séneca</v>
      </c>
      <c r="V205" s="4" t="str">
        <f>IFERROR(__xludf.DUMMYFUNCTION("""COMPUTED_VALUE"""),"U.Hokkaido")</f>
        <v>U.Hokkaido</v>
      </c>
      <c r="W205" s="4" t="str">
        <f>IFERROR(__xludf.DUMMYFUNCTION("""COMPUTED_VALUE"""),"Proyecto")</f>
        <v>Proyecto</v>
      </c>
      <c r="X205" s="4" t="str">
        <f>IFERROR(__xludf.DUMMYFUNCTION("""COMPUTED_VALUE"""),"U de A")</f>
        <v>U de A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 t="str">
        <f>IFERROR(__xludf.DUMMYFUNCTION("""COMPUTED_VALUE"""),"Ninguna")</f>
        <v>Ninguna</v>
      </c>
      <c r="AL205" s="4"/>
      <c r="AM205" s="4" t="str">
        <f>IFERROR(__xludf.DUMMYFUNCTION("""COMPUTED_VALUE"""),"Obligatorio")</f>
        <v>Obligatorio</v>
      </c>
      <c r="AN205" s="4">
        <f>IFERROR(__xludf.DUMMYFUNCTION("""COMPUTED_VALUE"""),8.0)</f>
        <v>8</v>
      </c>
      <c r="AO205" s="4">
        <f>IFERROR(__xludf.DUMMYFUNCTION("""COMPUTED_VALUE"""),1.0)</f>
        <v>1</v>
      </c>
      <c r="AP205" s="4">
        <f>IFERROR(__xludf.DUMMYFUNCTION("""COMPUTED_VALUE"""),3.0)</f>
        <v>3</v>
      </c>
      <c r="AQ205" s="4">
        <f>IFERROR(__xludf.DUMMYFUNCTION("""COMPUTED_VALUE"""),1.0)</f>
        <v>1</v>
      </c>
      <c r="AR205" s="4">
        <f>IFERROR(__xludf.DUMMYFUNCTION("""COMPUTED_VALUE"""),3.0)</f>
        <v>3</v>
      </c>
      <c r="AS205" s="4">
        <f>IFERROR(__xludf.DUMMYFUNCTION("""COMPUTED_VALUE"""),1.0)</f>
        <v>1</v>
      </c>
      <c r="AT205" s="5" t="str">
        <f>IFERROR(__xludf.DUMMYFUNCTION("""COMPUTED_VALUE"""),"https://dx.doi.org/10.1021/acsami.0c17886
")</f>
        <v>https://dx.doi.org/10.1021/acsami.0c17886
</v>
      </c>
      <c r="AU205" s="5" t="str">
        <f>IFERROR(__xludf.DUMMYFUNCTION("""COMPUTED_VALUE"""),"https://drive.google.com/file/d/112Xs1jBDoN6rUfL7uBu4x6rDehTLhKvP/view?usp=sharing")</f>
        <v>https://drive.google.com/file/d/112Xs1jBDoN6rUfL7uBu4x6rDehTLhKvP/view?usp=sharing</v>
      </c>
      <c r="AV205" s="4"/>
      <c r="AW205" s="4"/>
      <c r="AX205" s="4">
        <f>IFERROR(__xludf.DUMMYFUNCTION("""COMPUTED_VALUE"""),6.0)</f>
        <v>6</v>
      </c>
      <c r="AY205" s="4" t="str">
        <f>IFERROR(__xludf.DUMMYFUNCTION("""COMPUTED_VALUE"""),"Kinetic Control of the Li0.9Mn1.6Ni0.4O4 Spinel Structure with
Enhanced Electrochemical Performance")</f>
        <v>Kinetic Control of the Li0.9Mn1.6Ni0.4O4 Spinel Structure with
Enhanced Electrochemical Performance</v>
      </c>
      <c r="AZ205" s="4"/>
    </row>
    <row r="206">
      <c r="A206" s="4" t="str">
        <f>IFERROR(__xludf.DUMMYFUNCTION("""COMPUTED_VALUE"""),"Proy1")</f>
        <v>Proy1</v>
      </c>
      <c r="B206" s="4" t="str">
        <f>IFERROR(__xludf.DUMMYFUNCTION("""COMPUTED_VALUE"""),"Nuevo_Conocimiento")</f>
        <v>Nuevo_Conocimiento</v>
      </c>
      <c r="C206" s="4" t="str">
        <f>IFERROR(__xludf.DUMMYFUNCTION("""COMPUTED_VALUE"""),"Artículo A1")</f>
        <v>Artículo A1</v>
      </c>
      <c r="D206" s="4" t="str">
        <f>IFERROR(__xludf.DUMMYFUNCTION("""COMPUTED_VALUE"""),"Artículo A1")</f>
        <v>Artículo A1</v>
      </c>
      <c r="E206" s="4" t="str">
        <f>IFERROR(__xludf.DUMMYFUNCTION("""COMPUTED_VALUE"""),"Artículo A2")</f>
        <v>Artículo A2</v>
      </c>
      <c r="F206" s="4" t="str">
        <f>IFERROR(__xludf.DUMMYFUNCTION("""COMPUTED_VALUE"""),"Artículo B")</f>
        <v>Artículo B</v>
      </c>
      <c r="G206" s="4" t="str">
        <f>IFERROR(__xludf.DUMMYFUNCTION("""COMPUTED_VALUE"""),"Artículo C")</f>
        <v>Artículo C</v>
      </c>
      <c r="H206" s="4" t="str">
        <f>IFERROR(__xludf.DUMMYFUNCTION("""COMPUTED_VALUE"""),"Capítulo de libro A")</f>
        <v>Capítulo de libro A</v>
      </c>
      <c r="I206" s="4" t="str">
        <f>IFERROR(__xludf.DUMMYFUNCTION("""COMPUTED_VALUE"""),"Capítulo de libro A1")</f>
        <v>Capítulo de libro A1</v>
      </c>
      <c r="J206" s="4" t="str">
        <f>IFERROR(__xludf.DUMMYFUNCTION("""COMPUTED_VALUE"""),"Capítulo de libro B")</f>
        <v>Capítulo de libro B</v>
      </c>
      <c r="K206" s="4" t="str">
        <f>IFERROR(__xludf.DUMMYFUNCTION("""COMPUTED_VALUE"""),"Libro A")</f>
        <v>Libro A</v>
      </c>
      <c r="L206" s="4" t="str">
        <f>IFERROR(__xludf.DUMMYFUNCTION("""COMPUTED_VALUE"""),"Libro A1")</f>
        <v>Libro A1</v>
      </c>
      <c r="M206" s="4" t="str">
        <f>IFERROR(__xludf.DUMMYFUNCTION("""COMPUTED_VALUE"""),"Libro B")</f>
        <v>Libro B</v>
      </c>
      <c r="N206" s="4" t="str">
        <f>IFERROR(__xludf.DUMMYFUNCTION("""COMPUTED_VALUE"""),"Solicitud Patente de invención y-o modelo de utitlidad")</f>
        <v>Solicitud Patente de invención y-o modelo de utitlidad</v>
      </c>
      <c r="O206" s="4" t="str">
        <f>IFERROR(__xludf.DUMMYFUNCTION("""COMPUTED_VALUE"""),"Patente de invención")</f>
        <v>Patente de invención</v>
      </c>
      <c r="P206" s="4" t="str">
        <f>IFERROR(__xludf.DUMMYFUNCTION("""COMPUTED_VALUE"""),"Patente de modelo de utilidad")</f>
        <v>Patente de modelo de utilidad</v>
      </c>
      <c r="Q206" s="4" t="str">
        <f>IFERROR(__xludf.DUMMYFUNCTION("""COMPUTED_VALUE"""),"Artículo sin clasificar")</f>
        <v>Artículo sin clasificar</v>
      </c>
      <c r="R206" s="4" t="str">
        <f>IFERROR(__xludf.DUMMYFUNCTION("""COMPUTED_VALUE"""),"Capítulo sin clasificar")</f>
        <v>Capítulo sin clasificar</v>
      </c>
      <c r="S206" s="4"/>
      <c r="T206" s="4"/>
      <c r="U206" s="4" t="str">
        <f>IFERROR(__xludf.DUMMYFUNCTION("""COMPUTED_VALUE"""),"Otros actores")</f>
        <v>Otros actores</v>
      </c>
      <c r="V206" s="4" t="str">
        <f>IFERROR(__xludf.DUMMYFUNCTION("""COMPUTED_VALUE"""),"INSA ")</f>
        <v>INSA </v>
      </c>
      <c r="W206" s="4" t="str">
        <f>IFERROR(__xludf.DUMMYFUNCTION("""COMPUTED_VALUE"""),"Proyecto")</f>
        <v>Proyecto</v>
      </c>
      <c r="X206" s="4" t="str">
        <f>IFERROR(__xludf.DUMMYFUNCTION("""COMPUTED_VALUE"""),"UdeA")</f>
        <v>UdeA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 t="str">
        <f>IFERROR(__xludf.DUMMYFUNCTION("""COMPUTED_VALUE"""),"Tecnológico de Antioquia")</f>
        <v>Tecnológico de Antioquia</v>
      </c>
      <c r="AK206" s="4" t="str">
        <f>IFERROR(__xludf.DUMMYFUNCTION("""COMPUTED_VALUE"""),"Ninguna")</f>
        <v>Ninguna</v>
      </c>
      <c r="AL206" s="4"/>
      <c r="AM206" s="4" t="str">
        <f>IFERROR(__xludf.DUMMYFUNCTION("""COMPUTED_VALUE"""),"Obligatorio")</f>
        <v>Obligatorio</v>
      </c>
      <c r="AN206" s="4">
        <f>IFERROR(__xludf.DUMMYFUNCTION("""COMPUTED_VALUE"""),5.0)</f>
        <v>5</v>
      </c>
      <c r="AO206" s="4">
        <f>IFERROR(__xludf.DUMMYFUNCTION("""COMPUTED_VALUE"""),1.0)</f>
        <v>1</v>
      </c>
      <c r="AP206" s="4">
        <f>IFERROR(__xludf.DUMMYFUNCTION("""COMPUTED_VALUE"""),3.0)</f>
        <v>3</v>
      </c>
      <c r="AQ206" s="4">
        <f>IFERROR(__xludf.DUMMYFUNCTION("""COMPUTED_VALUE"""),1.0)</f>
        <v>1</v>
      </c>
      <c r="AR206" s="4">
        <f>IFERROR(__xludf.DUMMYFUNCTION("""COMPUTED_VALUE"""),3.0)</f>
        <v>3</v>
      </c>
      <c r="AS206" s="4">
        <f>IFERROR(__xludf.DUMMYFUNCTION("""COMPUTED_VALUE"""),1.0)</f>
        <v>1</v>
      </c>
      <c r="AT206" s="5" t="str">
        <f>IFERROR(__xludf.DUMMYFUNCTION("""COMPUTED_VALUE"""),"https://doi.org/10.1016/j.renene.2021.03.076")</f>
        <v>https://doi.org/10.1016/j.renene.2021.03.076</v>
      </c>
      <c r="AU206" s="5" t="str">
        <f>IFERROR(__xludf.DUMMYFUNCTION("""COMPUTED_VALUE"""),"https://drive.google.com/file/d/1VYDX7QPebo5Ho9XIrWrQb0cO7cc6_34p/view?usp=sharing")</f>
        <v>https://drive.google.com/file/d/1VYDX7QPebo5Ho9XIrWrQb0cO7cc6_34p/view?usp=sharing</v>
      </c>
      <c r="AV206" s="4"/>
      <c r="AW206" s="4"/>
      <c r="AX206" s="4">
        <f>IFERROR(__xludf.DUMMYFUNCTION("""COMPUTED_VALUE"""),6.0)</f>
        <v>6</v>
      </c>
      <c r="AY206" s="4" t="str">
        <f>IFERROR(__xludf.DUMMYFUNCTION("""COMPUTED_VALUE"""),"Design optimization of an Archimedes screw turbine for hydrokinetic applications using the response surface methodology")</f>
        <v>Design optimization of an Archimedes screw turbine for hydrokinetic applications using the response surface methodology</v>
      </c>
      <c r="AZ206" s="4"/>
    </row>
    <row r="207">
      <c r="A207" s="4" t="str">
        <f>IFERROR(__xludf.DUMMYFUNCTION("""COMPUTED_VALUE"""),"Proy15")</f>
        <v>Proy15</v>
      </c>
      <c r="B207" s="4" t="str">
        <f>IFERROR(__xludf.DUMMYFUNCTION("""COMPUTED_VALUE"""),"Nuevo_Conocimiento")</f>
        <v>Nuevo_Conocimiento</v>
      </c>
      <c r="C207" s="4" t="str">
        <f>IFERROR(__xludf.DUMMYFUNCTION("""COMPUTED_VALUE"""),"Artículo B")</f>
        <v>Artículo B</v>
      </c>
      <c r="D207" s="4" t="str">
        <f>IFERROR(__xludf.DUMMYFUNCTION("""COMPUTED_VALUE"""),"Artículo A1")</f>
        <v>Artículo A1</v>
      </c>
      <c r="E207" s="4" t="str">
        <f>IFERROR(__xludf.DUMMYFUNCTION("""COMPUTED_VALUE"""),"Artículo A2")</f>
        <v>Artículo A2</v>
      </c>
      <c r="F207" s="4" t="str">
        <f>IFERROR(__xludf.DUMMYFUNCTION("""COMPUTED_VALUE"""),"Artículo B")</f>
        <v>Artículo B</v>
      </c>
      <c r="G207" s="4" t="str">
        <f>IFERROR(__xludf.DUMMYFUNCTION("""COMPUTED_VALUE"""),"Artículo C")</f>
        <v>Artículo C</v>
      </c>
      <c r="H207" s="4" t="str">
        <f>IFERROR(__xludf.DUMMYFUNCTION("""COMPUTED_VALUE"""),"Capítulo de libro A")</f>
        <v>Capítulo de libro A</v>
      </c>
      <c r="I207" s="4" t="str">
        <f>IFERROR(__xludf.DUMMYFUNCTION("""COMPUTED_VALUE"""),"Capítulo de libro A1")</f>
        <v>Capítulo de libro A1</v>
      </c>
      <c r="J207" s="4" t="str">
        <f>IFERROR(__xludf.DUMMYFUNCTION("""COMPUTED_VALUE"""),"Capítulo de libro B")</f>
        <v>Capítulo de libro B</v>
      </c>
      <c r="K207" s="4" t="str">
        <f>IFERROR(__xludf.DUMMYFUNCTION("""COMPUTED_VALUE"""),"Libro A")</f>
        <v>Libro A</v>
      </c>
      <c r="L207" s="4" t="str">
        <f>IFERROR(__xludf.DUMMYFUNCTION("""COMPUTED_VALUE"""),"Libro A1")</f>
        <v>Libro A1</v>
      </c>
      <c r="M207" s="4" t="str">
        <f>IFERROR(__xludf.DUMMYFUNCTION("""COMPUTED_VALUE"""),"Libro B")</f>
        <v>Libro B</v>
      </c>
      <c r="N207" s="4" t="str">
        <f>IFERROR(__xludf.DUMMYFUNCTION("""COMPUTED_VALUE"""),"Solicitud Patente de invención y-o modelo de utitlidad")</f>
        <v>Solicitud Patente de invención y-o modelo de utitlidad</v>
      </c>
      <c r="O207" s="4" t="str">
        <f>IFERROR(__xludf.DUMMYFUNCTION("""COMPUTED_VALUE"""),"Patente de invención")</f>
        <v>Patente de invención</v>
      </c>
      <c r="P207" s="4" t="str">
        <f>IFERROR(__xludf.DUMMYFUNCTION("""COMPUTED_VALUE"""),"Patente de modelo de utilidad")</f>
        <v>Patente de modelo de utilidad</v>
      </c>
      <c r="Q207" s="4" t="str">
        <f>IFERROR(__xludf.DUMMYFUNCTION("""COMPUTED_VALUE"""),"Artículo sin clasificar")</f>
        <v>Artículo sin clasificar</v>
      </c>
      <c r="R207" s="4" t="str">
        <f>IFERROR(__xludf.DUMMYFUNCTION("""COMPUTED_VALUE"""),"Capítulo sin clasificar")</f>
        <v>Capítulo sin clasificar</v>
      </c>
      <c r="S207" s="4"/>
      <c r="T207" s="4"/>
      <c r="U207" s="4" t="str">
        <f>IFERROR(__xludf.DUMMYFUNCTION("""COMPUTED_VALUE"""),"Ninguna")</f>
        <v>Ninguna</v>
      </c>
      <c r="V207" s="4"/>
      <c r="W207" s="4" t="str">
        <f>IFERROR(__xludf.DUMMYFUNCTION("""COMPUTED_VALUE"""),"Proyecto")</f>
        <v>Proyecto</v>
      </c>
      <c r="X207" s="4" t="str">
        <f>IFERROR(__xludf.DUMMYFUNCTION("""COMPUTED_VALUE"""),"UdeA")</f>
        <v>UdeA</v>
      </c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 t="str">
        <f>IFERROR(__xludf.DUMMYFUNCTION("""COMPUTED_VALUE"""),"Ninguna")</f>
        <v>Ninguna</v>
      </c>
      <c r="AL207" s="4"/>
      <c r="AM207" s="4" t="str">
        <f>IFERROR(__xludf.DUMMYFUNCTION("""COMPUTED_VALUE"""),"Obligatorio")</f>
        <v>Obligatorio</v>
      </c>
      <c r="AN207" s="4">
        <f>IFERROR(__xludf.DUMMYFUNCTION("""COMPUTED_VALUE"""),4.0)</f>
        <v>4</v>
      </c>
      <c r="AO207" s="4">
        <f>IFERROR(__xludf.DUMMYFUNCTION("""COMPUTED_VALUE"""),1.0)</f>
        <v>1</v>
      </c>
      <c r="AP207" s="4">
        <f>IFERROR(__xludf.DUMMYFUNCTION("""COMPUTED_VALUE"""),1.0)</f>
        <v>1</v>
      </c>
      <c r="AQ207" s="4">
        <f>IFERROR(__xludf.DUMMYFUNCTION("""COMPUTED_VALUE"""),1.0)</f>
        <v>1</v>
      </c>
      <c r="AR207" s="4">
        <f>IFERROR(__xludf.DUMMYFUNCTION("""COMPUTED_VALUE"""),1.0)</f>
        <v>1</v>
      </c>
      <c r="AS207" s="4">
        <f>IFERROR(__xludf.DUMMYFUNCTION("""COMPUTED_VALUE"""),1.0)</f>
        <v>1</v>
      </c>
      <c r="AT207" s="5" t="str">
        <f>IFERROR(__xludf.DUMMYFUNCTION("""COMPUTED_VALUE"""),"https://doi.org/10.1080/03067319.2021.1900148")</f>
        <v>https://doi.org/10.1080/03067319.2021.1900148</v>
      </c>
      <c r="AU207" s="5" t="str">
        <f>IFERROR(__xludf.DUMMYFUNCTION("""COMPUTED_VALUE"""),"https://drive.google.com/file/d/1dn74ua3f8vAE7qqBbFHM0DaRWqnMIp2q/view?usp=sharing")</f>
        <v>https://drive.google.com/file/d/1dn74ua3f8vAE7qqBbFHM0DaRWqnMIp2q/view?usp=sharing</v>
      </c>
      <c r="AV207" s="4"/>
      <c r="AW207" s="4"/>
      <c r="AX207" s="4">
        <f>IFERROR(__xludf.DUMMYFUNCTION("""COMPUTED_VALUE"""),6.0)</f>
        <v>6</v>
      </c>
      <c r="AY207" s="4" t="str">
        <f>IFERROR(__xludf.DUMMYFUNCTION("""COMPUTED_VALUE"""),"Implementation of an analytical method for the simultaneous
determination of greenhouse gases in a reservoir using
FID/µECD gas chromatography")</f>
        <v>Implementation of an analytical method for the simultaneous
determination of greenhouse gases in a reservoir using
FID/µECD gas chromatography</v>
      </c>
      <c r="AZ207" s="4"/>
    </row>
    <row r="208">
      <c r="A208" s="4" t="str">
        <f>IFERROR(__xludf.DUMMYFUNCTION("""COMPUTED_VALUE"""),"Proy4")</f>
        <v>Proy4</v>
      </c>
      <c r="B208" s="4" t="str">
        <f>IFERROR(__xludf.DUMMYFUNCTION("""COMPUTED_VALUE"""),"Nuevo_Conocimiento")</f>
        <v>Nuevo_Conocimiento</v>
      </c>
      <c r="C208" s="4" t="str">
        <f>IFERROR(__xludf.DUMMYFUNCTION("""COMPUTED_VALUE"""),"Artículo A1")</f>
        <v>Artículo A1</v>
      </c>
      <c r="D208" s="4" t="str">
        <f>IFERROR(__xludf.DUMMYFUNCTION("""COMPUTED_VALUE"""),"Artículo A1")</f>
        <v>Artículo A1</v>
      </c>
      <c r="E208" s="4" t="str">
        <f>IFERROR(__xludf.DUMMYFUNCTION("""COMPUTED_VALUE"""),"Artículo A2")</f>
        <v>Artículo A2</v>
      </c>
      <c r="F208" s="4" t="str">
        <f>IFERROR(__xludf.DUMMYFUNCTION("""COMPUTED_VALUE"""),"Artículo B")</f>
        <v>Artículo B</v>
      </c>
      <c r="G208" s="4" t="str">
        <f>IFERROR(__xludf.DUMMYFUNCTION("""COMPUTED_VALUE"""),"Artículo C")</f>
        <v>Artículo C</v>
      </c>
      <c r="H208" s="4" t="str">
        <f>IFERROR(__xludf.DUMMYFUNCTION("""COMPUTED_VALUE"""),"Capítulo de libro A")</f>
        <v>Capítulo de libro A</v>
      </c>
      <c r="I208" s="4" t="str">
        <f>IFERROR(__xludf.DUMMYFUNCTION("""COMPUTED_VALUE"""),"Capítulo de libro A1")</f>
        <v>Capítulo de libro A1</v>
      </c>
      <c r="J208" s="4" t="str">
        <f>IFERROR(__xludf.DUMMYFUNCTION("""COMPUTED_VALUE"""),"Capítulo de libro B")</f>
        <v>Capítulo de libro B</v>
      </c>
      <c r="K208" s="4" t="str">
        <f>IFERROR(__xludf.DUMMYFUNCTION("""COMPUTED_VALUE"""),"Libro A")</f>
        <v>Libro A</v>
      </c>
      <c r="L208" s="4" t="str">
        <f>IFERROR(__xludf.DUMMYFUNCTION("""COMPUTED_VALUE"""),"Libro A1")</f>
        <v>Libro A1</v>
      </c>
      <c r="M208" s="4" t="str">
        <f>IFERROR(__xludf.DUMMYFUNCTION("""COMPUTED_VALUE"""),"Libro B")</f>
        <v>Libro B</v>
      </c>
      <c r="N208" s="4" t="str">
        <f>IFERROR(__xludf.DUMMYFUNCTION("""COMPUTED_VALUE"""),"Solicitud Patente de invención y-o modelo de utitlidad")</f>
        <v>Solicitud Patente de invención y-o modelo de utitlidad</v>
      </c>
      <c r="O208" s="4" t="str">
        <f>IFERROR(__xludf.DUMMYFUNCTION("""COMPUTED_VALUE"""),"Patente de invención")</f>
        <v>Patente de invención</v>
      </c>
      <c r="P208" s="4" t="str">
        <f>IFERROR(__xludf.DUMMYFUNCTION("""COMPUTED_VALUE"""),"Patente de modelo de utilidad")</f>
        <v>Patente de modelo de utilidad</v>
      </c>
      <c r="Q208" s="4" t="str">
        <f>IFERROR(__xludf.DUMMYFUNCTION("""COMPUTED_VALUE"""),"Artículo sin clasificar")</f>
        <v>Artículo sin clasificar</v>
      </c>
      <c r="R208" s="4" t="str">
        <f>IFERROR(__xludf.DUMMYFUNCTION("""COMPUTED_VALUE"""),"Capítulo sin clasificar")</f>
        <v>Capítulo sin clasificar</v>
      </c>
      <c r="S208" s="4"/>
      <c r="T208" s="4"/>
      <c r="U208" s="4" t="str">
        <f>IFERROR(__xludf.DUMMYFUNCTION("""COMPUTED_VALUE"""),"Ninguna")</f>
        <v>Ninguna</v>
      </c>
      <c r="V208" s="4"/>
      <c r="W208" s="4" t="str">
        <f>IFERROR(__xludf.DUMMYFUNCTION("""COMPUTED_VALUE"""),"Proyecto")</f>
        <v>Proyecto</v>
      </c>
      <c r="X208" s="4" t="str">
        <f>IFERROR(__xludf.DUMMYFUNCTION("""COMPUTED_VALUE"""),"UdeA")</f>
        <v>UdeA</v>
      </c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 t="str">
        <f>IFERROR(__xludf.DUMMYFUNCTION("""COMPUTED_VALUE"""),"Eafit")</f>
        <v>Eafit</v>
      </c>
      <c r="AK208" s="4" t="str">
        <f>IFERROR(__xludf.DUMMYFUNCTION("""COMPUTED_VALUE"""),"Ninguna")</f>
        <v>Ninguna</v>
      </c>
      <c r="AL208" s="4"/>
      <c r="AM208" s="4" t="str">
        <f>IFERROR(__xludf.DUMMYFUNCTION("""COMPUTED_VALUE"""),"Obligatorio")</f>
        <v>Obligatorio</v>
      </c>
      <c r="AN208" s="4">
        <f>IFERROR(__xludf.DUMMYFUNCTION("""COMPUTED_VALUE"""),5.0)</f>
        <v>5</v>
      </c>
      <c r="AO208" s="4">
        <f>IFERROR(__xludf.DUMMYFUNCTION("""COMPUTED_VALUE"""),1.0)</f>
        <v>1</v>
      </c>
      <c r="AP208" s="4">
        <f>IFERROR(__xludf.DUMMYFUNCTION("""COMPUTED_VALUE"""),2.0)</f>
        <v>2</v>
      </c>
      <c r="AQ208" s="4">
        <f>IFERROR(__xludf.DUMMYFUNCTION("""COMPUTED_VALUE"""),1.0)</f>
        <v>1</v>
      </c>
      <c r="AR208" s="4">
        <f>IFERROR(__xludf.DUMMYFUNCTION("""COMPUTED_VALUE"""),2.0)</f>
        <v>2</v>
      </c>
      <c r="AS208" s="4">
        <f>IFERROR(__xludf.DUMMYFUNCTION("""COMPUTED_VALUE"""),1.0)</f>
        <v>1</v>
      </c>
      <c r="AT208" s="5" t="str">
        <f>IFERROR(__xludf.DUMMYFUNCTION("""COMPUTED_VALUE"""),"https://doi.org/10.1016/j.jallcom.2020.158045")</f>
        <v>https://doi.org/10.1016/j.jallcom.2020.158045</v>
      </c>
      <c r="AU208" s="5" t="str">
        <f>IFERROR(__xludf.DUMMYFUNCTION("""COMPUTED_VALUE"""),"https://drive.google.com/file/d/11lcp-2zXtz4DjO22yPMsJqwC2EkE-mFZ/view?usp=sharing")</f>
        <v>https://drive.google.com/file/d/11lcp-2zXtz4DjO22yPMsJqwC2EkE-mFZ/view?usp=sharing</v>
      </c>
      <c r="AV208" s="4"/>
      <c r="AW208" s="4"/>
      <c r="AX208" s="4"/>
      <c r="AY208" s="4" t="str">
        <f>IFERROR(__xludf.DUMMYFUNCTION("""COMPUTED_VALUE"""),"Carbon nanofibers impregnated with Fe3O4 nanoparticles as a flexible
and high capacity negative electrode for lithium-ion batteries ")</f>
        <v>Carbon nanofibers impregnated with Fe3O4 nanoparticles as a flexible
and high capacity negative electrode for lithium-ion batteries </v>
      </c>
      <c r="AZ208" s="4"/>
    </row>
    <row r="209">
      <c r="A209" s="4" t="str">
        <f>IFERROR(__xludf.DUMMYFUNCTION("""COMPUTED_VALUE"""),"Proy4")</f>
        <v>Proy4</v>
      </c>
      <c r="B209" s="4" t="str">
        <f>IFERROR(__xludf.DUMMYFUNCTION("""COMPUTED_VALUE"""),"Nuevo_Conocimiento")</f>
        <v>Nuevo_Conocimiento</v>
      </c>
      <c r="C209" s="4" t="str">
        <f>IFERROR(__xludf.DUMMYFUNCTION("""COMPUTED_VALUE"""),"Artículo A1")</f>
        <v>Artículo A1</v>
      </c>
      <c r="D209" s="4" t="str">
        <f>IFERROR(__xludf.DUMMYFUNCTION("""COMPUTED_VALUE"""),"Artículo A1")</f>
        <v>Artículo A1</v>
      </c>
      <c r="E209" s="4" t="str">
        <f>IFERROR(__xludf.DUMMYFUNCTION("""COMPUTED_VALUE"""),"Artículo A2")</f>
        <v>Artículo A2</v>
      </c>
      <c r="F209" s="4" t="str">
        <f>IFERROR(__xludf.DUMMYFUNCTION("""COMPUTED_VALUE"""),"Artículo B")</f>
        <v>Artículo B</v>
      </c>
      <c r="G209" s="4" t="str">
        <f>IFERROR(__xludf.DUMMYFUNCTION("""COMPUTED_VALUE"""),"Artículo C")</f>
        <v>Artículo C</v>
      </c>
      <c r="H209" s="4" t="str">
        <f>IFERROR(__xludf.DUMMYFUNCTION("""COMPUTED_VALUE"""),"Capítulo de libro A")</f>
        <v>Capítulo de libro A</v>
      </c>
      <c r="I209" s="4" t="str">
        <f>IFERROR(__xludf.DUMMYFUNCTION("""COMPUTED_VALUE"""),"Capítulo de libro A1")</f>
        <v>Capítulo de libro A1</v>
      </c>
      <c r="J209" s="4" t="str">
        <f>IFERROR(__xludf.DUMMYFUNCTION("""COMPUTED_VALUE"""),"Capítulo de libro B")</f>
        <v>Capítulo de libro B</v>
      </c>
      <c r="K209" s="4" t="str">
        <f>IFERROR(__xludf.DUMMYFUNCTION("""COMPUTED_VALUE"""),"Libro A")</f>
        <v>Libro A</v>
      </c>
      <c r="L209" s="4" t="str">
        <f>IFERROR(__xludf.DUMMYFUNCTION("""COMPUTED_VALUE"""),"Libro A1")</f>
        <v>Libro A1</v>
      </c>
      <c r="M209" s="4" t="str">
        <f>IFERROR(__xludf.DUMMYFUNCTION("""COMPUTED_VALUE"""),"Libro B")</f>
        <v>Libro B</v>
      </c>
      <c r="N209" s="4" t="str">
        <f>IFERROR(__xludf.DUMMYFUNCTION("""COMPUTED_VALUE"""),"Solicitud Patente de invención y-o modelo de utitlidad")</f>
        <v>Solicitud Patente de invención y-o modelo de utitlidad</v>
      </c>
      <c r="O209" s="4" t="str">
        <f>IFERROR(__xludf.DUMMYFUNCTION("""COMPUTED_VALUE"""),"Patente de invención")</f>
        <v>Patente de invención</v>
      </c>
      <c r="P209" s="4" t="str">
        <f>IFERROR(__xludf.DUMMYFUNCTION("""COMPUTED_VALUE"""),"Patente de modelo de utilidad")</f>
        <v>Patente de modelo de utilidad</v>
      </c>
      <c r="Q209" s="4" t="str">
        <f>IFERROR(__xludf.DUMMYFUNCTION("""COMPUTED_VALUE"""),"Artículo sin clasificar")</f>
        <v>Artículo sin clasificar</v>
      </c>
      <c r="R209" s="4" t="str">
        <f>IFERROR(__xludf.DUMMYFUNCTION("""COMPUTED_VALUE"""),"Capítulo sin clasificar")</f>
        <v>Capítulo sin clasificar</v>
      </c>
      <c r="S209" s="4"/>
      <c r="T209" s="4"/>
      <c r="U209" s="4" t="str">
        <f>IFERROR(__xludf.DUMMYFUNCTION("""COMPUTED_VALUE"""),"Aliados de Séneca")</f>
        <v>Aliados de Séneca</v>
      </c>
      <c r="V209" s="4" t="str">
        <f>IFERROR(__xludf.DUMMYFUNCTION("""COMPUTED_VALUE"""),"U. Hokkaido")</f>
        <v>U. Hokkaido</v>
      </c>
      <c r="W209" s="4" t="str">
        <f>IFERROR(__xludf.DUMMYFUNCTION("""COMPUTED_VALUE"""),"Proyecto")</f>
        <v>Proyecto</v>
      </c>
      <c r="X209" s="4" t="str">
        <f>IFERROR(__xludf.DUMMYFUNCTION("""COMPUTED_VALUE"""),"UdeA")</f>
        <v>UdeA</v>
      </c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 t="str">
        <f>IFERROR(__xludf.DUMMYFUNCTION("""COMPUTED_VALUE"""),"Tokyo Metropolitan University")</f>
        <v>Tokyo Metropolitan University</v>
      </c>
      <c r="AK209" s="4" t="str">
        <f>IFERROR(__xludf.DUMMYFUNCTION("""COMPUTED_VALUE"""),"Ninguna")</f>
        <v>Ninguna</v>
      </c>
      <c r="AL209" s="4"/>
      <c r="AM209" s="4" t="str">
        <f>IFERROR(__xludf.DUMMYFUNCTION("""COMPUTED_VALUE"""),"Obligatorio")</f>
        <v>Obligatorio</v>
      </c>
      <c r="AN209" s="4">
        <f>IFERROR(__xludf.DUMMYFUNCTION("""COMPUTED_VALUE"""),8.0)</f>
        <v>8</v>
      </c>
      <c r="AO209" s="4">
        <f>IFERROR(__xludf.DUMMYFUNCTION("""COMPUTED_VALUE"""),1.0)</f>
        <v>1</v>
      </c>
      <c r="AP209" s="4">
        <f>IFERROR(__xludf.DUMMYFUNCTION("""COMPUTED_VALUE"""),3.0)</f>
        <v>3</v>
      </c>
      <c r="AQ209" s="4">
        <f>IFERROR(__xludf.DUMMYFUNCTION("""COMPUTED_VALUE"""),1.0)</f>
        <v>1</v>
      </c>
      <c r="AR209" s="4">
        <f>IFERROR(__xludf.DUMMYFUNCTION("""COMPUTED_VALUE"""),3.0)</f>
        <v>3</v>
      </c>
      <c r="AS209" s="4">
        <f>IFERROR(__xludf.DUMMYFUNCTION("""COMPUTED_VALUE"""),1.0)</f>
        <v>1</v>
      </c>
      <c r="AT209" s="5" t="str">
        <f>IFERROR(__xludf.DUMMYFUNCTION("""COMPUTED_VALUE"""),"https://dx.doi.org/10.1021/acsami.0c17886")</f>
        <v>https://dx.doi.org/10.1021/acsami.0c17886</v>
      </c>
      <c r="AU209" s="5" t="str">
        <f>IFERROR(__xludf.DUMMYFUNCTION("""COMPUTED_VALUE"""),"https://drive.google.com/file/d/1GEpVtP_4rTCIAwisfXLWmL6rd1oR8dl6/view?usp=sharing")</f>
        <v>https://drive.google.com/file/d/1GEpVtP_4rTCIAwisfXLWmL6rd1oR8dl6/view?usp=sharing</v>
      </c>
      <c r="AV209" s="4"/>
      <c r="AW209" s="4"/>
      <c r="AX209" s="4"/>
      <c r="AY209" s="4" t="str">
        <f>IFERROR(__xludf.DUMMYFUNCTION("""COMPUTED_VALUE"""),"Kinetic Control of the Li0.9Mn1.6Ni0.4O4 Spinel Structure with
Enhanced Electrochemical Performance")</f>
        <v>Kinetic Control of the Li0.9Mn1.6Ni0.4O4 Spinel Structure with
Enhanced Electrochemical Performance</v>
      </c>
      <c r="AZ209" s="4"/>
    </row>
    <row r="210">
      <c r="A210" s="4" t="str">
        <f>IFERROR(__xludf.DUMMYFUNCTION("""COMPUTED_VALUE"""),"Proy10")</f>
        <v>Proy10</v>
      </c>
      <c r="B210" s="4" t="str">
        <f>IFERROR(__xludf.DUMMYFUNCTION("""COMPUTED_VALUE"""),"Nuevo_Conocimiento")</f>
        <v>Nuevo_Conocimiento</v>
      </c>
      <c r="C210" s="4" t="str">
        <f>IFERROR(__xludf.DUMMYFUNCTION("""COMPUTED_VALUE"""),"Artículo A1")</f>
        <v>Artículo A1</v>
      </c>
      <c r="D210" s="4" t="str">
        <f>IFERROR(__xludf.DUMMYFUNCTION("""COMPUTED_VALUE"""),"Artículo A1")</f>
        <v>Artículo A1</v>
      </c>
      <c r="E210" s="4" t="str">
        <f>IFERROR(__xludf.DUMMYFUNCTION("""COMPUTED_VALUE"""),"Artículo A2")</f>
        <v>Artículo A2</v>
      </c>
      <c r="F210" s="4" t="str">
        <f>IFERROR(__xludf.DUMMYFUNCTION("""COMPUTED_VALUE"""),"Artículo B")</f>
        <v>Artículo B</v>
      </c>
      <c r="G210" s="4" t="str">
        <f>IFERROR(__xludf.DUMMYFUNCTION("""COMPUTED_VALUE"""),"Artículo C")</f>
        <v>Artículo C</v>
      </c>
      <c r="H210" s="4" t="str">
        <f>IFERROR(__xludf.DUMMYFUNCTION("""COMPUTED_VALUE"""),"Capítulo de libro A")</f>
        <v>Capítulo de libro A</v>
      </c>
      <c r="I210" s="4" t="str">
        <f>IFERROR(__xludf.DUMMYFUNCTION("""COMPUTED_VALUE"""),"Capítulo de libro A1")</f>
        <v>Capítulo de libro A1</v>
      </c>
      <c r="J210" s="4" t="str">
        <f>IFERROR(__xludf.DUMMYFUNCTION("""COMPUTED_VALUE"""),"Capítulo de libro B")</f>
        <v>Capítulo de libro B</v>
      </c>
      <c r="K210" s="4" t="str">
        <f>IFERROR(__xludf.DUMMYFUNCTION("""COMPUTED_VALUE"""),"Libro A")</f>
        <v>Libro A</v>
      </c>
      <c r="L210" s="4" t="str">
        <f>IFERROR(__xludf.DUMMYFUNCTION("""COMPUTED_VALUE"""),"Libro A1")</f>
        <v>Libro A1</v>
      </c>
      <c r="M210" s="4" t="str">
        <f>IFERROR(__xludf.DUMMYFUNCTION("""COMPUTED_VALUE"""),"Libro B")</f>
        <v>Libro B</v>
      </c>
      <c r="N210" s="4" t="str">
        <f>IFERROR(__xludf.DUMMYFUNCTION("""COMPUTED_VALUE"""),"Solicitud Patente de invención y-o modelo de utitlidad")</f>
        <v>Solicitud Patente de invención y-o modelo de utitlidad</v>
      </c>
      <c r="O210" s="4" t="str">
        <f>IFERROR(__xludf.DUMMYFUNCTION("""COMPUTED_VALUE"""),"Patente de invención")</f>
        <v>Patente de invención</v>
      </c>
      <c r="P210" s="4" t="str">
        <f>IFERROR(__xludf.DUMMYFUNCTION("""COMPUTED_VALUE"""),"Patente de modelo de utilidad")</f>
        <v>Patente de modelo de utilidad</v>
      </c>
      <c r="Q210" s="4" t="str">
        <f>IFERROR(__xludf.DUMMYFUNCTION("""COMPUTED_VALUE"""),"Artículo sin clasificar")</f>
        <v>Artículo sin clasificar</v>
      </c>
      <c r="R210" s="4" t="str">
        <f>IFERROR(__xludf.DUMMYFUNCTION("""COMPUTED_VALUE"""),"Capítulo sin clasificar")</f>
        <v>Capítulo sin clasificar</v>
      </c>
      <c r="S210" s="4"/>
      <c r="T210" s="4"/>
      <c r="U210" s="4" t="str">
        <f>IFERROR(__xludf.DUMMYFUNCTION("""COMPUTED_VALUE"""),"Ninguna")</f>
        <v>Ninguna</v>
      </c>
      <c r="V210" s="4"/>
      <c r="W210" s="4" t="str">
        <f>IFERROR(__xludf.DUMMYFUNCTION("""COMPUTED_VALUE"""),"Proyecto")</f>
        <v>Proyecto</v>
      </c>
      <c r="X210" s="4" t="str">
        <f>IFERROR(__xludf.DUMMYFUNCTION("""COMPUTED_VALUE"""),"UdeA, Sumicol")</f>
        <v>UdeA, Sumicol</v>
      </c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 t="str">
        <f>IFERROR(__xludf.DUMMYFUNCTION("""COMPUTED_VALUE"""),"Ninguna")</f>
        <v>Ninguna</v>
      </c>
      <c r="AL210" s="4"/>
      <c r="AM210" s="4" t="str">
        <f>IFERROR(__xludf.DUMMYFUNCTION("""COMPUTED_VALUE"""),"Obligatorio")</f>
        <v>Obligatorio</v>
      </c>
      <c r="AN210" s="4">
        <f>IFERROR(__xludf.DUMMYFUNCTION("""COMPUTED_VALUE"""),6.0)</f>
        <v>6</v>
      </c>
      <c r="AO210" s="4">
        <f>IFERROR(__xludf.DUMMYFUNCTION("""COMPUTED_VALUE"""),2.0)</f>
        <v>2</v>
      </c>
      <c r="AP210" s="4">
        <f>IFERROR(__xludf.DUMMYFUNCTION("""COMPUTED_VALUE"""),2.0)</f>
        <v>2</v>
      </c>
      <c r="AQ210" s="4">
        <f>IFERROR(__xludf.DUMMYFUNCTION("""COMPUTED_VALUE"""),2.0)</f>
        <v>2</v>
      </c>
      <c r="AR210" s="4">
        <f>IFERROR(__xludf.DUMMYFUNCTION("""COMPUTED_VALUE"""),2.0)</f>
        <v>2</v>
      </c>
      <c r="AS210" s="4">
        <f>IFERROR(__xludf.DUMMYFUNCTION("""COMPUTED_VALUE"""),2.0)</f>
        <v>2</v>
      </c>
      <c r="AT210" s="5" t="str">
        <f>IFERROR(__xludf.DUMMYFUNCTION("""COMPUTED_VALUE"""),"https://doi.org/10.1080/07373937.2021.1872610")</f>
        <v>https://doi.org/10.1080/07373937.2021.1872610</v>
      </c>
      <c r="AU210" s="5" t="str">
        <f>IFERROR(__xludf.DUMMYFUNCTION("""COMPUTED_VALUE"""),"https://drive.google.com/file/d/19aNv5ZZFHujgEjOAlilaVDnDA11bdy9z/view?usp=sharing")</f>
        <v>https://drive.google.com/file/d/19aNv5ZZFHujgEjOAlilaVDnDA11bdy9z/view?usp=sharing</v>
      </c>
      <c r="AV210" s="4"/>
      <c r="AW210" s="4"/>
      <c r="AX210" s="4"/>
      <c r="AY210" s="4" t="str">
        <f>IFERROR(__xludf.DUMMYFUNCTION("""COMPUTED_VALUE"""),"Analysis of potential energy savings in a rotary dryer for clay drying using
data mining techniques")</f>
        <v>Analysis of potential energy savings in a rotary dryer for clay drying using
data mining techniques</v>
      </c>
      <c r="AZ210" s="4"/>
    </row>
    <row r="211">
      <c r="A211" s="4" t="str">
        <f>IFERROR(__xludf.DUMMYFUNCTION("""COMPUTED_VALUE"""),"Proy1")</f>
        <v>Proy1</v>
      </c>
      <c r="B211" s="4" t="str">
        <f>IFERROR(__xludf.DUMMYFUNCTION("""COMPUTED_VALUE"""),"Formación_RH")</f>
        <v>Formación_RH</v>
      </c>
      <c r="C211" s="4" t="str">
        <f>IFERROR(__xludf.DUMMYFUNCTION("""COMPUTED_VALUE"""),"Vinculación de estudiante de pregrado")</f>
        <v>Vinculación de estudiante de pregrado</v>
      </c>
      <c r="D211" s="4" t="str">
        <f>IFERROR(__xludf.DUMMYFUNCTION("""COMPUTED_VALUE"""),"Vinculación de estudiante de doctorado")</f>
        <v>Vinculación de estudiante de doctorado</v>
      </c>
      <c r="E211" s="4" t="str">
        <f>IFERROR(__xludf.DUMMYFUNCTION("""COMPUTED_VALUE"""),"Formación de estudiante de doctorado")</f>
        <v>Formación de estudiante de doctorado</v>
      </c>
      <c r="F211" s="4" t="str">
        <f>IFERROR(__xludf.DUMMYFUNCTION("""COMPUTED_VALUE"""),"Vinculación de estudiante de maestría")</f>
        <v>Vinculación de estudiante de maestría</v>
      </c>
      <c r="G211" s="4" t="str">
        <f>IFERROR(__xludf.DUMMYFUNCTION("""COMPUTED_VALUE"""),"Formación de estudiante de maestría")</f>
        <v>Formación de estudiante de maestría</v>
      </c>
      <c r="H211" s="4" t="str">
        <f>IFERROR(__xludf.DUMMYFUNCTION("""COMPUTED_VALUE"""),"Vinculación de estudiante de pregrado")</f>
        <v>Vinculación de estudiante de pregrado</v>
      </c>
      <c r="I211" s="4" t="str">
        <f>IFERROR(__xludf.DUMMYFUNCTION("""COMPUTED_VALUE"""),"Formación de estudiante de pregrado")</f>
        <v>Formación de estudiante de pregrado</v>
      </c>
      <c r="J211" s="4" t="str">
        <f>IFERROR(__xludf.DUMMYFUNCTION("""COMPUTED_VALUE"""),"Joven investigador")</f>
        <v>Joven investigador</v>
      </c>
      <c r="K211" s="4" t="str">
        <f>IFERROR(__xludf.DUMMYFUNCTION("""COMPUTED_VALUE"""),"Pasantía nacional")</f>
        <v>Pasantía nacional</v>
      </c>
      <c r="L211" s="4" t="str">
        <f>IFERROR(__xludf.DUMMYFUNCTION("""COMPUTED_VALUE"""),"Pasantía internacional")</f>
        <v>Pasantía internacional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tr">
        <f>IFERROR(__xludf.DUMMYFUNCTION("""COMPUTED_VALUE"""),"Adicional")</f>
        <v>Adicional</v>
      </c>
      <c r="AN211" s="4"/>
      <c r="AO211" s="4"/>
      <c r="AP211" s="4"/>
      <c r="AQ211" s="4"/>
      <c r="AR211" s="4"/>
      <c r="AS211" s="4"/>
      <c r="AT211" s="4" t="str">
        <f>IFERROR(__xludf.DUMMYFUNCTION("""COMPUTED_VALUE"""),"Luis David MOrales Aguilar")</f>
        <v>Luis David MOrales Aguilar</v>
      </c>
      <c r="AU211" s="4"/>
      <c r="AV211" s="4"/>
      <c r="AW211" s="4"/>
      <c r="AX211" s="4"/>
      <c r="AY211" s="4" t="str">
        <f>IFERROR(__xludf.DUMMYFUNCTION("""COMPUTED_VALUE"""),"Ingeniería de Materiales (Marcelo Rojas)")</f>
        <v>Ingeniería de Materiales (Marcelo Rojas)</v>
      </c>
      <c r="AZ211" s="4"/>
    </row>
    <row r="212">
      <c r="A212" s="4" t="str">
        <f>IFERROR(__xludf.DUMMYFUNCTION("""COMPUTED_VALUE"""),"Proy1")</f>
        <v>Proy1</v>
      </c>
      <c r="B212" s="4" t="str">
        <f>IFERROR(__xludf.DUMMYFUNCTION("""COMPUTED_VALUE"""),"Docencia")</f>
        <v>Docencia</v>
      </c>
      <c r="C212" s="4" t="str">
        <f>IFERROR(__xludf.DUMMYFUNCTION("""COMPUTED_VALUE"""),"Creación de cursos de Doctorado")</f>
        <v>Creación de cursos de Doctorado</v>
      </c>
      <c r="D212" s="4" t="str">
        <f>IFERROR(__xludf.DUMMYFUNCTION("""COMPUTED_VALUE"""),"Creación de cursos de Maestría")</f>
        <v>Creación de cursos de Maestría</v>
      </c>
      <c r="E212" s="4" t="str">
        <f>IFERROR(__xludf.DUMMYFUNCTION("""COMPUTED_VALUE"""),"Creación de cursos de pregrado")</f>
        <v>Creación de cursos de pregrado</v>
      </c>
      <c r="F212" s="4" t="str">
        <f>IFERROR(__xludf.DUMMYFUNCTION("""COMPUTED_VALUE"""),"Creación de maestría")</f>
        <v>Creación de maestría</v>
      </c>
      <c r="G212" s="4" t="str">
        <f>IFERROR(__xludf.DUMMYFUNCTION("""COMPUTED_VALUE"""),"Creación de doctorado")</f>
        <v>Creación de doctorado</v>
      </c>
      <c r="H212" s="4" t="str">
        <f>IFERROR(__xludf.DUMMYFUNCTION("""COMPUTED_VALUE"""),"Creación de cursos de Doctorado")</f>
        <v>Creación de cursos de Doctorado</v>
      </c>
      <c r="I212" s="4" t="str">
        <f>IFERROR(__xludf.DUMMYFUNCTION("""COMPUTED_VALUE"""),"Autoevaluación de programa de pregrado")</f>
        <v>Autoevaluación de programa de pregrado</v>
      </c>
      <c r="J212" s="4" t="str">
        <f>IFERROR(__xludf.DUMMYFUNCTION("""COMPUTED_VALUE"""),"Autoevaluación de programa de maestría")</f>
        <v>Autoevaluación de programa de maestría</v>
      </c>
      <c r="K212" s="4" t="str">
        <f>IFERROR(__xludf.DUMMYFUNCTION("""COMPUTED_VALUE"""),"Autoevaluación de programa de doctorado")</f>
        <v>Autoevaluación de programa de doctorado</v>
      </c>
      <c r="L212" s="4" t="str">
        <f>IFERROR(__xludf.DUMMYFUNCTION("""COMPUTED_VALUE"""),"Autoevaluación de universidad")</f>
        <v>Autoevaluación de universidad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tr">
        <f>IFERROR(__xludf.DUMMYFUNCTION("""COMPUTED_VALUE"""),"Adicional")</f>
        <v>Adicional</v>
      </c>
      <c r="AN212" s="4"/>
      <c r="AO212" s="4"/>
      <c r="AP212" s="4"/>
      <c r="AQ212" s="4"/>
      <c r="AR212" s="4"/>
      <c r="AS212" s="4"/>
      <c r="AT212" s="4" t="str">
        <f>IFERROR(__xludf.DUMMYFUNCTION("""COMPUTED_VALUE"""),"Simulación numérica de turbomaquinarias")</f>
        <v>Simulación numérica de turbomaquinarias</v>
      </c>
      <c r="AU212" s="4"/>
      <c r="AV212" s="4"/>
      <c r="AW212" s="4"/>
      <c r="AX212" s="4"/>
      <c r="AY212" s="4"/>
      <c r="AZ212" s="4"/>
    </row>
    <row r="213">
      <c r="A213" s="4"/>
      <c r="B213" s="4"/>
      <c r="C213" s="4"/>
      <c r="D213" s="4" t="str">
        <f>IFERROR(__xludf.DUMMYFUNCTION("""COMPUTED_VALUE"""),"")</f>
        <v/>
      </c>
      <c r="E213" s="4" t="str">
        <f>IFERROR(__xludf.DUMMYFUNCTION("""COMPUTED_VALUE"""),"")</f>
        <v/>
      </c>
      <c r="F213" s="4" t="str">
        <f>IFERROR(__xludf.DUMMYFUNCTION("""COMPUTED_VALUE"""),"")</f>
        <v/>
      </c>
      <c r="G213" s="4" t="str">
        <f>IFERROR(__xludf.DUMMYFUNCTION("""COMPUTED_VALUE"""),"")</f>
        <v/>
      </c>
      <c r="H213" s="4" t="str">
        <f>IFERROR(__xludf.DUMMYFUNCTION("""COMPUTED_VALUE"""),"")</f>
        <v/>
      </c>
      <c r="I213" s="4" t="str">
        <f>IFERROR(__xludf.DUMMYFUNCTION("""COMPUTED_VALUE"""),"")</f>
        <v/>
      </c>
      <c r="J213" s="4" t="str">
        <f>IFERROR(__xludf.DUMMYFUNCTION("""COMPUTED_VALUE"""),"")</f>
        <v/>
      </c>
      <c r="K213" s="4" t="str">
        <f>IFERROR(__xludf.DUMMYFUNCTION("""COMPUTED_VALUE"""),"")</f>
        <v/>
      </c>
      <c r="L213" s="4" t="str">
        <f>IFERROR(__xludf.DUMMYFUNCTION("""COMPUTED_VALUE"""),"")</f>
        <v/>
      </c>
      <c r="M213" s="4" t="str">
        <f>IFERROR(__xludf.DUMMYFUNCTION("""COMPUTED_VALUE"""),"")</f>
        <v/>
      </c>
      <c r="N213" s="4" t="str">
        <f>IFERROR(__xludf.DUMMYFUNCTION("""COMPUTED_VALUE"""),"")</f>
        <v/>
      </c>
      <c r="O213" s="4" t="str">
        <f>IFERROR(__xludf.DUMMYFUNCTION("""COMPUTED_VALUE"""),"")</f>
        <v/>
      </c>
      <c r="P213" s="4" t="str">
        <f>IFERROR(__xludf.DUMMYFUNCTION("""COMPUTED_VALUE"""),"")</f>
        <v/>
      </c>
      <c r="Q213" s="4" t="str">
        <f>IFERROR(__xludf.DUMMYFUNCTION("""COMPUTED_VALUE"""),"")</f>
        <v/>
      </c>
      <c r="R213" s="4" t="str">
        <f>IFERROR(__xludf.DUMMYFUNCTION("""COMPUTED_VALUE"""),"")</f>
        <v/>
      </c>
      <c r="S213" s="4" t="str">
        <f>IFERROR(__xludf.DUMMYFUNCTION("""COMPUTED_VALUE"""),"")</f>
        <v/>
      </c>
      <c r="T213" s="4" t="str">
        <f>IFERROR(__xludf.DUMMYFUNCTION("""COMPUTED_VALUE"""),"")</f>
        <v/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>
      <c r="A214" s="4"/>
      <c r="B214" s="4"/>
      <c r="C214" s="4"/>
      <c r="D214" s="4" t="str">
        <f>IFERROR(__xludf.DUMMYFUNCTION("""COMPUTED_VALUE"""),"")</f>
        <v/>
      </c>
      <c r="E214" s="4" t="str">
        <f>IFERROR(__xludf.DUMMYFUNCTION("""COMPUTED_VALUE"""),"")</f>
        <v/>
      </c>
      <c r="F214" s="4" t="str">
        <f>IFERROR(__xludf.DUMMYFUNCTION("""COMPUTED_VALUE"""),"")</f>
        <v/>
      </c>
      <c r="G214" s="4" t="str">
        <f>IFERROR(__xludf.DUMMYFUNCTION("""COMPUTED_VALUE"""),"")</f>
        <v/>
      </c>
      <c r="H214" s="4" t="str">
        <f>IFERROR(__xludf.DUMMYFUNCTION("""COMPUTED_VALUE"""),"")</f>
        <v/>
      </c>
      <c r="I214" s="4" t="str">
        <f>IFERROR(__xludf.DUMMYFUNCTION("""COMPUTED_VALUE"""),"")</f>
        <v/>
      </c>
      <c r="J214" s="4" t="str">
        <f>IFERROR(__xludf.DUMMYFUNCTION("""COMPUTED_VALUE"""),"")</f>
        <v/>
      </c>
      <c r="K214" s="4" t="str">
        <f>IFERROR(__xludf.DUMMYFUNCTION("""COMPUTED_VALUE"""),"")</f>
        <v/>
      </c>
      <c r="L214" s="4" t="str">
        <f>IFERROR(__xludf.DUMMYFUNCTION("""COMPUTED_VALUE"""),"")</f>
        <v/>
      </c>
      <c r="M214" s="4" t="str">
        <f>IFERROR(__xludf.DUMMYFUNCTION("""COMPUTED_VALUE"""),"")</f>
        <v/>
      </c>
      <c r="N214" s="4" t="str">
        <f>IFERROR(__xludf.DUMMYFUNCTION("""COMPUTED_VALUE"""),"")</f>
        <v/>
      </c>
      <c r="O214" s="4" t="str">
        <f>IFERROR(__xludf.DUMMYFUNCTION("""COMPUTED_VALUE"""),"")</f>
        <v/>
      </c>
      <c r="P214" s="4" t="str">
        <f>IFERROR(__xludf.DUMMYFUNCTION("""COMPUTED_VALUE"""),"")</f>
        <v/>
      </c>
      <c r="Q214" s="4" t="str">
        <f>IFERROR(__xludf.DUMMYFUNCTION("""COMPUTED_VALUE"""),"")</f>
        <v/>
      </c>
      <c r="R214" s="4" t="str">
        <f>IFERROR(__xludf.DUMMYFUNCTION("""COMPUTED_VALUE"""),"")</f>
        <v/>
      </c>
      <c r="S214" s="4" t="str">
        <f>IFERROR(__xludf.DUMMYFUNCTION("""COMPUTED_VALUE"""),"")</f>
        <v/>
      </c>
      <c r="T214" s="4" t="str">
        <f>IFERROR(__xludf.DUMMYFUNCTION("""COMPUTED_VALUE"""),"")</f>
        <v/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>
      <c r="A215" s="4"/>
      <c r="B215" s="4"/>
      <c r="C215" s="4"/>
      <c r="D215" s="4" t="str">
        <f>IFERROR(__xludf.DUMMYFUNCTION("""COMPUTED_VALUE"""),"")</f>
        <v/>
      </c>
      <c r="E215" s="4" t="str">
        <f>IFERROR(__xludf.DUMMYFUNCTION("""COMPUTED_VALUE"""),"")</f>
        <v/>
      </c>
      <c r="F215" s="4" t="str">
        <f>IFERROR(__xludf.DUMMYFUNCTION("""COMPUTED_VALUE"""),"")</f>
        <v/>
      </c>
      <c r="G215" s="4" t="str">
        <f>IFERROR(__xludf.DUMMYFUNCTION("""COMPUTED_VALUE"""),"")</f>
        <v/>
      </c>
      <c r="H215" s="4" t="str">
        <f>IFERROR(__xludf.DUMMYFUNCTION("""COMPUTED_VALUE"""),"")</f>
        <v/>
      </c>
      <c r="I215" s="4" t="str">
        <f>IFERROR(__xludf.DUMMYFUNCTION("""COMPUTED_VALUE"""),"")</f>
        <v/>
      </c>
      <c r="J215" s="4" t="str">
        <f>IFERROR(__xludf.DUMMYFUNCTION("""COMPUTED_VALUE"""),"")</f>
        <v/>
      </c>
      <c r="K215" s="4" t="str">
        <f>IFERROR(__xludf.DUMMYFUNCTION("""COMPUTED_VALUE"""),"")</f>
        <v/>
      </c>
      <c r="L215" s="4" t="str">
        <f>IFERROR(__xludf.DUMMYFUNCTION("""COMPUTED_VALUE"""),"")</f>
        <v/>
      </c>
      <c r="M215" s="4" t="str">
        <f>IFERROR(__xludf.DUMMYFUNCTION("""COMPUTED_VALUE"""),"")</f>
        <v/>
      </c>
      <c r="N215" s="4" t="str">
        <f>IFERROR(__xludf.DUMMYFUNCTION("""COMPUTED_VALUE"""),"")</f>
        <v/>
      </c>
      <c r="O215" s="4" t="str">
        <f>IFERROR(__xludf.DUMMYFUNCTION("""COMPUTED_VALUE"""),"")</f>
        <v/>
      </c>
      <c r="P215" s="4" t="str">
        <f>IFERROR(__xludf.DUMMYFUNCTION("""COMPUTED_VALUE"""),"")</f>
        <v/>
      </c>
      <c r="Q215" s="4" t="str">
        <f>IFERROR(__xludf.DUMMYFUNCTION("""COMPUTED_VALUE"""),"")</f>
        <v/>
      </c>
      <c r="R215" s="4" t="str">
        <f>IFERROR(__xludf.DUMMYFUNCTION("""COMPUTED_VALUE"""),"")</f>
        <v/>
      </c>
      <c r="S215" s="4" t="str">
        <f>IFERROR(__xludf.DUMMYFUNCTION("""COMPUTED_VALUE"""),"")</f>
        <v/>
      </c>
      <c r="T215" s="4" t="str">
        <f>IFERROR(__xludf.DUMMYFUNCTION("""COMPUTED_VALUE"""),"")</f>
        <v/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>
      <c r="A216" s="4"/>
      <c r="B216" s="4"/>
      <c r="C216" s="4"/>
      <c r="D216" s="4" t="str">
        <f>IFERROR(__xludf.DUMMYFUNCTION("""COMPUTED_VALUE"""),"")</f>
        <v/>
      </c>
      <c r="E216" s="4" t="str">
        <f>IFERROR(__xludf.DUMMYFUNCTION("""COMPUTED_VALUE"""),"")</f>
        <v/>
      </c>
      <c r="F216" s="4" t="str">
        <f>IFERROR(__xludf.DUMMYFUNCTION("""COMPUTED_VALUE"""),"")</f>
        <v/>
      </c>
      <c r="G216" s="4" t="str">
        <f>IFERROR(__xludf.DUMMYFUNCTION("""COMPUTED_VALUE"""),"")</f>
        <v/>
      </c>
      <c r="H216" s="4" t="str">
        <f>IFERROR(__xludf.DUMMYFUNCTION("""COMPUTED_VALUE"""),"")</f>
        <v/>
      </c>
      <c r="I216" s="4" t="str">
        <f>IFERROR(__xludf.DUMMYFUNCTION("""COMPUTED_VALUE"""),"")</f>
        <v/>
      </c>
      <c r="J216" s="4" t="str">
        <f>IFERROR(__xludf.DUMMYFUNCTION("""COMPUTED_VALUE"""),"")</f>
        <v/>
      </c>
      <c r="K216" s="4" t="str">
        <f>IFERROR(__xludf.DUMMYFUNCTION("""COMPUTED_VALUE"""),"")</f>
        <v/>
      </c>
      <c r="L216" s="4" t="str">
        <f>IFERROR(__xludf.DUMMYFUNCTION("""COMPUTED_VALUE"""),"")</f>
        <v/>
      </c>
      <c r="M216" s="4" t="str">
        <f>IFERROR(__xludf.DUMMYFUNCTION("""COMPUTED_VALUE"""),"")</f>
        <v/>
      </c>
      <c r="N216" s="4" t="str">
        <f>IFERROR(__xludf.DUMMYFUNCTION("""COMPUTED_VALUE"""),"")</f>
        <v/>
      </c>
      <c r="O216" s="4" t="str">
        <f>IFERROR(__xludf.DUMMYFUNCTION("""COMPUTED_VALUE"""),"")</f>
        <v/>
      </c>
      <c r="P216" s="4" t="str">
        <f>IFERROR(__xludf.DUMMYFUNCTION("""COMPUTED_VALUE"""),"")</f>
        <v/>
      </c>
      <c r="Q216" s="4" t="str">
        <f>IFERROR(__xludf.DUMMYFUNCTION("""COMPUTED_VALUE"""),"")</f>
        <v/>
      </c>
      <c r="R216" s="4" t="str">
        <f>IFERROR(__xludf.DUMMYFUNCTION("""COMPUTED_VALUE"""),"")</f>
        <v/>
      </c>
      <c r="S216" s="4" t="str">
        <f>IFERROR(__xludf.DUMMYFUNCTION("""COMPUTED_VALUE"""),"")</f>
        <v/>
      </c>
      <c r="T216" s="4" t="str">
        <f>IFERROR(__xludf.DUMMYFUNCTION("""COMPUTED_VALUE"""),"")</f>
        <v/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>
      <c r="A217" s="4"/>
      <c r="B217" s="4"/>
      <c r="C217" s="4"/>
      <c r="D217" s="4" t="str">
        <f>IFERROR(__xludf.DUMMYFUNCTION("""COMPUTED_VALUE"""),"")</f>
        <v/>
      </c>
      <c r="E217" s="4" t="str">
        <f>IFERROR(__xludf.DUMMYFUNCTION("""COMPUTED_VALUE"""),"")</f>
        <v/>
      </c>
      <c r="F217" s="4" t="str">
        <f>IFERROR(__xludf.DUMMYFUNCTION("""COMPUTED_VALUE"""),"")</f>
        <v/>
      </c>
      <c r="G217" s="4" t="str">
        <f>IFERROR(__xludf.DUMMYFUNCTION("""COMPUTED_VALUE"""),"")</f>
        <v/>
      </c>
      <c r="H217" s="4" t="str">
        <f>IFERROR(__xludf.DUMMYFUNCTION("""COMPUTED_VALUE"""),"")</f>
        <v/>
      </c>
      <c r="I217" s="4" t="str">
        <f>IFERROR(__xludf.DUMMYFUNCTION("""COMPUTED_VALUE"""),"")</f>
        <v/>
      </c>
      <c r="J217" s="4" t="str">
        <f>IFERROR(__xludf.DUMMYFUNCTION("""COMPUTED_VALUE"""),"")</f>
        <v/>
      </c>
      <c r="K217" s="4" t="str">
        <f>IFERROR(__xludf.DUMMYFUNCTION("""COMPUTED_VALUE"""),"")</f>
        <v/>
      </c>
      <c r="L217" s="4" t="str">
        <f>IFERROR(__xludf.DUMMYFUNCTION("""COMPUTED_VALUE"""),"")</f>
        <v/>
      </c>
      <c r="M217" s="4" t="str">
        <f>IFERROR(__xludf.DUMMYFUNCTION("""COMPUTED_VALUE"""),"")</f>
        <v/>
      </c>
      <c r="N217" s="4" t="str">
        <f>IFERROR(__xludf.DUMMYFUNCTION("""COMPUTED_VALUE"""),"")</f>
        <v/>
      </c>
      <c r="O217" s="4" t="str">
        <f>IFERROR(__xludf.DUMMYFUNCTION("""COMPUTED_VALUE"""),"")</f>
        <v/>
      </c>
      <c r="P217" s="4" t="str">
        <f>IFERROR(__xludf.DUMMYFUNCTION("""COMPUTED_VALUE"""),"")</f>
        <v/>
      </c>
      <c r="Q217" s="4" t="str">
        <f>IFERROR(__xludf.DUMMYFUNCTION("""COMPUTED_VALUE"""),"")</f>
        <v/>
      </c>
      <c r="R217" s="4" t="str">
        <f>IFERROR(__xludf.DUMMYFUNCTION("""COMPUTED_VALUE"""),"")</f>
        <v/>
      </c>
      <c r="S217" s="4" t="str">
        <f>IFERROR(__xludf.DUMMYFUNCTION("""COMPUTED_VALUE"""),"")</f>
        <v/>
      </c>
      <c r="T217" s="4" t="str">
        <f>IFERROR(__xludf.DUMMYFUNCTION("""COMPUTED_VALUE"""),"")</f>
        <v/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>
      <c r="A218" s="4"/>
      <c r="B218" s="4"/>
      <c r="C218" s="4"/>
      <c r="D218" s="4" t="str">
        <f>IFERROR(__xludf.DUMMYFUNCTION("""COMPUTED_VALUE"""),"")</f>
        <v/>
      </c>
      <c r="E218" s="4" t="str">
        <f>IFERROR(__xludf.DUMMYFUNCTION("""COMPUTED_VALUE"""),"")</f>
        <v/>
      </c>
      <c r="F218" s="4" t="str">
        <f>IFERROR(__xludf.DUMMYFUNCTION("""COMPUTED_VALUE"""),"")</f>
        <v/>
      </c>
      <c r="G218" s="4" t="str">
        <f>IFERROR(__xludf.DUMMYFUNCTION("""COMPUTED_VALUE"""),"")</f>
        <v/>
      </c>
      <c r="H218" s="4" t="str">
        <f>IFERROR(__xludf.DUMMYFUNCTION("""COMPUTED_VALUE"""),"")</f>
        <v/>
      </c>
      <c r="I218" s="4" t="str">
        <f>IFERROR(__xludf.DUMMYFUNCTION("""COMPUTED_VALUE"""),"")</f>
        <v/>
      </c>
      <c r="J218" s="4" t="str">
        <f>IFERROR(__xludf.DUMMYFUNCTION("""COMPUTED_VALUE"""),"")</f>
        <v/>
      </c>
      <c r="K218" s="4" t="str">
        <f>IFERROR(__xludf.DUMMYFUNCTION("""COMPUTED_VALUE"""),"")</f>
        <v/>
      </c>
      <c r="L218" s="4" t="str">
        <f>IFERROR(__xludf.DUMMYFUNCTION("""COMPUTED_VALUE"""),"")</f>
        <v/>
      </c>
      <c r="M218" s="4" t="str">
        <f>IFERROR(__xludf.DUMMYFUNCTION("""COMPUTED_VALUE"""),"")</f>
        <v/>
      </c>
      <c r="N218" s="4" t="str">
        <f>IFERROR(__xludf.DUMMYFUNCTION("""COMPUTED_VALUE"""),"")</f>
        <v/>
      </c>
      <c r="O218" s="4" t="str">
        <f>IFERROR(__xludf.DUMMYFUNCTION("""COMPUTED_VALUE"""),"")</f>
        <v/>
      </c>
      <c r="P218" s="4" t="str">
        <f>IFERROR(__xludf.DUMMYFUNCTION("""COMPUTED_VALUE"""),"")</f>
        <v/>
      </c>
      <c r="Q218" s="4" t="str">
        <f>IFERROR(__xludf.DUMMYFUNCTION("""COMPUTED_VALUE"""),"")</f>
        <v/>
      </c>
      <c r="R218" s="4" t="str">
        <f>IFERROR(__xludf.DUMMYFUNCTION("""COMPUTED_VALUE"""),"")</f>
        <v/>
      </c>
      <c r="S218" s="4" t="str">
        <f>IFERROR(__xludf.DUMMYFUNCTION("""COMPUTED_VALUE"""),"")</f>
        <v/>
      </c>
      <c r="T218" s="4" t="str">
        <f>IFERROR(__xludf.DUMMYFUNCTION("""COMPUTED_VALUE"""),"")</f>
        <v/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>
      <c r="A219" s="4"/>
      <c r="B219" s="4"/>
      <c r="C219" s="4"/>
      <c r="D219" s="4" t="str">
        <f>IFERROR(__xludf.DUMMYFUNCTION("""COMPUTED_VALUE"""),"")</f>
        <v/>
      </c>
      <c r="E219" s="4" t="str">
        <f>IFERROR(__xludf.DUMMYFUNCTION("""COMPUTED_VALUE"""),"")</f>
        <v/>
      </c>
      <c r="F219" s="4" t="str">
        <f>IFERROR(__xludf.DUMMYFUNCTION("""COMPUTED_VALUE"""),"")</f>
        <v/>
      </c>
      <c r="G219" s="4" t="str">
        <f>IFERROR(__xludf.DUMMYFUNCTION("""COMPUTED_VALUE"""),"")</f>
        <v/>
      </c>
      <c r="H219" s="4" t="str">
        <f>IFERROR(__xludf.DUMMYFUNCTION("""COMPUTED_VALUE"""),"")</f>
        <v/>
      </c>
      <c r="I219" s="4" t="str">
        <f>IFERROR(__xludf.DUMMYFUNCTION("""COMPUTED_VALUE"""),"")</f>
        <v/>
      </c>
      <c r="J219" s="4" t="str">
        <f>IFERROR(__xludf.DUMMYFUNCTION("""COMPUTED_VALUE"""),"")</f>
        <v/>
      </c>
      <c r="K219" s="4" t="str">
        <f>IFERROR(__xludf.DUMMYFUNCTION("""COMPUTED_VALUE"""),"")</f>
        <v/>
      </c>
      <c r="L219" s="4" t="str">
        <f>IFERROR(__xludf.DUMMYFUNCTION("""COMPUTED_VALUE"""),"")</f>
        <v/>
      </c>
      <c r="M219" s="4" t="str">
        <f>IFERROR(__xludf.DUMMYFUNCTION("""COMPUTED_VALUE"""),"")</f>
        <v/>
      </c>
      <c r="N219" s="4" t="str">
        <f>IFERROR(__xludf.DUMMYFUNCTION("""COMPUTED_VALUE"""),"")</f>
        <v/>
      </c>
      <c r="O219" s="4" t="str">
        <f>IFERROR(__xludf.DUMMYFUNCTION("""COMPUTED_VALUE"""),"")</f>
        <v/>
      </c>
      <c r="P219" s="4" t="str">
        <f>IFERROR(__xludf.DUMMYFUNCTION("""COMPUTED_VALUE"""),"")</f>
        <v/>
      </c>
      <c r="Q219" s="4" t="str">
        <f>IFERROR(__xludf.DUMMYFUNCTION("""COMPUTED_VALUE"""),"")</f>
        <v/>
      </c>
      <c r="R219" s="4" t="str">
        <f>IFERROR(__xludf.DUMMYFUNCTION("""COMPUTED_VALUE"""),"")</f>
        <v/>
      </c>
      <c r="S219" s="4" t="str">
        <f>IFERROR(__xludf.DUMMYFUNCTION("""COMPUTED_VALUE"""),"")</f>
        <v/>
      </c>
      <c r="T219" s="4" t="str">
        <f>IFERROR(__xludf.DUMMYFUNCTION("""COMPUTED_VALUE"""),"")</f>
        <v/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>
      <c r="A220" s="4"/>
      <c r="B220" s="4"/>
      <c r="C220" s="4"/>
      <c r="D220" s="4" t="str">
        <f>IFERROR(__xludf.DUMMYFUNCTION("""COMPUTED_VALUE"""),"")</f>
        <v/>
      </c>
      <c r="E220" s="4" t="str">
        <f>IFERROR(__xludf.DUMMYFUNCTION("""COMPUTED_VALUE"""),"")</f>
        <v/>
      </c>
      <c r="F220" s="4" t="str">
        <f>IFERROR(__xludf.DUMMYFUNCTION("""COMPUTED_VALUE"""),"")</f>
        <v/>
      </c>
      <c r="G220" s="4" t="str">
        <f>IFERROR(__xludf.DUMMYFUNCTION("""COMPUTED_VALUE"""),"")</f>
        <v/>
      </c>
      <c r="H220" s="4" t="str">
        <f>IFERROR(__xludf.DUMMYFUNCTION("""COMPUTED_VALUE"""),"")</f>
        <v/>
      </c>
      <c r="I220" s="4" t="str">
        <f>IFERROR(__xludf.DUMMYFUNCTION("""COMPUTED_VALUE"""),"")</f>
        <v/>
      </c>
      <c r="J220" s="4" t="str">
        <f>IFERROR(__xludf.DUMMYFUNCTION("""COMPUTED_VALUE"""),"")</f>
        <v/>
      </c>
      <c r="K220" s="4" t="str">
        <f>IFERROR(__xludf.DUMMYFUNCTION("""COMPUTED_VALUE"""),"")</f>
        <v/>
      </c>
      <c r="L220" s="4" t="str">
        <f>IFERROR(__xludf.DUMMYFUNCTION("""COMPUTED_VALUE"""),"")</f>
        <v/>
      </c>
      <c r="M220" s="4" t="str">
        <f>IFERROR(__xludf.DUMMYFUNCTION("""COMPUTED_VALUE"""),"")</f>
        <v/>
      </c>
      <c r="N220" s="4" t="str">
        <f>IFERROR(__xludf.DUMMYFUNCTION("""COMPUTED_VALUE"""),"")</f>
        <v/>
      </c>
      <c r="O220" s="4" t="str">
        <f>IFERROR(__xludf.DUMMYFUNCTION("""COMPUTED_VALUE"""),"")</f>
        <v/>
      </c>
      <c r="P220" s="4" t="str">
        <f>IFERROR(__xludf.DUMMYFUNCTION("""COMPUTED_VALUE"""),"")</f>
        <v/>
      </c>
      <c r="Q220" s="4" t="str">
        <f>IFERROR(__xludf.DUMMYFUNCTION("""COMPUTED_VALUE"""),"")</f>
        <v/>
      </c>
      <c r="R220" s="4" t="str">
        <f>IFERROR(__xludf.DUMMYFUNCTION("""COMPUTED_VALUE"""),"")</f>
        <v/>
      </c>
      <c r="S220" s="4" t="str">
        <f>IFERROR(__xludf.DUMMYFUNCTION("""COMPUTED_VALUE"""),"")</f>
        <v/>
      </c>
      <c r="T220" s="4" t="str">
        <f>IFERROR(__xludf.DUMMYFUNCTION("""COMPUTED_VALUE"""),"")</f>
        <v/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>
      <c r="A221" s="4"/>
      <c r="B221" s="4"/>
      <c r="C221" s="4"/>
      <c r="D221" s="4" t="str">
        <f>IFERROR(__xludf.DUMMYFUNCTION("""COMPUTED_VALUE"""),"")</f>
        <v/>
      </c>
      <c r="E221" s="4" t="str">
        <f>IFERROR(__xludf.DUMMYFUNCTION("""COMPUTED_VALUE"""),"")</f>
        <v/>
      </c>
      <c r="F221" s="4" t="str">
        <f>IFERROR(__xludf.DUMMYFUNCTION("""COMPUTED_VALUE"""),"")</f>
        <v/>
      </c>
      <c r="G221" s="4" t="str">
        <f>IFERROR(__xludf.DUMMYFUNCTION("""COMPUTED_VALUE"""),"")</f>
        <v/>
      </c>
      <c r="H221" s="4" t="str">
        <f>IFERROR(__xludf.DUMMYFUNCTION("""COMPUTED_VALUE"""),"")</f>
        <v/>
      </c>
      <c r="I221" s="4" t="str">
        <f>IFERROR(__xludf.DUMMYFUNCTION("""COMPUTED_VALUE"""),"")</f>
        <v/>
      </c>
      <c r="J221" s="4" t="str">
        <f>IFERROR(__xludf.DUMMYFUNCTION("""COMPUTED_VALUE"""),"")</f>
        <v/>
      </c>
      <c r="K221" s="4" t="str">
        <f>IFERROR(__xludf.DUMMYFUNCTION("""COMPUTED_VALUE"""),"")</f>
        <v/>
      </c>
      <c r="L221" s="4" t="str">
        <f>IFERROR(__xludf.DUMMYFUNCTION("""COMPUTED_VALUE"""),"")</f>
        <v/>
      </c>
      <c r="M221" s="4" t="str">
        <f>IFERROR(__xludf.DUMMYFUNCTION("""COMPUTED_VALUE"""),"")</f>
        <v/>
      </c>
      <c r="N221" s="4" t="str">
        <f>IFERROR(__xludf.DUMMYFUNCTION("""COMPUTED_VALUE"""),"")</f>
        <v/>
      </c>
      <c r="O221" s="4" t="str">
        <f>IFERROR(__xludf.DUMMYFUNCTION("""COMPUTED_VALUE"""),"")</f>
        <v/>
      </c>
      <c r="P221" s="4" t="str">
        <f>IFERROR(__xludf.DUMMYFUNCTION("""COMPUTED_VALUE"""),"")</f>
        <v/>
      </c>
      <c r="Q221" s="4" t="str">
        <f>IFERROR(__xludf.DUMMYFUNCTION("""COMPUTED_VALUE"""),"")</f>
        <v/>
      </c>
      <c r="R221" s="4" t="str">
        <f>IFERROR(__xludf.DUMMYFUNCTION("""COMPUTED_VALUE"""),"")</f>
        <v/>
      </c>
      <c r="S221" s="4" t="str">
        <f>IFERROR(__xludf.DUMMYFUNCTION("""COMPUTED_VALUE"""),"")</f>
        <v/>
      </c>
      <c r="T221" s="4" t="str">
        <f>IFERROR(__xludf.DUMMYFUNCTION("""COMPUTED_VALUE"""),"")</f>
        <v/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>
      <c r="A222" s="4"/>
      <c r="B222" s="4"/>
      <c r="C222" s="4"/>
      <c r="D222" s="4" t="str">
        <f>IFERROR(__xludf.DUMMYFUNCTION("""COMPUTED_VALUE"""),"")</f>
        <v/>
      </c>
      <c r="E222" s="4" t="str">
        <f>IFERROR(__xludf.DUMMYFUNCTION("""COMPUTED_VALUE"""),"")</f>
        <v/>
      </c>
      <c r="F222" s="4" t="str">
        <f>IFERROR(__xludf.DUMMYFUNCTION("""COMPUTED_VALUE"""),"")</f>
        <v/>
      </c>
      <c r="G222" s="4" t="str">
        <f>IFERROR(__xludf.DUMMYFUNCTION("""COMPUTED_VALUE"""),"")</f>
        <v/>
      </c>
      <c r="H222" s="4" t="str">
        <f>IFERROR(__xludf.DUMMYFUNCTION("""COMPUTED_VALUE"""),"")</f>
        <v/>
      </c>
      <c r="I222" s="4" t="str">
        <f>IFERROR(__xludf.DUMMYFUNCTION("""COMPUTED_VALUE"""),"")</f>
        <v/>
      </c>
      <c r="J222" s="4" t="str">
        <f>IFERROR(__xludf.DUMMYFUNCTION("""COMPUTED_VALUE"""),"")</f>
        <v/>
      </c>
      <c r="K222" s="4" t="str">
        <f>IFERROR(__xludf.DUMMYFUNCTION("""COMPUTED_VALUE"""),"")</f>
        <v/>
      </c>
      <c r="L222" s="4" t="str">
        <f>IFERROR(__xludf.DUMMYFUNCTION("""COMPUTED_VALUE"""),"")</f>
        <v/>
      </c>
      <c r="M222" s="4" t="str">
        <f>IFERROR(__xludf.DUMMYFUNCTION("""COMPUTED_VALUE"""),"")</f>
        <v/>
      </c>
      <c r="N222" s="4" t="str">
        <f>IFERROR(__xludf.DUMMYFUNCTION("""COMPUTED_VALUE"""),"")</f>
        <v/>
      </c>
      <c r="O222" s="4" t="str">
        <f>IFERROR(__xludf.DUMMYFUNCTION("""COMPUTED_VALUE"""),"")</f>
        <v/>
      </c>
      <c r="P222" s="4" t="str">
        <f>IFERROR(__xludf.DUMMYFUNCTION("""COMPUTED_VALUE"""),"")</f>
        <v/>
      </c>
      <c r="Q222" s="4" t="str">
        <f>IFERROR(__xludf.DUMMYFUNCTION("""COMPUTED_VALUE"""),"")</f>
        <v/>
      </c>
      <c r="R222" s="4" t="str">
        <f>IFERROR(__xludf.DUMMYFUNCTION("""COMPUTED_VALUE"""),"")</f>
        <v/>
      </c>
      <c r="S222" s="4" t="str">
        <f>IFERROR(__xludf.DUMMYFUNCTION("""COMPUTED_VALUE"""),"")</f>
        <v/>
      </c>
      <c r="T222" s="4" t="str">
        <f>IFERROR(__xludf.DUMMYFUNCTION("""COMPUTED_VALUE"""),"")</f>
        <v/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>
      <c r="A223" s="4"/>
      <c r="B223" s="4"/>
      <c r="C223" s="4"/>
      <c r="D223" s="4" t="str">
        <f>IFERROR(__xludf.DUMMYFUNCTION("""COMPUTED_VALUE"""),"")</f>
        <v/>
      </c>
      <c r="E223" s="4" t="str">
        <f>IFERROR(__xludf.DUMMYFUNCTION("""COMPUTED_VALUE"""),"")</f>
        <v/>
      </c>
      <c r="F223" s="4" t="str">
        <f>IFERROR(__xludf.DUMMYFUNCTION("""COMPUTED_VALUE"""),"")</f>
        <v/>
      </c>
      <c r="G223" s="4" t="str">
        <f>IFERROR(__xludf.DUMMYFUNCTION("""COMPUTED_VALUE"""),"")</f>
        <v/>
      </c>
      <c r="H223" s="4" t="str">
        <f>IFERROR(__xludf.DUMMYFUNCTION("""COMPUTED_VALUE"""),"")</f>
        <v/>
      </c>
      <c r="I223" s="4" t="str">
        <f>IFERROR(__xludf.DUMMYFUNCTION("""COMPUTED_VALUE"""),"")</f>
        <v/>
      </c>
      <c r="J223" s="4" t="str">
        <f>IFERROR(__xludf.DUMMYFUNCTION("""COMPUTED_VALUE"""),"")</f>
        <v/>
      </c>
      <c r="K223" s="4" t="str">
        <f>IFERROR(__xludf.DUMMYFUNCTION("""COMPUTED_VALUE"""),"")</f>
        <v/>
      </c>
      <c r="L223" s="4" t="str">
        <f>IFERROR(__xludf.DUMMYFUNCTION("""COMPUTED_VALUE"""),"")</f>
        <v/>
      </c>
      <c r="M223" s="4" t="str">
        <f>IFERROR(__xludf.DUMMYFUNCTION("""COMPUTED_VALUE"""),"")</f>
        <v/>
      </c>
      <c r="N223" s="4" t="str">
        <f>IFERROR(__xludf.DUMMYFUNCTION("""COMPUTED_VALUE"""),"")</f>
        <v/>
      </c>
      <c r="O223" s="4" t="str">
        <f>IFERROR(__xludf.DUMMYFUNCTION("""COMPUTED_VALUE"""),"")</f>
        <v/>
      </c>
      <c r="P223" s="4" t="str">
        <f>IFERROR(__xludf.DUMMYFUNCTION("""COMPUTED_VALUE"""),"")</f>
        <v/>
      </c>
      <c r="Q223" s="4" t="str">
        <f>IFERROR(__xludf.DUMMYFUNCTION("""COMPUTED_VALUE"""),"")</f>
        <v/>
      </c>
      <c r="R223" s="4" t="str">
        <f>IFERROR(__xludf.DUMMYFUNCTION("""COMPUTED_VALUE"""),"")</f>
        <v/>
      </c>
      <c r="S223" s="4" t="str">
        <f>IFERROR(__xludf.DUMMYFUNCTION("""COMPUTED_VALUE"""),"")</f>
        <v/>
      </c>
      <c r="T223" s="4" t="str">
        <f>IFERROR(__xludf.DUMMYFUNCTION("""COMPUTED_VALUE"""),"")</f>
        <v/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>
      <c r="A224" s="4"/>
      <c r="B224" s="4"/>
      <c r="C224" s="4"/>
      <c r="D224" s="4" t="str">
        <f>IFERROR(__xludf.DUMMYFUNCTION("""COMPUTED_VALUE"""),"")</f>
        <v/>
      </c>
      <c r="E224" s="4" t="str">
        <f>IFERROR(__xludf.DUMMYFUNCTION("""COMPUTED_VALUE"""),"")</f>
        <v/>
      </c>
      <c r="F224" s="4" t="str">
        <f>IFERROR(__xludf.DUMMYFUNCTION("""COMPUTED_VALUE"""),"")</f>
        <v/>
      </c>
      <c r="G224" s="4" t="str">
        <f>IFERROR(__xludf.DUMMYFUNCTION("""COMPUTED_VALUE"""),"")</f>
        <v/>
      </c>
      <c r="H224" s="4" t="str">
        <f>IFERROR(__xludf.DUMMYFUNCTION("""COMPUTED_VALUE"""),"")</f>
        <v/>
      </c>
      <c r="I224" s="4" t="str">
        <f>IFERROR(__xludf.DUMMYFUNCTION("""COMPUTED_VALUE"""),"")</f>
        <v/>
      </c>
      <c r="J224" s="4" t="str">
        <f>IFERROR(__xludf.DUMMYFUNCTION("""COMPUTED_VALUE"""),"")</f>
        <v/>
      </c>
      <c r="K224" s="4" t="str">
        <f>IFERROR(__xludf.DUMMYFUNCTION("""COMPUTED_VALUE"""),"")</f>
        <v/>
      </c>
      <c r="L224" s="4" t="str">
        <f>IFERROR(__xludf.DUMMYFUNCTION("""COMPUTED_VALUE"""),"")</f>
        <v/>
      </c>
      <c r="M224" s="4" t="str">
        <f>IFERROR(__xludf.DUMMYFUNCTION("""COMPUTED_VALUE"""),"")</f>
        <v/>
      </c>
      <c r="N224" s="4" t="str">
        <f>IFERROR(__xludf.DUMMYFUNCTION("""COMPUTED_VALUE"""),"")</f>
        <v/>
      </c>
      <c r="O224" s="4" t="str">
        <f>IFERROR(__xludf.DUMMYFUNCTION("""COMPUTED_VALUE"""),"")</f>
        <v/>
      </c>
      <c r="P224" s="4" t="str">
        <f>IFERROR(__xludf.DUMMYFUNCTION("""COMPUTED_VALUE"""),"")</f>
        <v/>
      </c>
      <c r="Q224" s="4" t="str">
        <f>IFERROR(__xludf.DUMMYFUNCTION("""COMPUTED_VALUE"""),"")</f>
        <v/>
      </c>
      <c r="R224" s="4" t="str">
        <f>IFERROR(__xludf.DUMMYFUNCTION("""COMPUTED_VALUE"""),"")</f>
        <v/>
      </c>
      <c r="S224" s="4" t="str">
        <f>IFERROR(__xludf.DUMMYFUNCTION("""COMPUTED_VALUE"""),"")</f>
        <v/>
      </c>
      <c r="T224" s="4" t="str">
        <f>IFERROR(__xludf.DUMMYFUNCTION("""COMPUTED_VALUE"""),"")</f>
        <v/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tr">
        <f>IFERROR(__xludf.DUMMYFUNCTION("""COMPUTED_VALUE"""),"Obligatorio")</f>
        <v>Obligatorio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>
      <c r="A225" s="4"/>
      <c r="B225" s="4"/>
      <c r="C225" s="4"/>
      <c r="D225" s="4" t="str">
        <f>IFERROR(__xludf.DUMMYFUNCTION("""COMPUTED_VALUE"""),"")</f>
        <v/>
      </c>
      <c r="E225" s="4" t="str">
        <f>IFERROR(__xludf.DUMMYFUNCTION("""COMPUTED_VALUE"""),"")</f>
        <v/>
      </c>
      <c r="F225" s="4" t="str">
        <f>IFERROR(__xludf.DUMMYFUNCTION("""COMPUTED_VALUE"""),"")</f>
        <v/>
      </c>
      <c r="G225" s="4" t="str">
        <f>IFERROR(__xludf.DUMMYFUNCTION("""COMPUTED_VALUE"""),"")</f>
        <v/>
      </c>
      <c r="H225" s="4" t="str">
        <f>IFERROR(__xludf.DUMMYFUNCTION("""COMPUTED_VALUE"""),"")</f>
        <v/>
      </c>
      <c r="I225" s="4" t="str">
        <f>IFERROR(__xludf.DUMMYFUNCTION("""COMPUTED_VALUE"""),"")</f>
        <v/>
      </c>
      <c r="J225" s="4" t="str">
        <f>IFERROR(__xludf.DUMMYFUNCTION("""COMPUTED_VALUE"""),"")</f>
        <v/>
      </c>
      <c r="K225" s="4" t="str">
        <f>IFERROR(__xludf.DUMMYFUNCTION("""COMPUTED_VALUE"""),"")</f>
        <v/>
      </c>
      <c r="L225" s="4" t="str">
        <f>IFERROR(__xludf.DUMMYFUNCTION("""COMPUTED_VALUE"""),"")</f>
        <v/>
      </c>
      <c r="M225" s="4" t="str">
        <f>IFERROR(__xludf.DUMMYFUNCTION("""COMPUTED_VALUE"""),"")</f>
        <v/>
      </c>
      <c r="N225" s="4" t="str">
        <f>IFERROR(__xludf.DUMMYFUNCTION("""COMPUTED_VALUE"""),"")</f>
        <v/>
      </c>
      <c r="O225" s="4" t="str">
        <f>IFERROR(__xludf.DUMMYFUNCTION("""COMPUTED_VALUE"""),"")</f>
        <v/>
      </c>
      <c r="P225" s="4" t="str">
        <f>IFERROR(__xludf.DUMMYFUNCTION("""COMPUTED_VALUE"""),"")</f>
        <v/>
      </c>
      <c r="Q225" s="4" t="str">
        <f>IFERROR(__xludf.DUMMYFUNCTION("""COMPUTED_VALUE"""),"")</f>
        <v/>
      </c>
      <c r="R225" s="4" t="str">
        <f>IFERROR(__xludf.DUMMYFUNCTION("""COMPUTED_VALUE"""),"")</f>
        <v/>
      </c>
      <c r="S225" s="4" t="str">
        <f>IFERROR(__xludf.DUMMYFUNCTION("""COMPUTED_VALUE"""),"")</f>
        <v/>
      </c>
      <c r="T225" s="4" t="str">
        <f>IFERROR(__xludf.DUMMYFUNCTION("""COMPUTED_VALUE"""),"")</f>
        <v/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>
      <c r="A226" s="4"/>
      <c r="B226" s="4"/>
      <c r="C226" s="4"/>
      <c r="D226" s="4" t="str">
        <f>IFERROR(__xludf.DUMMYFUNCTION("""COMPUTED_VALUE"""),"")</f>
        <v/>
      </c>
      <c r="E226" s="4" t="str">
        <f>IFERROR(__xludf.DUMMYFUNCTION("""COMPUTED_VALUE"""),"")</f>
        <v/>
      </c>
      <c r="F226" s="4" t="str">
        <f>IFERROR(__xludf.DUMMYFUNCTION("""COMPUTED_VALUE"""),"")</f>
        <v/>
      </c>
      <c r="G226" s="4" t="str">
        <f>IFERROR(__xludf.DUMMYFUNCTION("""COMPUTED_VALUE"""),"")</f>
        <v/>
      </c>
      <c r="H226" s="4" t="str">
        <f>IFERROR(__xludf.DUMMYFUNCTION("""COMPUTED_VALUE"""),"")</f>
        <v/>
      </c>
      <c r="I226" s="4" t="str">
        <f>IFERROR(__xludf.DUMMYFUNCTION("""COMPUTED_VALUE"""),"")</f>
        <v/>
      </c>
      <c r="J226" s="4" t="str">
        <f>IFERROR(__xludf.DUMMYFUNCTION("""COMPUTED_VALUE"""),"")</f>
        <v/>
      </c>
      <c r="K226" s="4" t="str">
        <f>IFERROR(__xludf.DUMMYFUNCTION("""COMPUTED_VALUE"""),"")</f>
        <v/>
      </c>
      <c r="L226" s="4" t="str">
        <f>IFERROR(__xludf.DUMMYFUNCTION("""COMPUTED_VALUE"""),"")</f>
        <v/>
      </c>
      <c r="M226" s="4" t="str">
        <f>IFERROR(__xludf.DUMMYFUNCTION("""COMPUTED_VALUE"""),"")</f>
        <v/>
      </c>
      <c r="N226" s="4" t="str">
        <f>IFERROR(__xludf.DUMMYFUNCTION("""COMPUTED_VALUE"""),"")</f>
        <v/>
      </c>
      <c r="O226" s="4" t="str">
        <f>IFERROR(__xludf.DUMMYFUNCTION("""COMPUTED_VALUE"""),"")</f>
        <v/>
      </c>
      <c r="P226" s="4" t="str">
        <f>IFERROR(__xludf.DUMMYFUNCTION("""COMPUTED_VALUE"""),"")</f>
        <v/>
      </c>
      <c r="Q226" s="4" t="str">
        <f>IFERROR(__xludf.DUMMYFUNCTION("""COMPUTED_VALUE"""),"")</f>
        <v/>
      </c>
      <c r="R226" s="4" t="str">
        <f>IFERROR(__xludf.DUMMYFUNCTION("""COMPUTED_VALUE"""),"")</f>
        <v/>
      </c>
      <c r="S226" s="4" t="str">
        <f>IFERROR(__xludf.DUMMYFUNCTION("""COMPUTED_VALUE"""),"")</f>
        <v/>
      </c>
      <c r="T226" s="4" t="str">
        <f>IFERROR(__xludf.DUMMYFUNCTION("""COMPUTED_VALUE"""),"")</f>
        <v/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>
      <c r="A227" s="4"/>
      <c r="B227" s="4"/>
      <c r="C227" s="4"/>
      <c r="D227" s="4" t="str">
        <f>IFERROR(__xludf.DUMMYFUNCTION("""COMPUTED_VALUE"""),"")</f>
        <v/>
      </c>
      <c r="E227" s="4" t="str">
        <f>IFERROR(__xludf.DUMMYFUNCTION("""COMPUTED_VALUE"""),"")</f>
        <v/>
      </c>
      <c r="F227" s="4" t="str">
        <f>IFERROR(__xludf.DUMMYFUNCTION("""COMPUTED_VALUE"""),"")</f>
        <v/>
      </c>
      <c r="G227" s="4" t="str">
        <f>IFERROR(__xludf.DUMMYFUNCTION("""COMPUTED_VALUE"""),"")</f>
        <v/>
      </c>
      <c r="H227" s="4" t="str">
        <f>IFERROR(__xludf.DUMMYFUNCTION("""COMPUTED_VALUE"""),"")</f>
        <v/>
      </c>
      <c r="I227" s="4" t="str">
        <f>IFERROR(__xludf.DUMMYFUNCTION("""COMPUTED_VALUE"""),"")</f>
        <v/>
      </c>
      <c r="J227" s="4" t="str">
        <f>IFERROR(__xludf.DUMMYFUNCTION("""COMPUTED_VALUE"""),"")</f>
        <v/>
      </c>
      <c r="K227" s="4" t="str">
        <f>IFERROR(__xludf.DUMMYFUNCTION("""COMPUTED_VALUE"""),"")</f>
        <v/>
      </c>
      <c r="L227" s="4" t="str">
        <f>IFERROR(__xludf.DUMMYFUNCTION("""COMPUTED_VALUE"""),"")</f>
        <v/>
      </c>
      <c r="M227" s="4" t="str">
        <f>IFERROR(__xludf.DUMMYFUNCTION("""COMPUTED_VALUE"""),"")</f>
        <v/>
      </c>
      <c r="N227" s="4" t="str">
        <f>IFERROR(__xludf.DUMMYFUNCTION("""COMPUTED_VALUE"""),"")</f>
        <v/>
      </c>
      <c r="O227" s="4" t="str">
        <f>IFERROR(__xludf.DUMMYFUNCTION("""COMPUTED_VALUE"""),"")</f>
        <v/>
      </c>
      <c r="P227" s="4" t="str">
        <f>IFERROR(__xludf.DUMMYFUNCTION("""COMPUTED_VALUE"""),"")</f>
        <v/>
      </c>
      <c r="Q227" s="4" t="str">
        <f>IFERROR(__xludf.DUMMYFUNCTION("""COMPUTED_VALUE"""),"")</f>
        <v/>
      </c>
      <c r="R227" s="4" t="str">
        <f>IFERROR(__xludf.DUMMYFUNCTION("""COMPUTED_VALUE"""),"")</f>
        <v/>
      </c>
      <c r="S227" s="4" t="str">
        <f>IFERROR(__xludf.DUMMYFUNCTION("""COMPUTED_VALUE"""),"")</f>
        <v/>
      </c>
      <c r="T227" s="4" t="str">
        <f>IFERROR(__xludf.DUMMYFUNCTION("""COMPUTED_VALUE"""),"")</f>
        <v/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>
      <c r="A228" s="4"/>
      <c r="B228" s="4"/>
      <c r="C228" s="4"/>
      <c r="D228" s="4" t="str">
        <f>IFERROR(__xludf.DUMMYFUNCTION("""COMPUTED_VALUE"""),"")</f>
        <v/>
      </c>
      <c r="E228" s="4" t="str">
        <f>IFERROR(__xludf.DUMMYFUNCTION("""COMPUTED_VALUE"""),"")</f>
        <v/>
      </c>
      <c r="F228" s="4" t="str">
        <f>IFERROR(__xludf.DUMMYFUNCTION("""COMPUTED_VALUE"""),"")</f>
        <v/>
      </c>
      <c r="G228" s="4" t="str">
        <f>IFERROR(__xludf.DUMMYFUNCTION("""COMPUTED_VALUE"""),"")</f>
        <v/>
      </c>
      <c r="H228" s="4" t="str">
        <f>IFERROR(__xludf.DUMMYFUNCTION("""COMPUTED_VALUE"""),"")</f>
        <v/>
      </c>
      <c r="I228" s="4" t="str">
        <f>IFERROR(__xludf.DUMMYFUNCTION("""COMPUTED_VALUE"""),"")</f>
        <v/>
      </c>
      <c r="J228" s="4" t="str">
        <f>IFERROR(__xludf.DUMMYFUNCTION("""COMPUTED_VALUE"""),"")</f>
        <v/>
      </c>
      <c r="K228" s="4" t="str">
        <f>IFERROR(__xludf.DUMMYFUNCTION("""COMPUTED_VALUE"""),"")</f>
        <v/>
      </c>
      <c r="L228" s="4" t="str">
        <f>IFERROR(__xludf.DUMMYFUNCTION("""COMPUTED_VALUE"""),"")</f>
        <v/>
      </c>
      <c r="M228" s="4" t="str">
        <f>IFERROR(__xludf.DUMMYFUNCTION("""COMPUTED_VALUE"""),"")</f>
        <v/>
      </c>
      <c r="N228" s="4" t="str">
        <f>IFERROR(__xludf.DUMMYFUNCTION("""COMPUTED_VALUE"""),"")</f>
        <v/>
      </c>
      <c r="O228" s="4" t="str">
        <f>IFERROR(__xludf.DUMMYFUNCTION("""COMPUTED_VALUE"""),"")</f>
        <v/>
      </c>
      <c r="P228" s="4" t="str">
        <f>IFERROR(__xludf.DUMMYFUNCTION("""COMPUTED_VALUE"""),"")</f>
        <v/>
      </c>
      <c r="Q228" s="4" t="str">
        <f>IFERROR(__xludf.DUMMYFUNCTION("""COMPUTED_VALUE"""),"")</f>
        <v/>
      </c>
      <c r="R228" s="4" t="str">
        <f>IFERROR(__xludf.DUMMYFUNCTION("""COMPUTED_VALUE"""),"")</f>
        <v/>
      </c>
      <c r="S228" s="4" t="str">
        <f>IFERROR(__xludf.DUMMYFUNCTION("""COMPUTED_VALUE"""),"")</f>
        <v/>
      </c>
      <c r="T228" s="4" t="str">
        <f>IFERROR(__xludf.DUMMYFUNCTION("""COMPUTED_VALUE"""),"")</f>
        <v/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>
      <c r="A229" s="4"/>
      <c r="B229" s="4"/>
      <c r="C229" s="4"/>
      <c r="D229" s="4" t="str">
        <f>IFERROR(__xludf.DUMMYFUNCTION("""COMPUTED_VALUE"""),"")</f>
        <v/>
      </c>
      <c r="E229" s="4" t="str">
        <f>IFERROR(__xludf.DUMMYFUNCTION("""COMPUTED_VALUE"""),"")</f>
        <v/>
      </c>
      <c r="F229" s="4" t="str">
        <f>IFERROR(__xludf.DUMMYFUNCTION("""COMPUTED_VALUE"""),"")</f>
        <v/>
      </c>
      <c r="G229" s="4" t="str">
        <f>IFERROR(__xludf.DUMMYFUNCTION("""COMPUTED_VALUE"""),"")</f>
        <v/>
      </c>
      <c r="H229" s="4" t="str">
        <f>IFERROR(__xludf.DUMMYFUNCTION("""COMPUTED_VALUE"""),"")</f>
        <v/>
      </c>
      <c r="I229" s="4" t="str">
        <f>IFERROR(__xludf.DUMMYFUNCTION("""COMPUTED_VALUE"""),"")</f>
        <v/>
      </c>
      <c r="J229" s="4" t="str">
        <f>IFERROR(__xludf.DUMMYFUNCTION("""COMPUTED_VALUE"""),"")</f>
        <v/>
      </c>
      <c r="K229" s="4" t="str">
        <f>IFERROR(__xludf.DUMMYFUNCTION("""COMPUTED_VALUE"""),"")</f>
        <v/>
      </c>
      <c r="L229" s="4" t="str">
        <f>IFERROR(__xludf.DUMMYFUNCTION("""COMPUTED_VALUE"""),"")</f>
        <v/>
      </c>
      <c r="M229" s="4" t="str">
        <f>IFERROR(__xludf.DUMMYFUNCTION("""COMPUTED_VALUE"""),"")</f>
        <v/>
      </c>
      <c r="N229" s="4" t="str">
        <f>IFERROR(__xludf.DUMMYFUNCTION("""COMPUTED_VALUE"""),"")</f>
        <v/>
      </c>
      <c r="O229" s="4" t="str">
        <f>IFERROR(__xludf.DUMMYFUNCTION("""COMPUTED_VALUE"""),"")</f>
        <v/>
      </c>
      <c r="P229" s="4" t="str">
        <f>IFERROR(__xludf.DUMMYFUNCTION("""COMPUTED_VALUE"""),"")</f>
        <v/>
      </c>
      <c r="Q229" s="4" t="str">
        <f>IFERROR(__xludf.DUMMYFUNCTION("""COMPUTED_VALUE"""),"")</f>
        <v/>
      </c>
      <c r="R229" s="4" t="str">
        <f>IFERROR(__xludf.DUMMYFUNCTION("""COMPUTED_VALUE"""),"")</f>
        <v/>
      </c>
      <c r="S229" s="4" t="str">
        <f>IFERROR(__xludf.DUMMYFUNCTION("""COMPUTED_VALUE"""),"")</f>
        <v/>
      </c>
      <c r="T229" s="4" t="str">
        <f>IFERROR(__xludf.DUMMYFUNCTION("""COMPUTED_VALUE"""),"")</f>
        <v/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>
      <c r="A230" s="4"/>
      <c r="B230" s="4"/>
      <c r="C230" s="4"/>
      <c r="D230" s="4" t="str">
        <f>IFERROR(__xludf.DUMMYFUNCTION("""COMPUTED_VALUE"""),"")</f>
        <v/>
      </c>
      <c r="E230" s="4" t="str">
        <f>IFERROR(__xludf.DUMMYFUNCTION("""COMPUTED_VALUE"""),"")</f>
        <v/>
      </c>
      <c r="F230" s="4" t="str">
        <f>IFERROR(__xludf.DUMMYFUNCTION("""COMPUTED_VALUE"""),"")</f>
        <v/>
      </c>
      <c r="G230" s="4" t="str">
        <f>IFERROR(__xludf.DUMMYFUNCTION("""COMPUTED_VALUE"""),"")</f>
        <v/>
      </c>
      <c r="H230" s="4" t="str">
        <f>IFERROR(__xludf.DUMMYFUNCTION("""COMPUTED_VALUE"""),"")</f>
        <v/>
      </c>
      <c r="I230" s="4" t="str">
        <f>IFERROR(__xludf.DUMMYFUNCTION("""COMPUTED_VALUE"""),"")</f>
        <v/>
      </c>
      <c r="J230" s="4" t="str">
        <f>IFERROR(__xludf.DUMMYFUNCTION("""COMPUTED_VALUE"""),"")</f>
        <v/>
      </c>
      <c r="K230" s="4" t="str">
        <f>IFERROR(__xludf.DUMMYFUNCTION("""COMPUTED_VALUE"""),"")</f>
        <v/>
      </c>
      <c r="L230" s="4" t="str">
        <f>IFERROR(__xludf.DUMMYFUNCTION("""COMPUTED_VALUE"""),"")</f>
        <v/>
      </c>
      <c r="M230" s="4" t="str">
        <f>IFERROR(__xludf.DUMMYFUNCTION("""COMPUTED_VALUE"""),"")</f>
        <v/>
      </c>
      <c r="N230" s="4" t="str">
        <f>IFERROR(__xludf.DUMMYFUNCTION("""COMPUTED_VALUE"""),"")</f>
        <v/>
      </c>
      <c r="O230" s="4" t="str">
        <f>IFERROR(__xludf.DUMMYFUNCTION("""COMPUTED_VALUE"""),"")</f>
        <v/>
      </c>
      <c r="P230" s="4" t="str">
        <f>IFERROR(__xludf.DUMMYFUNCTION("""COMPUTED_VALUE"""),"")</f>
        <v/>
      </c>
      <c r="Q230" s="4" t="str">
        <f>IFERROR(__xludf.DUMMYFUNCTION("""COMPUTED_VALUE"""),"")</f>
        <v/>
      </c>
      <c r="R230" s="4" t="str">
        <f>IFERROR(__xludf.DUMMYFUNCTION("""COMPUTED_VALUE"""),"")</f>
        <v/>
      </c>
      <c r="S230" s="4" t="str">
        <f>IFERROR(__xludf.DUMMYFUNCTION("""COMPUTED_VALUE"""),"")</f>
        <v/>
      </c>
      <c r="T230" s="4" t="str">
        <f>IFERROR(__xludf.DUMMYFUNCTION("""COMPUTED_VALUE"""),"")</f>
        <v/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>
      <c r="A231" s="4"/>
      <c r="B231" s="4"/>
      <c r="C231" s="4"/>
      <c r="D231" s="4" t="str">
        <f>IFERROR(__xludf.DUMMYFUNCTION("""COMPUTED_VALUE"""),"")</f>
        <v/>
      </c>
      <c r="E231" s="4" t="str">
        <f>IFERROR(__xludf.DUMMYFUNCTION("""COMPUTED_VALUE"""),"")</f>
        <v/>
      </c>
      <c r="F231" s="4" t="str">
        <f>IFERROR(__xludf.DUMMYFUNCTION("""COMPUTED_VALUE"""),"")</f>
        <v/>
      </c>
      <c r="G231" s="4" t="str">
        <f>IFERROR(__xludf.DUMMYFUNCTION("""COMPUTED_VALUE"""),"")</f>
        <v/>
      </c>
      <c r="H231" s="4" t="str">
        <f>IFERROR(__xludf.DUMMYFUNCTION("""COMPUTED_VALUE"""),"")</f>
        <v/>
      </c>
      <c r="I231" s="4" t="str">
        <f>IFERROR(__xludf.DUMMYFUNCTION("""COMPUTED_VALUE"""),"")</f>
        <v/>
      </c>
      <c r="J231" s="4" t="str">
        <f>IFERROR(__xludf.DUMMYFUNCTION("""COMPUTED_VALUE"""),"")</f>
        <v/>
      </c>
      <c r="K231" s="4" t="str">
        <f>IFERROR(__xludf.DUMMYFUNCTION("""COMPUTED_VALUE"""),"")</f>
        <v/>
      </c>
      <c r="L231" s="4" t="str">
        <f>IFERROR(__xludf.DUMMYFUNCTION("""COMPUTED_VALUE"""),"")</f>
        <v/>
      </c>
      <c r="M231" s="4" t="str">
        <f>IFERROR(__xludf.DUMMYFUNCTION("""COMPUTED_VALUE"""),"")</f>
        <v/>
      </c>
      <c r="N231" s="4" t="str">
        <f>IFERROR(__xludf.DUMMYFUNCTION("""COMPUTED_VALUE"""),"")</f>
        <v/>
      </c>
      <c r="O231" s="4" t="str">
        <f>IFERROR(__xludf.DUMMYFUNCTION("""COMPUTED_VALUE"""),"")</f>
        <v/>
      </c>
      <c r="P231" s="4" t="str">
        <f>IFERROR(__xludf.DUMMYFUNCTION("""COMPUTED_VALUE"""),"")</f>
        <v/>
      </c>
      <c r="Q231" s="4" t="str">
        <f>IFERROR(__xludf.DUMMYFUNCTION("""COMPUTED_VALUE"""),"")</f>
        <v/>
      </c>
      <c r="R231" s="4" t="str">
        <f>IFERROR(__xludf.DUMMYFUNCTION("""COMPUTED_VALUE"""),"")</f>
        <v/>
      </c>
      <c r="S231" s="4" t="str">
        <f>IFERROR(__xludf.DUMMYFUNCTION("""COMPUTED_VALUE"""),"")</f>
        <v/>
      </c>
      <c r="T231" s="4" t="str">
        <f>IFERROR(__xludf.DUMMYFUNCTION("""COMPUTED_VALUE"""),"")</f>
        <v/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>
      <c r="A232" s="4"/>
      <c r="B232" s="4"/>
      <c r="C232" s="4"/>
      <c r="D232" s="4" t="str">
        <f>IFERROR(__xludf.DUMMYFUNCTION("""COMPUTED_VALUE"""),"")</f>
        <v/>
      </c>
      <c r="E232" s="4" t="str">
        <f>IFERROR(__xludf.DUMMYFUNCTION("""COMPUTED_VALUE"""),"")</f>
        <v/>
      </c>
      <c r="F232" s="4" t="str">
        <f>IFERROR(__xludf.DUMMYFUNCTION("""COMPUTED_VALUE"""),"")</f>
        <v/>
      </c>
      <c r="G232" s="4" t="str">
        <f>IFERROR(__xludf.DUMMYFUNCTION("""COMPUTED_VALUE"""),"")</f>
        <v/>
      </c>
      <c r="H232" s="4" t="str">
        <f>IFERROR(__xludf.DUMMYFUNCTION("""COMPUTED_VALUE"""),"")</f>
        <v/>
      </c>
      <c r="I232" s="4" t="str">
        <f>IFERROR(__xludf.DUMMYFUNCTION("""COMPUTED_VALUE"""),"")</f>
        <v/>
      </c>
      <c r="J232" s="4" t="str">
        <f>IFERROR(__xludf.DUMMYFUNCTION("""COMPUTED_VALUE"""),"")</f>
        <v/>
      </c>
      <c r="K232" s="4" t="str">
        <f>IFERROR(__xludf.DUMMYFUNCTION("""COMPUTED_VALUE"""),"")</f>
        <v/>
      </c>
      <c r="L232" s="4" t="str">
        <f>IFERROR(__xludf.DUMMYFUNCTION("""COMPUTED_VALUE"""),"")</f>
        <v/>
      </c>
      <c r="M232" s="4" t="str">
        <f>IFERROR(__xludf.DUMMYFUNCTION("""COMPUTED_VALUE"""),"")</f>
        <v/>
      </c>
      <c r="N232" s="4" t="str">
        <f>IFERROR(__xludf.DUMMYFUNCTION("""COMPUTED_VALUE"""),"")</f>
        <v/>
      </c>
      <c r="O232" s="4" t="str">
        <f>IFERROR(__xludf.DUMMYFUNCTION("""COMPUTED_VALUE"""),"")</f>
        <v/>
      </c>
      <c r="P232" s="4" t="str">
        <f>IFERROR(__xludf.DUMMYFUNCTION("""COMPUTED_VALUE"""),"")</f>
        <v/>
      </c>
      <c r="Q232" s="4" t="str">
        <f>IFERROR(__xludf.DUMMYFUNCTION("""COMPUTED_VALUE"""),"")</f>
        <v/>
      </c>
      <c r="R232" s="4" t="str">
        <f>IFERROR(__xludf.DUMMYFUNCTION("""COMPUTED_VALUE"""),"")</f>
        <v/>
      </c>
      <c r="S232" s="4" t="str">
        <f>IFERROR(__xludf.DUMMYFUNCTION("""COMPUTED_VALUE"""),"")</f>
        <v/>
      </c>
      <c r="T232" s="4" t="str">
        <f>IFERROR(__xludf.DUMMYFUNCTION("""COMPUTED_VALUE"""),"")</f>
        <v/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>
      <c r="A233" s="4"/>
      <c r="B233" s="4"/>
      <c r="C233" s="4"/>
      <c r="D233" s="4" t="str">
        <f>IFERROR(__xludf.DUMMYFUNCTION("""COMPUTED_VALUE"""),"")</f>
        <v/>
      </c>
      <c r="E233" s="4" t="str">
        <f>IFERROR(__xludf.DUMMYFUNCTION("""COMPUTED_VALUE"""),"")</f>
        <v/>
      </c>
      <c r="F233" s="4" t="str">
        <f>IFERROR(__xludf.DUMMYFUNCTION("""COMPUTED_VALUE"""),"")</f>
        <v/>
      </c>
      <c r="G233" s="4" t="str">
        <f>IFERROR(__xludf.DUMMYFUNCTION("""COMPUTED_VALUE"""),"")</f>
        <v/>
      </c>
      <c r="H233" s="4" t="str">
        <f>IFERROR(__xludf.DUMMYFUNCTION("""COMPUTED_VALUE"""),"")</f>
        <v/>
      </c>
      <c r="I233" s="4" t="str">
        <f>IFERROR(__xludf.DUMMYFUNCTION("""COMPUTED_VALUE"""),"")</f>
        <v/>
      </c>
      <c r="J233" s="4" t="str">
        <f>IFERROR(__xludf.DUMMYFUNCTION("""COMPUTED_VALUE"""),"")</f>
        <v/>
      </c>
      <c r="K233" s="4" t="str">
        <f>IFERROR(__xludf.DUMMYFUNCTION("""COMPUTED_VALUE"""),"")</f>
        <v/>
      </c>
      <c r="L233" s="4" t="str">
        <f>IFERROR(__xludf.DUMMYFUNCTION("""COMPUTED_VALUE"""),"")</f>
        <v/>
      </c>
      <c r="M233" s="4" t="str">
        <f>IFERROR(__xludf.DUMMYFUNCTION("""COMPUTED_VALUE"""),"")</f>
        <v/>
      </c>
      <c r="N233" s="4" t="str">
        <f>IFERROR(__xludf.DUMMYFUNCTION("""COMPUTED_VALUE"""),"")</f>
        <v/>
      </c>
      <c r="O233" s="4" t="str">
        <f>IFERROR(__xludf.DUMMYFUNCTION("""COMPUTED_VALUE"""),"")</f>
        <v/>
      </c>
      <c r="P233" s="4" t="str">
        <f>IFERROR(__xludf.DUMMYFUNCTION("""COMPUTED_VALUE"""),"")</f>
        <v/>
      </c>
      <c r="Q233" s="4" t="str">
        <f>IFERROR(__xludf.DUMMYFUNCTION("""COMPUTED_VALUE"""),"")</f>
        <v/>
      </c>
      <c r="R233" s="4" t="str">
        <f>IFERROR(__xludf.DUMMYFUNCTION("""COMPUTED_VALUE"""),"")</f>
        <v/>
      </c>
      <c r="S233" s="4" t="str">
        <f>IFERROR(__xludf.DUMMYFUNCTION("""COMPUTED_VALUE"""),"")</f>
        <v/>
      </c>
      <c r="T233" s="4" t="str">
        <f>IFERROR(__xludf.DUMMYFUNCTION("""COMPUTED_VALUE"""),"")</f>
        <v/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>
      <c r="A234" s="4"/>
      <c r="B234" s="4"/>
      <c r="C234" s="4"/>
      <c r="D234" s="4" t="str">
        <f>IFERROR(__xludf.DUMMYFUNCTION("""COMPUTED_VALUE"""),"")</f>
        <v/>
      </c>
      <c r="E234" s="4" t="str">
        <f>IFERROR(__xludf.DUMMYFUNCTION("""COMPUTED_VALUE"""),"")</f>
        <v/>
      </c>
      <c r="F234" s="4" t="str">
        <f>IFERROR(__xludf.DUMMYFUNCTION("""COMPUTED_VALUE"""),"")</f>
        <v/>
      </c>
      <c r="G234" s="4" t="str">
        <f>IFERROR(__xludf.DUMMYFUNCTION("""COMPUTED_VALUE"""),"")</f>
        <v/>
      </c>
      <c r="H234" s="4" t="str">
        <f>IFERROR(__xludf.DUMMYFUNCTION("""COMPUTED_VALUE"""),"")</f>
        <v/>
      </c>
      <c r="I234" s="4" t="str">
        <f>IFERROR(__xludf.DUMMYFUNCTION("""COMPUTED_VALUE"""),"")</f>
        <v/>
      </c>
      <c r="J234" s="4" t="str">
        <f>IFERROR(__xludf.DUMMYFUNCTION("""COMPUTED_VALUE"""),"")</f>
        <v/>
      </c>
      <c r="K234" s="4" t="str">
        <f>IFERROR(__xludf.DUMMYFUNCTION("""COMPUTED_VALUE"""),"")</f>
        <v/>
      </c>
      <c r="L234" s="4" t="str">
        <f>IFERROR(__xludf.DUMMYFUNCTION("""COMPUTED_VALUE"""),"")</f>
        <v/>
      </c>
      <c r="M234" s="4" t="str">
        <f>IFERROR(__xludf.DUMMYFUNCTION("""COMPUTED_VALUE"""),"")</f>
        <v/>
      </c>
      <c r="N234" s="4" t="str">
        <f>IFERROR(__xludf.DUMMYFUNCTION("""COMPUTED_VALUE"""),"")</f>
        <v/>
      </c>
      <c r="O234" s="4" t="str">
        <f>IFERROR(__xludf.DUMMYFUNCTION("""COMPUTED_VALUE"""),"")</f>
        <v/>
      </c>
      <c r="P234" s="4" t="str">
        <f>IFERROR(__xludf.DUMMYFUNCTION("""COMPUTED_VALUE"""),"")</f>
        <v/>
      </c>
      <c r="Q234" s="4" t="str">
        <f>IFERROR(__xludf.DUMMYFUNCTION("""COMPUTED_VALUE"""),"")</f>
        <v/>
      </c>
      <c r="R234" s="4" t="str">
        <f>IFERROR(__xludf.DUMMYFUNCTION("""COMPUTED_VALUE"""),"")</f>
        <v/>
      </c>
      <c r="S234" s="4" t="str">
        <f>IFERROR(__xludf.DUMMYFUNCTION("""COMPUTED_VALUE"""),"")</f>
        <v/>
      </c>
      <c r="T234" s="4" t="str">
        <f>IFERROR(__xludf.DUMMYFUNCTION("""COMPUTED_VALUE"""),"")</f>
        <v/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>
      <c r="A235" s="4"/>
      <c r="B235" s="4"/>
      <c r="C235" s="4"/>
      <c r="D235" s="4" t="str">
        <f>IFERROR(__xludf.DUMMYFUNCTION("""COMPUTED_VALUE"""),"")</f>
        <v/>
      </c>
      <c r="E235" s="4" t="str">
        <f>IFERROR(__xludf.DUMMYFUNCTION("""COMPUTED_VALUE"""),"")</f>
        <v/>
      </c>
      <c r="F235" s="4" t="str">
        <f>IFERROR(__xludf.DUMMYFUNCTION("""COMPUTED_VALUE"""),"")</f>
        <v/>
      </c>
      <c r="G235" s="4" t="str">
        <f>IFERROR(__xludf.DUMMYFUNCTION("""COMPUTED_VALUE"""),"")</f>
        <v/>
      </c>
      <c r="H235" s="4" t="str">
        <f>IFERROR(__xludf.DUMMYFUNCTION("""COMPUTED_VALUE"""),"")</f>
        <v/>
      </c>
      <c r="I235" s="4" t="str">
        <f>IFERROR(__xludf.DUMMYFUNCTION("""COMPUTED_VALUE"""),"")</f>
        <v/>
      </c>
      <c r="J235" s="4" t="str">
        <f>IFERROR(__xludf.DUMMYFUNCTION("""COMPUTED_VALUE"""),"")</f>
        <v/>
      </c>
      <c r="K235" s="4" t="str">
        <f>IFERROR(__xludf.DUMMYFUNCTION("""COMPUTED_VALUE"""),"")</f>
        <v/>
      </c>
      <c r="L235" s="4" t="str">
        <f>IFERROR(__xludf.DUMMYFUNCTION("""COMPUTED_VALUE"""),"")</f>
        <v/>
      </c>
      <c r="M235" s="4" t="str">
        <f>IFERROR(__xludf.DUMMYFUNCTION("""COMPUTED_VALUE"""),"")</f>
        <v/>
      </c>
      <c r="N235" s="4" t="str">
        <f>IFERROR(__xludf.DUMMYFUNCTION("""COMPUTED_VALUE"""),"")</f>
        <v/>
      </c>
      <c r="O235" s="4" t="str">
        <f>IFERROR(__xludf.DUMMYFUNCTION("""COMPUTED_VALUE"""),"")</f>
        <v/>
      </c>
      <c r="P235" s="4" t="str">
        <f>IFERROR(__xludf.DUMMYFUNCTION("""COMPUTED_VALUE"""),"")</f>
        <v/>
      </c>
      <c r="Q235" s="4" t="str">
        <f>IFERROR(__xludf.DUMMYFUNCTION("""COMPUTED_VALUE"""),"")</f>
        <v/>
      </c>
      <c r="R235" s="4" t="str">
        <f>IFERROR(__xludf.DUMMYFUNCTION("""COMPUTED_VALUE"""),"")</f>
        <v/>
      </c>
      <c r="S235" s="4" t="str">
        <f>IFERROR(__xludf.DUMMYFUNCTION("""COMPUTED_VALUE"""),"")</f>
        <v/>
      </c>
      <c r="T235" s="4" t="str">
        <f>IFERROR(__xludf.DUMMYFUNCTION("""COMPUTED_VALUE"""),"")</f>
        <v/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>
      <c r="A236" s="4"/>
      <c r="B236" s="4"/>
      <c r="C236" s="4"/>
      <c r="D236" s="4" t="str">
        <f>IFERROR(__xludf.DUMMYFUNCTION("""COMPUTED_VALUE"""),"")</f>
        <v/>
      </c>
      <c r="E236" s="4" t="str">
        <f>IFERROR(__xludf.DUMMYFUNCTION("""COMPUTED_VALUE"""),"")</f>
        <v/>
      </c>
      <c r="F236" s="4" t="str">
        <f>IFERROR(__xludf.DUMMYFUNCTION("""COMPUTED_VALUE"""),"")</f>
        <v/>
      </c>
      <c r="G236" s="4" t="str">
        <f>IFERROR(__xludf.DUMMYFUNCTION("""COMPUTED_VALUE"""),"")</f>
        <v/>
      </c>
      <c r="H236" s="4" t="str">
        <f>IFERROR(__xludf.DUMMYFUNCTION("""COMPUTED_VALUE"""),"")</f>
        <v/>
      </c>
      <c r="I236" s="4" t="str">
        <f>IFERROR(__xludf.DUMMYFUNCTION("""COMPUTED_VALUE"""),"")</f>
        <v/>
      </c>
      <c r="J236" s="4" t="str">
        <f>IFERROR(__xludf.DUMMYFUNCTION("""COMPUTED_VALUE"""),"")</f>
        <v/>
      </c>
      <c r="K236" s="4" t="str">
        <f>IFERROR(__xludf.DUMMYFUNCTION("""COMPUTED_VALUE"""),"")</f>
        <v/>
      </c>
      <c r="L236" s="4" t="str">
        <f>IFERROR(__xludf.DUMMYFUNCTION("""COMPUTED_VALUE"""),"")</f>
        <v/>
      </c>
      <c r="M236" s="4" t="str">
        <f>IFERROR(__xludf.DUMMYFUNCTION("""COMPUTED_VALUE"""),"")</f>
        <v/>
      </c>
      <c r="N236" s="4" t="str">
        <f>IFERROR(__xludf.DUMMYFUNCTION("""COMPUTED_VALUE"""),"")</f>
        <v/>
      </c>
      <c r="O236" s="4" t="str">
        <f>IFERROR(__xludf.DUMMYFUNCTION("""COMPUTED_VALUE"""),"")</f>
        <v/>
      </c>
      <c r="P236" s="4" t="str">
        <f>IFERROR(__xludf.DUMMYFUNCTION("""COMPUTED_VALUE"""),"")</f>
        <v/>
      </c>
      <c r="Q236" s="4" t="str">
        <f>IFERROR(__xludf.DUMMYFUNCTION("""COMPUTED_VALUE"""),"")</f>
        <v/>
      </c>
      <c r="R236" s="4" t="str">
        <f>IFERROR(__xludf.DUMMYFUNCTION("""COMPUTED_VALUE"""),"")</f>
        <v/>
      </c>
      <c r="S236" s="4" t="str">
        <f>IFERROR(__xludf.DUMMYFUNCTION("""COMPUTED_VALUE"""),"")</f>
        <v/>
      </c>
      <c r="T236" s="4" t="str">
        <f>IFERROR(__xludf.DUMMYFUNCTION("""COMPUTED_VALUE"""),"")</f>
        <v/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>
      <c r="A237" s="4"/>
      <c r="B237" s="4"/>
      <c r="C237" s="4"/>
      <c r="D237" s="4" t="str">
        <f>IFERROR(__xludf.DUMMYFUNCTION("""COMPUTED_VALUE"""),"")</f>
        <v/>
      </c>
      <c r="E237" s="4" t="str">
        <f>IFERROR(__xludf.DUMMYFUNCTION("""COMPUTED_VALUE"""),"")</f>
        <v/>
      </c>
      <c r="F237" s="4" t="str">
        <f>IFERROR(__xludf.DUMMYFUNCTION("""COMPUTED_VALUE"""),"")</f>
        <v/>
      </c>
      <c r="G237" s="4" t="str">
        <f>IFERROR(__xludf.DUMMYFUNCTION("""COMPUTED_VALUE"""),"")</f>
        <v/>
      </c>
      <c r="H237" s="4" t="str">
        <f>IFERROR(__xludf.DUMMYFUNCTION("""COMPUTED_VALUE"""),"")</f>
        <v/>
      </c>
      <c r="I237" s="4" t="str">
        <f>IFERROR(__xludf.DUMMYFUNCTION("""COMPUTED_VALUE"""),"")</f>
        <v/>
      </c>
      <c r="J237" s="4" t="str">
        <f>IFERROR(__xludf.DUMMYFUNCTION("""COMPUTED_VALUE"""),"")</f>
        <v/>
      </c>
      <c r="K237" s="4" t="str">
        <f>IFERROR(__xludf.DUMMYFUNCTION("""COMPUTED_VALUE"""),"")</f>
        <v/>
      </c>
      <c r="L237" s="4" t="str">
        <f>IFERROR(__xludf.DUMMYFUNCTION("""COMPUTED_VALUE"""),"")</f>
        <v/>
      </c>
      <c r="M237" s="4" t="str">
        <f>IFERROR(__xludf.DUMMYFUNCTION("""COMPUTED_VALUE"""),"")</f>
        <v/>
      </c>
      <c r="N237" s="4" t="str">
        <f>IFERROR(__xludf.DUMMYFUNCTION("""COMPUTED_VALUE"""),"")</f>
        <v/>
      </c>
      <c r="O237" s="4" t="str">
        <f>IFERROR(__xludf.DUMMYFUNCTION("""COMPUTED_VALUE"""),"")</f>
        <v/>
      </c>
      <c r="P237" s="4" t="str">
        <f>IFERROR(__xludf.DUMMYFUNCTION("""COMPUTED_VALUE"""),"")</f>
        <v/>
      </c>
      <c r="Q237" s="4" t="str">
        <f>IFERROR(__xludf.DUMMYFUNCTION("""COMPUTED_VALUE"""),"")</f>
        <v/>
      </c>
      <c r="R237" s="4" t="str">
        <f>IFERROR(__xludf.DUMMYFUNCTION("""COMPUTED_VALUE"""),"")</f>
        <v/>
      </c>
      <c r="S237" s="4" t="str">
        <f>IFERROR(__xludf.DUMMYFUNCTION("""COMPUTED_VALUE"""),"")</f>
        <v/>
      </c>
      <c r="T237" s="4" t="str">
        <f>IFERROR(__xludf.DUMMYFUNCTION("""COMPUTED_VALUE"""),"")</f>
        <v/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>
      <c r="A238" s="4"/>
      <c r="B238" s="4"/>
      <c r="C238" s="4"/>
      <c r="D238" s="4" t="str">
        <f>IFERROR(__xludf.DUMMYFUNCTION("""COMPUTED_VALUE"""),"")</f>
        <v/>
      </c>
      <c r="E238" s="4" t="str">
        <f>IFERROR(__xludf.DUMMYFUNCTION("""COMPUTED_VALUE"""),"")</f>
        <v/>
      </c>
      <c r="F238" s="4" t="str">
        <f>IFERROR(__xludf.DUMMYFUNCTION("""COMPUTED_VALUE"""),"")</f>
        <v/>
      </c>
      <c r="G238" s="4" t="str">
        <f>IFERROR(__xludf.DUMMYFUNCTION("""COMPUTED_VALUE"""),"")</f>
        <v/>
      </c>
      <c r="H238" s="4" t="str">
        <f>IFERROR(__xludf.DUMMYFUNCTION("""COMPUTED_VALUE"""),"")</f>
        <v/>
      </c>
      <c r="I238" s="4" t="str">
        <f>IFERROR(__xludf.DUMMYFUNCTION("""COMPUTED_VALUE"""),"")</f>
        <v/>
      </c>
      <c r="J238" s="4" t="str">
        <f>IFERROR(__xludf.DUMMYFUNCTION("""COMPUTED_VALUE"""),"")</f>
        <v/>
      </c>
      <c r="K238" s="4" t="str">
        <f>IFERROR(__xludf.DUMMYFUNCTION("""COMPUTED_VALUE"""),"")</f>
        <v/>
      </c>
      <c r="L238" s="4" t="str">
        <f>IFERROR(__xludf.DUMMYFUNCTION("""COMPUTED_VALUE"""),"")</f>
        <v/>
      </c>
      <c r="M238" s="4" t="str">
        <f>IFERROR(__xludf.DUMMYFUNCTION("""COMPUTED_VALUE"""),"")</f>
        <v/>
      </c>
      <c r="N238" s="4" t="str">
        <f>IFERROR(__xludf.DUMMYFUNCTION("""COMPUTED_VALUE"""),"")</f>
        <v/>
      </c>
      <c r="O238" s="4" t="str">
        <f>IFERROR(__xludf.DUMMYFUNCTION("""COMPUTED_VALUE"""),"")</f>
        <v/>
      </c>
      <c r="P238" s="4" t="str">
        <f>IFERROR(__xludf.DUMMYFUNCTION("""COMPUTED_VALUE"""),"")</f>
        <v/>
      </c>
      <c r="Q238" s="4" t="str">
        <f>IFERROR(__xludf.DUMMYFUNCTION("""COMPUTED_VALUE"""),"")</f>
        <v/>
      </c>
      <c r="R238" s="4" t="str">
        <f>IFERROR(__xludf.DUMMYFUNCTION("""COMPUTED_VALUE"""),"")</f>
        <v/>
      </c>
      <c r="S238" s="4" t="str">
        <f>IFERROR(__xludf.DUMMYFUNCTION("""COMPUTED_VALUE"""),"")</f>
        <v/>
      </c>
      <c r="T238" s="4" t="str">
        <f>IFERROR(__xludf.DUMMYFUNCTION("""COMPUTED_VALUE"""),"")</f>
        <v/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>
      <c r="A239" s="4"/>
      <c r="B239" s="4"/>
      <c r="C239" s="4"/>
      <c r="D239" s="4" t="str">
        <f>IFERROR(__xludf.DUMMYFUNCTION("""COMPUTED_VALUE"""),"")</f>
        <v/>
      </c>
      <c r="E239" s="4" t="str">
        <f>IFERROR(__xludf.DUMMYFUNCTION("""COMPUTED_VALUE"""),"")</f>
        <v/>
      </c>
      <c r="F239" s="4" t="str">
        <f>IFERROR(__xludf.DUMMYFUNCTION("""COMPUTED_VALUE"""),"")</f>
        <v/>
      </c>
      <c r="G239" s="4" t="str">
        <f>IFERROR(__xludf.DUMMYFUNCTION("""COMPUTED_VALUE"""),"")</f>
        <v/>
      </c>
      <c r="H239" s="4" t="str">
        <f>IFERROR(__xludf.DUMMYFUNCTION("""COMPUTED_VALUE"""),"")</f>
        <v/>
      </c>
      <c r="I239" s="4" t="str">
        <f>IFERROR(__xludf.DUMMYFUNCTION("""COMPUTED_VALUE"""),"")</f>
        <v/>
      </c>
      <c r="J239" s="4" t="str">
        <f>IFERROR(__xludf.DUMMYFUNCTION("""COMPUTED_VALUE"""),"")</f>
        <v/>
      </c>
      <c r="K239" s="4" t="str">
        <f>IFERROR(__xludf.DUMMYFUNCTION("""COMPUTED_VALUE"""),"")</f>
        <v/>
      </c>
      <c r="L239" s="4" t="str">
        <f>IFERROR(__xludf.DUMMYFUNCTION("""COMPUTED_VALUE"""),"")</f>
        <v/>
      </c>
      <c r="M239" s="4" t="str">
        <f>IFERROR(__xludf.DUMMYFUNCTION("""COMPUTED_VALUE"""),"")</f>
        <v/>
      </c>
      <c r="N239" s="4" t="str">
        <f>IFERROR(__xludf.DUMMYFUNCTION("""COMPUTED_VALUE"""),"")</f>
        <v/>
      </c>
      <c r="O239" s="4" t="str">
        <f>IFERROR(__xludf.DUMMYFUNCTION("""COMPUTED_VALUE"""),"")</f>
        <v/>
      </c>
      <c r="P239" s="4" t="str">
        <f>IFERROR(__xludf.DUMMYFUNCTION("""COMPUTED_VALUE"""),"")</f>
        <v/>
      </c>
      <c r="Q239" s="4" t="str">
        <f>IFERROR(__xludf.DUMMYFUNCTION("""COMPUTED_VALUE"""),"")</f>
        <v/>
      </c>
      <c r="R239" s="4" t="str">
        <f>IFERROR(__xludf.DUMMYFUNCTION("""COMPUTED_VALUE"""),"")</f>
        <v/>
      </c>
      <c r="S239" s="4" t="str">
        <f>IFERROR(__xludf.DUMMYFUNCTION("""COMPUTED_VALUE"""),"")</f>
        <v/>
      </c>
      <c r="T239" s="4" t="str">
        <f>IFERROR(__xludf.DUMMYFUNCTION("""COMPUTED_VALUE"""),"")</f>
        <v/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>
      <c r="A240" s="4"/>
      <c r="B240" s="4"/>
      <c r="C240" s="4"/>
      <c r="D240" s="4" t="str">
        <f>IFERROR(__xludf.DUMMYFUNCTION("""COMPUTED_VALUE"""),"")</f>
        <v/>
      </c>
      <c r="E240" s="4" t="str">
        <f>IFERROR(__xludf.DUMMYFUNCTION("""COMPUTED_VALUE"""),"")</f>
        <v/>
      </c>
      <c r="F240" s="4" t="str">
        <f>IFERROR(__xludf.DUMMYFUNCTION("""COMPUTED_VALUE"""),"")</f>
        <v/>
      </c>
      <c r="G240" s="4" t="str">
        <f>IFERROR(__xludf.DUMMYFUNCTION("""COMPUTED_VALUE"""),"")</f>
        <v/>
      </c>
      <c r="H240" s="4" t="str">
        <f>IFERROR(__xludf.DUMMYFUNCTION("""COMPUTED_VALUE"""),"")</f>
        <v/>
      </c>
      <c r="I240" s="4" t="str">
        <f>IFERROR(__xludf.DUMMYFUNCTION("""COMPUTED_VALUE"""),"")</f>
        <v/>
      </c>
      <c r="J240" s="4" t="str">
        <f>IFERROR(__xludf.DUMMYFUNCTION("""COMPUTED_VALUE"""),"")</f>
        <v/>
      </c>
      <c r="K240" s="4" t="str">
        <f>IFERROR(__xludf.DUMMYFUNCTION("""COMPUTED_VALUE"""),"")</f>
        <v/>
      </c>
      <c r="L240" s="4" t="str">
        <f>IFERROR(__xludf.DUMMYFUNCTION("""COMPUTED_VALUE"""),"")</f>
        <v/>
      </c>
      <c r="M240" s="4" t="str">
        <f>IFERROR(__xludf.DUMMYFUNCTION("""COMPUTED_VALUE"""),"")</f>
        <v/>
      </c>
      <c r="N240" s="4" t="str">
        <f>IFERROR(__xludf.DUMMYFUNCTION("""COMPUTED_VALUE"""),"")</f>
        <v/>
      </c>
      <c r="O240" s="4" t="str">
        <f>IFERROR(__xludf.DUMMYFUNCTION("""COMPUTED_VALUE"""),"")</f>
        <v/>
      </c>
      <c r="P240" s="4" t="str">
        <f>IFERROR(__xludf.DUMMYFUNCTION("""COMPUTED_VALUE"""),"")</f>
        <v/>
      </c>
      <c r="Q240" s="4" t="str">
        <f>IFERROR(__xludf.DUMMYFUNCTION("""COMPUTED_VALUE"""),"")</f>
        <v/>
      </c>
      <c r="R240" s="4" t="str">
        <f>IFERROR(__xludf.DUMMYFUNCTION("""COMPUTED_VALUE"""),"")</f>
        <v/>
      </c>
      <c r="S240" s="4" t="str">
        <f>IFERROR(__xludf.DUMMYFUNCTION("""COMPUTED_VALUE"""),"")</f>
        <v/>
      </c>
      <c r="T240" s="4" t="str">
        <f>IFERROR(__xludf.DUMMYFUNCTION("""COMPUTED_VALUE"""),"")</f>
        <v/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>
      <c r="A241" s="4"/>
      <c r="B241" s="4"/>
      <c r="C241" s="4"/>
      <c r="D241" s="4" t="str">
        <f>IFERROR(__xludf.DUMMYFUNCTION("""COMPUTED_VALUE"""),"")</f>
        <v/>
      </c>
      <c r="E241" s="4" t="str">
        <f>IFERROR(__xludf.DUMMYFUNCTION("""COMPUTED_VALUE"""),"")</f>
        <v/>
      </c>
      <c r="F241" s="4" t="str">
        <f>IFERROR(__xludf.DUMMYFUNCTION("""COMPUTED_VALUE"""),"")</f>
        <v/>
      </c>
      <c r="G241" s="4" t="str">
        <f>IFERROR(__xludf.DUMMYFUNCTION("""COMPUTED_VALUE"""),"")</f>
        <v/>
      </c>
      <c r="H241" s="4" t="str">
        <f>IFERROR(__xludf.DUMMYFUNCTION("""COMPUTED_VALUE"""),"")</f>
        <v/>
      </c>
      <c r="I241" s="4" t="str">
        <f>IFERROR(__xludf.DUMMYFUNCTION("""COMPUTED_VALUE"""),"")</f>
        <v/>
      </c>
      <c r="J241" s="4" t="str">
        <f>IFERROR(__xludf.DUMMYFUNCTION("""COMPUTED_VALUE"""),"")</f>
        <v/>
      </c>
      <c r="K241" s="4" t="str">
        <f>IFERROR(__xludf.DUMMYFUNCTION("""COMPUTED_VALUE"""),"")</f>
        <v/>
      </c>
      <c r="L241" s="4" t="str">
        <f>IFERROR(__xludf.DUMMYFUNCTION("""COMPUTED_VALUE"""),"")</f>
        <v/>
      </c>
      <c r="M241" s="4" t="str">
        <f>IFERROR(__xludf.DUMMYFUNCTION("""COMPUTED_VALUE"""),"")</f>
        <v/>
      </c>
      <c r="N241" s="4" t="str">
        <f>IFERROR(__xludf.DUMMYFUNCTION("""COMPUTED_VALUE"""),"")</f>
        <v/>
      </c>
      <c r="O241" s="4" t="str">
        <f>IFERROR(__xludf.DUMMYFUNCTION("""COMPUTED_VALUE"""),"")</f>
        <v/>
      </c>
      <c r="P241" s="4" t="str">
        <f>IFERROR(__xludf.DUMMYFUNCTION("""COMPUTED_VALUE"""),"")</f>
        <v/>
      </c>
      <c r="Q241" s="4" t="str">
        <f>IFERROR(__xludf.DUMMYFUNCTION("""COMPUTED_VALUE"""),"")</f>
        <v/>
      </c>
      <c r="R241" s="4" t="str">
        <f>IFERROR(__xludf.DUMMYFUNCTION("""COMPUTED_VALUE"""),"")</f>
        <v/>
      </c>
      <c r="S241" s="4" t="str">
        <f>IFERROR(__xludf.DUMMYFUNCTION("""COMPUTED_VALUE"""),"")</f>
        <v/>
      </c>
      <c r="T241" s="4" t="str">
        <f>IFERROR(__xludf.DUMMYFUNCTION("""COMPUTED_VALUE"""),"")</f>
        <v/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>
      <c r="A242" s="4"/>
      <c r="B242" s="4"/>
      <c r="C242" s="4"/>
      <c r="D242" s="4" t="str">
        <f>IFERROR(__xludf.DUMMYFUNCTION("""COMPUTED_VALUE"""),"")</f>
        <v/>
      </c>
      <c r="E242" s="4" t="str">
        <f>IFERROR(__xludf.DUMMYFUNCTION("""COMPUTED_VALUE"""),"")</f>
        <v/>
      </c>
      <c r="F242" s="4" t="str">
        <f>IFERROR(__xludf.DUMMYFUNCTION("""COMPUTED_VALUE"""),"")</f>
        <v/>
      </c>
      <c r="G242" s="4" t="str">
        <f>IFERROR(__xludf.DUMMYFUNCTION("""COMPUTED_VALUE"""),"")</f>
        <v/>
      </c>
      <c r="H242" s="4" t="str">
        <f>IFERROR(__xludf.DUMMYFUNCTION("""COMPUTED_VALUE"""),"")</f>
        <v/>
      </c>
      <c r="I242" s="4" t="str">
        <f>IFERROR(__xludf.DUMMYFUNCTION("""COMPUTED_VALUE"""),"")</f>
        <v/>
      </c>
      <c r="J242" s="4" t="str">
        <f>IFERROR(__xludf.DUMMYFUNCTION("""COMPUTED_VALUE"""),"")</f>
        <v/>
      </c>
      <c r="K242" s="4" t="str">
        <f>IFERROR(__xludf.DUMMYFUNCTION("""COMPUTED_VALUE"""),"")</f>
        <v/>
      </c>
      <c r="L242" s="4" t="str">
        <f>IFERROR(__xludf.DUMMYFUNCTION("""COMPUTED_VALUE"""),"")</f>
        <v/>
      </c>
      <c r="M242" s="4" t="str">
        <f>IFERROR(__xludf.DUMMYFUNCTION("""COMPUTED_VALUE"""),"")</f>
        <v/>
      </c>
      <c r="N242" s="4" t="str">
        <f>IFERROR(__xludf.DUMMYFUNCTION("""COMPUTED_VALUE"""),"")</f>
        <v/>
      </c>
      <c r="O242" s="4" t="str">
        <f>IFERROR(__xludf.DUMMYFUNCTION("""COMPUTED_VALUE"""),"")</f>
        <v/>
      </c>
      <c r="P242" s="4" t="str">
        <f>IFERROR(__xludf.DUMMYFUNCTION("""COMPUTED_VALUE"""),"")</f>
        <v/>
      </c>
      <c r="Q242" s="4" t="str">
        <f>IFERROR(__xludf.DUMMYFUNCTION("""COMPUTED_VALUE"""),"")</f>
        <v/>
      </c>
      <c r="R242" s="4" t="str">
        <f>IFERROR(__xludf.DUMMYFUNCTION("""COMPUTED_VALUE"""),"")</f>
        <v/>
      </c>
      <c r="S242" s="4" t="str">
        <f>IFERROR(__xludf.DUMMYFUNCTION("""COMPUTED_VALUE"""),"")</f>
        <v/>
      </c>
      <c r="T242" s="4" t="str">
        <f>IFERROR(__xludf.DUMMYFUNCTION("""COMPUTED_VALUE"""),"")</f>
        <v/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>
      <c r="A243" s="4"/>
      <c r="B243" s="4"/>
      <c r="C243" s="4"/>
      <c r="D243" s="4" t="str">
        <f>IFERROR(__xludf.DUMMYFUNCTION("""COMPUTED_VALUE"""),"")</f>
        <v/>
      </c>
      <c r="E243" s="4" t="str">
        <f>IFERROR(__xludf.DUMMYFUNCTION("""COMPUTED_VALUE"""),"")</f>
        <v/>
      </c>
      <c r="F243" s="4" t="str">
        <f>IFERROR(__xludf.DUMMYFUNCTION("""COMPUTED_VALUE"""),"")</f>
        <v/>
      </c>
      <c r="G243" s="4" t="str">
        <f>IFERROR(__xludf.DUMMYFUNCTION("""COMPUTED_VALUE"""),"")</f>
        <v/>
      </c>
      <c r="H243" s="4" t="str">
        <f>IFERROR(__xludf.DUMMYFUNCTION("""COMPUTED_VALUE"""),"")</f>
        <v/>
      </c>
      <c r="I243" s="4" t="str">
        <f>IFERROR(__xludf.DUMMYFUNCTION("""COMPUTED_VALUE"""),"")</f>
        <v/>
      </c>
      <c r="J243" s="4" t="str">
        <f>IFERROR(__xludf.DUMMYFUNCTION("""COMPUTED_VALUE"""),"")</f>
        <v/>
      </c>
      <c r="K243" s="4" t="str">
        <f>IFERROR(__xludf.DUMMYFUNCTION("""COMPUTED_VALUE"""),"")</f>
        <v/>
      </c>
      <c r="L243" s="4" t="str">
        <f>IFERROR(__xludf.DUMMYFUNCTION("""COMPUTED_VALUE"""),"")</f>
        <v/>
      </c>
      <c r="M243" s="4" t="str">
        <f>IFERROR(__xludf.DUMMYFUNCTION("""COMPUTED_VALUE"""),"")</f>
        <v/>
      </c>
      <c r="N243" s="4" t="str">
        <f>IFERROR(__xludf.DUMMYFUNCTION("""COMPUTED_VALUE"""),"")</f>
        <v/>
      </c>
      <c r="O243" s="4" t="str">
        <f>IFERROR(__xludf.DUMMYFUNCTION("""COMPUTED_VALUE"""),"")</f>
        <v/>
      </c>
      <c r="P243" s="4" t="str">
        <f>IFERROR(__xludf.DUMMYFUNCTION("""COMPUTED_VALUE"""),"")</f>
        <v/>
      </c>
      <c r="Q243" s="4" t="str">
        <f>IFERROR(__xludf.DUMMYFUNCTION("""COMPUTED_VALUE"""),"")</f>
        <v/>
      </c>
      <c r="R243" s="4" t="str">
        <f>IFERROR(__xludf.DUMMYFUNCTION("""COMPUTED_VALUE"""),"")</f>
        <v/>
      </c>
      <c r="S243" s="4" t="str">
        <f>IFERROR(__xludf.DUMMYFUNCTION("""COMPUTED_VALUE"""),"")</f>
        <v/>
      </c>
      <c r="T243" s="4" t="str">
        <f>IFERROR(__xludf.DUMMYFUNCTION("""COMPUTED_VALUE"""),"")</f>
        <v/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>
      <c r="A244" s="4"/>
      <c r="B244" s="4"/>
      <c r="C244" s="4"/>
      <c r="D244" s="4" t="str">
        <f>IFERROR(__xludf.DUMMYFUNCTION("""COMPUTED_VALUE"""),"")</f>
        <v/>
      </c>
      <c r="E244" s="4" t="str">
        <f>IFERROR(__xludf.DUMMYFUNCTION("""COMPUTED_VALUE"""),"")</f>
        <v/>
      </c>
      <c r="F244" s="4" t="str">
        <f>IFERROR(__xludf.DUMMYFUNCTION("""COMPUTED_VALUE"""),"")</f>
        <v/>
      </c>
      <c r="G244" s="4" t="str">
        <f>IFERROR(__xludf.DUMMYFUNCTION("""COMPUTED_VALUE"""),"")</f>
        <v/>
      </c>
      <c r="H244" s="4" t="str">
        <f>IFERROR(__xludf.DUMMYFUNCTION("""COMPUTED_VALUE"""),"")</f>
        <v/>
      </c>
      <c r="I244" s="4" t="str">
        <f>IFERROR(__xludf.DUMMYFUNCTION("""COMPUTED_VALUE"""),"")</f>
        <v/>
      </c>
      <c r="J244" s="4" t="str">
        <f>IFERROR(__xludf.DUMMYFUNCTION("""COMPUTED_VALUE"""),"")</f>
        <v/>
      </c>
      <c r="K244" s="4" t="str">
        <f>IFERROR(__xludf.DUMMYFUNCTION("""COMPUTED_VALUE"""),"")</f>
        <v/>
      </c>
      <c r="L244" s="4" t="str">
        <f>IFERROR(__xludf.DUMMYFUNCTION("""COMPUTED_VALUE"""),"")</f>
        <v/>
      </c>
      <c r="M244" s="4" t="str">
        <f>IFERROR(__xludf.DUMMYFUNCTION("""COMPUTED_VALUE"""),"")</f>
        <v/>
      </c>
      <c r="N244" s="4" t="str">
        <f>IFERROR(__xludf.DUMMYFUNCTION("""COMPUTED_VALUE"""),"")</f>
        <v/>
      </c>
      <c r="O244" s="4" t="str">
        <f>IFERROR(__xludf.DUMMYFUNCTION("""COMPUTED_VALUE"""),"")</f>
        <v/>
      </c>
      <c r="P244" s="4" t="str">
        <f>IFERROR(__xludf.DUMMYFUNCTION("""COMPUTED_VALUE"""),"")</f>
        <v/>
      </c>
      <c r="Q244" s="4" t="str">
        <f>IFERROR(__xludf.DUMMYFUNCTION("""COMPUTED_VALUE"""),"")</f>
        <v/>
      </c>
      <c r="R244" s="4" t="str">
        <f>IFERROR(__xludf.DUMMYFUNCTION("""COMPUTED_VALUE"""),"")</f>
        <v/>
      </c>
      <c r="S244" s="4" t="str">
        <f>IFERROR(__xludf.DUMMYFUNCTION("""COMPUTED_VALUE"""),"")</f>
        <v/>
      </c>
      <c r="T244" s="4" t="str">
        <f>IFERROR(__xludf.DUMMYFUNCTION("""COMPUTED_VALUE"""),"")</f>
        <v/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>
      <c r="A245" s="4"/>
      <c r="B245" s="4"/>
      <c r="C245" s="4"/>
      <c r="D245" s="4" t="str">
        <f>IFERROR(__xludf.DUMMYFUNCTION("""COMPUTED_VALUE"""),"")</f>
        <v/>
      </c>
      <c r="E245" s="4" t="str">
        <f>IFERROR(__xludf.DUMMYFUNCTION("""COMPUTED_VALUE"""),"")</f>
        <v/>
      </c>
      <c r="F245" s="4" t="str">
        <f>IFERROR(__xludf.DUMMYFUNCTION("""COMPUTED_VALUE"""),"")</f>
        <v/>
      </c>
      <c r="G245" s="4" t="str">
        <f>IFERROR(__xludf.DUMMYFUNCTION("""COMPUTED_VALUE"""),"")</f>
        <v/>
      </c>
      <c r="H245" s="4" t="str">
        <f>IFERROR(__xludf.DUMMYFUNCTION("""COMPUTED_VALUE"""),"")</f>
        <v/>
      </c>
      <c r="I245" s="4" t="str">
        <f>IFERROR(__xludf.DUMMYFUNCTION("""COMPUTED_VALUE"""),"")</f>
        <v/>
      </c>
      <c r="J245" s="4" t="str">
        <f>IFERROR(__xludf.DUMMYFUNCTION("""COMPUTED_VALUE"""),"")</f>
        <v/>
      </c>
      <c r="K245" s="4" t="str">
        <f>IFERROR(__xludf.DUMMYFUNCTION("""COMPUTED_VALUE"""),"")</f>
        <v/>
      </c>
      <c r="L245" s="4" t="str">
        <f>IFERROR(__xludf.DUMMYFUNCTION("""COMPUTED_VALUE"""),"")</f>
        <v/>
      </c>
      <c r="M245" s="4" t="str">
        <f>IFERROR(__xludf.DUMMYFUNCTION("""COMPUTED_VALUE"""),"")</f>
        <v/>
      </c>
      <c r="N245" s="4" t="str">
        <f>IFERROR(__xludf.DUMMYFUNCTION("""COMPUTED_VALUE"""),"")</f>
        <v/>
      </c>
      <c r="O245" s="4" t="str">
        <f>IFERROR(__xludf.DUMMYFUNCTION("""COMPUTED_VALUE"""),"")</f>
        <v/>
      </c>
      <c r="P245" s="4" t="str">
        <f>IFERROR(__xludf.DUMMYFUNCTION("""COMPUTED_VALUE"""),"")</f>
        <v/>
      </c>
      <c r="Q245" s="4" t="str">
        <f>IFERROR(__xludf.DUMMYFUNCTION("""COMPUTED_VALUE"""),"")</f>
        <v/>
      </c>
      <c r="R245" s="4" t="str">
        <f>IFERROR(__xludf.DUMMYFUNCTION("""COMPUTED_VALUE"""),"")</f>
        <v/>
      </c>
      <c r="S245" s="4" t="str">
        <f>IFERROR(__xludf.DUMMYFUNCTION("""COMPUTED_VALUE"""),"")</f>
        <v/>
      </c>
      <c r="T245" s="4" t="str">
        <f>IFERROR(__xludf.DUMMYFUNCTION("""COMPUTED_VALUE"""),"")</f>
        <v/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>
      <c r="A246" s="4"/>
      <c r="B246" s="4"/>
      <c r="C246" s="4"/>
      <c r="D246" s="4" t="str">
        <f>IFERROR(__xludf.DUMMYFUNCTION("""COMPUTED_VALUE"""),"")</f>
        <v/>
      </c>
      <c r="E246" s="4" t="str">
        <f>IFERROR(__xludf.DUMMYFUNCTION("""COMPUTED_VALUE"""),"")</f>
        <v/>
      </c>
      <c r="F246" s="4" t="str">
        <f>IFERROR(__xludf.DUMMYFUNCTION("""COMPUTED_VALUE"""),"")</f>
        <v/>
      </c>
      <c r="G246" s="4" t="str">
        <f>IFERROR(__xludf.DUMMYFUNCTION("""COMPUTED_VALUE"""),"")</f>
        <v/>
      </c>
      <c r="H246" s="4" t="str">
        <f>IFERROR(__xludf.DUMMYFUNCTION("""COMPUTED_VALUE"""),"")</f>
        <v/>
      </c>
      <c r="I246" s="4" t="str">
        <f>IFERROR(__xludf.DUMMYFUNCTION("""COMPUTED_VALUE"""),"")</f>
        <v/>
      </c>
      <c r="J246" s="4" t="str">
        <f>IFERROR(__xludf.DUMMYFUNCTION("""COMPUTED_VALUE"""),"")</f>
        <v/>
      </c>
      <c r="K246" s="4" t="str">
        <f>IFERROR(__xludf.DUMMYFUNCTION("""COMPUTED_VALUE"""),"")</f>
        <v/>
      </c>
      <c r="L246" s="4" t="str">
        <f>IFERROR(__xludf.DUMMYFUNCTION("""COMPUTED_VALUE"""),"")</f>
        <v/>
      </c>
      <c r="M246" s="4" t="str">
        <f>IFERROR(__xludf.DUMMYFUNCTION("""COMPUTED_VALUE"""),"")</f>
        <v/>
      </c>
      <c r="N246" s="4" t="str">
        <f>IFERROR(__xludf.DUMMYFUNCTION("""COMPUTED_VALUE"""),"")</f>
        <v/>
      </c>
      <c r="O246" s="4" t="str">
        <f>IFERROR(__xludf.DUMMYFUNCTION("""COMPUTED_VALUE"""),"")</f>
        <v/>
      </c>
      <c r="P246" s="4" t="str">
        <f>IFERROR(__xludf.DUMMYFUNCTION("""COMPUTED_VALUE"""),"")</f>
        <v/>
      </c>
      <c r="Q246" s="4" t="str">
        <f>IFERROR(__xludf.DUMMYFUNCTION("""COMPUTED_VALUE"""),"")</f>
        <v/>
      </c>
      <c r="R246" s="4" t="str">
        <f>IFERROR(__xludf.DUMMYFUNCTION("""COMPUTED_VALUE"""),"")</f>
        <v/>
      </c>
      <c r="S246" s="4" t="str">
        <f>IFERROR(__xludf.DUMMYFUNCTION("""COMPUTED_VALUE"""),"")</f>
        <v/>
      </c>
      <c r="T246" s="4" t="str">
        <f>IFERROR(__xludf.DUMMYFUNCTION("""COMPUTED_VALUE"""),"")</f>
        <v/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>
      <c r="A247" s="4"/>
      <c r="B247" s="4"/>
      <c r="C247" s="4"/>
      <c r="D247" s="4" t="str">
        <f>IFERROR(__xludf.DUMMYFUNCTION("""COMPUTED_VALUE"""),"")</f>
        <v/>
      </c>
      <c r="E247" s="4" t="str">
        <f>IFERROR(__xludf.DUMMYFUNCTION("""COMPUTED_VALUE"""),"")</f>
        <v/>
      </c>
      <c r="F247" s="4" t="str">
        <f>IFERROR(__xludf.DUMMYFUNCTION("""COMPUTED_VALUE"""),"")</f>
        <v/>
      </c>
      <c r="G247" s="4" t="str">
        <f>IFERROR(__xludf.DUMMYFUNCTION("""COMPUTED_VALUE"""),"")</f>
        <v/>
      </c>
      <c r="H247" s="4" t="str">
        <f>IFERROR(__xludf.DUMMYFUNCTION("""COMPUTED_VALUE"""),"")</f>
        <v/>
      </c>
      <c r="I247" s="4" t="str">
        <f>IFERROR(__xludf.DUMMYFUNCTION("""COMPUTED_VALUE"""),"")</f>
        <v/>
      </c>
      <c r="J247" s="4" t="str">
        <f>IFERROR(__xludf.DUMMYFUNCTION("""COMPUTED_VALUE"""),"")</f>
        <v/>
      </c>
      <c r="K247" s="4" t="str">
        <f>IFERROR(__xludf.DUMMYFUNCTION("""COMPUTED_VALUE"""),"")</f>
        <v/>
      </c>
      <c r="L247" s="4" t="str">
        <f>IFERROR(__xludf.DUMMYFUNCTION("""COMPUTED_VALUE"""),"")</f>
        <v/>
      </c>
      <c r="M247" s="4" t="str">
        <f>IFERROR(__xludf.DUMMYFUNCTION("""COMPUTED_VALUE"""),"")</f>
        <v/>
      </c>
      <c r="N247" s="4" t="str">
        <f>IFERROR(__xludf.DUMMYFUNCTION("""COMPUTED_VALUE"""),"")</f>
        <v/>
      </c>
      <c r="O247" s="4" t="str">
        <f>IFERROR(__xludf.DUMMYFUNCTION("""COMPUTED_VALUE"""),"")</f>
        <v/>
      </c>
      <c r="P247" s="4" t="str">
        <f>IFERROR(__xludf.DUMMYFUNCTION("""COMPUTED_VALUE"""),"")</f>
        <v/>
      </c>
      <c r="Q247" s="4" t="str">
        <f>IFERROR(__xludf.DUMMYFUNCTION("""COMPUTED_VALUE"""),"")</f>
        <v/>
      </c>
      <c r="R247" s="4" t="str">
        <f>IFERROR(__xludf.DUMMYFUNCTION("""COMPUTED_VALUE"""),"")</f>
        <v/>
      </c>
      <c r="S247" s="4" t="str">
        <f>IFERROR(__xludf.DUMMYFUNCTION("""COMPUTED_VALUE"""),"")</f>
        <v/>
      </c>
      <c r="T247" s="4" t="str">
        <f>IFERROR(__xludf.DUMMYFUNCTION("""COMPUTED_VALUE"""),"")</f>
        <v/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>
      <c r="A248" s="4"/>
      <c r="B248" s="4"/>
      <c r="C248" s="4"/>
      <c r="D248" s="4" t="str">
        <f>IFERROR(__xludf.DUMMYFUNCTION("""COMPUTED_VALUE"""),"")</f>
        <v/>
      </c>
      <c r="E248" s="4" t="str">
        <f>IFERROR(__xludf.DUMMYFUNCTION("""COMPUTED_VALUE"""),"")</f>
        <v/>
      </c>
      <c r="F248" s="4" t="str">
        <f>IFERROR(__xludf.DUMMYFUNCTION("""COMPUTED_VALUE"""),"")</f>
        <v/>
      </c>
      <c r="G248" s="4" t="str">
        <f>IFERROR(__xludf.DUMMYFUNCTION("""COMPUTED_VALUE"""),"")</f>
        <v/>
      </c>
      <c r="H248" s="4" t="str">
        <f>IFERROR(__xludf.DUMMYFUNCTION("""COMPUTED_VALUE"""),"")</f>
        <v/>
      </c>
      <c r="I248" s="4" t="str">
        <f>IFERROR(__xludf.DUMMYFUNCTION("""COMPUTED_VALUE"""),"")</f>
        <v/>
      </c>
      <c r="J248" s="4" t="str">
        <f>IFERROR(__xludf.DUMMYFUNCTION("""COMPUTED_VALUE"""),"")</f>
        <v/>
      </c>
      <c r="K248" s="4" t="str">
        <f>IFERROR(__xludf.DUMMYFUNCTION("""COMPUTED_VALUE"""),"")</f>
        <v/>
      </c>
      <c r="L248" s="4" t="str">
        <f>IFERROR(__xludf.DUMMYFUNCTION("""COMPUTED_VALUE"""),"")</f>
        <v/>
      </c>
      <c r="M248" s="4" t="str">
        <f>IFERROR(__xludf.DUMMYFUNCTION("""COMPUTED_VALUE"""),"")</f>
        <v/>
      </c>
      <c r="N248" s="4" t="str">
        <f>IFERROR(__xludf.DUMMYFUNCTION("""COMPUTED_VALUE"""),"")</f>
        <v/>
      </c>
      <c r="O248" s="4" t="str">
        <f>IFERROR(__xludf.DUMMYFUNCTION("""COMPUTED_VALUE"""),"")</f>
        <v/>
      </c>
      <c r="P248" s="4" t="str">
        <f>IFERROR(__xludf.DUMMYFUNCTION("""COMPUTED_VALUE"""),"")</f>
        <v/>
      </c>
      <c r="Q248" s="4" t="str">
        <f>IFERROR(__xludf.DUMMYFUNCTION("""COMPUTED_VALUE"""),"")</f>
        <v/>
      </c>
      <c r="R248" s="4" t="str">
        <f>IFERROR(__xludf.DUMMYFUNCTION("""COMPUTED_VALUE"""),"")</f>
        <v/>
      </c>
      <c r="S248" s="4" t="str">
        <f>IFERROR(__xludf.DUMMYFUNCTION("""COMPUTED_VALUE"""),"")</f>
        <v/>
      </c>
      <c r="T248" s="4" t="str">
        <f>IFERROR(__xludf.DUMMYFUNCTION("""COMPUTED_VALUE"""),"")</f>
        <v/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>
      <c r="A249" s="4"/>
      <c r="B249" s="4"/>
      <c r="C249" s="4"/>
      <c r="D249" s="4" t="str">
        <f>IFERROR(__xludf.DUMMYFUNCTION("""COMPUTED_VALUE"""),"")</f>
        <v/>
      </c>
      <c r="E249" s="4" t="str">
        <f>IFERROR(__xludf.DUMMYFUNCTION("""COMPUTED_VALUE"""),"")</f>
        <v/>
      </c>
      <c r="F249" s="4" t="str">
        <f>IFERROR(__xludf.DUMMYFUNCTION("""COMPUTED_VALUE"""),"")</f>
        <v/>
      </c>
      <c r="G249" s="4" t="str">
        <f>IFERROR(__xludf.DUMMYFUNCTION("""COMPUTED_VALUE"""),"")</f>
        <v/>
      </c>
      <c r="H249" s="4" t="str">
        <f>IFERROR(__xludf.DUMMYFUNCTION("""COMPUTED_VALUE"""),"")</f>
        <v/>
      </c>
      <c r="I249" s="4" t="str">
        <f>IFERROR(__xludf.DUMMYFUNCTION("""COMPUTED_VALUE"""),"")</f>
        <v/>
      </c>
      <c r="J249" s="4" t="str">
        <f>IFERROR(__xludf.DUMMYFUNCTION("""COMPUTED_VALUE"""),"")</f>
        <v/>
      </c>
      <c r="K249" s="4" t="str">
        <f>IFERROR(__xludf.DUMMYFUNCTION("""COMPUTED_VALUE"""),"")</f>
        <v/>
      </c>
      <c r="L249" s="4" t="str">
        <f>IFERROR(__xludf.DUMMYFUNCTION("""COMPUTED_VALUE"""),"")</f>
        <v/>
      </c>
      <c r="M249" s="4" t="str">
        <f>IFERROR(__xludf.DUMMYFUNCTION("""COMPUTED_VALUE"""),"")</f>
        <v/>
      </c>
      <c r="N249" s="4" t="str">
        <f>IFERROR(__xludf.DUMMYFUNCTION("""COMPUTED_VALUE"""),"")</f>
        <v/>
      </c>
      <c r="O249" s="4" t="str">
        <f>IFERROR(__xludf.DUMMYFUNCTION("""COMPUTED_VALUE"""),"")</f>
        <v/>
      </c>
      <c r="P249" s="4" t="str">
        <f>IFERROR(__xludf.DUMMYFUNCTION("""COMPUTED_VALUE"""),"")</f>
        <v/>
      </c>
      <c r="Q249" s="4" t="str">
        <f>IFERROR(__xludf.DUMMYFUNCTION("""COMPUTED_VALUE"""),"")</f>
        <v/>
      </c>
      <c r="R249" s="4" t="str">
        <f>IFERROR(__xludf.DUMMYFUNCTION("""COMPUTED_VALUE"""),"")</f>
        <v/>
      </c>
      <c r="S249" s="4" t="str">
        <f>IFERROR(__xludf.DUMMYFUNCTION("""COMPUTED_VALUE"""),"")</f>
        <v/>
      </c>
      <c r="T249" s="4" t="str">
        <f>IFERROR(__xludf.DUMMYFUNCTION("""COMPUTED_VALUE"""),"")</f>
        <v/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>
      <c r="A250" s="4"/>
      <c r="B250" s="4"/>
      <c r="C250" s="4"/>
      <c r="D250" s="4" t="str">
        <f>IFERROR(__xludf.DUMMYFUNCTION("""COMPUTED_VALUE"""),"")</f>
        <v/>
      </c>
      <c r="E250" s="4" t="str">
        <f>IFERROR(__xludf.DUMMYFUNCTION("""COMPUTED_VALUE"""),"")</f>
        <v/>
      </c>
      <c r="F250" s="4" t="str">
        <f>IFERROR(__xludf.DUMMYFUNCTION("""COMPUTED_VALUE"""),"")</f>
        <v/>
      </c>
      <c r="G250" s="4" t="str">
        <f>IFERROR(__xludf.DUMMYFUNCTION("""COMPUTED_VALUE"""),"")</f>
        <v/>
      </c>
      <c r="H250" s="4" t="str">
        <f>IFERROR(__xludf.DUMMYFUNCTION("""COMPUTED_VALUE"""),"")</f>
        <v/>
      </c>
      <c r="I250" s="4" t="str">
        <f>IFERROR(__xludf.DUMMYFUNCTION("""COMPUTED_VALUE"""),"")</f>
        <v/>
      </c>
      <c r="J250" s="4" t="str">
        <f>IFERROR(__xludf.DUMMYFUNCTION("""COMPUTED_VALUE"""),"")</f>
        <v/>
      </c>
      <c r="K250" s="4" t="str">
        <f>IFERROR(__xludf.DUMMYFUNCTION("""COMPUTED_VALUE"""),"")</f>
        <v/>
      </c>
      <c r="L250" s="4" t="str">
        <f>IFERROR(__xludf.DUMMYFUNCTION("""COMPUTED_VALUE"""),"")</f>
        <v/>
      </c>
      <c r="M250" s="4" t="str">
        <f>IFERROR(__xludf.DUMMYFUNCTION("""COMPUTED_VALUE"""),"")</f>
        <v/>
      </c>
      <c r="N250" s="4" t="str">
        <f>IFERROR(__xludf.DUMMYFUNCTION("""COMPUTED_VALUE"""),"")</f>
        <v/>
      </c>
      <c r="O250" s="4" t="str">
        <f>IFERROR(__xludf.DUMMYFUNCTION("""COMPUTED_VALUE"""),"")</f>
        <v/>
      </c>
      <c r="P250" s="4" t="str">
        <f>IFERROR(__xludf.DUMMYFUNCTION("""COMPUTED_VALUE"""),"")</f>
        <v/>
      </c>
      <c r="Q250" s="4" t="str">
        <f>IFERROR(__xludf.DUMMYFUNCTION("""COMPUTED_VALUE"""),"")</f>
        <v/>
      </c>
      <c r="R250" s="4" t="str">
        <f>IFERROR(__xludf.DUMMYFUNCTION("""COMPUTED_VALUE"""),"")</f>
        <v/>
      </c>
      <c r="S250" s="4" t="str">
        <f>IFERROR(__xludf.DUMMYFUNCTION("""COMPUTED_VALUE"""),"")</f>
        <v/>
      </c>
      <c r="T250" s="4" t="str">
        <f>IFERROR(__xludf.DUMMYFUNCTION("""COMPUTED_VALUE"""),"")</f>
        <v/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>
      <c r="A251" s="4"/>
      <c r="B251" s="4"/>
      <c r="C251" s="4"/>
      <c r="D251" s="4" t="str">
        <f>IFERROR(__xludf.DUMMYFUNCTION("""COMPUTED_VALUE"""),"")</f>
        <v/>
      </c>
      <c r="E251" s="4" t="str">
        <f>IFERROR(__xludf.DUMMYFUNCTION("""COMPUTED_VALUE"""),"")</f>
        <v/>
      </c>
      <c r="F251" s="4" t="str">
        <f>IFERROR(__xludf.DUMMYFUNCTION("""COMPUTED_VALUE"""),"")</f>
        <v/>
      </c>
      <c r="G251" s="4" t="str">
        <f>IFERROR(__xludf.DUMMYFUNCTION("""COMPUTED_VALUE"""),"")</f>
        <v/>
      </c>
      <c r="H251" s="4" t="str">
        <f>IFERROR(__xludf.DUMMYFUNCTION("""COMPUTED_VALUE"""),"")</f>
        <v/>
      </c>
      <c r="I251" s="4" t="str">
        <f>IFERROR(__xludf.DUMMYFUNCTION("""COMPUTED_VALUE"""),"")</f>
        <v/>
      </c>
      <c r="J251" s="4" t="str">
        <f>IFERROR(__xludf.DUMMYFUNCTION("""COMPUTED_VALUE"""),"")</f>
        <v/>
      </c>
      <c r="K251" s="4" t="str">
        <f>IFERROR(__xludf.DUMMYFUNCTION("""COMPUTED_VALUE"""),"")</f>
        <v/>
      </c>
      <c r="L251" s="4" t="str">
        <f>IFERROR(__xludf.DUMMYFUNCTION("""COMPUTED_VALUE"""),"")</f>
        <v/>
      </c>
      <c r="M251" s="4" t="str">
        <f>IFERROR(__xludf.DUMMYFUNCTION("""COMPUTED_VALUE"""),"")</f>
        <v/>
      </c>
      <c r="N251" s="4" t="str">
        <f>IFERROR(__xludf.DUMMYFUNCTION("""COMPUTED_VALUE"""),"")</f>
        <v/>
      </c>
      <c r="O251" s="4" t="str">
        <f>IFERROR(__xludf.DUMMYFUNCTION("""COMPUTED_VALUE"""),"")</f>
        <v/>
      </c>
      <c r="P251" s="4" t="str">
        <f>IFERROR(__xludf.DUMMYFUNCTION("""COMPUTED_VALUE"""),"")</f>
        <v/>
      </c>
      <c r="Q251" s="4" t="str">
        <f>IFERROR(__xludf.DUMMYFUNCTION("""COMPUTED_VALUE"""),"")</f>
        <v/>
      </c>
      <c r="R251" s="4" t="str">
        <f>IFERROR(__xludf.DUMMYFUNCTION("""COMPUTED_VALUE"""),"")</f>
        <v/>
      </c>
      <c r="S251" s="4" t="str">
        <f>IFERROR(__xludf.DUMMYFUNCTION("""COMPUTED_VALUE"""),"")</f>
        <v/>
      </c>
      <c r="T251" s="4" t="str">
        <f>IFERROR(__xludf.DUMMYFUNCTION("""COMPUTED_VALUE"""),"")</f>
        <v/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>
      <c r="A252" s="4"/>
      <c r="B252" s="4"/>
      <c r="C252" s="4"/>
      <c r="D252" s="4" t="str">
        <f>IFERROR(__xludf.DUMMYFUNCTION("""COMPUTED_VALUE"""),"")</f>
        <v/>
      </c>
      <c r="E252" s="4" t="str">
        <f>IFERROR(__xludf.DUMMYFUNCTION("""COMPUTED_VALUE"""),"")</f>
        <v/>
      </c>
      <c r="F252" s="4" t="str">
        <f>IFERROR(__xludf.DUMMYFUNCTION("""COMPUTED_VALUE"""),"")</f>
        <v/>
      </c>
      <c r="G252" s="4" t="str">
        <f>IFERROR(__xludf.DUMMYFUNCTION("""COMPUTED_VALUE"""),"")</f>
        <v/>
      </c>
      <c r="H252" s="4" t="str">
        <f>IFERROR(__xludf.DUMMYFUNCTION("""COMPUTED_VALUE"""),"")</f>
        <v/>
      </c>
      <c r="I252" s="4" t="str">
        <f>IFERROR(__xludf.DUMMYFUNCTION("""COMPUTED_VALUE"""),"")</f>
        <v/>
      </c>
      <c r="J252" s="4" t="str">
        <f>IFERROR(__xludf.DUMMYFUNCTION("""COMPUTED_VALUE"""),"")</f>
        <v/>
      </c>
      <c r="K252" s="4" t="str">
        <f>IFERROR(__xludf.DUMMYFUNCTION("""COMPUTED_VALUE"""),"")</f>
        <v/>
      </c>
      <c r="L252" s="4" t="str">
        <f>IFERROR(__xludf.DUMMYFUNCTION("""COMPUTED_VALUE"""),"")</f>
        <v/>
      </c>
      <c r="M252" s="4" t="str">
        <f>IFERROR(__xludf.DUMMYFUNCTION("""COMPUTED_VALUE"""),"")</f>
        <v/>
      </c>
      <c r="N252" s="4" t="str">
        <f>IFERROR(__xludf.DUMMYFUNCTION("""COMPUTED_VALUE"""),"")</f>
        <v/>
      </c>
      <c r="O252" s="4" t="str">
        <f>IFERROR(__xludf.DUMMYFUNCTION("""COMPUTED_VALUE"""),"")</f>
        <v/>
      </c>
      <c r="P252" s="4" t="str">
        <f>IFERROR(__xludf.DUMMYFUNCTION("""COMPUTED_VALUE"""),"")</f>
        <v/>
      </c>
      <c r="Q252" s="4" t="str">
        <f>IFERROR(__xludf.DUMMYFUNCTION("""COMPUTED_VALUE"""),"")</f>
        <v/>
      </c>
      <c r="R252" s="4" t="str">
        <f>IFERROR(__xludf.DUMMYFUNCTION("""COMPUTED_VALUE"""),"")</f>
        <v/>
      </c>
      <c r="S252" s="4" t="str">
        <f>IFERROR(__xludf.DUMMYFUNCTION("""COMPUTED_VALUE"""),"")</f>
        <v/>
      </c>
      <c r="T252" s="4" t="str">
        <f>IFERROR(__xludf.DUMMYFUNCTION("""COMPUTED_VALUE"""),"")</f>
        <v/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>
      <c r="A253" s="4"/>
      <c r="B253" s="4"/>
      <c r="C253" s="4"/>
      <c r="D253" s="4" t="str">
        <f>IFERROR(__xludf.DUMMYFUNCTION("""COMPUTED_VALUE"""),"")</f>
        <v/>
      </c>
      <c r="E253" s="4" t="str">
        <f>IFERROR(__xludf.DUMMYFUNCTION("""COMPUTED_VALUE"""),"")</f>
        <v/>
      </c>
      <c r="F253" s="4" t="str">
        <f>IFERROR(__xludf.DUMMYFUNCTION("""COMPUTED_VALUE"""),"")</f>
        <v/>
      </c>
      <c r="G253" s="4" t="str">
        <f>IFERROR(__xludf.DUMMYFUNCTION("""COMPUTED_VALUE"""),"")</f>
        <v/>
      </c>
      <c r="H253" s="4" t="str">
        <f>IFERROR(__xludf.DUMMYFUNCTION("""COMPUTED_VALUE"""),"")</f>
        <v/>
      </c>
      <c r="I253" s="4" t="str">
        <f>IFERROR(__xludf.DUMMYFUNCTION("""COMPUTED_VALUE"""),"")</f>
        <v/>
      </c>
      <c r="J253" s="4" t="str">
        <f>IFERROR(__xludf.DUMMYFUNCTION("""COMPUTED_VALUE"""),"")</f>
        <v/>
      </c>
      <c r="K253" s="4" t="str">
        <f>IFERROR(__xludf.DUMMYFUNCTION("""COMPUTED_VALUE"""),"")</f>
        <v/>
      </c>
      <c r="L253" s="4" t="str">
        <f>IFERROR(__xludf.DUMMYFUNCTION("""COMPUTED_VALUE"""),"")</f>
        <v/>
      </c>
      <c r="M253" s="4" t="str">
        <f>IFERROR(__xludf.DUMMYFUNCTION("""COMPUTED_VALUE"""),"")</f>
        <v/>
      </c>
      <c r="N253" s="4" t="str">
        <f>IFERROR(__xludf.DUMMYFUNCTION("""COMPUTED_VALUE"""),"")</f>
        <v/>
      </c>
      <c r="O253" s="4" t="str">
        <f>IFERROR(__xludf.DUMMYFUNCTION("""COMPUTED_VALUE"""),"")</f>
        <v/>
      </c>
      <c r="P253" s="4" t="str">
        <f>IFERROR(__xludf.DUMMYFUNCTION("""COMPUTED_VALUE"""),"")</f>
        <v/>
      </c>
      <c r="Q253" s="4" t="str">
        <f>IFERROR(__xludf.DUMMYFUNCTION("""COMPUTED_VALUE"""),"")</f>
        <v/>
      </c>
      <c r="R253" s="4" t="str">
        <f>IFERROR(__xludf.DUMMYFUNCTION("""COMPUTED_VALUE"""),"")</f>
        <v/>
      </c>
      <c r="S253" s="4" t="str">
        <f>IFERROR(__xludf.DUMMYFUNCTION("""COMPUTED_VALUE"""),"")</f>
        <v/>
      </c>
      <c r="T253" s="4" t="str">
        <f>IFERROR(__xludf.DUMMYFUNCTION("""COMPUTED_VALUE"""),"")</f>
        <v/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>
      <c r="A254" s="4"/>
      <c r="B254" s="4"/>
      <c r="C254" s="4"/>
      <c r="D254" s="4" t="str">
        <f>IFERROR(__xludf.DUMMYFUNCTION("""COMPUTED_VALUE"""),"")</f>
        <v/>
      </c>
      <c r="E254" s="4" t="str">
        <f>IFERROR(__xludf.DUMMYFUNCTION("""COMPUTED_VALUE"""),"")</f>
        <v/>
      </c>
      <c r="F254" s="4" t="str">
        <f>IFERROR(__xludf.DUMMYFUNCTION("""COMPUTED_VALUE"""),"")</f>
        <v/>
      </c>
      <c r="G254" s="4" t="str">
        <f>IFERROR(__xludf.DUMMYFUNCTION("""COMPUTED_VALUE"""),"")</f>
        <v/>
      </c>
      <c r="H254" s="4" t="str">
        <f>IFERROR(__xludf.DUMMYFUNCTION("""COMPUTED_VALUE"""),"")</f>
        <v/>
      </c>
      <c r="I254" s="4" t="str">
        <f>IFERROR(__xludf.DUMMYFUNCTION("""COMPUTED_VALUE"""),"")</f>
        <v/>
      </c>
      <c r="J254" s="4" t="str">
        <f>IFERROR(__xludf.DUMMYFUNCTION("""COMPUTED_VALUE"""),"")</f>
        <v/>
      </c>
      <c r="K254" s="4" t="str">
        <f>IFERROR(__xludf.DUMMYFUNCTION("""COMPUTED_VALUE"""),"")</f>
        <v/>
      </c>
      <c r="L254" s="4" t="str">
        <f>IFERROR(__xludf.DUMMYFUNCTION("""COMPUTED_VALUE"""),"")</f>
        <v/>
      </c>
      <c r="M254" s="4" t="str">
        <f>IFERROR(__xludf.DUMMYFUNCTION("""COMPUTED_VALUE"""),"")</f>
        <v/>
      </c>
      <c r="N254" s="4" t="str">
        <f>IFERROR(__xludf.DUMMYFUNCTION("""COMPUTED_VALUE"""),"")</f>
        <v/>
      </c>
      <c r="O254" s="4" t="str">
        <f>IFERROR(__xludf.DUMMYFUNCTION("""COMPUTED_VALUE"""),"")</f>
        <v/>
      </c>
      <c r="P254" s="4" t="str">
        <f>IFERROR(__xludf.DUMMYFUNCTION("""COMPUTED_VALUE"""),"")</f>
        <v/>
      </c>
      <c r="Q254" s="4" t="str">
        <f>IFERROR(__xludf.DUMMYFUNCTION("""COMPUTED_VALUE"""),"")</f>
        <v/>
      </c>
      <c r="R254" s="4" t="str">
        <f>IFERROR(__xludf.DUMMYFUNCTION("""COMPUTED_VALUE"""),"")</f>
        <v/>
      </c>
      <c r="S254" s="4" t="str">
        <f>IFERROR(__xludf.DUMMYFUNCTION("""COMPUTED_VALUE"""),"")</f>
        <v/>
      </c>
      <c r="T254" s="4" t="str">
        <f>IFERROR(__xludf.DUMMYFUNCTION("""COMPUTED_VALUE"""),"")</f>
        <v/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>
      <c r="A255" s="4"/>
      <c r="B255" s="4"/>
      <c r="C255" s="4"/>
      <c r="D255" s="4" t="str">
        <f>IFERROR(__xludf.DUMMYFUNCTION("""COMPUTED_VALUE"""),"")</f>
        <v/>
      </c>
      <c r="E255" s="4" t="str">
        <f>IFERROR(__xludf.DUMMYFUNCTION("""COMPUTED_VALUE"""),"")</f>
        <v/>
      </c>
      <c r="F255" s="4" t="str">
        <f>IFERROR(__xludf.DUMMYFUNCTION("""COMPUTED_VALUE"""),"")</f>
        <v/>
      </c>
      <c r="G255" s="4" t="str">
        <f>IFERROR(__xludf.DUMMYFUNCTION("""COMPUTED_VALUE"""),"")</f>
        <v/>
      </c>
      <c r="H255" s="4" t="str">
        <f>IFERROR(__xludf.DUMMYFUNCTION("""COMPUTED_VALUE"""),"")</f>
        <v/>
      </c>
      <c r="I255" s="4" t="str">
        <f>IFERROR(__xludf.DUMMYFUNCTION("""COMPUTED_VALUE"""),"")</f>
        <v/>
      </c>
      <c r="J255" s="4" t="str">
        <f>IFERROR(__xludf.DUMMYFUNCTION("""COMPUTED_VALUE"""),"")</f>
        <v/>
      </c>
      <c r="K255" s="4" t="str">
        <f>IFERROR(__xludf.DUMMYFUNCTION("""COMPUTED_VALUE"""),"")</f>
        <v/>
      </c>
      <c r="L255" s="4" t="str">
        <f>IFERROR(__xludf.DUMMYFUNCTION("""COMPUTED_VALUE"""),"")</f>
        <v/>
      </c>
      <c r="M255" s="4" t="str">
        <f>IFERROR(__xludf.DUMMYFUNCTION("""COMPUTED_VALUE"""),"")</f>
        <v/>
      </c>
      <c r="N255" s="4" t="str">
        <f>IFERROR(__xludf.DUMMYFUNCTION("""COMPUTED_VALUE"""),"")</f>
        <v/>
      </c>
      <c r="O255" s="4" t="str">
        <f>IFERROR(__xludf.DUMMYFUNCTION("""COMPUTED_VALUE"""),"")</f>
        <v/>
      </c>
      <c r="P255" s="4" t="str">
        <f>IFERROR(__xludf.DUMMYFUNCTION("""COMPUTED_VALUE"""),"")</f>
        <v/>
      </c>
      <c r="Q255" s="4" t="str">
        <f>IFERROR(__xludf.DUMMYFUNCTION("""COMPUTED_VALUE"""),"")</f>
        <v/>
      </c>
      <c r="R255" s="4" t="str">
        <f>IFERROR(__xludf.DUMMYFUNCTION("""COMPUTED_VALUE"""),"")</f>
        <v/>
      </c>
      <c r="S255" s="4" t="str">
        <f>IFERROR(__xludf.DUMMYFUNCTION("""COMPUTED_VALUE"""),"")</f>
        <v/>
      </c>
      <c r="T255" s="4" t="str">
        <f>IFERROR(__xludf.DUMMYFUNCTION("""COMPUTED_VALUE"""),"")</f>
        <v/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>
      <c r="A256" s="4"/>
      <c r="B256" s="4"/>
      <c r="C256" s="4"/>
      <c r="D256" s="4" t="str">
        <f>IFERROR(__xludf.DUMMYFUNCTION("""COMPUTED_VALUE"""),"")</f>
        <v/>
      </c>
      <c r="E256" s="4" t="str">
        <f>IFERROR(__xludf.DUMMYFUNCTION("""COMPUTED_VALUE"""),"")</f>
        <v/>
      </c>
      <c r="F256" s="4" t="str">
        <f>IFERROR(__xludf.DUMMYFUNCTION("""COMPUTED_VALUE"""),"")</f>
        <v/>
      </c>
      <c r="G256" s="4" t="str">
        <f>IFERROR(__xludf.DUMMYFUNCTION("""COMPUTED_VALUE"""),"")</f>
        <v/>
      </c>
      <c r="H256" s="4" t="str">
        <f>IFERROR(__xludf.DUMMYFUNCTION("""COMPUTED_VALUE"""),"")</f>
        <v/>
      </c>
      <c r="I256" s="4" t="str">
        <f>IFERROR(__xludf.DUMMYFUNCTION("""COMPUTED_VALUE"""),"")</f>
        <v/>
      </c>
      <c r="J256" s="4" t="str">
        <f>IFERROR(__xludf.DUMMYFUNCTION("""COMPUTED_VALUE"""),"")</f>
        <v/>
      </c>
      <c r="K256" s="4" t="str">
        <f>IFERROR(__xludf.DUMMYFUNCTION("""COMPUTED_VALUE"""),"")</f>
        <v/>
      </c>
      <c r="L256" s="4" t="str">
        <f>IFERROR(__xludf.DUMMYFUNCTION("""COMPUTED_VALUE"""),"")</f>
        <v/>
      </c>
      <c r="M256" s="4" t="str">
        <f>IFERROR(__xludf.DUMMYFUNCTION("""COMPUTED_VALUE"""),"")</f>
        <v/>
      </c>
      <c r="N256" s="4" t="str">
        <f>IFERROR(__xludf.DUMMYFUNCTION("""COMPUTED_VALUE"""),"")</f>
        <v/>
      </c>
      <c r="O256" s="4" t="str">
        <f>IFERROR(__xludf.DUMMYFUNCTION("""COMPUTED_VALUE"""),"")</f>
        <v/>
      </c>
      <c r="P256" s="4" t="str">
        <f>IFERROR(__xludf.DUMMYFUNCTION("""COMPUTED_VALUE"""),"")</f>
        <v/>
      </c>
      <c r="Q256" s="4" t="str">
        <f>IFERROR(__xludf.DUMMYFUNCTION("""COMPUTED_VALUE"""),"")</f>
        <v/>
      </c>
      <c r="R256" s="4" t="str">
        <f>IFERROR(__xludf.DUMMYFUNCTION("""COMPUTED_VALUE"""),"")</f>
        <v/>
      </c>
      <c r="S256" s="4" t="str">
        <f>IFERROR(__xludf.DUMMYFUNCTION("""COMPUTED_VALUE"""),"")</f>
        <v/>
      </c>
      <c r="T256" s="4" t="str">
        <f>IFERROR(__xludf.DUMMYFUNCTION("""COMPUTED_VALUE"""),"")</f>
        <v/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>
      <c r="A257" s="4"/>
      <c r="B257" s="4"/>
      <c r="C257" s="4"/>
      <c r="D257" s="4" t="str">
        <f>IFERROR(__xludf.DUMMYFUNCTION("""COMPUTED_VALUE"""),"")</f>
        <v/>
      </c>
      <c r="E257" s="4" t="str">
        <f>IFERROR(__xludf.DUMMYFUNCTION("""COMPUTED_VALUE"""),"")</f>
        <v/>
      </c>
      <c r="F257" s="4" t="str">
        <f>IFERROR(__xludf.DUMMYFUNCTION("""COMPUTED_VALUE"""),"")</f>
        <v/>
      </c>
      <c r="G257" s="4" t="str">
        <f>IFERROR(__xludf.DUMMYFUNCTION("""COMPUTED_VALUE"""),"")</f>
        <v/>
      </c>
      <c r="H257" s="4" t="str">
        <f>IFERROR(__xludf.DUMMYFUNCTION("""COMPUTED_VALUE"""),"")</f>
        <v/>
      </c>
      <c r="I257" s="4" t="str">
        <f>IFERROR(__xludf.DUMMYFUNCTION("""COMPUTED_VALUE"""),"")</f>
        <v/>
      </c>
      <c r="J257" s="4" t="str">
        <f>IFERROR(__xludf.DUMMYFUNCTION("""COMPUTED_VALUE"""),"")</f>
        <v/>
      </c>
      <c r="K257" s="4" t="str">
        <f>IFERROR(__xludf.DUMMYFUNCTION("""COMPUTED_VALUE"""),"")</f>
        <v/>
      </c>
      <c r="L257" s="4" t="str">
        <f>IFERROR(__xludf.DUMMYFUNCTION("""COMPUTED_VALUE"""),"")</f>
        <v/>
      </c>
      <c r="M257" s="4" t="str">
        <f>IFERROR(__xludf.DUMMYFUNCTION("""COMPUTED_VALUE"""),"")</f>
        <v/>
      </c>
      <c r="N257" s="4" t="str">
        <f>IFERROR(__xludf.DUMMYFUNCTION("""COMPUTED_VALUE"""),"")</f>
        <v/>
      </c>
      <c r="O257" s="4" t="str">
        <f>IFERROR(__xludf.DUMMYFUNCTION("""COMPUTED_VALUE"""),"")</f>
        <v/>
      </c>
      <c r="P257" s="4" t="str">
        <f>IFERROR(__xludf.DUMMYFUNCTION("""COMPUTED_VALUE"""),"")</f>
        <v/>
      </c>
      <c r="Q257" s="4" t="str">
        <f>IFERROR(__xludf.DUMMYFUNCTION("""COMPUTED_VALUE"""),"")</f>
        <v/>
      </c>
      <c r="R257" s="4" t="str">
        <f>IFERROR(__xludf.DUMMYFUNCTION("""COMPUTED_VALUE"""),"")</f>
        <v/>
      </c>
      <c r="S257" s="4" t="str">
        <f>IFERROR(__xludf.DUMMYFUNCTION("""COMPUTED_VALUE"""),"")</f>
        <v/>
      </c>
      <c r="T257" s="4" t="str">
        <f>IFERROR(__xludf.DUMMYFUNCTION("""COMPUTED_VALUE"""),"")</f>
        <v/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>
      <c r="A258" s="4"/>
      <c r="B258" s="4"/>
      <c r="C258" s="4"/>
      <c r="D258" s="4" t="str">
        <f>IFERROR(__xludf.DUMMYFUNCTION("""COMPUTED_VALUE"""),"")</f>
        <v/>
      </c>
      <c r="E258" s="4" t="str">
        <f>IFERROR(__xludf.DUMMYFUNCTION("""COMPUTED_VALUE"""),"")</f>
        <v/>
      </c>
      <c r="F258" s="4" t="str">
        <f>IFERROR(__xludf.DUMMYFUNCTION("""COMPUTED_VALUE"""),"")</f>
        <v/>
      </c>
      <c r="G258" s="4" t="str">
        <f>IFERROR(__xludf.DUMMYFUNCTION("""COMPUTED_VALUE"""),"")</f>
        <v/>
      </c>
      <c r="H258" s="4" t="str">
        <f>IFERROR(__xludf.DUMMYFUNCTION("""COMPUTED_VALUE"""),"")</f>
        <v/>
      </c>
      <c r="I258" s="4" t="str">
        <f>IFERROR(__xludf.DUMMYFUNCTION("""COMPUTED_VALUE"""),"")</f>
        <v/>
      </c>
      <c r="J258" s="4" t="str">
        <f>IFERROR(__xludf.DUMMYFUNCTION("""COMPUTED_VALUE"""),"")</f>
        <v/>
      </c>
      <c r="K258" s="4" t="str">
        <f>IFERROR(__xludf.DUMMYFUNCTION("""COMPUTED_VALUE"""),"")</f>
        <v/>
      </c>
      <c r="L258" s="4" t="str">
        <f>IFERROR(__xludf.DUMMYFUNCTION("""COMPUTED_VALUE"""),"")</f>
        <v/>
      </c>
      <c r="M258" s="4" t="str">
        <f>IFERROR(__xludf.DUMMYFUNCTION("""COMPUTED_VALUE"""),"")</f>
        <v/>
      </c>
      <c r="N258" s="4" t="str">
        <f>IFERROR(__xludf.DUMMYFUNCTION("""COMPUTED_VALUE"""),"")</f>
        <v/>
      </c>
      <c r="O258" s="4" t="str">
        <f>IFERROR(__xludf.DUMMYFUNCTION("""COMPUTED_VALUE"""),"")</f>
        <v/>
      </c>
      <c r="P258" s="4" t="str">
        <f>IFERROR(__xludf.DUMMYFUNCTION("""COMPUTED_VALUE"""),"")</f>
        <v/>
      </c>
      <c r="Q258" s="4" t="str">
        <f>IFERROR(__xludf.DUMMYFUNCTION("""COMPUTED_VALUE"""),"")</f>
        <v/>
      </c>
      <c r="R258" s="4" t="str">
        <f>IFERROR(__xludf.DUMMYFUNCTION("""COMPUTED_VALUE"""),"")</f>
        <v/>
      </c>
      <c r="S258" s="4" t="str">
        <f>IFERROR(__xludf.DUMMYFUNCTION("""COMPUTED_VALUE"""),"")</f>
        <v/>
      </c>
      <c r="T258" s="4" t="str">
        <f>IFERROR(__xludf.DUMMYFUNCTION("""COMPUTED_VALUE"""),"")</f>
        <v/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>
      <c r="A259" s="4"/>
      <c r="B259" s="4"/>
      <c r="C259" s="4"/>
      <c r="D259" s="4" t="str">
        <f>IFERROR(__xludf.DUMMYFUNCTION("""COMPUTED_VALUE"""),"")</f>
        <v/>
      </c>
      <c r="E259" s="4" t="str">
        <f>IFERROR(__xludf.DUMMYFUNCTION("""COMPUTED_VALUE"""),"")</f>
        <v/>
      </c>
      <c r="F259" s="4" t="str">
        <f>IFERROR(__xludf.DUMMYFUNCTION("""COMPUTED_VALUE"""),"")</f>
        <v/>
      </c>
      <c r="G259" s="4" t="str">
        <f>IFERROR(__xludf.DUMMYFUNCTION("""COMPUTED_VALUE"""),"")</f>
        <v/>
      </c>
      <c r="H259" s="4" t="str">
        <f>IFERROR(__xludf.DUMMYFUNCTION("""COMPUTED_VALUE"""),"")</f>
        <v/>
      </c>
      <c r="I259" s="4" t="str">
        <f>IFERROR(__xludf.DUMMYFUNCTION("""COMPUTED_VALUE"""),"")</f>
        <v/>
      </c>
      <c r="J259" s="4" t="str">
        <f>IFERROR(__xludf.DUMMYFUNCTION("""COMPUTED_VALUE"""),"")</f>
        <v/>
      </c>
      <c r="K259" s="4" t="str">
        <f>IFERROR(__xludf.DUMMYFUNCTION("""COMPUTED_VALUE"""),"")</f>
        <v/>
      </c>
      <c r="L259" s="4" t="str">
        <f>IFERROR(__xludf.DUMMYFUNCTION("""COMPUTED_VALUE"""),"")</f>
        <v/>
      </c>
      <c r="M259" s="4" t="str">
        <f>IFERROR(__xludf.DUMMYFUNCTION("""COMPUTED_VALUE"""),"")</f>
        <v/>
      </c>
      <c r="N259" s="4" t="str">
        <f>IFERROR(__xludf.DUMMYFUNCTION("""COMPUTED_VALUE"""),"")</f>
        <v/>
      </c>
      <c r="O259" s="4" t="str">
        <f>IFERROR(__xludf.DUMMYFUNCTION("""COMPUTED_VALUE"""),"")</f>
        <v/>
      </c>
      <c r="P259" s="4" t="str">
        <f>IFERROR(__xludf.DUMMYFUNCTION("""COMPUTED_VALUE"""),"")</f>
        <v/>
      </c>
      <c r="Q259" s="4" t="str">
        <f>IFERROR(__xludf.DUMMYFUNCTION("""COMPUTED_VALUE"""),"")</f>
        <v/>
      </c>
      <c r="R259" s="4" t="str">
        <f>IFERROR(__xludf.DUMMYFUNCTION("""COMPUTED_VALUE"""),"")</f>
        <v/>
      </c>
      <c r="S259" s="4" t="str">
        <f>IFERROR(__xludf.DUMMYFUNCTION("""COMPUTED_VALUE"""),"")</f>
        <v/>
      </c>
      <c r="T259" s="4" t="str">
        <f>IFERROR(__xludf.DUMMYFUNCTION("""COMPUTED_VALUE"""),"")</f>
        <v/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>
      <c r="A260" s="4"/>
      <c r="B260" s="4"/>
      <c r="C260" s="4"/>
      <c r="D260" s="4" t="str">
        <f>IFERROR(__xludf.DUMMYFUNCTION("""COMPUTED_VALUE"""),"")</f>
        <v/>
      </c>
      <c r="E260" s="4" t="str">
        <f>IFERROR(__xludf.DUMMYFUNCTION("""COMPUTED_VALUE"""),"")</f>
        <v/>
      </c>
      <c r="F260" s="4" t="str">
        <f>IFERROR(__xludf.DUMMYFUNCTION("""COMPUTED_VALUE"""),"")</f>
        <v/>
      </c>
      <c r="G260" s="4" t="str">
        <f>IFERROR(__xludf.DUMMYFUNCTION("""COMPUTED_VALUE"""),"")</f>
        <v/>
      </c>
      <c r="H260" s="4" t="str">
        <f>IFERROR(__xludf.DUMMYFUNCTION("""COMPUTED_VALUE"""),"")</f>
        <v/>
      </c>
      <c r="I260" s="4" t="str">
        <f>IFERROR(__xludf.DUMMYFUNCTION("""COMPUTED_VALUE"""),"")</f>
        <v/>
      </c>
      <c r="J260" s="4" t="str">
        <f>IFERROR(__xludf.DUMMYFUNCTION("""COMPUTED_VALUE"""),"")</f>
        <v/>
      </c>
      <c r="K260" s="4" t="str">
        <f>IFERROR(__xludf.DUMMYFUNCTION("""COMPUTED_VALUE"""),"")</f>
        <v/>
      </c>
      <c r="L260" s="4" t="str">
        <f>IFERROR(__xludf.DUMMYFUNCTION("""COMPUTED_VALUE"""),"")</f>
        <v/>
      </c>
      <c r="M260" s="4" t="str">
        <f>IFERROR(__xludf.DUMMYFUNCTION("""COMPUTED_VALUE"""),"")</f>
        <v/>
      </c>
      <c r="N260" s="4" t="str">
        <f>IFERROR(__xludf.DUMMYFUNCTION("""COMPUTED_VALUE"""),"")</f>
        <v/>
      </c>
      <c r="O260" s="4" t="str">
        <f>IFERROR(__xludf.DUMMYFUNCTION("""COMPUTED_VALUE"""),"")</f>
        <v/>
      </c>
      <c r="P260" s="4" t="str">
        <f>IFERROR(__xludf.DUMMYFUNCTION("""COMPUTED_VALUE"""),"")</f>
        <v/>
      </c>
      <c r="Q260" s="4" t="str">
        <f>IFERROR(__xludf.DUMMYFUNCTION("""COMPUTED_VALUE"""),"")</f>
        <v/>
      </c>
      <c r="R260" s="4" t="str">
        <f>IFERROR(__xludf.DUMMYFUNCTION("""COMPUTED_VALUE"""),"")</f>
        <v/>
      </c>
      <c r="S260" s="4" t="str">
        <f>IFERROR(__xludf.DUMMYFUNCTION("""COMPUTED_VALUE"""),"")</f>
        <v/>
      </c>
      <c r="T260" s="4" t="str">
        <f>IFERROR(__xludf.DUMMYFUNCTION("""COMPUTED_VALUE"""),"")</f>
        <v/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>
      <c r="A261" s="4"/>
      <c r="B261" s="4"/>
      <c r="C261" s="4"/>
      <c r="D261" s="4" t="str">
        <f>IFERROR(__xludf.DUMMYFUNCTION("""COMPUTED_VALUE"""),"")</f>
        <v/>
      </c>
      <c r="E261" s="4" t="str">
        <f>IFERROR(__xludf.DUMMYFUNCTION("""COMPUTED_VALUE"""),"")</f>
        <v/>
      </c>
      <c r="F261" s="4" t="str">
        <f>IFERROR(__xludf.DUMMYFUNCTION("""COMPUTED_VALUE"""),"")</f>
        <v/>
      </c>
      <c r="G261" s="4" t="str">
        <f>IFERROR(__xludf.DUMMYFUNCTION("""COMPUTED_VALUE"""),"")</f>
        <v/>
      </c>
      <c r="H261" s="4" t="str">
        <f>IFERROR(__xludf.DUMMYFUNCTION("""COMPUTED_VALUE"""),"")</f>
        <v/>
      </c>
      <c r="I261" s="4" t="str">
        <f>IFERROR(__xludf.DUMMYFUNCTION("""COMPUTED_VALUE"""),"")</f>
        <v/>
      </c>
      <c r="J261" s="4" t="str">
        <f>IFERROR(__xludf.DUMMYFUNCTION("""COMPUTED_VALUE"""),"")</f>
        <v/>
      </c>
      <c r="K261" s="4" t="str">
        <f>IFERROR(__xludf.DUMMYFUNCTION("""COMPUTED_VALUE"""),"")</f>
        <v/>
      </c>
      <c r="L261" s="4" t="str">
        <f>IFERROR(__xludf.DUMMYFUNCTION("""COMPUTED_VALUE"""),"")</f>
        <v/>
      </c>
      <c r="M261" s="4" t="str">
        <f>IFERROR(__xludf.DUMMYFUNCTION("""COMPUTED_VALUE"""),"")</f>
        <v/>
      </c>
      <c r="N261" s="4" t="str">
        <f>IFERROR(__xludf.DUMMYFUNCTION("""COMPUTED_VALUE"""),"")</f>
        <v/>
      </c>
      <c r="O261" s="4" t="str">
        <f>IFERROR(__xludf.DUMMYFUNCTION("""COMPUTED_VALUE"""),"")</f>
        <v/>
      </c>
      <c r="P261" s="4" t="str">
        <f>IFERROR(__xludf.DUMMYFUNCTION("""COMPUTED_VALUE"""),"")</f>
        <v/>
      </c>
      <c r="Q261" s="4" t="str">
        <f>IFERROR(__xludf.DUMMYFUNCTION("""COMPUTED_VALUE"""),"")</f>
        <v/>
      </c>
      <c r="R261" s="4" t="str">
        <f>IFERROR(__xludf.DUMMYFUNCTION("""COMPUTED_VALUE"""),"")</f>
        <v/>
      </c>
      <c r="S261" s="4" t="str">
        <f>IFERROR(__xludf.DUMMYFUNCTION("""COMPUTED_VALUE"""),"")</f>
        <v/>
      </c>
      <c r="T261" s="4" t="str">
        <f>IFERROR(__xludf.DUMMYFUNCTION("""COMPUTED_VALUE"""),"")</f>
        <v/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>
      <c r="A262" s="4"/>
      <c r="B262" s="4"/>
      <c r="C262" s="4"/>
      <c r="D262" s="4" t="str">
        <f>IFERROR(__xludf.DUMMYFUNCTION("""COMPUTED_VALUE"""),"")</f>
        <v/>
      </c>
      <c r="E262" s="4" t="str">
        <f>IFERROR(__xludf.DUMMYFUNCTION("""COMPUTED_VALUE"""),"")</f>
        <v/>
      </c>
      <c r="F262" s="4" t="str">
        <f>IFERROR(__xludf.DUMMYFUNCTION("""COMPUTED_VALUE"""),"")</f>
        <v/>
      </c>
      <c r="G262" s="4" t="str">
        <f>IFERROR(__xludf.DUMMYFUNCTION("""COMPUTED_VALUE"""),"")</f>
        <v/>
      </c>
      <c r="H262" s="4" t="str">
        <f>IFERROR(__xludf.DUMMYFUNCTION("""COMPUTED_VALUE"""),"")</f>
        <v/>
      </c>
      <c r="I262" s="4" t="str">
        <f>IFERROR(__xludf.DUMMYFUNCTION("""COMPUTED_VALUE"""),"")</f>
        <v/>
      </c>
      <c r="J262" s="4" t="str">
        <f>IFERROR(__xludf.DUMMYFUNCTION("""COMPUTED_VALUE"""),"")</f>
        <v/>
      </c>
      <c r="K262" s="4" t="str">
        <f>IFERROR(__xludf.DUMMYFUNCTION("""COMPUTED_VALUE"""),"")</f>
        <v/>
      </c>
      <c r="L262" s="4" t="str">
        <f>IFERROR(__xludf.DUMMYFUNCTION("""COMPUTED_VALUE"""),"")</f>
        <v/>
      </c>
      <c r="M262" s="4" t="str">
        <f>IFERROR(__xludf.DUMMYFUNCTION("""COMPUTED_VALUE"""),"")</f>
        <v/>
      </c>
      <c r="N262" s="4" t="str">
        <f>IFERROR(__xludf.DUMMYFUNCTION("""COMPUTED_VALUE"""),"")</f>
        <v/>
      </c>
      <c r="O262" s="4" t="str">
        <f>IFERROR(__xludf.DUMMYFUNCTION("""COMPUTED_VALUE"""),"")</f>
        <v/>
      </c>
      <c r="P262" s="4" t="str">
        <f>IFERROR(__xludf.DUMMYFUNCTION("""COMPUTED_VALUE"""),"")</f>
        <v/>
      </c>
      <c r="Q262" s="4" t="str">
        <f>IFERROR(__xludf.DUMMYFUNCTION("""COMPUTED_VALUE"""),"")</f>
        <v/>
      </c>
      <c r="R262" s="4" t="str">
        <f>IFERROR(__xludf.DUMMYFUNCTION("""COMPUTED_VALUE"""),"")</f>
        <v/>
      </c>
      <c r="S262" s="4" t="str">
        <f>IFERROR(__xludf.DUMMYFUNCTION("""COMPUTED_VALUE"""),"")</f>
        <v/>
      </c>
      <c r="T262" s="4" t="str">
        <f>IFERROR(__xludf.DUMMYFUNCTION("""COMPUTED_VALUE"""),"")</f>
        <v/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>
      <c r="A263" s="4"/>
      <c r="B263" s="4"/>
      <c r="C263" s="4"/>
      <c r="D263" s="4" t="str">
        <f>IFERROR(__xludf.DUMMYFUNCTION("""COMPUTED_VALUE"""),"")</f>
        <v/>
      </c>
      <c r="E263" s="4" t="str">
        <f>IFERROR(__xludf.DUMMYFUNCTION("""COMPUTED_VALUE"""),"")</f>
        <v/>
      </c>
      <c r="F263" s="4" t="str">
        <f>IFERROR(__xludf.DUMMYFUNCTION("""COMPUTED_VALUE"""),"")</f>
        <v/>
      </c>
      <c r="G263" s="4" t="str">
        <f>IFERROR(__xludf.DUMMYFUNCTION("""COMPUTED_VALUE"""),"")</f>
        <v/>
      </c>
      <c r="H263" s="4" t="str">
        <f>IFERROR(__xludf.DUMMYFUNCTION("""COMPUTED_VALUE"""),"")</f>
        <v/>
      </c>
      <c r="I263" s="4" t="str">
        <f>IFERROR(__xludf.DUMMYFUNCTION("""COMPUTED_VALUE"""),"")</f>
        <v/>
      </c>
      <c r="J263" s="4" t="str">
        <f>IFERROR(__xludf.DUMMYFUNCTION("""COMPUTED_VALUE"""),"")</f>
        <v/>
      </c>
      <c r="K263" s="4" t="str">
        <f>IFERROR(__xludf.DUMMYFUNCTION("""COMPUTED_VALUE"""),"")</f>
        <v/>
      </c>
      <c r="L263" s="4" t="str">
        <f>IFERROR(__xludf.DUMMYFUNCTION("""COMPUTED_VALUE"""),"")</f>
        <v/>
      </c>
      <c r="M263" s="4" t="str">
        <f>IFERROR(__xludf.DUMMYFUNCTION("""COMPUTED_VALUE"""),"")</f>
        <v/>
      </c>
      <c r="N263" s="4" t="str">
        <f>IFERROR(__xludf.DUMMYFUNCTION("""COMPUTED_VALUE"""),"")</f>
        <v/>
      </c>
      <c r="O263" s="4" t="str">
        <f>IFERROR(__xludf.DUMMYFUNCTION("""COMPUTED_VALUE"""),"")</f>
        <v/>
      </c>
      <c r="P263" s="4" t="str">
        <f>IFERROR(__xludf.DUMMYFUNCTION("""COMPUTED_VALUE"""),"")</f>
        <v/>
      </c>
      <c r="Q263" s="4" t="str">
        <f>IFERROR(__xludf.DUMMYFUNCTION("""COMPUTED_VALUE"""),"")</f>
        <v/>
      </c>
      <c r="R263" s="4" t="str">
        <f>IFERROR(__xludf.DUMMYFUNCTION("""COMPUTED_VALUE"""),"")</f>
        <v/>
      </c>
      <c r="S263" s="4" t="str">
        <f>IFERROR(__xludf.DUMMYFUNCTION("""COMPUTED_VALUE"""),"")</f>
        <v/>
      </c>
      <c r="T263" s="4" t="str">
        <f>IFERROR(__xludf.DUMMYFUNCTION("""COMPUTED_VALUE"""),"")</f>
        <v/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>
      <c r="A264" s="4"/>
      <c r="B264" s="4"/>
      <c r="C264" s="4"/>
      <c r="D264" s="4" t="str">
        <f>IFERROR(__xludf.DUMMYFUNCTION("""COMPUTED_VALUE"""),"")</f>
        <v/>
      </c>
      <c r="E264" s="4" t="str">
        <f>IFERROR(__xludf.DUMMYFUNCTION("""COMPUTED_VALUE"""),"")</f>
        <v/>
      </c>
      <c r="F264" s="4" t="str">
        <f>IFERROR(__xludf.DUMMYFUNCTION("""COMPUTED_VALUE"""),"")</f>
        <v/>
      </c>
      <c r="G264" s="4" t="str">
        <f>IFERROR(__xludf.DUMMYFUNCTION("""COMPUTED_VALUE"""),"")</f>
        <v/>
      </c>
      <c r="H264" s="4" t="str">
        <f>IFERROR(__xludf.DUMMYFUNCTION("""COMPUTED_VALUE"""),"")</f>
        <v/>
      </c>
      <c r="I264" s="4" t="str">
        <f>IFERROR(__xludf.DUMMYFUNCTION("""COMPUTED_VALUE"""),"")</f>
        <v/>
      </c>
      <c r="J264" s="4" t="str">
        <f>IFERROR(__xludf.DUMMYFUNCTION("""COMPUTED_VALUE"""),"")</f>
        <v/>
      </c>
      <c r="K264" s="4" t="str">
        <f>IFERROR(__xludf.DUMMYFUNCTION("""COMPUTED_VALUE"""),"")</f>
        <v/>
      </c>
      <c r="L264" s="4" t="str">
        <f>IFERROR(__xludf.DUMMYFUNCTION("""COMPUTED_VALUE"""),"")</f>
        <v/>
      </c>
      <c r="M264" s="4" t="str">
        <f>IFERROR(__xludf.DUMMYFUNCTION("""COMPUTED_VALUE"""),"")</f>
        <v/>
      </c>
      <c r="N264" s="4" t="str">
        <f>IFERROR(__xludf.DUMMYFUNCTION("""COMPUTED_VALUE"""),"")</f>
        <v/>
      </c>
      <c r="O264" s="4" t="str">
        <f>IFERROR(__xludf.DUMMYFUNCTION("""COMPUTED_VALUE"""),"")</f>
        <v/>
      </c>
      <c r="P264" s="4" t="str">
        <f>IFERROR(__xludf.DUMMYFUNCTION("""COMPUTED_VALUE"""),"")</f>
        <v/>
      </c>
      <c r="Q264" s="4" t="str">
        <f>IFERROR(__xludf.DUMMYFUNCTION("""COMPUTED_VALUE"""),"")</f>
        <v/>
      </c>
      <c r="R264" s="4" t="str">
        <f>IFERROR(__xludf.DUMMYFUNCTION("""COMPUTED_VALUE"""),"")</f>
        <v/>
      </c>
      <c r="S264" s="4" t="str">
        <f>IFERROR(__xludf.DUMMYFUNCTION("""COMPUTED_VALUE"""),"")</f>
        <v/>
      </c>
      <c r="T264" s="4" t="str">
        <f>IFERROR(__xludf.DUMMYFUNCTION("""COMPUTED_VALUE"""),"")</f>
        <v/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>
      <c r="A265" s="4"/>
      <c r="B265" s="4"/>
      <c r="C265" s="4"/>
      <c r="D265" s="4" t="str">
        <f>IFERROR(__xludf.DUMMYFUNCTION("""COMPUTED_VALUE"""),"")</f>
        <v/>
      </c>
      <c r="E265" s="4" t="str">
        <f>IFERROR(__xludf.DUMMYFUNCTION("""COMPUTED_VALUE"""),"")</f>
        <v/>
      </c>
      <c r="F265" s="4" t="str">
        <f>IFERROR(__xludf.DUMMYFUNCTION("""COMPUTED_VALUE"""),"")</f>
        <v/>
      </c>
      <c r="G265" s="4" t="str">
        <f>IFERROR(__xludf.DUMMYFUNCTION("""COMPUTED_VALUE"""),"")</f>
        <v/>
      </c>
      <c r="H265" s="4" t="str">
        <f>IFERROR(__xludf.DUMMYFUNCTION("""COMPUTED_VALUE"""),"")</f>
        <v/>
      </c>
      <c r="I265" s="4" t="str">
        <f>IFERROR(__xludf.DUMMYFUNCTION("""COMPUTED_VALUE"""),"")</f>
        <v/>
      </c>
      <c r="J265" s="4" t="str">
        <f>IFERROR(__xludf.DUMMYFUNCTION("""COMPUTED_VALUE"""),"")</f>
        <v/>
      </c>
      <c r="K265" s="4" t="str">
        <f>IFERROR(__xludf.DUMMYFUNCTION("""COMPUTED_VALUE"""),"")</f>
        <v/>
      </c>
      <c r="L265" s="4" t="str">
        <f>IFERROR(__xludf.DUMMYFUNCTION("""COMPUTED_VALUE"""),"")</f>
        <v/>
      </c>
      <c r="M265" s="4" t="str">
        <f>IFERROR(__xludf.DUMMYFUNCTION("""COMPUTED_VALUE"""),"")</f>
        <v/>
      </c>
      <c r="N265" s="4" t="str">
        <f>IFERROR(__xludf.DUMMYFUNCTION("""COMPUTED_VALUE"""),"")</f>
        <v/>
      </c>
      <c r="O265" s="4" t="str">
        <f>IFERROR(__xludf.DUMMYFUNCTION("""COMPUTED_VALUE"""),"")</f>
        <v/>
      </c>
      <c r="P265" s="4" t="str">
        <f>IFERROR(__xludf.DUMMYFUNCTION("""COMPUTED_VALUE"""),"")</f>
        <v/>
      </c>
      <c r="Q265" s="4" t="str">
        <f>IFERROR(__xludf.DUMMYFUNCTION("""COMPUTED_VALUE"""),"")</f>
        <v/>
      </c>
      <c r="R265" s="4" t="str">
        <f>IFERROR(__xludf.DUMMYFUNCTION("""COMPUTED_VALUE"""),"")</f>
        <v/>
      </c>
      <c r="S265" s="4" t="str">
        <f>IFERROR(__xludf.DUMMYFUNCTION("""COMPUTED_VALUE"""),"")</f>
        <v/>
      </c>
      <c r="T265" s="4" t="str">
        <f>IFERROR(__xludf.DUMMYFUNCTION("""COMPUTED_VALUE"""),"")</f>
        <v/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>
      <c r="A266" s="4"/>
      <c r="B266" s="4"/>
      <c r="C266" s="4"/>
      <c r="D266" s="4" t="str">
        <f>IFERROR(__xludf.DUMMYFUNCTION("""COMPUTED_VALUE"""),"")</f>
        <v/>
      </c>
      <c r="E266" s="4" t="str">
        <f>IFERROR(__xludf.DUMMYFUNCTION("""COMPUTED_VALUE"""),"")</f>
        <v/>
      </c>
      <c r="F266" s="4" t="str">
        <f>IFERROR(__xludf.DUMMYFUNCTION("""COMPUTED_VALUE"""),"")</f>
        <v/>
      </c>
      <c r="G266" s="4" t="str">
        <f>IFERROR(__xludf.DUMMYFUNCTION("""COMPUTED_VALUE"""),"")</f>
        <v/>
      </c>
      <c r="H266" s="4" t="str">
        <f>IFERROR(__xludf.DUMMYFUNCTION("""COMPUTED_VALUE"""),"")</f>
        <v/>
      </c>
      <c r="I266" s="4" t="str">
        <f>IFERROR(__xludf.DUMMYFUNCTION("""COMPUTED_VALUE"""),"")</f>
        <v/>
      </c>
      <c r="J266" s="4" t="str">
        <f>IFERROR(__xludf.DUMMYFUNCTION("""COMPUTED_VALUE"""),"")</f>
        <v/>
      </c>
      <c r="K266" s="4" t="str">
        <f>IFERROR(__xludf.DUMMYFUNCTION("""COMPUTED_VALUE"""),"")</f>
        <v/>
      </c>
      <c r="L266" s="4" t="str">
        <f>IFERROR(__xludf.DUMMYFUNCTION("""COMPUTED_VALUE"""),"")</f>
        <v/>
      </c>
      <c r="M266" s="4" t="str">
        <f>IFERROR(__xludf.DUMMYFUNCTION("""COMPUTED_VALUE"""),"")</f>
        <v/>
      </c>
      <c r="N266" s="4" t="str">
        <f>IFERROR(__xludf.DUMMYFUNCTION("""COMPUTED_VALUE"""),"")</f>
        <v/>
      </c>
      <c r="O266" s="4" t="str">
        <f>IFERROR(__xludf.DUMMYFUNCTION("""COMPUTED_VALUE"""),"")</f>
        <v/>
      </c>
      <c r="P266" s="4" t="str">
        <f>IFERROR(__xludf.DUMMYFUNCTION("""COMPUTED_VALUE"""),"")</f>
        <v/>
      </c>
      <c r="Q266" s="4" t="str">
        <f>IFERROR(__xludf.DUMMYFUNCTION("""COMPUTED_VALUE"""),"")</f>
        <v/>
      </c>
      <c r="R266" s="4" t="str">
        <f>IFERROR(__xludf.DUMMYFUNCTION("""COMPUTED_VALUE"""),"")</f>
        <v/>
      </c>
      <c r="S266" s="4" t="str">
        <f>IFERROR(__xludf.DUMMYFUNCTION("""COMPUTED_VALUE"""),"")</f>
        <v/>
      </c>
      <c r="T266" s="4" t="str">
        <f>IFERROR(__xludf.DUMMYFUNCTION("""COMPUTED_VALUE"""),"")</f>
        <v/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>
      <c r="A267" s="4"/>
      <c r="B267" s="4"/>
      <c r="C267" s="4"/>
      <c r="D267" s="4" t="str">
        <f>IFERROR(__xludf.DUMMYFUNCTION("""COMPUTED_VALUE"""),"")</f>
        <v/>
      </c>
      <c r="E267" s="4" t="str">
        <f>IFERROR(__xludf.DUMMYFUNCTION("""COMPUTED_VALUE"""),"")</f>
        <v/>
      </c>
      <c r="F267" s="4" t="str">
        <f>IFERROR(__xludf.DUMMYFUNCTION("""COMPUTED_VALUE"""),"")</f>
        <v/>
      </c>
      <c r="G267" s="4" t="str">
        <f>IFERROR(__xludf.DUMMYFUNCTION("""COMPUTED_VALUE"""),"")</f>
        <v/>
      </c>
      <c r="H267" s="4" t="str">
        <f>IFERROR(__xludf.DUMMYFUNCTION("""COMPUTED_VALUE"""),"")</f>
        <v/>
      </c>
      <c r="I267" s="4" t="str">
        <f>IFERROR(__xludf.DUMMYFUNCTION("""COMPUTED_VALUE"""),"")</f>
        <v/>
      </c>
      <c r="J267" s="4" t="str">
        <f>IFERROR(__xludf.DUMMYFUNCTION("""COMPUTED_VALUE"""),"")</f>
        <v/>
      </c>
      <c r="K267" s="4" t="str">
        <f>IFERROR(__xludf.DUMMYFUNCTION("""COMPUTED_VALUE"""),"")</f>
        <v/>
      </c>
      <c r="L267" s="4" t="str">
        <f>IFERROR(__xludf.DUMMYFUNCTION("""COMPUTED_VALUE"""),"")</f>
        <v/>
      </c>
      <c r="M267" s="4" t="str">
        <f>IFERROR(__xludf.DUMMYFUNCTION("""COMPUTED_VALUE"""),"")</f>
        <v/>
      </c>
      <c r="N267" s="4" t="str">
        <f>IFERROR(__xludf.DUMMYFUNCTION("""COMPUTED_VALUE"""),"")</f>
        <v/>
      </c>
      <c r="O267" s="4" t="str">
        <f>IFERROR(__xludf.DUMMYFUNCTION("""COMPUTED_VALUE"""),"")</f>
        <v/>
      </c>
      <c r="P267" s="4" t="str">
        <f>IFERROR(__xludf.DUMMYFUNCTION("""COMPUTED_VALUE"""),"")</f>
        <v/>
      </c>
      <c r="Q267" s="4" t="str">
        <f>IFERROR(__xludf.DUMMYFUNCTION("""COMPUTED_VALUE"""),"")</f>
        <v/>
      </c>
      <c r="R267" s="4" t="str">
        <f>IFERROR(__xludf.DUMMYFUNCTION("""COMPUTED_VALUE"""),"")</f>
        <v/>
      </c>
      <c r="S267" s="4" t="str">
        <f>IFERROR(__xludf.DUMMYFUNCTION("""COMPUTED_VALUE"""),"")</f>
        <v/>
      </c>
      <c r="T267" s="4" t="str">
        <f>IFERROR(__xludf.DUMMYFUNCTION("""COMPUTED_VALUE"""),"")</f>
        <v/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>
      <c r="A268" s="4"/>
      <c r="B268" s="4"/>
      <c r="C268" s="4"/>
      <c r="D268" s="4" t="str">
        <f>IFERROR(__xludf.DUMMYFUNCTION("""COMPUTED_VALUE"""),"")</f>
        <v/>
      </c>
      <c r="E268" s="4" t="str">
        <f>IFERROR(__xludf.DUMMYFUNCTION("""COMPUTED_VALUE"""),"")</f>
        <v/>
      </c>
      <c r="F268" s="4" t="str">
        <f>IFERROR(__xludf.DUMMYFUNCTION("""COMPUTED_VALUE"""),"")</f>
        <v/>
      </c>
      <c r="G268" s="4" t="str">
        <f>IFERROR(__xludf.DUMMYFUNCTION("""COMPUTED_VALUE"""),"")</f>
        <v/>
      </c>
      <c r="H268" s="4" t="str">
        <f>IFERROR(__xludf.DUMMYFUNCTION("""COMPUTED_VALUE"""),"")</f>
        <v/>
      </c>
      <c r="I268" s="4" t="str">
        <f>IFERROR(__xludf.DUMMYFUNCTION("""COMPUTED_VALUE"""),"")</f>
        <v/>
      </c>
      <c r="J268" s="4" t="str">
        <f>IFERROR(__xludf.DUMMYFUNCTION("""COMPUTED_VALUE"""),"")</f>
        <v/>
      </c>
      <c r="K268" s="4" t="str">
        <f>IFERROR(__xludf.DUMMYFUNCTION("""COMPUTED_VALUE"""),"")</f>
        <v/>
      </c>
      <c r="L268" s="4" t="str">
        <f>IFERROR(__xludf.DUMMYFUNCTION("""COMPUTED_VALUE"""),"")</f>
        <v/>
      </c>
      <c r="M268" s="4" t="str">
        <f>IFERROR(__xludf.DUMMYFUNCTION("""COMPUTED_VALUE"""),"")</f>
        <v/>
      </c>
      <c r="N268" s="4" t="str">
        <f>IFERROR(__xludf.DUMMYFUNCTION("""COMPUTED_VALUE"""),"")</f>
        <v/>
      </c>
      <c r="O268" s="4" t="str">
        <f>IFERROR(__xludf.DUMMYFUNCTION("""COMPUTED_VALUE"""),"")</f>
        <v/>
      </c>
      <c r="P268" s="4" t="str">
        <f>IFERROR(__xludf.DUMMYFUNCTION("""COMPUTED_VALUE"""),"")</f>
        <v/>
      </c>
      <c r="Q268" s="4" t="str">
        <f>IFERROR(__xludf.DUMMYFUNCTION("""COMPUTED_VALUE"""),"")</f>
        <v/>
      </c>
      <c r="R268" s="4" t="str">
        <f>IFERROR(__xludf.DUMMYFUNCTION("""COMPUTED_VALUE"""),"")</f>
        <v/>
      </c>
      <c r="S268" s="4" t="str">
        <f>IFERROR(__xludf.DUMMYFUNCTION("""COMPUTED_VALUE"""),"")</f>
        <v/>
      </c>
      <c r="T268" s="4" t="str">
        <f>IFERROR(__xludf.DUMMYFUNCTION("""COMPUTED_VALUE"""),"")</f>
        <v/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>
      <c r="A269" s="4"/>
      <c r="B269" s="4"/>
      <c r="C269" s="4"/>
      <c r="D269" s="4" t="str">
        <f>IFERROR(__xludf.DUMMYFUNCTION("""COMPUTED_VALUE"""),"")</f>
        <v/>
      </c>
      <c r="E269" s="4" t="str">
        <f>IFERROR(__xludf.DUMMYFUNCTION("""COMPUTED_VALUE"""),"")</f>
        <v/>
      </c>
      <c r="F269" s="4" t="str">
        <f>IFERROR(__xludf.DUMMYFUNCTION("""COMPUTED_VALUE"""),"")</f>
        <v/>
      </c>
      <c r="G269" s="4" t="str">
        <f>IFERROR(__xludf.DUMMYFUNCTION("""COMPUTED_VALUE"""),"")</f>
        <v/>
      </c>
      <c r="H269" s="4" t="str">
        <f>IFERROR(__xludf.DUMMYFUNCTION("""COMPUTED_VALUE"""),"")</f>
        <v/>
      </c>
      <c r="I269" s="4" t="str">
        <f>IFERROR(__xludf.DUMMYFUNCTION("""COMPUTED_VALUE"""),"")</f>
        <v/>
      </c>
      <c r="J269" s="4" t="str">
        <f>IFERROR(__xludf.DUMMYFUNCTION("""COMPUTED_VALUE"""),"")</f>
        <v/>
      </c>
      <c r="K269" s="4" t="str">
        <f>IFERROR(__xludf.DUMMYFUNCTION("""COMPUTED_VALUE"""),"")</f>
        <v/>
      </c>
      <c r="L269" s="4" t="str">
        <f>IFERROR(__xludf.DUMMYFUNCTION("""COMPUTED_VALUE"""),"")</f>
        <v/>
      </c>
      <c r="M269" s="4" t="str">
        <f>IFERROR(__xludf.DUMMYFUNCTION("""COMPUTED_VALUE"""),"")</f>
        <v/>
      </c>
      <c r="N269" s="4" t="str">
        <f>IFERROR(__xludf.DUMMYFUNCTION("""COMPUTED_VALUE"""),"")</f>
        <v/>
      </c>
      <c r="O269" s="4" t="str">
        <f>IFERROR(__xludf.DUMMYFUNCTION("""COMPUTED_VALUE"""),"")</f>
        <v/>
      </c>
      <c r="P269" s="4" t="str">
        <f>IFERROR(__xludf.DUMMYFUNCTION("""COMPUTED_VALUE"""),"")</f>
        <v/>
      </c>
      <c r="Q269" s="4" t="str">
        <f>IFERROR(__xludf.DUMMYFUNCTION("""COMPUTED_VALUE"""),"")</f>
        <v/>
      </c>
      <c r="R269" s="4" t="str">
        <f>IFERROR(__xludf.DUMMYFUNCTION("""COMPUTED_VALUE"""),"")</f>
        <v/>
      </c>
      <c r="S269" s="4" t="str">
        <f>IFERROR(__xludf.DUMMYFUNCTION("""COMPUTED_VALUE"""),"")</f>
        <v/>
      </c>
      <c r="T269" s="4" t="str">
        <f>IFERROR(__xludf.DUMMYFUNCTION("""COMPUTED_VALUE"""),"")</f>
        <v/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>
      <c r="A270" s="4"/>
      <c r="B270" s="4"/>
      <c r="C270" s="4"/>
      <c r="D270" s="4" t="str">
        <f>IFERROR(__xludf.DUMMYFUNCTION("""COMPUTED_VALUE"""),"")</f>
        <v/>
      </c>
      <c r="E270" s="4" t="str">
        <f>IFERROR(__xludf.DUMMYFUNCTION("""COMPUTED_VALUE"""),"")</f>
        <v/>
      </c>
      <c r="F270" s="4" t="str">
        <f>IFERROR(__xludf.DUMMYFUNCTION("""COMPUTED_VALUE"""),"")</f>
        <v/>
      </c>
      <c r="G270" s="4" t="str">
        <f>IFERROR(__xludf.DUMMYFUNCTION("""COMPUTED_VALUE"""),"")</f>
        <v/>
      </c>
      <c r="H270" s="4" t="str">
        <f>IFERROR(__xludf.DUMMYFUNCTION("""COMPUTED_VALUE"""),"")</f>
        <v/>
      </c>
      <c r="I270" s="4" t="str">
        <f>IFERROR(__xludf.DUMMYFUNCTION("""COMPUTED_VALUE"""),"")</f>
        <v/>
      </c>
      <c r="J270" s="4" t="str">
        <f>IFERROR(__xludf.DUMMYFUNCTION("""COMPUTED_VALUE"""),"")</f>
        <v/>
      </c>
      <c r="K270" s="4" t="str">
        <f>IFERROR(__xludf.DUMMYFUNCTION("""COMPUTED_VALUE"""),"")</f>
        <v/>
      </c>
      <c r="L270" s="4" t="str">
        <f>IFERROR(__xludf.DUMMYFUNCTION("""COMPUTED_VALUE"""),"")</f>
        <v/>
      </c>
      <c r="M270" s="4" t="str">
        <f>IFERROR(__xludf.DUMMYFUNCTION("""COMPUTED_VALUE"""),"")</f>
        <v/>
      </c>
      <c r="N270" s="4" t="str">
        <f>IFERROR(__xludf.DUMMYFUNCTION("""COMPUTED_VALUE"""),"")</f>
        <v/>
      </c>
      <c r="O270" s="4" t="str">
        <f>IFERROR(__xludf.DUMMYFUNCTION("""COMPUTED_VALUE"""),"")</f>
        <v/>
      </c>
      <c r="P270" s="4" t="str">
        <f>IFERROR(__xludf.DUMMYFUNCTION("""COMPUTED_VALUE"""),"")</f>
        <v/>
      </c>
      <c r="Q270" s="4" t="str">
        <f>IFERROR(__xludf.DUMMYFUNCTION("""COMPUTED_VALUE"""),"")</f>
        <v/>
      </c>
      <c r="R270" s="4" t="str">
        <f>IFERROR(__xludf.DUMMYFUNCTION("""COMPUTED_VALUE"""),"")</f>
        <v/>
      </c>
      <c r="S270" s="4" t="str">
        <f>IFERROR(__xludf.DUMMYFUNCTION("""COMPUTED_VALUE"""),"")</f>
        <v/>
      </c>
      <c r="T270" s="4" t="str">
        <f>IFERROR(__xludf.DUMMYFUNCTION("""COMPUTED_VALUE"""),"")</f>
        <v/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>
      <c r="A271" s="4"/>
      <c r="B271" s="4"/>
      <c r="C271" s="4"/>
      <c r="D271" s="4" t="str">
        <f>IFERROR(__xludf.DUMMYFUNCTION("""COMPUTED_VALUE"""),"")</f>
        <v/>
      </c>
      <c r="E271" s="4" t="str">
        <f>IFERROR(__xludf.DUMMYFUNCTION("""COMPUTED_VALUE"""),"")</f>
        <v/>
      </c>
      <c r="F271" s="4" t="str">
        <f>IFERROR(__xludf.DUMMYFUNCTION("""COMPUTED_VALUE"""),"")</f>
        <v/>
      </c>
      <c r="G271" s="4" t="str">
        <f>IFERROR(__xludf.DUMMYFUNCTION("""COMPUTED_VALUE"""),"")</f>
        <v/>
      </c>
      <c r="H271" s="4" t="str">
        <f>IFERROR(__xludf.DUMMYFUNCTION("""COMPUTED_VALUE"""),"")</f>
        <v/>
      </c>
      <c r="I271" s="4" t="str">
        <f>IFERROR(__xludf.DUMMYFUNCTION("""COMPUTED_VALUE"""),"")</f>
        <v/>
      </c>
      <c r="J271" s="4" t="str">
        <f>IFERROR(__xludf.DUMMYFUNCTION("""COMPUTED_VALUE"""),"")</f>
        <v/>
      </c>
      <c r="K271" s="4" t="str">
        <f>IFERROR(__xludf.DUMMYFUNCTION("""COMPUTED_VALUE"""),"")</f>
        <v/>
      </c>
      <c r="L271" s="4" t="str">
        <f>IFERROR(__xludf.DUMMYFUNCTION("""COMPUTED_VALUE"""),"")</f>
        <v/>
      </c>
      <c r="M271" s="4" t="str">
        <f>IFERROR(__xludf.DUMMYFUNCTION("""COMPUTED_VALUE"""),"")</f>
        <v/>
      </c>
      <c r="N271" s="4" t="str">
        <f>IFERROR(__xludf.DUMMYFUNCTION("""COMPUTED_VALUE"""),"")</f>
        <v/>
      </c>
      <c r="O271" s="4" t="str">
        <f>IFERROR(__xludf.DUMMYFUNCTION("""COMPUTED_VALUE"""),"")</f>
        <v/>
      </c>
      <c r="P271" s="4" t="str">
        <f>IFERROR(__xludf.DUMMYFUNCTION("""COMPUTED_VALUE"""),"")</f>
        <v/>
      </c>
      <c r="Q271" s="4" t="str">
        <f>IFERROR(__xludf.DUMMYFUNCTION("""COMPUTED_VALUE"""),"")</f>
        <v/>
      </c>
      <c r="R271" s="4" t="str">
        <f>IFERROR(__xludf.DUMMYFUNCTION("""COMPUTED_VALUE"""),"")</f>
        <v/>
      </c>
      <c r="S271" s="4" t="str">
        <f>IFERROR(__xludf.DUMMYFUNCTION("""COMPUTED_VALUE"""),"")</f>
        <v/>
      </c>
      <c r="T271" s="4" t="str">
        <f>IFERROR(__xludf.DUMMYFUNCTION("""COMPUTED_VALUE"""),"")</f>
        <v/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>
      <c r="A272" s="4"/>
      <c r="B272" s="4"/>
      <c r="C272" s="4"/>
      <c r="D272" s="4" t="str">
        <f>IFERROR(__xludf.DUMMYFUNCTION("""COMPUTED_VALUE"""),"")</f>
        <v/>
      </c>
      <c r="E272" s="4" t="str">
        <f>IFERROR(__xludf.DUMMYFUNCTION("""COMPUTED_VALUE"""),"")</f>
        <v/>
      </c>
      <c r="F272" s="4" t="str">
        <f>IFERROR(__xludf.DUMMYFUNCTION("""COMPUTED_VALUE"""),"")</f>
        <v/>
      </c>
      <c r="G272" s="4" t="str">
        <f>IFERROR(__xludf.DUMMYFUNCTION("""COMPUTED_VALUE"""),"")</f>
        <v/>
      </c>
      <c r="H272" s="4" t="str">
        <f>IFERROR(__xludf.DUMMYFUNCTION("""COMPUTED_VALUE"""),"")</f>
        <v/>
      </c>
      <c r="I272" s="4" t="str">
        <f>IFERROR(__xludf.DUMMYFUNCTION("""COMPUTED_VALUE"""),"")</f>
        <v/>
      </c>
      <c r="J272" s="4" t="str">
        <f>IFERROR(__xludf.DUMMYFUNCTION("""COMPUTED_VALUE"""),"")</f>
        <v/>
      </c>
      <c r="K272" s="4" t="str">
        <f>IFERROR(__xludf.DUMMYFUNCTION("""COMPUTED_VALUE"""),"")</f>
        <v/>
      </c>
      <c r="L272" s="4" t="str">
        <f>IFERROR(__xludf.DUMMYFUNCTION("""COMPUTED_VALUE"""),"")</f>
        <v/>
      </c>
      <c r="M272" s="4" t="str">
        <f>IFERROR(__xludf.DUMMYFUNCTION("""COMPUTED_VALUE"""),"")</f>
        <v/>
      </c>
      <c r="N272" s="4" t="str">
        <f>IFERROR(__xludf.DUMMYFUNCTION("""COMPUTED_VALUE"""),"")</f>
        <v/>
      </c>
      <c r="O272" s="4" t="str">
        <f>IFERROR(__xludf.DUMMYFUNCTION("""COMPUTED_VALUE"""),"")</f>
        <v/>
      </c>
      <c r="P272" s="4" t="str">
        <f>IFERROR(__xludf.DUMMYFUNCTION("""COMPUTED_VALUE"""),"")</f>
        <v/>
      </c>
      <c r="Q272" s="4" t="str">
        <f>IFERROR(__xludf.DUMMYFUNCTION("""COMPUTED_VALUE"""),"")</f>
        <v/>
      </c>
      <c r="R272" s="4" t="str">
        <f>IFERROR(__xludf.DUMMYFUNCTION("""COMPUTED_VALUE"""),"")</f>
        <v/>
      </c>
      <c r="S272" s="4" t="str">
        <f>IFERROR(__xludf.DUMMYFUNCTION("""COMPUTED_VALUE"""),"")</f>
        <v/>
      </c>
      <c r="T272" s="4" t="str">
        <f>IFERROR(__xludf.DUMMYFUNCTION("""COMPUTED_VALUE"""),"")</f>
        <v/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>
      <c r="A273" s="4"/>
      <c r="B273" s="4"/>
      <c r="C273" s="4"/>
      <c r="D273" s="4" t="str">
        <f>IFERROR(__xludf.DUMMYFUNCTION("""COMPUTED_VALUE"""),"")</f>
        <v/>
      </c>
      <c r="E273" s="4" t="str">
        <f>IFERROR(__xludf.DUMMYFUNCTION("""COMPUTED_VALUE"""),"")</f>
        <v/>
      </c>
      <c r="F273" s="4" t="str">
        <f>IFERROR(__xludf.DUMMYFUNCTION("""COMPUTED_VALUE"""),"")</f>
        <v/>
      </c>
      <c r="G273" s="4" t="str">
        <f>IFERROR(__xludf.DUMMYFUNCTION("""COMPUTED_VALUE"""),"")</f>
        <v/>
      </c>
      <c r="H273" s="4" t="str">
        <f>IFERROR(__xludf.DUMMYFUNCTION("""COMPUTED_VALUE"""),"")</f>
        <v/>
      </c>
      <c r="I273" s="4" t="str">
        <f>IFERROR(__xludf.DUMMYFUNCTION("""COMPUTED_VALUE"""),"")</f>
        <v/>
      </c>
      <c r="J273" s="4" t="str">
        <f>IFERROR(__xludf.DUMMYFUNCTION("""COMPUTED_VALUE"""),"")</f>
        <v/>
      </c>
      <c r="K273" s="4" t="str">
        <f>IFERROR(__xludf.DUMMYFUNCTION("""COMPUTED_VALUE"""),"")</f>
        <v/>
      </c>
      <c r="L273" s="4" t="str">
        <f>IFERROR(__xludf.DUMMYFUNCTION("""COMPUTED_VALUE"""),"")</f>
        <v/>
      </c>
      <c r="M273" s="4" t="str">
        <f>IFERROR(__xludf.DUMMYFUNCTION("""COMPUTED_VALUE"""),"")</f>
        <v/>
      </c>
      <c r="N273" s="4" t="str">
        <f>IFERROR(__xludf.DUMMYFUNCTION("""COMPUTED_VALUE"""),"")</f>
        <v/>
      </c>
      <c r="O273" s="4" t="str">
        <f>IFERROR(__xludf.DUMMYFUNCTION("""COMPUTED_VALUE"""),"")</f>
        <v/>
      </c>
      <c r="P273" s="4" t="str">
        <f>IFERROR(__xludf.DUMMYFUNCTION("""COMPUTED_VALUE"""),"")</f>
        <v/>
      </c>
      <c r="Q273" s="4" t="str">
        <f>IFERROR(__xludf.DUMMYFUNCTION("""COMPUTED_VALUE"""),"")</f>
        <v/>
      </c>
      <c r="R273" s="4" t="str">
        <f>IFERROR(__xludf.DUMMYFUNCTION("""COMPUTED_VALUE"""),"")</f>
        <v/>
      </c>
      <c r="S273" s="4" t="str">
        <f>IFERROR(__xludf.DUMMYFUNCTION("""COMPUTED_VALUE"""),"")</f>
        <v/>
      </c>
      <c r="T273" s="4" t="str">
        <f>IFERROR(__xludf.DUMMYFUNCTION("""COMPUTED_VALUE"""),"")</f>
        <v/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>
      <c r="A274" s="4"/>
      <c r="B274" s="4"/>
      <c r="C274" s="4"/>
      <c r="D274" s="4" t="str">
        <f>IFERROR(__xludf.DUMMYFUNCTION("""COMPUTED_VALUE"""),"")</f>
        <v/>
      </c>
      <c r="E274" s="4" t="str">
        <f>IFERROR(__xludf.DUMMYFUNCTION("""COMPUTED_VALUE"""),"")</f>
        <v/>
      </c>
      <c r="F274" s="4" t="str">
        <f>IFERROR(__xludf.DUMMYFUNCTION("""COMPUTED_VALUE"""),"")</f>
        <v/>
      </c>
      <c r="G274" s="4" t="str">
        <f>IFERROR(__xludf.DUMMYFUNCTION("""COMPUTED_VALUE"""),"")</f>
        <v/>
      </c>
      <c r="H274" s="4" t="str">
        <f>IFERROR(__xludf.DUMMYFUNCTION("""COMPUTED_VALUE"""),"")</f>
        <v/>
      </c>
      <c r="I274" s="4" t="str">
        <f>IFERROR(__xludf.DUMMYFUNCTION("""COMPUTED_VALUE"""),"")</f>
        <v/>
      </c>
      <c r="J274" s="4" t="str">
        <f>IFERROR(__xludf.DUMMYFUNCTION("""COMPUTED_VALUE"""),"")</f>
        <v/>
      </c>
      <c r="K274" s="4" t="str">
        <f>IFERROR(__xludf.DUMMYFUNCTION("""COMPUTED_VALUE"""),"")</f>
        <v/>
      </c>
      <c r="L274" s="4" t="str">
        <f>IFERROR(__xludf.DUMMYFUNCTION("""COMPUTED_VALUE"""),"")</f>
        <v/>
      </c>
      <c r="M274" s="4" t="str">
        <f>IFERROR(__xludf.DUMMYFUNCTION("""COMPUTED_VALUE"""),"")</f>
        <v/>
      </c>
      <c r="N274" s="4" t="str">
        <f>IFERROR(__xludf.DUMMYFUNCTION("""COMPUTED_VALUE"""),"")</f>
        <v/>
      </c>
      <c r="O274" s="4" t="str">
        <f>IFERROR(__xludf.DUMMYFUNCTION("""COMPUTED_VALUE"""),"")</f>
        <v/>
      </c>
      <c r="P274" s="4" t="str">
        <f>IFERROR(__xludf.DUMMYFUNCTION("""COMPUTED_VALUE"""),"")</f>
        <v/>
      </c>
      <c r="Q274" s="4" t="str">
        <f>IFERROR(__xludf.DUMMYFUNCTION("""COMPUTED_VALUE"""),"")</f>
        <v/>
      </c>
      <c r="R274" s="4" t="str">
        <f>IFERROR(__xludf.DUMMYFUNCTION("""COMPUTED_VALUE"""),"")</f>
        <v/>
      </c>
      <c r="S274" s="4" t="str">
        <f>IFERROR(__xludf.DUMMYFUNCTION("""COMPUTED_VALUE"""),"")</f>
        <v/>
      </c>
      <c r="T274" s="4" t="str">
        <f>IFERROR(__xludf.DUMMYFUNCTION("""COMPUTED_VALUE"""),"")</f>
        <v/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</row>
  </sheetData>
  <hyperlinks>
    <hyperlink r:id="rId1" ref="AU3"/>
    <hyperlink r:id="rId2" ref="AU4"/>
    <hyperlink r:id="rId3" ref="AU5"/>
    <hyperlink r:id="rId4" ref="AU6"/>
    <hyperlink r:id="rId5" ref="AU7"/>
    <hyperlink r:id="rId6" ref="AU8"/>
    <hyperlink r:id="rId7" ref="AU9"/>
    <hyperlink r:id="rId8" ref="AU10"/>
    <hyperlink r:id="rId9" ref="AU11"/>
    <hyperlink r:id="rId10" ref="AU12"/>
    <hyperlink r:id="rId11" ref="AU13"/>
    <hyperlink r:id="rId12" ref="AU14"/>
    <hyperlink r:id="rId13" ref="AU15"/>
    <hyperlink r:id="rId14" ref="AU16"/>
    <hyperlink r:id="rId15" ref="AU17"/>
    <hyperlink r:id="rId16" ref="AU18"/>
    <hyperlink r:id="rId17" ref="AU21"/>
    <hyperlink r:id="rId18" ref="AU22"/>
    <hyperlink r:id="rId19" ref="AU23"/>
    <hyperlink r:id="rId20" ref="AU24"/>
    <hyperlink r:id="rId21" ref="AU26"/>
    <hyperlink r:id="rId22" ref="AU27"/>
    <hyperlink r:id="rId23" ref="AU28"/>
    <hyperlink r:id="rId24" ref="AU29"/>
    <hyperlink r:id="rId25" ref="AU32"/>
    <hyperlink r:id="rId26" ref="AU33"/>
    <hyperlink r:id="rId27" ref="AU38"/>
    <hyperlink r:id="rId28" ref="AU39"/>
    <hyperlink r:id="rId29" ref="AU40"/>
    <hyperlink r:id="rId30" ref="AU41"/>
    <hyperlink r:id="rId31" ref="AU42"/>
    <hyperlink r:id="rId32" ref="AU43"/>
    <hyperlink r:id="rId33" ref="AU44"/>
    <hyperlink r:id="rId34" ref="AU45"/>
    <hyperlink r:id="rId35" ref="AU49"/>
    <hyperlink r:id="rId36" ref="AU50"/>
    <hyperlink r:id="rId37" ref="AU51"/>
    <hyperlink r:id="rId38" ref="AU57"/>
    <hyperlink r:id="rId39" ref="AU58"/>
    <hyperlink r:id="rId40" ref="AU59"/>
    <hyperlink r:id="rId41" ref="AU60"/>
    <hyperlink r:id="rId42" ref="AU61"/>
    <hyperlink r:id="rId43" ref="AU62"/>
    <hyperlink r:id="rId44" ref="AU63"/>
    <hyperlink r:id="rId45" ref="AU64"/>
    <hyperlink r:id="rId46" ref="AU76"/>
    <hyperlink r:id="rId47" ref="AU77"/>
    <hyperlink r:id="rId48" ref="AU78"/>
    <hyperlink r:id="rId49" ref="AU80"/>
    <hyperlink r:id="rId50" ref="AU81"/>
    <hyperlink r:id="rId51" ref="AU94"/>
    <hyperlink r:id="rId52" ref="AT95"/>
    <hyperlink r:id="rId53" ref="AU95"/>
    <hyperlink r:id="rId54" ref="AT96"/>
    <hyperlink r:id="rId55" ref="AU96"/>
    <hyperlink r:id="rId56" ref="AU99"/>
    <hyperlink r:id="rId57" ref="AU100"/>
    <hyperlink r:id="rId58" ref="AT102"/>
    <hyperlink r:id="rId59" ref="AU102"/>
    <hyperlink r:id="rId60" ref="AU103"/>
    <hyperlink r:id="rId61" ref="AU104"/>
    <hyperlink r:id="rId62" ref="AU105"/>
    <hyperlink r:id="rId63" ref="AU106"/>
    <hyperlink r:id="rId64" ref="AT107"/>
    <hyperlink r:id="rId65" ref="AU107"/>
    <hyperlink r:id="rId66" ref="AU108"/>
    <hyperlink r:id="rId67" ref="AU109"/>
    <hyperlink r:id="rId68" ref="AU110"/>
    <hyperlink r:id="rId69" ref="AU111"/>
    <hyperlink r:id="rId70" ref="AT112"/>
    <hyperlink r:id="rId71" ref="AU112"/>
    <hyperlink r:id="rId72" ref="AT113"/>
    <hyperlink r:id="rId73" ref="AU113"/>
    <hyperlink r:id="rId74" ref="AU116"/>
    <hyperlink r:id="rId75" ref="AU117"/>
    <hyperlink r:id="rId76" ref="AT118"/>
    <hyperlink r:id="rId77" ref="AU118"/>
    <hyperlink r:id="rId78" ref="AU119"/>
    <hyperlink r:id="rId79" ref="AU124"/>
    <hyperlink r:id="rId80" ref="AU125"/>
    <hyperlink r:id="rId81" ref="AT126"/>
    <hyperlink r:id="rId82" ref="AU126"/>
    <hyperlink r:id="rId83" ref="AT127"/>
    <hyperlink r:id="rId84" ref="AU127"/>
    <hyperlink r:id="rId85" ref="AT128"/>
    <hyperlink r:id="rId86" ref="AU128"/>
    <hyperlink r:id="rId87" ref="AT129"/>
    <hyperlink r:id="rId88" ref="AU129"/>
    <hyperlink r:id="rId89" ref="AU130"/>
    <hyperlink r:id="rId90" ref="AT131"/>
    <hyperlink r:id="rId91" ref="AU131"/>
    <hyperlink r:id="rId92" ref="AT132"/>
    <hyperlink r:id="rId93" ref="AU132"/>
    <hyperlink r:id="rId94" ref="AU133"/>
    <hyperlink r:id="rId95" ref="AU134"/>
    <hyperlink r:id="rId96" ref="AU136"/>
    <hyperlink r:id="rId97" ref="AU138"/>
    <hyperlink r:id="rId98" ref="AU139"/>
    <hyperlink r:id="rId99" ref="AT140"/>
    <hyperlink r:id="rId100" ref="AU140"/>
    <hyperlink r:id="rId101" ref="AT141"/>
    <hyperlink r:id="rId102" ref="AU141"/>
    <hyperlink r:id="rId103" ref="AT142"/>
    <hyperlink r:id="rId104" ref="AU142"/>
    <hyperlink r:id="rId105" ref="AT143"/>
    <hyperlink r:id="rId106" ref="AU144"/>
    <hyperlink r:id="rId107" ref="AT145"/>
    <hyperlink r:id="rId108" ref="AU145"/>
    <hyperlink r:id="rId109" ref="AU146"/>
    <hyperlink r:id="rId110" ref="AU147"/>
    <hyperlink r:id="rId111" ref="AU148"/>
    <hyperlink r:id="rId112" ref="AU149"/>
    <hyperlink r:id="rId113" ref="AU150"/>
    <hyperlink r:id="rId114" ref="AU151"/>
    <hyperlink r:id="rId115" ref="AU152"/>
    <hyperlink r:id="rId116" ref="AU156"/>
    <hyperlink r:id="rId117" ref="AU157"/>
    <hyperlink r:id="rId118" ref="AU158"/>
    <hyperlink r:id="rId119" ref="AT159"/>
    <hyperlink r:id="rId120" ref="AU159"/>
    <hyperlink r:id="rId121" ref="AT160"/>
    <hyperlink r:id="rId122" ref="AU160"/>
    <hyperlink r:id="rId123" ref="AT161"/>
    <hyperlink r:id="rId124" ref="AU161"/>
    <hyperlink r:id="rId125" ref="AT162"/>
    <hyperlink r:id="rId126" ref="AU162"/>
    <hyperlink r:id="rId127" ref="AT163"/>
    <hyperlink r:id="rId128" ref="AU163"/>
    <hyperlink r:id="rId129" ref="AU164"/>
    <hyperlink r:id="rId130" ref="AU165"/>
    <hyperlink r:id="rId131" ref="AU166"/>
    <hyperlink r:id="rId132" ref="AU167"/>
    <hyperlink r:id="rId133" ref="AU168"/>
    <hyperlink r:id="rId134" ref="AU169"/>
    <hyperlink r:id="rId135" ref="AU171"/>
    <hyperlink r:id="rId136" ref="AU172"/>
    <hyperlink r:id="rId137" ref="AU173"/>
    <hyperlink r:id="rId138" ref="AT174"/>
    <hyperlink r:id="rId139" ref="AU174"/>
    <hyperlink r:id="rId140" ref="AU187"/>
    <hyperlink r:id="rId141" ref="AU188"/>
    <hyperlink r:id="rId142" ref="AU189"/>
    <hyperlink r:id="rId143" ref="AU190"/>
    <hyperlink r:id="rId144" ref="AU191"/>
    <hyperlink r:id="rId145" ref="AU192"/>
    <hyperlink r:id="rId146" ref="AT193"/>
    <hyperlink r:id="rId147" ref="AU193"/>
    <hyperlink r:id="rId148" ref="AT194"/>
    <hyperlink r:id="rId149" ref="AU194"/>
    <hyperlink r:id="rId150" ref="AT197"/>
    <hyperlink r:id="rId151" ref="AU197"/>
    <hyperlink r:id="rId152" ref="AU198"/>
    <hyperlink r:id="rId153" ref="AT199"/>
    <hyperlink r:id="rId154" ref="AU199"/>
    <hyperlink r:id="rId155" ref="AT200"/>
    <hyperlink r:id="rId156" ref="AU200"/>
    <hyperlink r:id="rId157" ref="AU201"/>
    <hyperlink r:id="rId158" ref="AT202"/>
    <hyperlink r:id="rId159" ref="AU202"/>
    <hyperlink r:id="rId160" ref="AT205"/>
    <hyperlink r:id="rId161" ref="AU205"/>
    <hyperlink r:id="rId162" ref="AT206"/>
    <hyperlink r:id="rId163" ref="AU206"/>
    <hyperlink r:id="rId164" ref="AT207"/>
    <hyperlink r:id="rId165" ref="AU207"/>
    <hyperlink r:id="rId166" ref="AT208"/>
    <hyperlink r:id="rId167" ref="AU208"/>
    <hyperlink r:id="rId168" ref="AT209"/>
    <hyperlink r:id="rId169" ref="AU209"/>
    <hyperlink r:id="rId170" ref="AT210"/>
    <hyperlink r:id="rId171" ref="AU210"/>
  </hyperlinks>
  <drawing r:id="rId1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4" max="45" width="14.43"/>
  </cols>
  <sheetData>
    <row r="1">
      <c r="A1" s="12" t="s">
        <v>236</v>
      </c>
      <c r="Q1" s="6" t="s">
        <v>237</v>
      </c>
    </row>
    <row r="2">
      <c r="A2" s="13"/>
    </row>
    <row r="3">
      <c r="A3" s="13"/>
    </row>
    <row r="4">
      <c r="A4" s="14" t="str">
        <f>IFERROR(__xludf.DUMMYFUNCTION("QUERY(Impro!A:CR, A1)")," PROYECTO")</f>
        <v> PROYECTO</v>
      </c>
      <c r="B4" s="11" t="str">
        <f>IFERROR(__xludf.DUMMYFUNCTION("""COMPUTED_VALUE""")," TIPO DE PRODUCTO")</f>
        <v> TIPO DE PRODUCTO</v>
      </c>
      <c r="C4" s="11" t="str">
        <f>IFERROR(__xludf.DUMMYFUNCTION("""COMPUTED_VALUE""")," SUBPRODUCTO")</f>
        <v> SUBPRODUCTO</v>
      </c>
      <c r="D4" s="11" t="str">
        <f>IFERROR(__xludf.DUMMYFUNCTION("""COMPUTED_VALUE""")," ")</f>
        <v> </v>
      </c>
      <c r="E4" s="11" t="str">
        <f>IFERROR(__xludf.DUMMYFUNCTION("""COMPUTED_VALUE""")," ")</f>
        <v> </v>
      </c>
      <c r="F4" s="11" t="str">
        <f>IFERROR(__xludf.DUMMYFUNCTION("""COMPUTED_VALUE""")," ")</f>
        <v> </v>
      </c>
      <c r="G4" s="11" t="str">
        <f>IFERROR(__xludf.DUMMYFUNCTION("""COMPUTED_VALUE""")," ")</f>
        <v> </v>
      </c>
      <c r="H4" s="11" t="str">
        <f>IFERROR(__xludf.DUMMYFUNCTION("""COMPUTED_VALUE""")," ")</f>
        <v> </v>
      </c>
      <c r="I4" s="11" t="str">
        <f>IFERROR(__xludf.DUMMYFUNCTION("""COMPUTED_VALUE""")," ")</f>
        <v> </v>
      </c>
      <c r="J4" s="11" t="str">
        <f>IFERROR(__xludf.DUMMYFUNCTION("""COMPUTED_VALUE""")," ")</f>
        <v> </v>
      </c>
      <c r="K4" s="11" t="str">
        <f>IFERROR(__xludf.DUMMYFUNCTION("""COMPUTED_VALUE""")," ")</f>
        <v> </v>
      </c>
      <c r="L4" s="11" t="str">
        <f>IFERROR(__xludf.DUMMYFUNCTION("""COMPUTED_VALUE""")," ")</f>
        <v> </v>
      </c>
      <c r="M4" s="11" t="str">
        <f>IFERROR(__xludf.DUMMYFUNCTION("""COMPUTED_VALUE""")," ")</f>
        <v> </v>
      </c>
      <c r="N4" s="11" t="str">
        <f>IFERROR(__xludf.DUMMYFUNCTION("""COMPUTED_VALUE""")," ")</f>
        <v> </v>
      </c>
      <c r="O4" s="11" t="str">
        <f>IFERROR(__xludf.DUMMYFUNCTION("""COMPUTED_VALUE""")," ")</f>
        <v> </v>
      </c>
      <c r="P4" s="11" t="str">
        <f>IFERROR(__xludf.DUMMYFUNCTION("""COMPUTED_VALUE""")," ")</f>
        <v> </v>
      </c>
      <c r="Q4" s="11" t="str">
        <f>IFERROR(__xludf.DUMMYFUNCTION("""COMPUTED_VALUE""")," ")</f>
        <v> </v>
      </c>
      <c r="R4" s="11" t="str">
        <f>IFERROR(__xludf.DUMMYFUNCTION("""COMPUTED_VALUE""")," ")</f>
        <v> </v>
      </c>
      <c r="S4" s="11" t="str">
        <f>IFERROR(__xludf.DUMMYFUNCTION("""COMPUTED_VALUE""")," ")</f>
        <v> </v>
      </c>
      <c r="T4" s="11" t="str">
        <f>IFERROR(__xludf.DUMMYFUNCTION("""COMPUTED_VALUE""")," ")</f>
        <v> </v>
      </c>
      <c r="U4" s="11" t="str">
        <f>IFERROR(__xludf.DUMMYFUNCTION("""COMPUTED_VALUE"""),"INTERNACIONALIZACIÓN COLABORACIÓN")</f>
        <v>INTERNACIONALIZACIÓN COLABORACIÓN</v>
      </c>
      <c r="V4" s="11" t="str">
        <f>IFERROR(__xludf.DUMMYFUNCTION("""COMPUTED_VALUE""")," DESCRIPCIÓN")</f>
        <v> DESCRIPCIÓN</v>
      </c>
      <c r="W4" s="11" t="str">
        <f>IFERROR(__xludf.DUMMYFUNCTION("""COMPUTED_VALUE"""),"COOPERACIÓN INSTITUCIONES COLABORACÓN INTERNA")</f>
        <v>COOPERACIÓN INSTITUCIONES COLABORACÓN INTERNA</v>
      </c>
      <c r="X4" s="11" t="str">
        <f>IFERROR(__xludf.DUMMYFUNCTION("""COMPUTED_VALUE""")," ALIADOS  SÉNECA")</f>
        <v> ALIADOS  SÉNECA</v>
      </c>
      <c r="Y4" s="11" t="str">
        <f>IFERROR(__xludf.DUMMYFUNCTION("""COMPUTED_VALUE""")," ")</f>
        <v> </v>
      </c>
      <c r="Z4" s="11" t="str">
        <f>IFERROR(__xludf.DUMMYFUNCTION("""COMPUTED_VALUE""")," ")</f>
        <v> </v>
      </c>
      <c r="AA4" s="11" t="str">
        <f>IFERROR(__xludf.DUMMYFUNCTION("""COMPUTED_VALUE""")," ")</f>
        <v> </v>
      </c>
      <c r="AB4" s="11" t="str">
        <f>IFERROR(__xludf.DUMMYFUNCTION("""COMPUTED_VALUE""")," ")</f>
        <v> </v>
      </c>
      <c r="AC4" s="11" t="str">
        <f>IFERROR(__xludf.DUMMYFUNCTION("""COMPUTED_VALUE""")," ")</f>
        <v> </v>
      </c>
      <c r="AD4" s="11" t="str">
        <f>IFERROR(__xludf.DUMMYFUNCTION("""COMPUTED_VALUE""")," ")</f>
        <v> </v>
      </c>
      <c r="AE4" s="11" t="str">
        <f>IFERROR(__xludf.DUMMYFUNCTION("""COMPUTED_VALUE""")," ")</f>
        <v> </v>
      </c>
      <c r="AF4" s="11" t="str">
        <f>IFERROR(__xludf.DUMMYFUNCTION("""COMPUTED_VALUE""")," ")</f>
        <v> </v>
      </c>
      <c r="AG4" s="11" t="str">
        <f>IFERROR(__xludf.DUMMYFUNCTION("""COMPUTED_VALUE""")," ")</f>
        <v> </v>
      </c>
      <c r="AH4" s="11" t="str">
        <f>IFERROR(__xludf.DUMMYFUNCTION("""COMPUTED_VALUE""")," ")</f>
        <v> </v>
      </c>
      <c r="AI4" s="11" t="str">
        <f>IFERROR(__xludf.DUMMYFUNCTION("""COMPUTED_VALUE""")," ")</f>
        <v> </v>
      </c>
      <c r="AJ4" s="11" t="str">
        <f>IFERROR(__xludf.DUMMYFUNCTION("""COMPUTED_VALUE""")," OTRAS INSTITUCIONES")</f>
        <v> OTRAS INSTITUCIONES</v>
      </c>
      <c r="AK4" s="11" t="str">
        <f>IFERROR(__xludf.DUMMYFUNCTION("""COMPUTED_VALUE"""),"RELACIÓN CON OTRO PROYECTO TIPO DE RELACIÓN")</f>
        <v>RELACIÓN CON OTRO PROYECTO TIPO DE RELACIÓN</v>
      </c>
      <c r="AL4" s="11" t="str">
        <f>IFERROR(__xludf.DUMMYFUNCTION("""COMPUTED_VALUE""")," PROYECTO")</f>
        <v> PROYECTO</v>
      </c>
      <c r="AM4" s="11" t="str">
        <f>IFERROR(__xludf.DUMMYFUNCTION("""COMPUTED_VALUE""")," TIPO DE COMPROMISO")</f>
        <v> TIPO DE COMPROMISO</v>
      </c>
      <c r="AN4" s="11" t="str">
        <f>IFERROR(__xludf.DUMMYFUNCTION("""COMPUTED_VALUE"""),"COLABORACIÓN Número de autores")</f>
        <v>COLABORACIÓN Número de autores</v>
      </c>
      <c r="AO4" s="11" t="str">
        <f>IFERROR(__xludf.DUMMYFUNCTION("""COMPUTED_VALUE""")," Número de autores Séneca")</f>
        <v> Número de autores Séneca</v>
      </c>
      <c r="AP4" s="11" t="str">
        <f>IFERROR(__xludf.DUMMYFUNCTION("""COMPUTED_VALUE""")," Número de grupos involucrados ")</f>
        <v> Número de grupos involucrados </v>
      </c>
      <c r="AQ4" s="11" t="str">
        <f>IFERROR(__xludf.DUMMYFUNCTION("""COMPUTED_VALUE""")," Número de grupos Séneca involucrados")</f>
        <v> Número de grupos Séneca involucrados</v>
      </c>
      <c r="AR4" s="11" t="str">
        <f>IFERROR(__xludf.DUMMYFUNCTION("""COMPUTED_VALUE""")," Número de Instituciones ")</f>
        <v> Número de Instituciones </v>
      </c>
      <c r="AS4" s="11" t="str">
        <f>IFERROR(__xludf.DUMMYFUNCTION("""COMPUTED_VALUE""")," Número de Instituciones Séneca")</f>
        <v> Número de Instituciones Séneca</v>
      </c>
      <c r="AT4" s="11" t="str">
        <f>IFERROR(__xludf.DUMMYFUNCTION("""COMPUTED_VALUE""")," DESCRIPCIÓN PRODUCTO")</f>
        <v> DESCRIPCIÓN PRODUCTO</v>
      </c>
      <c r="AU4" s="11" t="str">
        <f>IFERROR(__xludf.DUMMYFUNCTION("""COMPUTED_VALUE""")," ENLACE")</f>
        <v> ENLACE</v>
      </c>
      <c r="AV4" s="11" t="str">
        <f>IFERROR(__xludf.DUMMYFUNCTION("""COMPUTED_VALUE""")," Caso SSOFI")</f>
        <v> Caso SSOFI</v>
      </c>
      <c r="AW4" s="11" t="str">
        <f>IFERROR(__xludf.DUMMYFUNCTION("""COMPUTED_VALUE""")," Estudiantes")</f>
        <v> Estudiantes</v>
      </c>
      <c r="AX4" s="11" t="str">
        <f>IFERROR(__xludf.DUMMYFUNCTION("""COMPUTED_VALUE""")," Informe de reporte")</f>
        <v> Informe de reporte</v>
      </c>
      <c r="AY4" s="11" t="str">
        <f>IFERROR(__xludf.DUMMYFUNCTION("""COMPUTED_VALUE""")," Título ")</f>
        <v> Título </v>
      </c>
      <c r="AZ4" s="11" t="str">
        <f>IFERROR(__xludf.DUMMYFUNCTION("""COMPUTED_VALUE""")," Validado Colciencias")</f>
        <v> Validado Colciencias</v>
      </c>
      <c r="BA4" s="11" t="str">
        <f>IFERROR(__xludf.DUMMYFUNCTION("""COMPUTED_VALUE""")," Autor 1 ")</f>
        <v> Autor 1 </v>
      </c>
      <c r="BB4" s="11" t="str">
        <f>IFERROR(__xludf.DUMMYFUNCTION("""COMPUTED_VALUE""")," Inst Autor 1")</f>
        <v> Inst Autor 1</v>
      </c>
      <c r="BC4" s="11" t="str">
        <f>IFERROR(__xludf.DUMMYFUNCTION("""COMPUTED_VALUE""")," Grupo Autor 1")</f>
        <v> Grupo Autor 1</v>
      </c>
      <c r="BD4" s="11" t="str">
        <f>IFERROR(__xludf.DUMMYFUNCTION("""COMPUTED_VALUE""")," Autor 2 ")</f>
        <v> Autor 2 </v>
      </c>
      <c r="BE4" s="11" t="str">
        <f>IFERROR(__xludf.DUMMYFUNCTION("""COMPUTED_VALUE""")," Inst Autor 2")</f>
        <v> Inst Autor 2</v>
      </c>
      <c r="BF4" s="11" t="str">
        <f>IFERROR(__xludf.DUMMYFUNCTION("""COMPUTED_VALUE""")," Grupo Autor 2")</f>
        <v> Grupo Autor 2</v>
      </c>
      <c r="BG4" s="11" t="str">
        <f>IFERROR(__xludf.DUMMYFUNCTION("""COMPUTED_VALUE""")," Autor 3")</f>
        <v> Autor 3</v>
      </c>
      <c r="BH4" s="11" t="str">
        <f>IFERROR(__xludf.DUMMYFUNCTION("""COMPUTED_VALUE""")," Inst Autor 3")</f>
        <v> Inst Autor 3</v>
      </c>
      <c r="BI4" s="11" t="str">
        <f>IFERROR(__xludf.DUMMYFUNCTION("""COMPUTED_VALUE""")," Grupo Autor 3")</f>
        <v> Grupo Autor 3</v>
      </c>
      <c r="BJ4" s="11" t="str">
        <f>IFERROR(__xludf.DUMMYFUNCTION("""COMPUTED_VALUE""")," Autor 4")</f>
        <v> Autor 4</v>
      </c>
      <c r="BK4" s="11" t="str">
        <f>IFERROR(__xludf.DUMMYFUNCTION("""COMPUTED_VALUE""")," Inst Autor 4")</f>
        <v> Inst Autor 4</v>
      </c>
      <c r="BL4" s="11" t="str">
        <f>IFERROR(__xludf.DUMMYFUNCTION("""COMPUTED_VALUE""")," Grupo Autor 4")</f>
        <v> Grupo Autor 4</v>
      </c>
      <c r="BM4" s="11" t="str">
        <f>IFERROR(__xludf.DUMMYFUNCTION("""COMPUTED_VALUE""")," Autor 5")</f>
        <v> Autor 5</v>
      </c>
      <c r="BN4" s="11" t="str">
        <f>IFERROR(__xludf.DUMMYFUNCTION("""COMPUTED_VALUE""")," Inst Autor 5")</f>
        <v> Inst Autor 5</v>
      </c>
      <c r="BO4" s="11" t="str">
        <f>IFERROR(__xludf.DUMMYFUNCTION("""COMPUTED_VALUE""")," Grupo Autor 5")</f>
        <v> Grupo Autor 5</v>
      </c>
      <c r="BP4" s="11" t="str">
        <f>IFERROR(__xludf.DUMMYFUNCTION("""COMPUTED_VALUE""")," Autor 6")</f>
        <v> Autor 6</v>
      </c>
      <c r="BQ4" s="11" t="str">
        <f>IFERROR(__xludf.DUMMYFUNCTION("""COMPUTED_VALUE""")," Inst Autor 6")</f>
        <v> Inst Autor 6</v>
      </c>
      <c r="BR4" s="11" t="str">
        <f>IFERROR(__xludf.DUMMYFUNCTION("""COMPUTED_VALUE""")," Grupo Autor 6")</f>
        <v> Grupo Autor 6</v>
      </c>
      <c r="BS4" s="11" t="str">
        <f>IFERROR(__xludf.DUMMYFUNCTION("""COMPUTED_VALUE""")," Autor 7")</f>
        <v> Autor 7</v>
      </c>
      <c r="BT4" s="11" t="str">
        <f>IFERROR(__xludf.DUMMYFUNCTION("""COMPUTED_VALUE""")," Inst Autor 7")</f>
        <v> Inst Autor 7</v>
      </c>
      <c r="BU4" s="11" t="str">
        <f>IFERROR(__xludf.DUMMYFUNCTION("""COMPUTED_VALUE""")," Grupo Autor 7")</f>
        <v> Grupo Autor 7</v>
      </c>
      <c r="BV4" s="11" t="str">
        <f>IFERROR(__xludf.DUMMYFUNCTION("""COMPUTED_VALUE""")," Autor 8")</f>
        <v> Autor 8</v>
      </c>
      <c r="BW4" s="11" t="str">
        <f>IFERROR(__xludf.DUMMYFUNCTION("""COMPUTED_VALUE""")," Inst Autor 8")</f>
        <v> Inst Autor 8</v>
      </c>
      <c r="BX4" s="11" t="str">
        <f>IFERROR(__xludf.DUMMYFUNCTION("""COMPUTED_VALUE""")," Grupo Autor 8")</f>
        <v> Grupo Autor 8</v>
      </c>
      <c r="BY4" s="11" t="str">
        <f>IFERROR(__xludf.DUMMYFUNCTION("""COMPUTED_VALUE""")," Autor 9")</f>
        <v> Autor 9</v>
      </c>
      <c r="BZ4" s="11" t="str">
        <f>IFERROR(__xludf.DUMMYFUNCTION("""COMPUTED_VALUE""")," Inst Autor 9")</f>
        <v> Inst Autor 9</v>
      </c>
      <c r="CA4" s="11" t="str">
        <f>IFERROR(__xludf.DUMMYFUNCTION("""COMPUTED_VALUE""")," Grupo Autor 9")</f>
        <v> Grupo Autor 9</v>
      </c>
      <c r="CB4" s="11" t="str">
        <f>IFERROR(__xludf.DUMMYFUNCTION("""COMPUTED_VALUE""")," Autor 10")</f>
        <v> Autor 10</v>
      </c>
      <c r="CC4" s="11" t="str">
        <f>IFERROR(__xludf.DUMMYFUNCTION("""COMPUTED_VALUE""")," Inst Autor 10")</f>
        <v> Inst Autor 10</v>
      </c>
      <c r="CD4" s="11" t="str">
        <f>IFERROR(__xludf.DUMMYFUNCTION("""COMPUTED_VALUE""")," Grupo Autor 10")</f>
        <v> Grupo Autor 10</v>
      </c>
      <c r="CE4" s="11" t="str">
        <f>IFERROR(__xludf.DUMMYFUNCTION("""COMPUTED_VALUE""")," Autor 11")</f>
        <v> Autor 11</v>
      </c>
      <c r="CF4" s="11" t="str">
        <f>IFERROR(__xludf.DUMMYFUNCTION("""COMPUTED_VALUE""")," Inst Autor 11")</f>
        <v> Inst Autor 11</v>
      </c>
      <c r="CG4" s="11" t="str">
        <f>IFERROR(__xludf.DUMMYFUNCTION("""COMPUTED_VALUE""")," Grupo Autor 11")</f>
        <v> Grupo Autor 11</v>
      </c>
      <c r="CH4" s="11" t="str">
        <f>IFERROR(__xludf.DUMMYFUNCTION("""COMPUTED_VALUE""")," Autor 12")</f>
        <v> Autor 12</v>
      </c>
      <c r="CI4" s="11" t="str">
        <f>IFERROR(__xludf.DUMMYFUNCTION("""COMPUTED_VALUE""")," Inst Autor 12")</f>
        <v> Inst Autor 12</v>
      </c>
      <c r="CJ4" s="11" t="str">
        <f>IFERROR(__xludf.DUMMYFUNCTION("""COMPUTED_VALUE""")," Grupo Autor 12")</f>
        <v> Grupo Autor 12</v>
      </c>
      <c r="CK4" s="11" t="str">
        <f>IFERROR(__xludf.DUMMYFUNCTION("""COMPUTED_VALUE""")," Autor 13")</f>
        <v> Autor 13</v>
      </c>
      <c r="CL4" s="11" t="str">
        <f>IFERROR(__xludf.DUMMYFUNCTION("""COMPUTED_VALUE""")," Inst Autor 13")</f>
        <v> Inst Autor 13</v>
      </c>
      <c r="CM4" s="11" t="str">
        <f>IFERROR(__xludf.DUMMYFUNCTION("""COMPUTED_VALUE""")," Grupo Autor 13")</f>
        <v> Grupo Autor 13</v>
      </c>
      <c r="CN4" s="11" t="str">
        <f>IFERROR(__xludf.DUMMYFUNCTION("""COMPUTED_VALUE""")," Autor 14")</f>
        <v> Autor 14</v>
      </c>
      <c r="CO4" s="11" t="str">
        <f>IFERROR(__xludf.DUMMYFUNCTION("""COMPUTED_VALUE""")," Inst Autor 14")</f>
        <v> Inst Autor 14</v>
      </c>
      <c r="CP4" s="11" t="str">
        <f>IFERROR(__xludf.DUMMYFUNCTION("""COMPUTED_VALUE""")," Grupo Autor 14")</f>
        <v> Grupo Autor 14</v>
      </c>
      <c r="CQ4" s="11" t="str">
        <f>IFERROR(__xludf.DUMMYFUNCTION("""COMPUTED_VALUE""")," Publicación")</f>
        <v> Publicación</v>
      </c>
      <c r="CR4" s="11" t="str">
        <f>IFERROR(__xludf.DUMMYFUNCTION("""COMPUTED_VALUE""")," Factor impacto")</f>
        <v> Factor impacto</v>
      </c>
    </row>
    <row r="5">
      <c r="A5" s="11" t="str">
        <f>IFERROR(__xludf.DUMMYFUNCTION("""COMPUTED_VALUE"""),"Proy8")</f>
        <v>Proy8</v>
      </c>
      <c r="B5" s="11" t="str">
        <f>IFERROR(__xludf.DUMMYFUNCTION("""COMPUTED_VALUE"""),"Nuevo_Conocimiento")</f>
        <v>Nuevo_Conocimiento</v>
      </c>
      <c r="C5" s="11" t="str">
        <f>IFERROR(__xludf.DUMMYFUNCTION("""COMPUTED_VALUE"""),"Artículo A1")</f>
        <v>Artículo A1</v>
      </c>
      <c r="D5" s="11" t="str">
        <f>IFERROR(__xludf.DUMMYFUNCTION("""COMPUTED_VALUE"""),"Artículo A1")</f>
        <v>Artículo A1</v>
      </c>
      <c r="E5" s="11" t="str">
        <f>IFERROR(__xludf.DUMMYFUNCTION("""COMPUTED_VALUE"""),"Artículo A2")</f>
        <v>Artículo A2</v>
      </c>
      <c r="F5" s="11" t="str">
        <f>IFERROR(__xludf.DUMMYFUNCTION("""COMPUTED_VALUE"""),"Artículo B")</f>
        <v>Artículo B</v>
      </c>
      <c r="G5" s="11" t="str">
        <f>IFERROR(__xludf.DUMMYFUNCTION("""COMPUTED_VALUE"""),"Artículo C")</f>
        <v>Artículo C</v>
      </c>
      <c r="H5" s="11" t="str">
        <f>IFERROR(__xludf.DUMMYFUNCTION("""COMPUTED_VALUE"""),"Capítulo de libro A")</f>
        <v>Capítulo de libro A</v>
      </c>
      <c r="I5" s="11" t="str">
        <f>IFERROR(__xludf.DUMMYFUNCTION("""COMPUTED_VALUE"""),"Capítulo de libro A1")</f>
        <v>Capítulo de libro A1</v>
      </c>
      <c r="J5" s="11" t="str">
        <f>IFERROR(__xludf.DUMMYFUNCTION("""COMPUTED_VALUE"""),"Capítulo de libro B")</f>
        <v>Capítulo de libro B</v>
      </c>
      <c r="K5" s="11" t="str">
        <f>IFERROR(__xludf.DUMMYFUNCTION("""COMPUTED_VALUE"""),"Libro A")</f>
        <v>Libro A</v>
      </c>
      <c r="L5" s="11" t="str">
        <f>IFERROR(__xludf.DUMMYFUNCTION("""COMPUTED_VALUE"""),"Libro A1")</f>
        <v>Libro A1</v>
      </c>
      <c r="M5" s="11" t="str">
        <f>IFERROR(__xludf.DUMMYFUNCTION("""COMPUTED_VALUE"""),"Libro B")</f>
        <v>Libro B</v>
      </c>
      <c r="N5" s="11" t="str">
        <f>IFERROR(__xludf.DUMMYFUNCTION("""COMPUTED_VALUE"""),"Solicitud Patente de invención y-o modelo de utitlidad")</f>
        <v>Solicitud Patente de invención y-o modelo de utitlidad</v>
      </c>
      <c r="O5" s="11" t="str">
        <f>IFERROR(__xludf.DUMMYFUNCTION("""COMPUTED_VALUE"""),"Patente de invención")</f>
        <v>Patente de invención</v>
      </c>
      <c r="P5" s="11" t="str">
        <f>IFERROR(__xludf.DUMMYFUNCTION("""COMPUTED_VALUE"""),"Patente de modelo de utilidad")</f>
        <v>Patente de modelo de utilidad</v>
      </c>
      <c r="Q5" s="11" t="str">
        <f>IFERROR(__xludf.DUMMYFUNCTION("""COMPUTED_VALUE"""),"Artículo sin clasificar")</f>
        <v>Artículo sin clasificar</v>
      </c>
      <c r="R5" s="11" t="str">
        <f>IFERROR(__xludf.DUMMYFUNCTION("""COMPUTED_VALUE"""),"Capítulo sin clasificar")</f>
        <v>Capítulo sin clasificar</v>
      </c>
      <c r="S5" s="11"/>
      <c r="T5" s="11"/>
      <c r="U5" s="11" t="str">
        <f>IFERROR(__xludf.DUMMYFUNCTION("""COMPUTED_VALUE"""),"Ninguna")</f>
        <v>Ninguna</v>
      </c>
      <c r="V5" s="11"/>
      <c r="W5" s="11" t="str">
        <f>IFERROR(__xludf.DUMMYFUNCTION("""COMPUTED_VALUE"""),"Proyecto")</f>
        <v>Proyecto</v>
      </c>
      <c r="X5" s="11" t="str">
        <f>IFERROR(__xludf.DUMMYFUNCTION("""COMPUTED_VALUE"""),"UniSabana")</f>
        <v>UniSabana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 t="str">
        <f>IFERROR(__xludf.DUMMYFUNCTION("""COMPUTED_VALUE"""),"Ninguna")</f>
        <v>Ninguna</v>
      </c>
      <c r="AL5" s="11"/>
      <c r="AM5" s="11" t="str">
        <f>IFERROR(__xludf.DUMMYFUNCTION("""COMPUTED_VALUE"""),"Obligatorio")</f>
        <v>Obligatorio</v>
      </c>
      <c r="AN5" s="11">
        <f>IFERROR(__xludf.DUMMYFUNCTION("""COMPUTED_VALUE"""),4.0)</f>
        <v>4</v>
      </c>
      <c r="AO5" s="11">
        <f>IFERROR(__xludf.DUMMYFUNCTION("""COMPUTED_VALUE"""),1.0)</f>
        <v>1</v>
      </c>
      <c r="AP5" s="11">
        <f>IFERROR(__xludf.DUMMYFUNCTION("""COMPUTED_VALUE"""),1.0)</f>
        <v>1</v>
      </c>
      <c r="AQ5" s="11">
        <f>IFERROR(__xludf.DUMMYFUNCTION("""COMPUTED_VALUE"""),1.0)</f>
        <v>1</v>
      </c>
      <c r="AR5" s="11">
        <f>IFERROR(__xludf.DUMMYFUNCTION("""COMPUTED_VALUE"""),1.0)</f>
        <v>1</v>
      </c>
      <c r="AS5" s="11">
        <f>IFERROR(__xludf.DUMMYFUNCTION("""COMPUTED_VALUE"""),1.0)</f>
        <v>1</v>
      </c>
      <c r="AT5" s="15" t="str">
        <f>IFERROR(__xludf.DUMMYFUNCTION("""COMPUTED_VALUE"""),"https://doi.org/10.1016/j.heliyon.2020.e05772
")</f>
        <v>https://doi.org/10.1016/j.heliyon.2020.e05772
</v>
      </c>
      <c r="AU5" s="15" t="str">
        <f>IFERROR(__xludf.DUMMYFUNCTION("""COMPUTED_VALUE"""),"https://drive.google.com/file/d/1JFrj4uHHd71pr8kxB30q88_Sw7g_Kevi/view?usp=sharing")</f>
        <v>https://drive.google.com/file/d/1JFrj4uHHd71pr8kxB30q88_Sw7g_Kevi/view?usp=sharing</v>
      </c>
      <c r="AV5" s="11"/>
      <c r="AW5" s="11"/>
      <c r="AX5" s="11">
        <f>IFERROR(__xludf.DUMMYFUNCTION("""COMPUTED_VALUE"""),6.0)</f>
        <v>6</v>
      </c>
      <c r="AY5" s="11" t="str">
        <f>IFERROR(__xludf.DUMMYFUNCTION("""COMPUTED_VALUE"""),"Proposal of an open-source computational toolbox for solving PDEs in the
context of chemical reaction engineering using FEniCS and
complementary components")</f>
        <v>Proposal of an open-source computational toolbox for solving PDEs in the
context of chemical reaction engineering using FEniCS and
complementary components</v>
      </c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</row>
    <row r="6">
      <c r="A6" s="11" t="str">
        <f>IFERROR(__xludf.DUMMYFUNCTION("""COMPUTED_VALUE"""),"Proy8")</f>
        <v>Proy8</v>
      </c>
      <c r="B6" s="11" t="str">
        <f>IFERROR(__xludf.DUMMYFUNCTION("""COMPUTED_VALUE"""),"Nuevo_Conocimiento")</f>
        <v>Nuevo_Conocimiento</v>
      </c>
      <c r="C6" s="11" t="str">
        <f>IFERROR(__xludf.DUMMYFUNCTION("""COMPUTED_VALUE"""),"Artículo A1")</f>
        <v>Artículo A1</v>
      </c>
      <c r="D6" s="11" t="str">
        <f>IFERROR(__xludf.DUMMYFUNCTION("""COMPUTED_VALUE"""),"Artículo A1")</f>
        <v>Artículo A1</v>
      </c>
      <c r="E6" s="11" t="str">
        <f>IFERROR(__xludf.DUMMYFUNCTION("""COMPUTED_VALUE"""),"Artículo A2")</f>
        <v>Artículo A2</v>
      </c>
      <c r="F6" s="11" t="str">
        <f>IFERROR(__xludf.DUMMYFUNCTION("""COMPUTED_VALUE"""),"Artículo B")</f>
        <v>Artículo B</v>
      </c>
      <c r="G6" s="11" t="str">
        <f>IFERROR(__xludf.DUMMYFUNCTION("""COMPUTED_VALUE"""),"Artículo C")</f>
        <v>Artículo C</v>
      </c>
      <c r="H6" s="11" t="str">
        <f>IFERROR(__xludf.DUMMYFUNCTION("""COMPUTED_VALUE"""),"Capítulo de libro A")</f>
        <v>Capítulo de libro A</v>
      </c>
      <c r="I6" s="11" t="str">
        <f>IFERROR(__xludf.DUMMYFUNCTION("""COMPUTED_VALUE"""),"Capítulo de libro A1")</f>
        <v>Capítulo de libro A1</v>
      </c>
      <c r="J6" s="11" t="str">
        <f>IFERROR(__xludf.DUMMYFUNCTION("""COMPUTED_VALUE"""),"Capítulo de libro B")</f>
        <v>Capítulo de libro B</v>
      </c>
      <c r="K6" s="11" t="str">
        <f>IFERROR(__xludf.DUMMYFUNCTION("""COMPUTED_VALUE"""),"Libro A")</f>
        <v>Libro A</v>
      </c>
      <c r="L6" s="11" t="str">
        <f>IFERROR(__xludf.DUMMYFUNCTION("""COMPUTED_VALUE"""),"Libro A1")</f>
        <v>Libro A1</v>
      </c>
      <c r="M6" s="11" t="str">
        <f>IFERROR(__xludf.DUMMYFUNCTION("""COMPUTED_VALUE"""),"Libro B")</f>
        <v>Libro B</v>
      </c>
      <c r="N6" s="11" t="str">
        <f>IFERROR(__xludf.DUMMYFUNCTION("""COMPUTED_VALUE"""),"Solicitud Patente de invención y-o modelo de utitlidad")</f>
        <v>Solicitud Patente de invención y-o modelo de utitlidad</v>
      </c>
      <c r="O6" s="11" t="str">
        <f>IFERROR(__xludf.DUMMYFUNCTION("""COMPUTED_VALUE"""),"Patente de invención")</f>
        <v>Patente de invención</v>
      </c>
      <c r="P6" s="11" t="str">
        <f>IFERROR(__xludf.DUMMYFUNCTION("""COMPUTED_VALUE"""),"Patente de modelo de utilidad")</f>
        <v>Patente de modelo de utilidad</v>
      </c>
      <c r="Q6" s="11" t="str">
        <f>IFERROR(__xludf.DUMMYFUNCTION("""COMPUTED_VALUE"""),"Artículo sin clasificar")</f>
        <v>Artículo sin clasificar</v>
      </c>
      <c r="R6" s="11" t="str">
        <f>IFERROR(__xludf.DUMMYFUNCTION("""COMPUTED_VALUE"""),"Capítulo sin clasificar")</f>
        <v>Capítulo sin clasificar</v>
      </c>
      <c r="S6" s="11"/>
      <c r="T6" s="11"/>
      <c r="U6" s="11" t="str">
        <f>IFERROR(__xludf.DUMMYFUNCTION("""COMPUTED_VALUE"""),"Ninguna")</f>
        <v>Ninguna</v>
      </c>
      <c r="V6" s="11"/>
      <c r="W6" s="11" t="str">
        <f>IFERROR(__xludf.DUMMYFUNCTION("""COMPUTED_VALUE"""),"Proyecto")</f>
        <v>Proyecto</v>
      </c>
      <c r="X6" s="11" t="str">
        <f>IFERROR(__xludf.DUMMYFUNCTION("""COMPUTED_VALUE"""),"UdeA")</f>
        <v>UdeA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 t="str">
        <f>IFERROR(__xludf.DUMMYFUNCTION("""COMPUTED_VALUE"""),"Ninguna")</f>
        <v>Ninguna</v>
      </c>
      <c r="AL6" s="11"/>
      <c r="AM6" s="11" t="str">
        <f>IFERROR(__xludf.DUMMYFUNCTION("""COMPUTED_VALUE"""),"Obligatorio")</f>
        <v>Obligatorio</v>
      </c>
      <c r="AN6" s="11">
        <f>IFERROR(__xludf.DUMMYFUNCTION("""COMPUTED_VALUE"""),5.0)</f>
        <v>5</v>
      </c>
      <c r="AO6" s="11">
        <f>IFERROR(__xludf.DUMMYFUNCTION("""COMPUTED_VALUE"""),1.0)</f>
        <v>1</v>
      </c>
      <c r="AP6" s="11">
        <f>IFERROR(__xludf.DUMMYFUNCTION("""COMPUTED_VALUE"""),1.0)</f>
        <v>1</v>
      </c>
      <c r="AQ6" s="11">
        <f>IFERROR(__xludf.DUMMYFUNCTION("""COMPUTED_VALUE"""),1.0)</f>
        <v>1</v>
      </c>
      <c r="AR6" s="11">
        <f>IFERROR(__xludf.DUMMYFUNCTION("""COMPUTED_VALUE"""),1.0)</f>
        <v>1</v>
      </c>
      <c r="AS6" s="11">
        <f>IFERROR(__xludf.DUMMYFUNCTION("""COMPUTED_VALUE"""),1.0)</f>
        <v>1</v>
      </c>
      <c r="AT6" s="15" t="str">
        <f>IFERROR(__xludf.DUMMYFUNCTION("""COMPUTED_VALUE"""),"https://doi.org/10.1016/j.renene.2020.12.086")</f>
        <v>https://doi.org/10.1016/j.renene.2020.12.086</v>
      </c>
      <c r="AU6" s="15" t="str">
        <f>IFERROR(__xludf.DUMMYFUNCTION("""COMPUTED_VALUE"""),"https://drive.google.com/file/d/19p3Z31Xm9IkCI1UVHJTZqA7ghFSHDkTl/view?usp=sharing")</f>
        <v>https://drive.google.com/file/d/19p3Z31Xm9IkCI1UVHJTZqA7ghFSHDkTl/view?usp=sharing</v>
      </c>
      <c r="AV6" s="11"/>
      <c r="AW6" s="11"/>
      <c r="AX6" s="11">
        <f>IFERROR(__xludf.DUMMYFUNCTION("""COMPUTED_VALUE"""),6.0)</f>
        <v>6</v>
      </c>
      <c r="AY6" s="11" t="str">
        <f>IFERROR(__xludf.DUMMYFUNCTION("""COMPUTED_VALUE"""),"Pre-hydrogenation stage as a strategy to improve the continuous
production of a diesel-like biofuel from palm oil")</f>
        <v>Pre-hydrogenation stage as a strategy to improve the continuous
production of a diesel-like biofuel from palm oil</v>
      </c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</row>
    <row r="7">
      <c r="A7" s="11" t="str">
        <f>IFERROR(__xludf.DUMMYFUNCTION("""COMPUTED_VALUE"""),"Proy13")</f>
        <v>Proy13</v>
      </c>
      <c r="B7" s="11" t="str">
        <f>IFERROR(__xludf.DUMMYFUNCTION("""COMPUTED_VALUE"""),"Nuevo_Conocimiento")</f>
        <v>Nuevo_Conocimiento</v>
      </c>
      <c r="C7" s="11" t="str">
        <f>IFERROR(__xludf.DUMMYFUNCTION("""COMPUTED_VALUE"""),"Artículo A1")</f>
        <v>Artículo A1</v>
      </c>
      <c r="D7" s="11" t="str">
        <f>IFERROR(__xludf.DUMMYFUNCTION("""COMPUTED_VALUE"""),"Artículo A1")</f>
        <v>Artículo A1</v>
      </c>
      <c r="E7" s="11" t="str">
        <f>IFERROR(__xludf.DUMMYFUNCTION("""COMPUTED_VALUE"""),"Artículo A2")</f>
        <v>Artículo A2</v>
      </c>
      <c r="F7" s="11" t="str">
        <f>IFERROR(__xludf.DUMMYFUNCTION("""COMPUTED_VALUE"""),"Artículo B")</f>
        <v>Artículo B</v>
      </c>
      <c r="G7" s="11" t="str">
        <f>IFERROR(__xludf.DUMMYFUNCTION("""COMPUTED_VALUE"""),"Artículo C")</f>
        <v>Artículo C</v>
      </c>
      <c r="H7" s="11" t="str">
        <f>IFERROR(__xludf.DUMMYFUNCTION("""COMPUTED_VALUE"""),"Capítulo de libro A")</f>
        <v>Capítulo de libro A</v>
      </c>
      <c r="I7" s="11" t="str">
        <f>IFERROR(__xludf.DUMMYFUNCTION("""COMPUTED_VALUE"""),"Capítulo de libro A1")</f>
        <v>Capítulo de libro A1</v>
      </c>
      <c r="J7" s="11" t="str">
        <f>IFERROR(__xludf.DUMMYFUNCTION("""COMPUTED_VALUE"""),"Capítulo de libro B")</f>
        <v>Capítulo de libro B</v>
      </c>
      <c r="K7" s="11" t="str">
        <f>IFERROR(__xludf.DUMMYFUNCTION("""COMPUTED_VALUE"""),"Libro A")</f>
        <v>Libro A</v>
      </c>
      <c r="L7" s="11" t="str">
        <f>IFERROR(__xludf.DUMMYFUNCTION("""COMPUTED_VALUE"""),"Libro A1")</f>
        <v>Libro A1</v>
      </c>
      <c r="M7" s="11" t="str">
        <f>IFERROR(__xludf.DUMMYFUNCTION("""COMPUTED_VALUE"""),"Libro B")</f>
        <v>Libro B</v>
      </c>
      <c r="N7" s="11" t="str">
        <f>IFERROR(__xludf.DUMMYFUNCTION("""COMPUTED_VALUE"""),"Solicitud Patente de invención y-o modelo de utitlidad")</f>
        <v>Solicitud Patente de invención y-o modelo de utitlidad</v>
      </c>
      <c r="O7" s="11" t="str">
        <f>IFERROR(__xludf.DUMMYFUNCTION("""COMPUTED_VALUE"""),"Patente de invención")</f>
        <v>Patente de invención</v>
      </c>
      <c r="P7" s="11" t="str">
        <f>IFERROR(__xludf.DUMMYFUNCTION("""COMPUTED_VALUE"""),"Patente de modelo de utilidad")</f>
        <v>Patente de modelo de utilidad</v>
      </c>
      <c r="Q7" s="11" t="str">
        <f>IFERROR(__xludf.DUMMYFUNCTION("""COMPUTED_VALUE"""),"Artículo sin clasificar")</f>
        <v>Artículo sin clasificar</v>
      </c>
      <c r="R7" s="11" t="str">
        <f>IFERROR(__xludf.DUMMYFUNCTION("""COMPUTED_VALUE"""),"Capítulo sin clasificar")</f>
        <v>Capítulo sin clasificar</v>
      </c>
      <c r="S7" s="11"/>
      <c r="T7" s="11"/>
      <c r="U7" s="11" t="str">
        <f>IFERROR(__xludf.DUMMYFUNCTION("""COMPUTED_VALUE"""),"Ninguna")</f>
        <v>Ninguna</v>
      </c>
      <c r="V7" s="11"/>
      <c r="W7" s="11" t="str">
        <f>IFERROR(__xludf.DUMMYFUNCTION("""COMPUTED_VALUE"""),"Proyecto")</f>
        <v>Proyecto</v>
      </c>
      <c r="X7" s="11" t="str">
        <f>IFERROR(__xludf.DUMMYFUNCTION("""COMPUTED_VALUE"""),"UdeA")</f>
        <v>UdeA</v>
      </c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 t="str">
        <f>IFERROR(__xludf.DUMMYFUNCTION("""COMPUTED_VALUE"""),"UniMinuto")</f>
        <v>UniMinuto</v>
      </c>
      <c r="AK7" s="11" t="str">
        <f>IFERROR(__xludf.DUMMYFUNCTION("""COMPUTED_VALUE"""),"Ninguna")</f>
        <v>Ninguna</v>
      </c>
      <c r="AL7" s="11"/>
      <c r="AM7" s="11" t="str">
        <f>IFERROR(__xludf.DUMMYFUNCTION("""COMPUTED_VALUE"""),"Obligatorio")</f>
        <v>Obligatorio</v>
      </c>
      <c r="AN7" s="11">
        <f>IFERROR(__xludf.DUMMYFUNCTION("""COMPUTED_VALUE"""),5.0)</f>
        <v>5</v>
      </c>
      <c r="AO7" s="11">
        <f>IFERROR(__xludf.DUMMYFUNCTION("""COMPUTED_VALUE"""),3.0)</f>
        <v>3</v>
      </c>
      <c r="AP7" s="11">
        <f>IFERROR(__xludf.DUMMYFUNCTION("""COMPUTED_VALUE"""),2.0)</f>
        <v>2</v>
      </c>
      <c r="AQ7" s="11">
        <f>IFERROR(__xludf.DUMMYFUNCTION("""COMPUTED_VALUE"""),1.0)</f>
        <v>1</v>
      </c>
      <c r="AR7" s="11">
        <f>IFERROR(__xludf.DUMMYFUNCTION("""COMPUTED_VALUE"""),2.0)</f>
        <v>2</v>
      </c>
      <c r="AS7" s="11">
        <f>IFERROR(__xludf.DUMMYFUNCTION("""COMPUTED_VALUE"""),1.0)</f>
        <v>1</v>
      </c>
      <c r="AT7" s="15" t="str">
        <f>IFERROR(__xludf.DUMMYFUNCTION("""COMPUTED_VALUE"""),"https://doi.org/10.3390/app11041873")</f>
        <v>https://doi.org/10.3390/app11041873</v>
      </c>
      <c r="AU7" s="15" t="str">
        <f>IFERROR(__xludf.DUMMYFUNCTION("""COMPUTED_VALUE"""),"https://drive.google.com/file/d/1lCQyUXSPlPVw6yIZUr19eaqmpRAV8RWt/view?usp=sharing")</f>
        <v>https://drive.google.com/file/d/1lCQyUXSPlPVw6yIZUr19eaqmpRAV8RWt/view?usp=sharing</v>
      </c>
      <c r="AV7" s="11"/>
      <c r="AW7" s="11"/>
      <c r="AX7" s="11">
        <f>IFERROR(__xludf.DUMMYFUNCTION("""COMPUTED_VALUE"""),6.0)</f>
        <v>6</v>
      </c>
      <c r="AY7" s="11" t="str">
        <f>IFERROR(__xludf.DUMMYFUNCTION("""COMPUTED_VALUE"""),"A Sliding Surface for Controlling a Semi-Bridgeless Boost Converter with Power Factor Correction and Adaptive Hysteresis Band")</f>
        <v>A Sliding Surface for Controlling a Semi-Bridgeless Boost Converter with Power Factor Correction and Adaptive Hysteresis Band</v>
      </c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</row>
    <row r="8">
      <c r="A8" s="11" t="str">
        <f>IFERROR(__xludf.DUMMYFUNCTION("""COMPUTED_VALUE"""),"Proy13")</f>
        <v>Proy13</v>
      </c>
      <c r="B8" s="11" t="str">
        <f>IFERROR(__xludf.DUMMYFUNCTION("""COMPUTED_VALUE"""),"Nuevo_Conocimiento")</f>
        <v>Nuevo_Conocimiento</v>
      </c>
      <c r="C8" s="11" t="str">
        <f>IFERROR(__xludf.DUMMYFUNCTION("""COMPUTED_VALUE"""),"Artículo A2")</f>
        <v>Artículo A2</v>
      </c>
      <c r="D8" s="11" t="str">
        <f>IFERROR(__xludf.DUMMYFUNCTION("""COMPUTED_VALUE"""),"Artículo A1")</f>
        <v>Artículo A1</v>
      </c>
      <c r="E8" s="11" t="str">
        <f>IFERROR(__xludf.DUMMYFUNCTION("""COMPUTED_VALUE"""),"Artículo A2")</f>
        <v>Artículo A2</v>
      </c>
      <c r="F8" s="11" t="str">
        <f>IFERROR(__xludf.DUMMYFUNCTION("""COMPUTED_VALUE"""),"Artículo B")</f>
        <v>Artículo B</v>
      </c>
      <c r="G8" s="11" t="str">
        <f>IFERROR(__xludf.DUMMYFUNCTION("""COMPUTED_VALUE"""),"Artículo C")</f>
        <v>Artículo C</v>
      </c>
      <c r="H8" s="11" t="str">
        <f>IFERROR(__xludf.DUMMYFUNCTION("""COMPUTED_VALUE"""),"Capítulo de libro A")</f>
        <v>Capítulo de libro A</v>
      </c>
      <c r="I8" s="11" t="str">
        <f>IFERROR(__xludf.DUMMYFUNCTION("""COMPUTED_VALUE"""),"Capítulo de libro A1")</f>
        <v>Capítulo de libro A1</v>
      </c>
      <c r="J8" s="11" t="str">
        <f>IFERROR(__xludf.DUMMYFUNCTION("""COMPUTED_VALUE"""),"Capítulo de libro B")</f>
        <v>Capítulo de libro B</v>
      </c>
      <c r="K8" s="11" t="str">
        <f>IFERROR(__xludf.DUMMYFUNCTION("""COMPUTED_VALUE"""),"Libro A")</f>
        <v>Libro A</v>
      </c>
      <c r="L8" s="11" t="str">
        <f>IFERROR(__xludf.DUMMYFUNCTION("""COMPUTED_VALUE"""),"Libro A1")</f>
        <v>Libro A1</v>
      </c>
      <c r="M8" s="11" t="str">
        <f>IFERROR(__xludf.DUMMYFUNCTION("""COMPUTED_VALUE"""),"Libro B")</f>
        <v>Libro B</v>
      </c>
      <c r="N8" s="11" t="str">
        <f>IFERROR(__xludf.DUMMYFUNCTION("""COMPUTED_VALUE"""),"Solicitud Patente de invención y-o modelo de utitlidad")</f>
        <v>Solicitud Patente de invención y-o modelo de utitlidad</v>
      </c>
      <c r="O8" s="11" t="str">
        <f>IFERROR(__xludf.DUMMYFUNCTION("""COMPUTED_VALUE"""),"Patente de invención")</f>
        <v>Patente de invención</v>
      </c>
      <c r="P8" s="11" t="str">
        <f>IFERROR(__xludf.DUMMYFUNCTION("""COMPUTED_VALUE"""),"Patente de modelo de utilidad")</f>
        <v>Patente de modelo de utilidad</v>
      </c>
      <c r="Q8" s="11" t="str">
        <f>IFERROR(__xludf.DUMMYFUNCTION("""COMPUTED_VALUE"""),"Artículo sin clasificar")</f>
        <v>Artículo sin clasificar</v>
      </c>
      <c r="R8" s="11" t="str">
        <f>IFERROR(__xludf.DUMMYFUNCTION("""COMPUTED_VALUE"""),"Capítulo sin clasificar")</f>
        <v>Capítulo sin clasificar</v>
      </c>
      <c r="S8" s="11"/>
      <c r="T8" s="11"/>
      <c r="U8" s="11" t="str">
        <f>IFERROR(__xludf.DUMMYFUNCTION("""COMPUTED_VALUE"""),"Ninguna")</f>
        <v>Ninguna</v>
      </c>
      <c r="V8" s="11"/>
      <c r="W8" s="11" t="str">
        <f>IFERROR(__xludf.DUMMYFUNCTION("""COMPUTED_VALUE"""),"Proyecto")</f>
        <v>Proyecto</v>
      </c>
      <c r="X8" s="11" t="str">
        <f>IFERROR(__xludf.DUMMYFUNCTION("""COMPUTED_VALUE"""),"UdeA")</f>
        <v>UdeA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 t="str">
        <f>IFERROR(__xludf.DUMMYFUNCTION("""COMPUTED_VALUE"""),"Ninguna")</f>
        <v>Ninguna</v>
      </c>
      <c r="AL8" s="11"/>
      <c r="AM8" s="11" t="str">
        <f>IFERROR(__xludf.DUMMYFUNCTION("""COMPUTED_VALUE"""),"Adicional")</f>
        <v>Adicional</v>
      </c>
      <c r="AN8" s="11">
        <f>IFERROR(__xludf.DUMMYFUNCTION("""COMPUTED_VALUE"""),3.0)</f>
        <v>3</v>
      </c>
      <c r="AO8" s="11">
        <f>IFERROR(__xludf.DUMMYFUNCTION("""COMPUTED_VALUE"""),3.0)</f>
        <v>3</v>
      </c>
      <c r="AP8" s="11">
        <f>IFERROR(__xludf.DUMMYFUNCTION("""COMPUTED_VALUE"""),1.0)</f>
        <v>1</v>
      </c>
      <c r="AQ8" s="11">
        <f>IFERROR(__xludf.DUMMYFUNCTION("""COMPUTED_VALUE"""),1.0)</f>
        <v>1</v>
      </c>
      <c r="AR8" s="11">
        <f>IFERROR(__xludf.DUMMYFUNCTION("""COMPUTED_VALUE"""),1.0)</f>
        <v>1</v>
      </c>
      <c r="AS8" s="11">
        <f>IFERROR(__xludf.DUMMYFUNCTION("""COMPUTED_VALUE"""),1.0)</f>
        <v>1</v>
      </c>
      <c r="AT8" s="11" t="str">
        <f>IFERROR(__xludf.DUMMYFUNCTION("""COMPUTED_VALUE"""),"IEEE LATIN AMERICA TRANSACTIONS, VOL. 18, NO. 10, OCTOBER 2020 ")</f>
        <v>IEEE LATIN AMERICA TRANSACTIONS, VOL. 18, NO. 10, OCTOBER 2020 </v>
      </c>
      <c r="AU8" s="15" t="str">
        <f>IFERROR(__xludf.DUMMYFUNCTION("""COMPUTED_VALUE"""),"https://drive.google.com/file/d/15Bp4ckDy_wb_ew4A2ir-0ilU4gCWlt3t/view?usp=sharing")</f>
        <v>https://drive.google.com/file/d/15Bp4ckDy_wb_ew4A2ir-0ilU4gCWlt3t/view?usp=sharing</v>
      </c>
      <c r="AV8" s="11"/>
      <c r="AW8" s="11"/>
      <c r="AX8" s="11">
        <f>IFERROR(__xludf.DUMMYFUNCTION("""COMPUTED_VALUE"""),6.0)</f>
        <v>6</v>
      </c>
      <c r="AY8" s="11" t="str">
        <f>IFERROR(__xludf.DUMMYFUNCTION("""COMPUTED_VALUE"""),"Protection Coordination in Microgrids: Current Weaknesses, Available Solutions and Future Challenges")</f>
        <v>Protection Coordination in Microgrids: Current Weaknesses, Available Solutions and Future Challenges</v>
      </c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</row>
    <row r="9">
      <c r="A9" s="11" t="str">
        <f>IFERROR(__xludf.DUMMYFUNCTION("""COMPUTED_VALUE"""),"Proy8")</f>
        <v>Proy8</v>
      </c>
      <c r="B9" s="11" t="str">
        <f>IFERROR(__xludf.DUMMYFUNCTION("""COMPUTED_VALUE"""),"Nuevo_Conocimiento")</f>
        <v>Nuevo_Conocimiento</v>
      </c>
      <c r="C9" s="11" t="str">
        <f>IFERROR(__xludf.DUMMYFUNCTION("""COMPUTED_VALUE"""),"Artículo A1")</f>
        <v>Artículo A1</v>
      </c>
      <c r="D9" s="11" t="str">
        <f>IFERROR(__xludf.DUMMYFUNCTION("""COMPUTED_VALUE"""),"Artículo A1")</f>
        <v>Artículo A1</v>
      </c>
      <c r="E9" s="11" t="str">
        <f>IFERROR(__xludf.DUMMYFUNCTION("""COMPUTED_VALUE"""),"Artículo A2")</f>
        <v>Artículo A2</v>
      </c>
      <c r="F9" s="11" t="str">
        <f>IFERROR(__xludf.DUMMYFUNCTION("""COMPUTED_VALUE"""),"Artículo B")</f>
        <v>Artículo B</v>
      </c>
      <c r="G9" s="11" t="str">
        <f>IFERROR(__xludf.DUMMYFUNCTION("""COMPUTED_VALUE"""),"Artículo C")</f>
        <v>Artículo C</v>
      </c>
      <c r="H9" s="11" t="str">
        <f>IFERROR(__xludf.DUMMYFUNCTION("""COMPUTED_VALUE"""),"Capítulo de libro A")</f>
        <v>Capítulo de libro A</v>
      </c>
      <c r="I9" s="11" t="str">
        <f>IFERROR(__xludf.DUMMYFUNCTION("""COMPUTED_VALUE"""),"Capítulo de libro A1")</f>
        <v>Capítulo de libro A1</v>
      </c>
      <c r="J9" s="11" t="str">
        <f>IFERROR(__xludf.DUMMYFUNCTION("""COMPUTED_VALUE"""),"Capítulo de libro B")</f>
        <v>Capítulo de libro B</v>
      </c>
      <c r="K9" s="11" t="str">
        <f>IFERROR(__xludf.DUMMYFUNCTION("""COMPUTED_VALUE"""),"Libro A")</f>
        <v>Libro A</v>
      </c>
      <c r="L9" s="11" t="str">
        <f>IFERROR(__xludf.DUMMYFUNCTION("""COMPUTED_VALUE"""),"Libro A1")</f>
        <v>Libro A1</v>
      </c>
      <c r="M9" s="11" t="str">
        <f>IFERROR(__xludf.DUMMYFUNCTION("""COMPUTED_VALUE"""),"Libro B")</f>
        <v>Libro B</v>
      </c>
      <c r="N9" s="11" t="str">
        <f>IFERROR(__xludf.DUMMYFUNCTION("""COMPUTED_VALUE"""),"Solicitud Patente de invención y-o modelo de utitlidad")</f>
        <v>Solicitud Patente de invención y-o modelo de utitlidad</v>
      </c>
      <c r="O9" s="11" t="str">
        <f>IFERROR(__xludf.DUMMYFUNCTION("""COMPUTED_VALUE"""),"Patente de invención")</f>
        <v>Patente de invención</v>
      </c>
      <c r="P9" s="11" t="str">
        <f>IFERROR(__xludf.DUMMYFUNCTION("""COMPUTED_VALUE"""),"Patente de modelo de utilidad")</f>
        <v>Patente de modelo de utilidad</v>
      </c>
      <c r="Q9" s="11" t="str">
        <f>IFERROR(__xludf.DUMMYFUNCTION("""COMPUTED_VALUE"""),"Artículo sin clasificar")</f>
        <v>Artículo sin clasificar</v>
      </c>
      <c r="R9" s="11" t="str">
        <f>IFERROR(__xludf.DUMMYFUNCTION("""COMPUTED_VALUE"""),"Capítulo sin clasificar")</f>
        <v>Capítulo sin clasificar</v>
      </c>
      <c r="S9" s="11"/>
      <c r="T9" s="11"/>
      <c r="U9" s="11" t="str">
        <f>IFERROR(__xludf.DUMMYFUNCTION("""COMPUTED_VALUE"""),"Ninguna")</f>
        <v>Ninguna</v>
      </c>
      <c r="V9" s="11"/>
      <c r="W9" s="11" t="str">
        <f>IFERROR(__xludf.DUMMYFUNCTION("""COMPUTED_VALUE"""),"Proyecto")</f>
        <v>Proyecto</v>
      </c>
      <c r="X9" s="11" t="str">
        <f>IFERROR(__xludf.DUMMYFUNCTION("""COMPUTED_VALUE"""),"UdeA")</f>
        <v>UdeA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 t="str">
        <f>IFERROR(__xludf.DUMMYFUNCTION("""COMPUTED_VALUE"""),"Ninguna")</f>
        <v>Ninguna</v>
      </c>
      <c r="AL9" s="11"/>
      <c r="AM9" s="11" t="str">
        <f>IFERROR(__xludf.DUMMYFUNCTION("""COMPUTED_VALUE"""),"Obligatorio")</f>
        <v>Obligatorio</v>
      </c>
      <c r="AN9" s="11">
        <f>IFERROR(__xludf.DUMMYFUNCTION("""COMPUTED_VALUE"""),6.0)</f>
        <v>6</v>
      </c>
      <c r="AO9" s="11">
        <f>IFERROR(__xludf.DUMMYFUNCTION("""COMPUTED_VALUE"""),1.0)</f>
        <v>1</v>
      </c>
      <c r="AP9" s="11">
        <f>IFERROR(__xludf.DUMMYFUNCTION("""COMPUTED_VALUE"""),1.0)</f>
        <v>1</v>
      </c>
      <c r="AQ9" s="11">
        <f>IFERROR(__xludf.DUMMYFUNCTION("""COMPUTED_VALUE"""),1.0)</f>
        <v>1</v>
      </c>
      <c r="AR9" s="11">
        <f>IFERROR(__xludf.DUMMYFUNCTION("""COMPUTED_VALUE"""),1.0)</f>
        <v>1</v>
      </c>
      <c r="AS9" s="11">
        <f>IFERROR(__xludf.DUMMYFUNCTION("""COMPUTED_VALUE"""),1.0)</f>
        <v>1</v>
      </c>
      <c r="AT9" s="15" t="str">
        <f>IFERROR(__xludf.DUMMYFUNCTION("""COMPUTED_VALUE"""),"https://doi.org/10.1016/j.seta.2021.101072")</f>
        <v>https://doi.org/10.1016/j.seta.2021.101072</v>
      </c>
      <c r="AU9" s="15" t="str">
        <f>IFERROR(__xludf.DUMMYFUNCTION("""COMPUTED_VALUE"""),"https://drive.google.com/file/d/1s-be4JVhsa5sIBgPK2Wr7VSDcqqXo1_A/view?usp=sharing")</f>
        <v>https://drive.google.com/file/d/1s-be4JVhsa5sIBgPK2Wr7VSDcqqXo1_A/view?usp=sharing</v>
      </c>
      <c r="AV9" s="11"/>
      <c r="AW9" s="11"/>
      <c r="AX9" s="11">
        <f>IFERROR(__xludf.DUMMYFUNCTION("""COMPUTED_VALUE"""),6.0)</f>
        <v>6</v>
      </c>
      <c r="AY9" s="11" t="str">
        <f>IFERROR(__xludf.DUMMYFUNCTION("""COMPUTED_VALUE"""),"Valorization of banana residues via gasification coupled with electricity generation")</f>
        <v>Valorization of banana residues via gasification coupled with electricity generation</v>
      </c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</row>
    <row r="10">
      <c r="A10" s="11" t="str">
        <f>IFERROR(__xludf.DUMMYFUNCTION("""COMPUTED_VALUE"""),"Proy8")</f>
        <v>Proy8</v>
      </c>
      <c r="B10" s="11" t="str">
        <f>IFERROR(__xludf.DUMMYFUNCTION("""COMPUTED_VALUE"""),"Nuevo_Conocimiento")</f>
        <v>Nuevo_Conocimiento</v>
      </c>
      <c r="C10" s="11" t="str">
        <f>IFERROR(__xludf.DUMMYFUNCTION("""COMPUTED_VALUE"""),"Artículo A1")</f>
        <v>Artículo A1</v>
      </c>
      <c r="D10" s="11" t="str">
        <f>IFERROR(__xludf.DUMMYFUNCTION("""COMPUTED_VALUE"""),"Artículo A1")</f>
        <v>Artículo A1</v>
      </c>
      <c r="E10" s="11" t="str">
        <f>IFERROR(__xludf.DUMMYFUNCTION("""COMPUTED_VALUE"""),"Artículo A2")</f>
        <v>Artículo A2</v>
      </c>
      <c r="F10" s="11" t="str">
        <f>IFERROR(__xludf.DUMMYFUNCTION("""COMPUTED_VALUE"""),"Artículo B")</f>
        <v>Artículo B</v>
      </c>
      <c r="G10" s="11" t="str">
        <f>IFERROR(__xludf.DUMMYFUNCTION("""COMPUTED_VALUE"""),"Artículo C")</f>
        <v>Artículo C</v>
      </c>
      <c r="H10" s="11" t="str">
        <f>IFERROR(__xludf.DUMMYFUNCTION("""COMPUTED_VALUE"""),"Capítulo de libro A")</f>
        <v>Capítulo de libro A</v>
      </c>
      <c r="I10" s="11" t="str">
        <f>IFERROR(__xludf.DUMMYFUNCTION("""COMPUTED_VALUE"""),"Capítulo de libro A1")</f>
        <v>Capítulo de libro A1</v>
      </c>
      <c r="J10" s="11" t="str">
        <f>IFERROR(__xludf.DUMMYFUNCTION("""COMPUTED_VALUE"""),"Capítulo de libro B")</f>
        <v>Capítulo de libro B</v>
      </c>
      <c r="K10" s="11" t="str">
        <f>IFERROR(__xludf.DUMMYFUNCTION("""COMPUTED_VALUE"""),"Libro A")</f>
        <v>Libro A</v>
      </c>
      <c r="L10" s="11" t="str">
        <f>IFERROR(__xludf.DUMMYFUNCTION("""COMPUTED_VALUE"""),"Libro A1")</f>
        <v>Libro A1</v>
      </c>
      <c r="M10" s="11" t="str">
        <f>IFERROR(__xludf.DUMMYFUNCTION("""COMPUTED_VALUE"""),"Libro B")</f>
        <v>Libro B</v>
      </c>
      <c r="N10" s="11" t="str">
        <f>IFERROR(__xludf.DUMMYFUNCTION("""COMPUTED_VALUE"""),"Solicitud Patente de invención y-o modelo de utitlidad")</f>
        <v>Solicitud Patente de invención y-o modelo de utitlidad</v>
      </c>
      <c r="O10" s="11" t="str">
        <f>IFERROR(__xludf.DUMMYFUNCTION("""COMPUTED_VALUE"""),"Patente de invención")</f>
        <v>Patente de invención</v>
      </c>
      <c r="P10" s="11" t="str">
        <f>IFERROR(__xludf.DUMMYFUNCTION("""COMPUTED_VALUE"""),"Patente de modelo de utilidad")</f>
        <v>Patente de modelo de utilidad</v>
      </c>
      <c r="Q10" s="11" t="str">
        <f>IFERROR(__xludf.DUMMYFUNCTION("""COMPUTED_VALUE"""),"Artículo sin clasificar")</f>
        <v>Artículo sin clasificar</v>
      </c>
      <c r="R10" s="11" t="str">
        <f>IFERROR(__xludf.DUMMYFUNCTION("""COMPUTED_VALUE"""),"Capítulo sin clasificar")</f>
        <v>Capítulo sin clasificar</v>
      </c>
      <c r="S10" s="11"/>
      <c r="T10" s="11"/>
      <c r="U10" s="11" t="str">
        <f>IFERROR(__xludf.DUMMYFUNCTION("""COMPUTED_VALUE"""),"Aliados de Séneca")</f>
        <v>Aliados de Séneca</v>
      </c>
      <c r="V10" s="11" t="str">
        <f>IFERROR(__xludf.DUMMYFUNCTION("""COMPUTED_VALUE"""),"Columbia University")</f>
        <v>Columbia University</v>
      </c>
      <c r="W10" s="11" t="str">
        <f>IFERROR(__xludf.DUMMYFUNCTION("""COMPUTED_VALUE"""),"Proyecto")</f>
        <v>Proyecto</v>
      </c>
      <c r="X10" s="11" t="str">
        <f>IFERROR(__xludf.DUMMYFUNCTION("""COMPUTED_VALUE"""),"UdeA")</f>
        <v>UdeA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 t="str">
        <f>IFERROR(__xludf.DUMMYFUNCTION("""COMPUTED_VALUE"""),"Ninguna")</f>
        <v>Ninguna</v>
      </c>
      <c r="AL10" s="11"/>
      <c r="AM10" s="11" t="str">
        <f>IFERROR(__xludf.DUMMYFUNCTION("""COMPUTED_VALUE"""),"Obligatorio")</f>
        <v>Obligatorio</v>
      </c>
      <c r="AN10" s="11">
        <f>IFERROR(__xludf.DUMMYFUNCTION("""COMPUTED_VALUE"""),6.0)</f>
        <v>6</v>
      </c>
      <c r="AO10" s="11">
        <f>IFERROR(__xludf.DUMMYFUNCTION("""COMPUTED_VALUE"""),1.0)</f>
        <v>1</v>
      </c>
      <c r="AP10" s="11">
        <f>IFERROR(__xludf.DUMMYFUNCTION("""COMPUTED_VALUE"""),2.0)</f>
        <v>2</v>
      </c>
      <c r="AQ10" s="11">
        <f>IFERROR(__xludf.DUMMYFUNCTION("""COMPUTED_VALUE"""),1.0)</f>
        <v>1</v>
      </c>
      <c r="AR10" s="11">
        <f>IFERROR(__xludf.DUMMYFUNCTION("""COMPUTED_VALUE"""),2.0)</f>
        <v>2</v>
      </c>
      <c r="AS10" s="11">
        <f>IFERROR(__xludf.DUMMYFUNCTION("""COMPUTED_VALUE"""),1.0)</f>
        <v>1</v>
      </c>
      <c r="AT10" s="15" t="str">
        <f>IFERROR(__xludf.DUMMYFUNCTION("""COMPUTED_VALUE"""),"https://doi.org/10.1016/j.apsusc.2020.147469")</f>
        <v>https://doi.org/10.1016/j.apsusc.2020.147469</v>
      </c>
      <c r="AU10" s="15" t="str">
        <f>IFERROR(__xludf.DUMMYFUNCTION("""COMPUTED_VALUE"""),"https://drive.google.com/file/d/1HlpEkNnBfzZmYpnLx-DrQy2lMA9ofvwf/view?usp=sharing")</f>
        <v>https://drive.google.com/file/d/1HlpEkNnBfzZmYpnLx-DrQy2lMA9ofvwf/view?usp=sharing</v>
      </c>
      <c r="AV10" s="11"/>
      <c r="AW10" s="11"/>
      <c r="AX10" s="11">
        <f>IFERROR(__xludf.DUMMYFUNCTION("""COMPUTED_VALUE"""),6.0)</f>
        <v>6</v>
      </c>
      <c r="AY10" s="11" t="str">
        <f>IFERROR(__xludf.DUMMYFUNCTION("""COMPUTED_VALUE"""),"Mechanistic assessment of dual function materials, composed of Ru-Ni,
Na2O/Al2O3 and Pt-Ni, Na2O/Al2O3, for CO2 capture and methanation by insitu DRIFTS")</f>
        <v>Mechanistic assessment of dual function materials, composed of Ru-Ni,
Na2O/Al2O3 and Pt-Ni, Na2O/Al2O3, for CO2 capture and methanation by insitu DRIFTS</v>
      </c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</row>
    <row r="11">
      <c r="A11" s="11" t="str">
        <f>IFERROR(__xludf.DUMMYFUNCTION("""COMPUTED_VALUE"""),"Proy15")</f>
        <v>Proy15</v>
      </c>
      <c r="B11" s="11" t="str">
        <f>IFERROR(__xludf.DUMMYFUNCTION("""COMPUTED_VALUE"""),"Nuevo_Conocimiento")</f>
        <v>Nuevo_Conocimiento</v>
      </c>
      <c r="C11" s="11" t="str">
        <f>IFERROR(__xludf.DUMMYFUNCTION("""COMPUTED_VALUE"""),"Capítulo sin clasificar")</f>
        <v>Capítulo sin clasificar</v>
      </c>
      <c r="D11" s="11" t="str">
        <f>IFERROR(__xludf.DUMMYFUNCTION("""COMPUTED_VALUE"""),"Artículo A1")</f>
        <v>Artículo A1</v>
      </c>
      <c r="E11" s="11" t="str">
        <f>IFERROR(__xludf.DUMMYFUNCTION("""COMPUTED_VALUE"""),"Artículo A2")</f>
        <v>Artículo A2</v>
      </c>
      <c r="F11" s="11" t="str">
        <f>IFERROR(__xludf.DUMMYFUNCTION("""COMPUTED_VALUE"""),"Artículo B")</f>
        <v>Artículo B</v>
      </c>
      <c r="G11" s="11" t="str">
        <f>IFERROR(__xludf.DUMMYFUNCTION("""COMPUTED_VALUE"""),"Artículo C")</f>
        <v>Artículo C</v>
      </c>
      <c r="H11" s="11" t="str">
        <f>IFERROR(__xludf.DUMMYFUNCTION("""COMPUTED_VALUE"""),"Capítulo de libro A")</f>
        <v>Capítulo de libro A</v>
      </c>
      <c r="I11" s="11" t="str">
        <f>IFERROR(__xludf.DUMMYFUNCTION("""COMPUTED_VALUE"""),"Capítulo de libro A1")</f>
        <v>Capítulo de libro A1</v>
      </c>
      <c r="J11" s="11" t="str">
        <f>IFERROR(__xludf.DUMMYFUNCTION("""COMPUTED_VALUE"""),"Capítulo de libro B")</f>
        <v>Capítulo de libro B</v>
      </c>
      <c r="K11" s="11" t="str">
        <f>IFERROR(__xludf.DUMMYFUNCTION("""COMPUTED_VALUE"""),"Libro A")</f>
        <v>Libro A</v>
      </c>
      <c r="L11" s="11" t="str">
        <f>IFERROR(__xludf.DUMMYFUNCTION("""COMPUTED_VALUE"""),"Libro A1")</f>
        <v>Libro A1</v>
      </c>
      <c r="M11" s="11" t="str">
        <f>IFERROR(__xludf.DUMMYFUNCTION("""COMPUTED_VALUE"""),"Libro B")</f>
        <v>Libro B</v>
      </c>
      <c r="N11" s="11" t="str">
        <f>IFERROR(__xludf.DUMMYFUNCTION("""COMPUTED_VALUE"""),"Solicitud Patente de invención y-o modelo de utitlidad")</f>
        <v>Solicitud Patente de invención y-o modelo de utitlidad</v>
      </c>
      <c r="O11" s="11" t="str">
        <f>IFERROR(__xludf.DUMMYFUNCTION("""COMPUTED_VALUE"""),"Patente de invención")</f>
        <v>Patente de invención</v>
      </c>
      <c r="P11" s="11" t="str">
        <f>IFERROR(__xludf.DUMMYFUNCTION("""COMPUTED_VALUE"""),"Patente de modelo de utilidad")</f>
        <v>Patente de modelo de utilidad</v>
      </c>
      <c r="Q11" s="11" t="str">
        <f>IFERROR(__xludf.DUMMYFUNCTION("""COMPUTED_VALUE"""),"Artículo sin clasificar")</f>
        <v>Artículo sin clasificar</v>
      </c>
      <c r="R11" s="11" t="str">
        <f>IFERROR(__xludf.DUMMYFUNCTION("""COMPUTED_VALUE"""),"Capítulo sin clasificar")</f>
        <v>Capítulo sin clasificar</v>
      </c>
      <c r="S11" s="11"/>
      <c r="T11" s="11"/>
      <c r="U11" s="11" t="str">
        <f>IFERROR(__xludf.DUMMYFUNCTION("""COMPUTED_VALUE"""),"Ninguna")</f>
        <v>Ninguna</v>
      </c>
      <c r="V11" s="11"/>
      <c r="W11" s="11" t="str">
        <f>IFERROR(__xludf.DUMMYFUNCTION("""COMPUTED_VALUE"""),"Proyecto")</f>
        <v>Proyecto</v>
      </c>
      <c r="X11" s="11" t="str">
        <f>IFERROR(__xludf.DUMMYFUNCTION("""COMPUTED_VALUE"""),"UdeA")</f>
        <v>UdeA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 t="str">
        <f>IFERROR(__xludf.DUMMYFUNCTION("""COMPUTED_VALUE"""),"Tecnológico de Antioquia")</f>
        <v>Tecnológico de Antioquia</v>
      </c>
      <c r="AK11" s="11" t="str">
        <f>IFERROR(__xludf.DUMMYFUNCTION("""COMPUTED_VALUE"""),"Ninguna")</f>
        <v>Ninguna</v>
      </c>
      <c r="AL11" s="11"/>
      <c r="AM11" s="11" t="str">
        <f>IFERROR(__xludf.DUMMYFUNCTION("""COMPUTED_VALUE"""),"Adicional")</f>
        <v>Adicional</v>
      </c>
      <c r="AN11" s="11">
        <f>IFERROR(__xludf.DUMMYFUNCTION("""COMPUTED_VALUE"""),3.0)</f>
        <v>3</v>
      </c>
      <c r="AO11" s="11">
        <f>IFERROR(__xludf.DUMMYFUNCTION("""COMPUTED_VALUE"""),1.0)</f>
        <v>1</v>
      </c>
      <c r="AP11" s="11">
        <f>IFERROR(__xludf.DUMMYFUNCTION("""COMPUTED_VALUE"""),2.0)</f>
        <v>2</v>
      </c>
      <c r="AQ11" s="11">
        <f>IFERROR(__xludf.DUMMYFUNCTION("""COMPUTED_VALUE"""),1.0)</f>
        <v>1</v>
      </c>
      <c r="AR11" s="11">
        <f>IFERROR(__xludf.DUMMYFUNCTION("""COMPUTED_VALUE"""),2.0)</f>
        <v>2</v>
      </c>
      <c r="AS11" s="11">
        <f>IFERROR(__xludf.DUMMYFUNCTION("""COMPUTED_VALUE"""),1.0)</f>
        <v>1</v>
      </c>
      <c r="AT11" s="11" t="str">
        <f>IFERROR(__xludf.DUMMYFUNCTION("""COMPUTED_VALUE"""),"Gestión del riesgo y del medio ambiente
ISBN impreso: 978-958-8628-61-5")</f>
        <v>Gestión del riesgo y del medio ambiente
ISBN impreso: 978-958-8628-61-5</v>
      </c>
      <c r="AU11" s="15" t="str">
        <f>IFERROR(__xludf.DUMMYFUNCTION("""COMPUTED_VALUE"""),"https://drive.google.com/file/d/1Tje6sg0f2-393LRhdJQI_licYXVKkbSG/view?usp=sharing")</f>
        <v>https://drive.google.com/file/d/1Tje6sg0f2-393LRhdJQI_licYXVKkbSG/view?usp=sharing</v>
      </c>
      <c r="AV11" s="11"/>
      <c r="AW11" s="11"/>
      <c r="AX11" s="11">
        <f>IFERROR(__xludf.DUMMYFUNCTION("""COMPUTED_VALUE"""),6.0)</f>
        <v>6</v>
      </c>
      <c r="AY11" s="11" t="str">
        <f>IFERROR(__xludf.DUMMYFUNCTION("""COMPUTED_VALUE"""),"Métodos estadísticos
multivariados para el
análisis de macronutrientes
en especies forestales del
embalse Topocoro")</f>
        <v>Métodos estadísticos
multivariados para el
análisis de macronutrientes
en especies forestales del
embalse Topocoro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</row>
    <row r="12">
      <c r="A12" s="11" t="str">
        <f>IFERROR(__xludf.DUMMYFUNCTION("""COMPUTED_VALUE"""),"Proy13")</f>
        <v>Proy13</v>
      </c>
      <c r="B12" s="11" t="str">
        <f>IFERROR(__xludf.DUMMYFUNCTION("""COMPUTED_VALUE"""),"Nuevo_Conocimiento")</f>
        <v>Nuevo_Conocimiento</v>
      </c>
      <c r="C12" s="11" t="str">
        <f>IFERROR(__xludf.DUMMYFUNCTION("""COMPUTED_VALUE"""),"Artículo A2")</f>
        <v>Artículo A2</v>
      </c>
      <c r="D12" s="11" t="str">
        <f>IFERROR(__xludf.DUMMYFUNCTION("""COMPUTED_VALUE"""),"Artículo A1")</f>
        <v>Artículo A1</v>
      </c>
      <c r="E12" s="11" t="str">
        <f>IFERROR(__xludf.DUMMYFUNCTION("""COMPUTED_VALUE"""),"Artículo A2")</f>
        <v>Artículo A2</v>
      </c>
      <c r="F12" s="11" t="str">
        <f>IFERROR(__xludf.DUMMYFUNCTION("""COMPUTED_VALUE"""),"Artículo B")</f>
        <v>Artículo B</v>
      </c>
      <c r="G12" s="11" t="str">
        <f>IFERROR(__xludf.DUMMYFUNCTION("""COMPUTED_VALUE"""),"Artículo C")</f>
        <v>Artículo C</v>
      </c>
      <c r="H12" s="11" t="str">
        <f>IFERROR(__xludf.DUMMYFUNCTION("""COMPUTED_VALUE"""),"Capítulo de libro A")</f>
        <v>Capítulo de libro A</v>
      </c>
      <c r="I12" s="11" t="str">
        <f>IFERROR(__xludf.DUMMYFUNCTION("""COMPUTED_VALUE"""),"Capítulo de libro A1")</f>
        <v>Capítulo de libro A1</v>
      </c>
      <c r="J12" s="11" t="str">
        <f>IFERROR(__xludf.DUMMYFUNCTION("""COMPUTED_VALUE"""),"Capítulo de libro B")</f>
        <v>Capítulo de libro B</v>
      </c>
      <c r="K12" s="11" t="str">
        <f>IFERROR(__xludf.DUMMYFUNCTION("""COMPUTED_VALUE"""),"Libro A")</f>
        <v>Libro A</v>
      </c>
      <c r="L12" s="11" t="str">
        <f>IFERROR(__xludf.DUMMYFUNCTION("""COMPUTED_VALUE"""),"Libro A1")</f>
        <v>Libro A1</v>
      </c>
      <c r="M12" s="11" t="str">
        <f>IFERROR(__xludf.DUMMYFUNCTION("""COMPUTED_VALUE"""),"Libro B")</f>
        <v>Libro B</v>
      </c>
      <c r="N12" s="11" t="str">
        <f>IFERROR(__xludf.DUMMYFUNCTION("""COMPUTED_VALUE"""),"Solicitud Patente de invención y-o modelo de utitlidad")</f>
        <v>Solicitud Patente de invención y-o modelo de utitlidad</v>
      </c>
      <c r="O12" s="11" t="str">
        <f>IFERROR(__xludf.DUMMYFUNCTION("""COMPUTED_VALUE"""),"Patente de invención")</f>
        <v>Patente de invención</v>
      </c>
      <c r="P12" s="11" t="str">
        <f>IFERROR(__xludf.DUMMYFUNCTION("""COMPUTED_VALUE"""),"Patente de modelo de utilidad")</f>
        <v>Patente de modelo de utilidad</v>
      </c>
      <c r="Q12" s="11" t="str">
        <f>IFERROR(__xludf.DUMMYFUNCTION("""COMPUTED_VALUE"""),"Artículo sin clasificar")</f>
        <v>Artículo sin clasificar</v>
      </c>
      <c r="R12" s="11" t="str">
        <f>IFERROR(__xludf.DUMMYFUNCTION("""COMPUTED_VALUE"""),"Capítulo sin clasificar")</f>
        <v>Capítulo sin clasificar</v>
      </c>
      <c r="S12" s="11"/>
      <c r="T12" s="11"/>
      <c r="U12" s="11" t="str">
        <f>IFERROR(__xludf.DUMMYFUNCTION("""COMPUTED_VALUE"""),"Ninguna")</f>
        <v>Ninguna</v>
      </c>
      <c r="V12" s="11"/>
      <c r="W12" s="11" t="str">
        <f>IFERROR(__xludf.DUMMYFUNCTION("""COMPUTED_VALUE"""),"Proyecto")</f>
        <v>Proyecto</v>
      </c>
      <c r="X12" s="11" t="str">
        <f>IFERROR(__xludf.DUMMYFUNCTION("""COMPUTED_VALUE"""),"UdeA")</f>
        <v>UdeA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 t="str">
        <f>IFERROR(__xludf.DUMMYFUNCTION("""COMPUTED_VALUE"""),"Ninguna")</f>
        <v>Ninguna</v>
      </c>
      <c r="AL12" s="11"/>
      <c r="AM12" s="11" t="str">
        <f>IFERROR(__xludf.DUMMYFUNCTION("""COMPUTED_VALUE"""),"Adicional")</f>
        <v>Adicional</v>
      </c>
      <c r="AN12" s="11">
        <f>IFERROR(__xludf.DUMMYFUNCTION("""COMPUTED_VALUE"""),2.0)</f>
        <v>2</v>
      </c>
      <c r="AO12" s="11">
        <f>IFERROR(__xludf.DUMMYFUNCTION("""COMPUTED_VALUE"""),1.0)</f>
        <v>1</v>
      </c>
      <c r="AP12" s="11">
        <f>IFERROR(__xludf.DUMMYFUNCTION("""COMPUTED_VALUE"""),1.0)</f>
        <v>1</v>
      </c>
      <c r="AQ12" s="11">
        <f>IFERROR(__xludf.DUMMYFUNCTION("""COMPUTED_VALUE"""),1.0)</f>
        <v>1</v>
      </c>
      <c r="AR12" s="11">
        <f>IFERROR(__xludf.DUMMYFUNCTION("""COMPUTED_VALUE"""),1.0)</f>
        <v>1</v>
      </c>
      <c r="AS12" s="11">
        <f>IFERROR(__xludf.DUMMYFUNCTION("""COMPUTED_VALUE"""),1.0)</f>
        <v>1</v>
      </c>
      <c r="AT12" s="15" t="str">
        <f>IFERROR(__xludf.DUMMYFUNCTION("""COMPUTED_VALUE"""),"https://doi.org/10.3390/su13042010")</f>
        <v>https://doi.org/10.3390/su13042010</v>
      </c>
      <c r="AU12" s="15" t="str">
        <f>IFERROR(__xludf.DUMMYFUNCTION("""COMPUTED_VALUE"""),"https://drive.google.com/file/d/1Ce0gVlIBGGiU6MgDuEbvcL7mAIS_63Uv/view?usp=sharing")</f>
        <v>https://drive.google.com/file/d/1Ce0gVlIBGGiU6MgDuEbvcL7mAIS_63Uv/view?usp=sharing</v>
      </c>
      <c r="AV12" s="11"/>
      <c r="AW12" s="11"/>
      <c r="AX12" s="11">
        <f>IFERROR(__xludf.DUMMYFUNCTION("""COMPUTED_VALUE"""),6.0)</f>
        <v>6</v>
      </c>
      <c r="AY12" s="11" t="str">
        <f>IFERROR(__xludf.DUMMYFUNCTION("""COMPUTED_VALUE"""),"Measuring Financial Impacts of the Renewable Energy Based Fiscal Policy in Colombia under Electricity Price Uncertainty")</f>
        <v>Measuring Financial Impacts of the Renewable Energy Based Fiscal Policy in Colombia under Electricity Price Uncertainty</v>
      </c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</row>
    <row r="13">
      <c r="A13" s="11" t="str">
        <f>IFERROR(__xludf.DUMMYFUNCTION("""COMPUTED_VALUE"""),"Proy4")</f>
        <v>Proy4</v>
      </c>
      <c r="B13" s="11" t="str">
        <f>IFERROR(__xludf.DUMMYFUNCTION("""COMPUTED_VALUE"""),"Nuevo_Conocimiento")</f>
        <v>Nuevo_Conocimiento</v>
      </c>
      <c r="C13" s="11" t="str">
        <f>IFERROR(__xludf.DUMMYFUNCTION("""COMPUTED_VALUE"""),"Artículo A1")</f>
        <v>Artículo A1</v>
      </c>
      <c r="D13" s="11" t="str">
        <f>IFERROR(__xludf.DUMMYFUNCTION("""COMPUTED_VALUE"""),"Artículo A1")</f>
        <v>Artículo A1</v>
      </c>
      <c r="E13" s="11" t="str">
        <f>IFERROR(__xludf.DUMMYFUNCTION("""COMPUTED_VALUE"""),"Artículo A2")</f>
        <v>Artículo A2</v>
      </c>
      <c r="F13" s="11" t="str">
        <f>IFERROR(__xludf.DUMMYFUNCTION("""COMPUTED_VALUE"""),"Artículo B")</f>
        <v>Artículo B</v>
      </c>
      <c r="G13" s="11" t="str">
        <f>IFERROR(__xludf.DUMMYFUNCTION("""COMPUTED_VALUE"""),"Artículo C")</f>
        <v>Artículo C</v>
      </c>
      <c r="H13" s="11" t="str">
        <f>IFERROR(__xludf.DUMMYFUNCTION("""COMPUTED_VALUE"""),"Capítulo de libro A")</f>
        <v>Capítulo de libro A</v>
      </c>
      <c r="I13" s="11" t="str">
        <f>IFERROR(__xludf.DUMMYFUNCTION("""COMPUTED_VALUE"""),"Capítulo de libro A1")</f>
        <v>Capítulo de libro A1</v>
      </c>
      <c r="J13" s="11" t="str">
        <f>IFERROR(__xludf.DUMMYFUNCTION("""COMPUTED_VALUE"""),"Capítulo de libro B")</f>
        <v>Capítulo de libro B</v>
      </c>
      <c r="K13" s="11" t="str">
        <f>IFERROR(__xludf.DUMMYFUNCTION("""COMPUTED_VALUE"""),"Libro A")</f>
        <v>Libro A</v>
      </c>
      <c r="L13" s="11" t="str">
        <f>IFERROR(__xludf.DUMMYFUNCTION("""COMPUTED_VALUE"""),"Libro A1")</f>
        <v>Libro A1</v>
      </c>
      <c r="M13" s="11" t="str">
        <f>IFERROR(__xludf.DUMMYFUNCTION("""COMPUTED_VALUE"""),"Libro B")</f>
        <v>Libro B</v>
      </c>
      <c r="N13" s="11" t="str">
        <f>IFERROR(__xludf.DUMMYFUNCTION("""COMPUTED_VALUE"""),"Solicitud Patente de invención y-o modelo de utitlidad")</f>
        <v>Solicitud Patente de invención y-o modelo de utitlidad</v>
      </c>
      <c r="O13" s="11" t="str">
        <f>IFERROR(__xludf.DUMMYFUNCTION("""COMPUTED_VALUE"""),"Patente de invención")</f>
        <v>Patente de invención</v>
      </c>
      <c r="P13" s="11" t="str">
        <f>IFERROR(__xludf.DUMMYFUNCTION("""COMPUTED_VALUE"""),"Patente de modelo de utilidad")</f>
        <v>Patente de modelo de utilidad</v>
      </c>
      <c r="Q13" s="11" t="str">
        <f>IFERROR(__xludf.DUMMYFUNCTION("""COMPUTED_VALUE"""),"Artículo sin clasificar")</f>
        <v>Artículo sin clasificar</v>
      </c>
      <c r="R13" s="11" t="str">
        <f>IFERROR(__xludf.DUMMYFUNCTION("""COMPUTED_VALUE"""),"Capítulo sin clasificar")</f>
        <v>Capítulo sin clasificar</v>
      </c>
      <c r="S13" s="11"/>
      <c r="T13" s="11"/>
      <c r="U13" s="11" t="str">
        <f>IFERROR(__xludf.DUMMYFUNCTION("""COMPUTED_VALUE"""),"Aliados de Séneca")</f>
        <v>Aliados de Séneca</v>
      </c>
      <c r="V13" s="11" t="str">
        <f>IFERROR(__xludf.DUMMYFUNCTION("""COMPUTED_VALUE"""),"U.Hokkaido")</f>
        <v>U.Hokkaido</v>
      </c>
      <c r="W13" s="11" t="str">
        <f>IFERROR(__xludf.DUMMYFUNCTION("""COMPUTED_VALUE"""),"Proyecto")</f>
        <v>Proyecto</v>
      </c>
      <c r="X13" s="11" t="str">
        <f>IFERROR(__xludf.DUMMYFUNCTION("""COMPUTED_VALUE"""),"U de A")</f>
        <v>U de A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 t="str">
        <f>IFERROR(__xludf.DUMMYFUNCTION("""COMPUTED_VALUE"""),"Ninguna")</f>
        <v>Ninguna</v>
      </c>
      <c r="AL13" s="11"/>
      <c r="AM13" s="11" t="str">
        <f>IFERROR(__xludf.DUMMYFUNCTION("""COMPUTED_VALUE"""),"Obligatorio")</f>
        <v>Obligatorio</v>
      </c>
      <c r="AN13" s="11">
        <f>IFERROR(__xludf.DUMMYFUNCTION("""COMPUTED_VALUE"""),8.0)</f>
        <v>8</v>
      </c>
      <c r="AO13" s="11">
        <f>IFERROR(__xludf.DUMMYFUNCTION("""COMPUTED_VALUE"""),1.0)</f>
        <v>1</v>
      </c>
      <c r="AP13" s="11">
        <f>IFERROR(__xludf.DUMMYFUNCTION("""COMPUTED_VALUE"""),3.0)</f>
        <v>3</v>
      </c>
      <c r="AQ13" s="11">
        <f>IFERROR(__xludf.DUMMYFUNCTION("""COMPUTED_VALUE"""),1.0)</f>
        <v>1</v>
      </c>
      <c r="AR13" s="11">
        <f>IFERROR(__xludf.DUMMYFUNCTION("""COMPUTED_VALUE"""),3.0)</f>
        <v>3</v>
      </c>
      <c r="AS13" s="11">
        <f>IFERROR(__xludf.DUMMYFUNCTION("""COMPUTED_VALUE"""),1.0)</f>
        <v>1</v>
      </c>
      <c r="AT13" s="15" t="str">
        <f>IFERROR(__xludf.DUMMYFUNCTION("""COMPUTED_VALUE"""),"https://dx.doi.org/10.1021/acsami.0c17886
")</f>
        <v>https://dx.doi.org/10.1021/acsami.0c17886
</v>
      </c>
      <c r="AU13" s="15" t="str">
        <f>IFERROR(__xludf.DUMMYFUNCTION("""COMPUTED_VALUE"""),"https://drive.google.com/file/d/112Xs1jBDoN6rUfL7uBu4x6rDehTLhKvP/view?usp=sharing")</f>
        <v>https://drive.google.com/file/d/112Xs1jBDoN6rUfL7uBu4x6rDehTLhKvP/view?usp=sharing</v>
      </c>
      <c r="AV13" s="11"/>
      <c r="AW13" s="11"/>
      <c r="AX13" s="11">
        <f>IFERROR(__xludf.DUMMYFUNCTION("""COMPUTED_VALUE"""),6.0)</f>
        <v>6</v>
      </c>
      <c r="AY13" s="11" t="str">
        <f>IFERROR(__xludf.DUMMYFUNCTION("""COMPUTED_VALUE"""),"Kinetic Control of the Li0.9Mn1.6Ni0.4O4 Spinel Structure with
Enhanced Electrochemical Performance")</f>
        <v>Kinetic Control of the Li0.9Mn1.6Ni0.4O4 Spinel Structure with
Enhanced Electrochemical Performance</v>
      </c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</row>
    <row r="14">
      <c r="A14" s="11" t="str">
        <f>IFERROR(__xludf.DUMMYFUNCTION("""COMPUTED_VALUE"""),"Proy1")</f>
        <v>Proy1</v>
      </c>
      <c r="B14" s="11" t="str">
        <f>IFERROR(__xludf.DUMMYFUNCTION("""COMPUTED_VALUE"""),"Nuevo_Conocimiento")</f>
        <v>Nuevo_Conocimiento</v>
      </c>
      <c r="C14" s="11" t="str">
        <f>IFERROR(__xludf.DUMMYFUNCTION("""COMPUTED_VALUE"""),"Artículo A1")</f>
        <v>Artículo A1</v>
      </c>
      <c r="D14" s="11" t="str">
        <f>IFERROR(__xludf.DUMMYFUNCTION("""COMPUTED_VALUE"""),"Artículo A1")</f>
        <v>Artículo A1</v>
      </c>
      <c r="E14" s="11" t="str">
        <f>IFERROR(__xludf.DUMMYFUNCTION("""COMPUTED_VALUE"""),"Artículo A2")</f>
        <v>Artículo A2</v>
      </c>
      <c r="F14" s="11" t="str">
        <f>IFERROR(__xludf.DUMMYFUNCTION("""COMPUTED_VALUE"""),"Artículo B")</f>
        <v>Artículo B</v>
      </c>
      <c r="G14" s="11" t="str">
        <f>IFERROR(__xludf.DUMMYFUNCTION("""COMPUTED_VALUE"""),"Artículo C")</f>
        <v>Artículo C</v>
      </c>
      <c r="H14" s="11" t="str">
        <f>IFERROR(__xludf.DUMMYFUNCTION("""COMPUTED_VALUE"""),"Capítulo de libro A")</f>
        <v>Capítulo de libro A</v>
      </c>
      <c r="I14" s="11" t="str">
        <f>IFERROR(__xludf.DUMMYFUNCTION("""COMPUTED_VALUE"""),"Capítulo de libro A1")</f>
        <v>Capítulo de libro A1</v>
      </c>
      <c r="J14" s="11" t="str">
        <f>IFERROR(__xludf.DUMMYFUNCTION("""COMPUTED_VALUE"""),"Capítulo de libro B")</f>
        <v>Capítulo de libro B</v>
      </c>
      <c r="K14" s="11" t="str">
        <f>IFERROR(__xludf.DUMMYFUNCTION("""COMPUTED_VALUE"""),"Libro A")</f>
        <v>Libro A</v>
      </c>
      <c r="L14" s="11" t="str">
        <f>IFERROR(__xludf.DUMMYFUNCTION("""COMPUTED_VALUE"""),"Libro A1")</f>
        <v>Libro A1</v>
      </c>
      <c r="M14" s="11" t="str">
        <f>IFERROR(__xludf.DUMMYFUNCTION("""COMPUTED_VALUE"""),"Libro B")</f>
        <v>Libro B</v>
      </c>
      <c r="N14" s="11" t="str">
        <f>IFERROR(__xludf.DUMMYFUNCTION("""COMPUTED_VALUE"""),"Solicitud Patente de invención y-o modelo de utitlidad")</f>
        <v>Solicitud Patente de invención y-o modelo de utitlidad</v>
      </c>
      <c r="O14" s="11" t="str">
        <f>IFERROR(__xludf.DUMMYFUNCTION("""COMPUTED_VALUE"""),"Patente de invención")</f>
        <v>Patente de invención</v>
      </c>
      <c r="P14" s="11" t="str">
        <f>IFERROR(__xludf.DUMMYFUNCTION("""COMPUTED_VALUE"""),"Patente de modelo de utilidad")</f>
        <v>Patente de modelo de utilidad</v>
      </c>
      <c r="Q14" s="11" t="str">
        <f>IFERROR(__xludf.DUMMYFUNCTION("""COMPUTED_VALUE"""),"Artículo sin clasificar")</f>
        <v>Artículo sin clasificar</v>
      </c>
      <c r="R14" s="11" t="str">
        <f>IFERROR(__xludf.DUMMYFUNCTION("""COMPUTED_VALUE"""),"Capítulo sin clasificar")</f>
        <v>Capítulo sin clasificar</v>
      </c>
      <c r="S14" s="11"/>
      <c r="T14" s="11"/>
      <c r="U14" s="11" t="str">
        <f>IFERROR(__xludf.DUMMYFUNCTION("""COMPUTED_VALUE"""),"Otros actores")</f>
        <v>Otros actores</v>
      </c>
      <c r="V14" s="11" t="str">
        <f>IFERROR(__xludf.DUMMYFUNCTION("""COMPUTED_VALUE"""),"INSA ")</f>
        <v>INSA </v>
      </c>
      <c r="W14" s="11" t="str">
        <f>IFERROR(__xludf.DUMMYFUNCTION("""COMPUTED_VALUE"""),"Proyecto")</f>
        <v>Proyecto</v>
      </c>
      <c r="X14" s="11" t="str">
        <f>IFERROR(__xludf.DUMMYFUNCTION("""COMPUTED_VALUE"""),"UdeA")</f>
        <v>UdeA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 t="str">
        <f>IFERROR(__xludf.DUMMYFUNCTION("""COMPUTED_VALUE"""),"Tecnológico de Antioquia")</f>
        <v>Tecnológico de Antioquia</v>
      </c>
      <c r="AK14" s="11" t="str">
        <f>IFERROR(__xludf.DUMMYFUNCTION("""COMPUTED_VALUE"""),"Ninguna")</f>
        <v>Ninguna</v>
      </c>
      <c r="AL14" s="11"/>
      <c r="AM14" s="11" t="str">
        <f>IFERROR(__xludf.DUMMYFUNCTION("""COMPUTED_VALUE"""),"Obligatorio")</f>
        <v>Obligatorio</v>
      </c>
      <c r="AN14" s="11">
        <f>IFERROR(__xludf.DUMMYFUNCTION("""COMPUTED_VALUE"""),5.0)</f>
        <v>5</v>
      </c>
      <c r="AO14" s="11">
        <f>IFERROR(__xludf.DUMMYFUNCTION("""COMPUTED_VALUE"""),1.0)</f>
        <v>1</v>
      </c>
      <c r="AP14" s="11">
        <f>IFERROR(__xludf.DUMMYFUNCTION("""COMPUTED_VALUE"""),3.0)</f>
        <v>3</v>
      </c>
      <c r="AQ14" s="11">
        <f>IFERROR(__xludf.DUMMYFUNCTION("""COMPUTED_VALUE"""),1.0)</f>
        <v>1</v>
      </c>
      <c r="AR14" s="11">
        <f>IFERROR(__xludf.DUMMYFUNCTION("""COMPUTED_VALUE"""),3.0)</f>
        <v>3</v>
      </c>
      <c r="AS14" s="11">
        <f>IFERROR(__xludf.DUMMYFUNCTION("""COMPUTED_VALUE"""),1.0)</f>
        <v>1</v>
      </c>
      <c r="AT14" s="15" t="str">
        <f>IFERROR(__xludf.DUMMYFUNCTION("""COMPUTED_VALUE"""),"https://doi.org/10.1016/j.renene.2021.03.076")</f>
        <v>https://doi.org/10.1016/j.renene.2021.03.076</v>
      </c>
      <c r="AU14" s="15" t="str">
        <f>IFERROR(__xludf.DUMMYFUNCTION("""COMPUTED_VALUE"""),"https://drive.google.com/file/d/1VYDX7QPebo5Ho9XIrWrQb0cO7cc6_34p/view?usp=sharing")</f>
        <v>https://drive.google.com/file/d/1VYDX7QPebo5Ho9XIrWrQb0cO7cc6_34p/view?usp=sharing</v>
      </c>
      <c r="AV14" s="11"/>
      <c r="AW14" s="11"/>
      <c r="AX14" s="11">
        <f>IFERROR(__xludf.DUMMYFUNCTION("""COMPUTED_VALUE"""),6.0)</f>
        <v>6</v>
      </c>
      <c r="AY14" s="11" t="str">
        <f>IFERROR(__xludf.DUMMYFUNCTION("""COMPUTED_VALUE"""),"Design optimization of an Archimedes screw turbine for hydrokinetic applications using the response surface methodology")</f>
        <v>Design optimization of an Archimedes screw turbine for hydrokinetic applications using the response surface methodology</v>
      </c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</row>
    <row r="15">
      <c r="A15" s="11" t="str">
        <f>IFERROR(__xludf.DUMMYFUNCTION("""COMPUTED_VALUE"""),"Proy15")</f>
        <v>Proy15</v>
      </c>
      <c r="B15" s="11" t="str">
        <f>IFERROR(__xludf.DUMMYFUNCTION("""COMPUTED_VALUE"""),"Nuevo_Conocimiento")</f>
        <v>Nuevo_Conocimiento</v>
      </c>
      <c r="C15" s="11" t="str">
        <f>IFERROR(__xludf.DUMMYFUNCTION("""COMPUTED_VALUE"""),"Artículo B")</f>
        <v>Artículo B</v>
      </c>
      <c r="D15" s="11" t="str">
        <f>IFERROR(__xludf.DUMMYFUNCTION("""COMPUTED_VALUE"""),"Artículo A1")</f>
        <v>Artículo A1</v>
      </c>
      <c r="E15" s="11" t="str">
        <f>IFERROR(__xludf.DUMMYFUNCTION("""COMPUTED_VALUE"""),"Artículo A2")</f>
        <v>Artículo A2</v>
      </c>
      <c r="F15" s="11" t="str">
        <f>IFERROR(__xludf.DUMMYFUNCTION("""COMPUTED_VALUE"""),"Artículo B")</f>
        <v>Artículo B</v>
      </c>
      <c r="G15" s="11" t="str">
        <f>IFERROR(__xludf.DUMMYFUNCTION("""COMPUTED_VALUE"""),"Artículo C")</f>
        <v>Artículo C</v>
      </c>
      <c r="H15" s="11" t="str">
        <f>IFERROR(__xludf.DUMMYFUNCTION("""COMPUTED_VALUE"""),"Capítulo de libro A")</f>
        <v>Capítulo de libro A</v>
      </c>
      <c r="I15" s="11" t="str">
        <f>IFERROR(__xludf.DUMMYFUNCTION("""COMPUTED_VALUE"""),"Capítulo de libro A1")</f>
        <v>Capítulo de libro A1</v>
      </c>
      <c r="J15" s="11" t="str">
        <f>IFERROR(__xludf.DUMMYFUNCTION("""COMPUTED_VALUE"""),"Capítulo de libro B")</f>
        <v>Capítulo de libro B</v>
      </c>
      <c r="K15" s="11" t="str">
        <f>IFERROR(__xludf.DUMMYFUNCTION("""COMPUTED_VALUE"""),"Libro A")</f>
        <v>Libro A</v>
      </c>
      <c r="L15" s="11" t="str">
        <f>IFERROR(__xludf.DUMMYFUNCTION("""COMPUTED_VALUE"""),"Libro A1")</f>
        <v>Libro A1</v>
      </c>
      <c r="M15" s="11" t="str">
        <f>IFERROR(__xludf.DUMMYFUNCTION("""COMPUTED_VALUE"""),"Libro B")</f>
        <v>Libro B</v>
      </c>
      <c r="N15" s="11" t="str">
        <f>IFERROR(__xludf.DUMMYFUNCTION("""COMPUTED_VALUE"""),"Solicitud Patente de invención y-o modelo de utitlidad")</f>
        <v>Solicitud Patente de invención y-o modelo de utitlidad</v>
      </c>
      <c r="O15" s="11" t="str">
        <f>IFERROR(__xludf.DUMMYFUNCTION("""COMPUTED_VALUE"""),"Patente de invención")</f>
        <v>Patente de invención</v>
      </c>
      <c r="P15" s="11" t="str">
        <f>IFERROR(__xludf.DUMMYFUNCTION("""COMPUTED_VALUE"""),"Patente de modelo de utilidad")</f>
        <v>Patente de modelo de utilidad</v>
      </c>
      <c r="Q15" s="11" t="str">
        <f>IFERROR(__xludf.DUMMYFUNCTION("""COMPUTED_VALUE"""),"Artículo sin clasificar")</f>
        <v>Artículo sin clasificar</v>
      </c>
      <c r="R15" s="11" t="str">
        <f>IFERROR(__xludf.DUMMYFUNCTION("""COMPUTED_VALUE"""),"Capítulo sin clasificar")</f>
        <v>Capítulo sin clasificar</v>
      </c>
      <c r="S15" s="11"/>
      <c r="T15" s="11"/>
      <c r="U15" s="11" t="str">
        <f>IFERROR(__xludf.DUMMYFUNCTION("""COMPUTED_VALUE"""),"Ninguna")</f>
        <v>Ninguna</v>
      </c>
      <c r="V15" s="11"/>
      <c r="W15" s="11" t="str">
        <f>IFERROR(__xludf.DUMMYFUNCTION("""COMPUTED_VALUE"""),"Proyecto")</f>
        <v>Proyecto</v>
      </c>
      <c r="X15" s="11" t="str">
        <f>IFERROR(__xludf.DUMMYFUNCTION("""COMPUTED_VALUE"""),"UdeA")</f>
        <v>UdeA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 t="str">
        <f>IFERROR(__xludf.DUMMYFUNCTION("""COMPUTED_VALUE"""),"Ninguna")</f>
        <v>Ninguna</v>
      </c>
      <c r="AL15" s="11"/>
      <c r="AM15" s="11" t="str">
        <f>IFERROR(__xludf.DUMMYFUNCTION("""COMPUTED_VALUE"""),"Obligatorio")</f>
        <v>Obligatorio</v>
      </c>
      <c r="AN15" s="11">
        <f>IFERROR(__xludf.DUMMYFUNCTION("""COMPUTED_VALUE"""),4.0)</f>
        <v>4</v>
      </c>
      <c r="AO15" s="11">
        <f>IFERROR(__xludf.DUMMYFUNCTION("""COMPUTED_VALUE"""),1.0)</f>
        <v>1</v>
      </c>
      <c r="AP15" s="11">
        <f>IFERROR(__xludf.DUMMYFUNCTION("""COMPUTED_VALUE"""),1.0)</f>
        <v>1</v>
      </c>
      <c r="AQ15" s="11">
        <f>IFERROR(__xludf.DUMMYFUNCTION("""COMPUTED_VALUE"""),1.0)</f>
        <v>1</v>
      </c>
      <c r="AR15" s="11">
        <f>IFERROR(__xludf.DUMMYFUNCTION("""COMPUTED_VALUE"""),1.0)</f>
        <v>1</v>
      </c>
      <c r="AS15" s="11">
        <f>IFERROR(__xludf.DUMMYFUNCTION("""COMPUTED_VALUE"""),1.0)</f>
        <v>1</v>
      </c>
      <c r="AT15" s="15" t="str">
        <f>IFERROR(__xludf.DUMMYFUNCTION("""COMPUTED_VALUE"""),"https://doi.org/10.1080/03067319.2021.1900148")</f>
        <v>https://doi.org/10.1080/03067319.2021.1900148</v>
      </c>
      <c r="AU15" s="15" t="str">
        <f>IFERROR(__xludf.DUMMYFUNCTION("""COMPUTED_VALUE"""),"https://drive.google.com/file/d/1dn74ua3f8vAE7qqBbFHM0DaRWqnMIp2q/view?usp=sharing")</f>
        <v>https://drive.google.com/file/d/1dn74ua3f8vAE7qqBbFHM0DaRWqnMIp2q/view?usp=sharing</v>
      </c>
      <c r="AV15" s="11"/>
      <c r="AW15" s="11"/>
      <c r="AX15" s="11">
        <f>IFERROR(__xludf.DUMMYFUNCTION("""COMPUTED_VALUE"""),6.0)</f>
        <v>6</v>
      </c>
      <c r="AY15" s="11" t="str">
        <f>IFERROR(__xludf.DUMMYFUNCTION("""COMPUTED_VALUE"""),"Implementation of an analytical method for the simultaneous
determination of greenhouse gases in a reservoir using
FID/µECD gas chromatography")</f>
        <v>Implementation of an analytical method for the simultaneous
determination of greenhouse gases in a reservoir using
FID/µECD gas chromatography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</row>
    <row r="16">
      <c r="A16" s="11" t="str">
        <f>IFERROR(__xludf.DUMMYFUNCTION("""COMPUTED_VALUE"""),"Proy8")</f>
        <v>Proy8</v>
      </c>
      <c r="B16" s="11" t="str">
        <f>IFERROR(__xludf.DUMMYFUNCTION("""COMPUTED_VALUE"""),"Nuevo_Conocimiento")</f>
        <v>Nuevo_Conocimiento</v>
      </c>
      <c r="C16" s="11" t="str">
        <f>IFERROR(__xludf.DUMMYFUNCTION("""COMPUTED_VALUE"""),"Artículo A1")</f>
        <v>Artículo A1</v>
      </c>
      <c r="D16" s="11" t="str">
        <f>IFERROR(__xludf.DUMMYFUNCTION("""COMPUTED_VALUE"""),"Artículo A1")</f>
        <v>Artículo A1</v>
      </c>
      <c r="E16" s="11" t="str">
        <f>IFERROR(__xludf.DUMMYFUNCTION("""COMPUTED_VALUE"""),"Artículo A2")</f>
        <v>Artículo A2</v>
      </c>
      <c r="F16" s="11" t="str">
        <f>IFERROR(__xludf.DUMMYFUNCTION("""COMPUTED_VALUE"""),"Artículo B")</f>
        <v>Artículo B</v>
      </c>
      <c r="G16" s="11" t="str">
        <f>IFERROR(__xludf.DUMMYFUNCTION("""COMPUTED_VALUE"""),"Artículo C")</f>
        <v>Artículo C</v>
      </c>
      <c r="H16" s="11" t="str">
        <f>IFERROR(__xludf.DUMMYFUNCTION("""COMPUTED_VALUE"""),"Capítulo de libro A")</f>
        <v>Capítulo de libro A</v>
      </c>
      <c r="I16" s="11" t="str">
        <f>IFERROR(__xludf.DUMMYFUNCTION("""COMPUTED_VALUE"""),"Capítulo de libro A1")</f>
        <v>Capítulo de libro A1</v>
      </c>
      <c r="J16" s="11" t="str">
        <f>IFERROR(__xludf.DUMMYFUNCTION("""COMPUTED_VALUE"""),"Capítulo de libro B")</f>
        <v>Capítulo de libro B</v>
      </c>
      <c r="K16" s="11" t="str">
        <f>IFERROR(__xludf.DUMMYFUNCTION("""COMPUTED_VALUE"""),"Libro A")</f>
        <v>Libro A</v>
      </c>
      <c r="L16" s="11" t="str">
        <f>IFERROR(__xludf.DUMMYFUNCTION("""COMPUTED_VALUE"""),"Libro A1")</f>
        <v>Libro A1</v>
      </c>
      <c r="M16" s="11" t="str">
        <f>IFERROR(__xludf.DUMMYFUNCTION("""COMPUTED_VALUE"""),"Libro B")</f>
        <v>Libro B</v>
      </c>
      <c r="N16" s="11" t="str">
        <f>IFERROR(__xludf.DUMMYFUNCTION("""COMPUTED_VALUE"""),"Solicitud Patente de invención y-o modelo de utitlidad")</f>
        <v>Solicitud Patente de invención y-o modelo de utitlidad</v>
      </c>
      <c r="O16" s="11" t="str">
        <f>IFERROR(__xludf.DUMMYFUNCTION("""COMPUTED_VALUE"""),"Patente de invención")</f>
        <v>Patente de invención</v>
      </c>
      <c r="P16" s="11" t="str">
        <f>IFERROR(__xludf.DUMMYFUNCTION("""COMPUTED_VALUE"""),"Patente de modelo de utilidad")</f>
        <v>Patente de modelo de utilidad</v>
      </c>
      <c r="Q16" s="11" t="str">
        <f>IFERROR(__xludf.DUMMYFUNCTION("""COMPUTED_VALUE"""),"Artículo sin clasificar")</f>
        <v>Artículo sin clasificar</v>
      </c>
      <c r="R16" s="11" t="str">
        <f>IFERROR(__xludf.DUMMYFUNCTION("""COMPUTED_VALUE"""),"Capítulo sin clasificar")</f>
        <v>Capítulo sin clasificar</v>
      </c>
      <c r="S16" s="11"/>
      <c r="T16" s="11"/>
      <c r="U16" s="11" t="str">
        <f>IFERROR(__xludf.DUMMYFUNCTION("""COMPUTED_VALUE"""),"Ninguna")</f>
        <v>Ninguna</v>
      </c>
      <c r="V16" s="11"/>
      <c r="W16" s="11" t="str">
        <f>IFERROR(__xludf.DUMMYFUNCTION("""COMPUTED_VALUE"""),"Proyecto")</f>
        <v>Proyecto</v>
      </c>
      <c r="X16" s="11" t="str">
        <f>IFERROR(__xludf.DUMMYFUNCTION("""COMPUTED_VALUE"""),"U. de La Sabana")</f>
        <v>U. de La Sabana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 t="str">
        <f>IFERROR(__xludf.DUMMYFUNCTION("""COMPUTED_VALUE"""),"Ninguna")</f>
        <v>Ninguna</v>
      </c>
      <c r="AL16" s="11"/>
      <c r="AM16" s="11" t="str">
        <f>IFERROR(__xludf.DUMMYFUNCTION("""COMPUTED_VALUE"""),"Obligatorio")</f>
        <v>Obligatorio</v>
      </c>
      <c r="AN16" s="11">
        <f>IFERROR(__xludf.DUMMYFUNCTION("""COMPUTED_VALUE"""),4.0)</f>
        <v>4</v>
      </c>
      <c r="AO16" s="11">
        <f>IFERROR(__xludf.DUMMYFUNCTION("""COMPUTED_VALUE"""),1.0)</f>
        <v>1</v>
      </c>
      <c r="AP16" s="11">
        <f>IFERROR(__xludf.DUMMYFUNCTION("""COMPUTED_VALUE"""),1.0)</f>
        <v>1</v>
      </c>
      <c r="AQ16" s="11">
        <f>IFERROR(__xludf.DUMMYFUNCTION("""COMPUTED_VALUE"""),1.0)</f>
        <v>1</v>
      </c>
      <c r="AR16" s="11">
        <f>IFERROR(__xludf.DUMMYFUNCTION("""COMPUTED_VALUE"""),1.0)</f>
        <v>1</v>
      </c>
      <c r="AS16" s="11">
        <f>IFERROR(__xludf.DUMMYFUNCTION("""COMPUTED_VALUE"""),1.0)</f>
        <v>1</v>
      </c>
      <c r="AT16" s="15" t="str">
        <f>IFERROR(__xludf.DUMMYFUNCTION("""COMPUTED_VALUE"""),"https://doi.org/10.1016/j.jclepro.2020.121457")</f>
        <v>https://doi.org/10.1016/j.jclepro.2020.121457</v>
      </c>
      <c r="AU16" s="15" t="str">
        <f>IFERROR(__xludf.DUMMYFUNCTION("""COMPUTED_VALUE"""),"https://drive.google.com/file/d/1fumRRFqDv05AEwmqkd0hjXDsPbXmZKnn/view?usp=sharing")</f>
        <v>https://drive.google.com/file/d/1fumRRFqDv05AEwmqkd0hjXDsPbXmZKnn/view?usp=sharing</v>
      </c>
      <c r="AV16" s="11"/>
      <c r="AW16" s="11"/>
      <c r="AX16" s="11">
        <f>IFERROR(__xludf.DUMMYFUNCTION("""COMPUTED_VALUE"""),5.0)</f>
        <v>5</v>
      </c>
      <c r="AY16" s="11" t="str">
        <f>IFERROR(__xludf.DUMMYFUNCTION("""COMPUTED_VALUE"""),"Techno-economic evaluation of indirect carbonation for CO2 emissions
capture in cement industry: A system dynamics approach")</f>
        <v>Techno-economic evaluation of indirect carbonation for CO2 emissions
capture in cement industry: A system dynamics approach</v>
      </c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</row>
    <row r="17">
      <c r="A17" s="11" t="str">
        <f>IFERROR(__xludf.DUMMYFUNCTION("""COMPUTED_VALUE"""),"Proy12")</f>
        <v>Proy12</v>
      </c>
      <c r="B17" s="11" t="str">
        <f>IFERROR(__xludf.DUMMYFUNCTION("""COMPUTED_VALUE"""),"Nuevo_Conocimiento")</f>
        <v>Nuevo_Conocimiento</v>
      </c>
      <c r="C17" s="11" t="str">
        <f>IFERROR(__xludf.DUMMYFUNCTION("""COMPUTED_VALUE"""),"Artículo A1")</f>
        <v>Artículo A1</v>
      </c>
      <c r="D17" s="11" t="str">
        <f>IFERROR(__xludf.DUMMYFUNCTION("""COMPUTED_VALUE"""),"Artículo A1")</f>
        <v>Artículo A1</v>
      </c>
      <c r="E17" s="11" t="str">
        <f>IFERROR(__xludf.DUMMYFUNCTION("""COMPUTED_VALUE"""),"Artículo A2")</f>
        <v>Artículo A2</v>
      </c>
      <c r="F17" s="11" t="str">
        <f>IFERROR(__xludf.DUMMYFUNCTION("""COMPUTED_VALUE"""),"Artículo B")</f>
        <v>Artículo B</v>
      </c>
      <c r="G17" s="11" t="str">
        <f>IFERROR(__xludf.DUMMYFUNCTION("""COMPUTED_VALUE"""),"Artículo C")</f>
        <v>Artículo C</v>
      </c>
      <c r="H17" s="11" t="str">
        <f>IFERROR(__xludf.DUMMYFUNCTION("""COMPUTED_VALUE"""),"Capítulo de libro A")</f>
        <v>Capítulo de libro A</v>
      </c>
      <c r="I17" s="11" t="str">
        <f>IFERROR(__xludf.DUMMYFUNCTION("""COMPUTED_VALUE"""),"Capítulo de libro A1")</f>
        <v>Capítulo de libro A1</v>
      </c>
      <c r="J17" s="11" t="str">
        <f>IFERROR(__xludf.DUMMYFUNCTION("""COMPUTED_VALUE"""),"Capítulo de libro B")</f>
        <v>Capítulo de libro B</v>
      </c>
      <c r="K17" s="11" t="str">
        <f>IFERROR(__xludf.DUMMYFUNCTION("""COMPUTED_VALUE"""),"Libro A")</f>
        <v>Libro A</v>
      </c>
      <c r="L17" s="11" t="str">
        <f>IFERROR(__xludf.DUMMYFUNCTION("""COMPUTED_VALUE"""),"Libro A1")</f>
        <v>Libro A1</v>
      </c>
      <c r="M17" s="11" t="str">
        <f>IFERROR(__xludf.DUMMYFUNCTION("""COMPUTED_VALUE"""),"Libro B")</f>
        <v>Libro B</v>
      </c>
      <c r="N17" s="11" t="str">
        <f>IFERROR(__xludf.DUMMYFUNCTION("""COMPUTED_VALUE"""),"Solicitud Patente de invención y-o modelo de utitlidad")</f>
        <v>Solicitud Patente de invención y-o modelo de utitlidad</v>
      </c>
      <c r="O17" s="11" t="str">
        <f>IFERROR(__xludf.DUMMYFUNCTION("""COMPUTED_VALUE"""),"Patente de invención")</f>
        <v>Patente de invención</v>
      </c>
      <c r="P17" s="11" t="str">
        <f>IFERROR(__xludf.DUMMYFUNCTION("""COMPUTED_VALUE"""),"Patente de modelo de utilidad")</f>
        <v>Patente de modelo de utilidad</v>
      </c>
      <c r="Q17" s="11" t="str">
        <f>IFERROR(__xludf.DUMMYFUNCTION("""COMPUTED_VALUE"""),"Artículo sin clasificar")</f>
        <v>Artículo sin clasificar</v>
      </c>
      <c r="R17" s="11" t="str">
        <f>IFERROR(__xludf.DUMMYFUNCTION("""COMPUTED_VALUE"""),"Capítulo sin clasificar")</f>
        <v>Capítulo sin clasificar</v>
      </c>
      <c r="S17" s="11"/>
      <c r="T17" s="11"/>
      <c r="U17" s="11" t="str">
        <f>IFERROR(__xludf.DUMMYFUNCTION("""COMPUTED_VALUE"""),"Ninguna")</f>
        <v>Ninguna</v>
      </c>
      <c r="V17" s="11"/>
      <c r="W17" s="11" t="str">
        <f>IFERROR(__xludf.DUMMYFUNCTION("""COMPUTED_VALUE"""),"Proyecto")</f>
        <v>Proyecto</v>
      </c>
      <c r="X17" s="11" t="str">
        <f>IFERROR(__xludf.DUMMYFUNCTION("""COMPUTED_VALUE"""),"UdeA")</f>
        <v>UdeA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 t="str">
        <f>IFERROR(__xludf.DUMMYFUNCTION("""COMPUTED_VALUE"""),"Universidad Pontificia Bolivariana")</f>
        <v>Universidad Pontificia Bolivariana</v>
      </c>
      <c r="AK17" s="11" t="str">
        <f>IFERROR(__xludf.DUMMYFUNCTION("""COMPUTED_VALUE"""),"Ninguna")</f>
        <v>Ninguna</v>
      </c>
      <c r="AL17" s="11"/>
      <c r="AM17" s="11" t="str">
        <f>IFERROR(__xludf.DUMMYFUNCTION("""COMPUTED_VALUE"""),"Obligatorio")</f>
        <v>Obligatorio</v>
      </c>
      <c r="AN17" s="11">
        <f>IFERROR(__xludf.DUMMYFUNCTION("""COMPUTED_VALUE"""),6.0)</f>
        <v>6</v>
      </c>
      <c r="AO17" s="11">
        <f>IFERROR(__xludf.DUMMYFUNCTION("""COMPUTED_VALUE"""),1.0)</f>
        <v>1</v>
      </c>
      <c r="AP17" s="11">
        <f>IFERROR(__xludf.DUMMYFUNCTION("""COMPUTED_VALUE"""),2.0)</f>
        <v>2</v>
      </c>
      <c r="AQ17" s="11">
        <f>IFERROR(__xludf.DUMMYFUNCTION("""COMPUTED_VALUE"""),1.0)</f>
        <v>1</v>
      </c>
      <c r="AR17" s="11">
        <f>IFERROR(__xludf.DUMMYFUNCTION("""COMPUTED_VALUE"""),2.0)</f>
        <v>2</v>
      </c>
      <c r="AS17" s="11">
        <f>IFERROR(__xludf.DUMMYFUNCTION("""COMPUTED_VALUE"""),1.0)</f>
        <v>1</v>
      </c>
      <c r="AT17" s="15" t="str">
        <f>IFERROR(__xludf.DUMMYFUNCTION("""COMPUTED_VALUE"""),"https://doi.org/10.1016/j.envpol.2020.115034")</f>
        <v>https://doi.org/10.1016/j.envpol.2020.115034</v>
      </c>
      <c r="AU17" s="15" t="str">
        <f>IFERROR(__xludf.DUMMYFUNCTION("""COMPUTED_VALUE"""),"https://drive.google.com/file/d/17tqNt3mFAX4zhX3GU6aHCk0cWHh1rnba/view?usp=sharing")</f>
        <v>https://drive.google.com/file/d/17tqNt3mFAX4zhX3GU6aHCk0cWHh1rnba/view?usp=sharing</v>
      </c>
      <c r="AV17" s="11"/>
      <c r="AW17" s="11"/>
      <c r="AX17" s="11">
        <f>IFERROR(__xludf.DUMMYFUNCTION("""COMPUTED_VALUE"""),5.0)</f>
        <v>5</v>
      </c>
      <c r="AY17" s="11" t="str">
        <f>IFERROR(__xludf.DUMMYFUNCTION("""COMPUTED_VALUE"""),"In vitro evaluation of the cytotoxicity, mutagenicity and DNA damage
induced by particle matter and gaseous emissions from a mediumduty
diesel vehicle under real driving conditions using palm oil
biodiesel blends")</f>
        <v>In vitro evaluation of the cytotoxicity, mutagenicity and DNA damage
induced by particle matter and gaseous emissions from a mediumduty
diesel vehicle under real driving conditions using palm oil
biodiesel blends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</row>
    <row r="18">
      <c r="A18" s="11" t="str">
        <f>IFERROR(__xludf.DUMMYFUNCTION("""COMPUTED_VALUE"""),"Proy15")</f>
        <v>Proy15</v>
      </c>
      <c r="B18" s="11" t="str">
        <f>IFERROR(__xludf.DUMMYFUNCTION("""COMPUTED_VALUE"""),"Nuevo_Conocimiento")</f>
        <v>Nuevo_Conocimiento</v>
      </c>
      <c r="C18" s="11" t="str">
        <f>IFERROR(__xludf.DUMMYFUNCTION("""COMPUTED_VALUE"""),"Artículo B")</f>
        <v>Artículo B</v>
      </c>
      <c r="D18" s="11" t="str">
        <f>IFERROR(__xludf.DUMMYFUNCTION("""COMPUTED_VALUE"""),"Artículo A1")</f>
        <v>Artículo A1</v>
      </c>
      <c r="E18" s="11" t="str">
        <f>IFERROR(__xludf.DUMMYFUNCTION("""COMPUTED_VALUE"""),"Artículo A2")</f>
        <v>Artículo A2</v>
      </c>
      <c r="F18" s="11" t="str">
        <f>IFERROR(__xludf.DUMMYFUNCTION("""COMPUTED_VALUE"""),"Artículo B")</f>
        <v>Artículo B</v>
      </c>
      <c r="G18" s="11" t="str">
        <f>IFERROR(__xludf.DUMMYFUNCTION("""COMPUTED_VALUE"""),"Artículo C")</f>
        <v>Artículo C</v>
      </c>
      <c r="H18" s="11" t="str">
        <f>IFERROR(__xludf.DUMMYFUNCTION("""COMPUTED_VALUE"""),"Capítulo de libro A")</f>
        <v>Capítulo de libro A</v>
      </c>
      <c r="I18" s="11" t="str">
        <f>IFERROR(__xludf.DUMMYFUNCTION("""COMPUTED_VALUE"""),"Capítulo de libro A1")</f>
        <v>Capítulo de libro A1</v>
      </c>
      <c r="J18" s="11" t="str">
        <f>IFERROR(__xludf.DUMMYFUNCTION("""COMPUTED_VALUE"""),"Capítulo de libro B")</f>
        <v>Capítulo de libro B</v>
      </c>
      <c r="K18" s="11" t="str">
        <f>IFERROR(__xludf.DUMMYFUNCTION("""COMPUTED_VALUE"""),"Libro A")</f>
        <v>Libro A</v>
      </c>
      <c r="L18" s="11" t="str">
        <f>IFERROR(__xludf.DUMMYFUNCTION("""COMPUTED_VALUE"""),"Libro A1")</f>
        <v>Libro A1</v>
      </c>
      <c r="M18" s="11" t="str">
        <f>IFERROR(__xludf.DUMMYFUNCTION("""COMPUTED_VALUE"""),"Libro B")</f>
        <v>Libro B</v>
      </c>
      <c r="N18" s="11" t="str">
        <f>IFERROR(__xludf.DUMMYFUNCTION("""COMPUTED_VALUE"""),"Solicitud Patente de invención y-o modelo de utitlidad")</f>
        <v>Solicitud Patente de invención y-o modelo de utitlidad</v>
      </c>
      <c r="O18" s="11" t="str">
        <f>IFERROR(__xludf.DUMMYFUNCTION("""COMPUTED_VALUE"""),"Patente de invención")</f>
        <v>Patente de invención</v>
      </c>
      <c r="P18" s="11" t="str">
        <f>IFERROR(__xludf.DUMMYFUNCTION("""COMPUTED_VALUE"""),"Patente de modelo de utilidad")</f>
        <v>Patente de modelo de utilidad</v>
      </c>
      <c r="Q18" s="11" t="str">
        <f>IFERROR(__xludf.DUMMYFUNCTION("""COMPUTED_VALUE"""),"Artículo sin clasificar")</f>
        <v>Artículo sin clasificar</v>
      </c>
      <c r="R18" s="11" t="str">
        <f>IFERROR(__xludf.DUMMYFUNCTION("""COMPUTED_VALUE"""),"Capítulo sin clasificar")</f>
        <v>Capítulo sin clasificar</v>
      </c>
      <c r="S18" s="11"/>
      <c r="T18" s="11"/>
      <c r="U18" s="11" t="str">
        <f>IFERROR(__xludf.DUMMYFUNCTION("""COMPUTED_VALUE"""),"Ninguna")</f>
        <v>Ninguna</v>
      </c>
      <c r="V18" s="11"/>
      <c r="W18" s="11" t="str">
        <f>IFERROR(__xludf.DUMMYFUNCTION("""COMPUTED_VALUE"""),"Proyecto")</f>
        <v>Proyecto</v>
      </c>
      <c r="X18" s="11" t="str">
        <f>IFERROR(__xludf.DUMMYFUNCTION("""COMPUTED_VALUE"""),"UdeA")</f>
        <v>UdeA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 t="str">
        <f>IFERROR(__xludf.DUMMYFUNCTION("""COMPUTED_VALUE"""),"UIS")</f>
        <v>UIS</v>
      </c>
      <c r="AK18" s="11" t="str">
        <f>IFERROR(__xludf.DUMMYFUNCTION("""COMPUTED_VALUE"""),"Ninguna")</f>
        <v>Ninguna</v>
      </c>
      <c r="AL18" s="11"/>
      <c r="AM18" s="11" t="str">
        <f>IFERROR(__xludf.DUMMYFUNCTION("""COMPUTED_VALUE"""),"Adicional")</f>
        <v>Adicional</v>
      </c>
      <c r="AN18" s="11">
        <f>IFERROR(__xludf.DUMMYFUNCTION("""COMPUTED_VALUE"""),3.0)</f>
        <v>3</v>
      </c>
      <c r="AO18" s="11">
        <f>IFERROR(__xludf.DUMMYFUNCTION("""COMPUTED_VALUE"""),1.0)</f>
        <v>1</v>
      </c>
      <c r="AP18" s="11">
        <f>IFERROR(__xludf.DUMMYFUNCTION("""COMPUTED_VALUE"""),2.0)</f>
        <v>2</v>
      </c>
      <c r="AQ18" s="11">
        <f>IFERROR(__xludf.DUMMYFUNCTION("""COMPUTED_VALUE"""),1.0)</f>
        <v>1</v>
      </c>
      <c r="AR18" s="11">
        <f>IFERROR(__xludf.DUMMYFUNCTION("""COMPUTED_VALUE"""),2.0)</f>
        <v>2</v>
      </c>
      <c r="AS18" s="11">
        <f>IFERROR(__xludf.DUMMYFUNCTION("""COMPUTED_VALUE"""),1.0)</f>
        <v>1</v>
      </c>
      <c r="AT18" s="15" t="str">
        <f>IFERROR(__xludf.DUMMYFUNCTION("""COMPUTED_VALUE"""),"https://doi.org/10.19053/01211129.v29.n54.2020.10892")</f>
        <v>https://doi.org/10.19053/01211129.v29.n54.2020.10892</v>
      </c>
      <c r="AU18" s="15" t="str">
        <f>IFERROR(__xludf.DUMMYFUNCTION("""COMPUTED_VALUE"""),"https://drive.google.com/file/d/13iREYCQf1ekBcp_riwhveDtvl26zUpLY/view?usp=sharing")</f>
        <v>https://drive.google.com/file/d/13iREYCQf1ekBcp_riwhveDtvl26zUpLY/view?usp=sharing</v>
      </c>
      <c r="AV18" s="11"/>
      <c r="AW18" s="11"/>
      <c r="AX18" s="11">
        <f>IFERROR(__xludf.DUMMYFUNCTION("""COMPUTED_VALUE"""),5.0)</f>
        <v>5</v>
      </c>
      <c r="AY18" s="11" t="str">
        <f>IFERROR(__xludf.DUMMYFUNCTION("""COMPUTED_VALUE"""),"Comparison of in Batch Aerobic and
Anaerobic Processes for the
Degradation of Organic Matter in a
Tropical Reservoir")</f>
        <v>Comparison of in Batch Aerobic and
Anaerobic Processes for the
Degradation of Organic Matter in a
Tropical Reservoir</v>
      </c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</row>
    <row r="19">
      <c r="A19" s="11" t="str">
        <f>IFERROR(__xludf.DUMMYFUNCTION("""COMPUTED_VALUE"""),"Proy13")</f>
        <v>Proy13</v>
      </c>
      <c r="B19" s="11" t="str">
        <f>IFERROR(__xludf.DUMMYFUNCTION("""COMPUTED_VALUE"""),"Nuevo_Conocimiento")</f>
        <v>Nuevo_Conocimiento</v>
      </c>
      <c r="C19" s="11" t="str">
        <f>IFERROR(__xludf.DUMMYFUNCTION("""COMPUTED_VALUE"""),"Artículo A1")</f>
        <v>Artículo A1</v>
      </c>
      <c r="D19" s="11" t="str">
        <f>IFERROR(__xludf.DUMMYFUNCTION("""COMPUTED_VALUE"""),"Artículo A1")</f>
        <v>Artículo A1</v>
      </c>
      <c r="E19" s="11" t="str">
        <f>IFERROR(__xludf.DUMMYFUNCTION("""COMPUTED_VALUE"""),"Artículo A2")</f>
        <v>Artículo A2</v>
      </c>
      <c r="F19" s="11" t="str">
        <f>IFERROR(__xludf.DUMMYFUNCTION("""COMPUTED_VALUE"""),"Artículo B")</f>
        <v>Artículo B</v>
      </c>
      <c r="G19" s="11" t="str">
        <f>IFERROR(__xludf.DUMMYFUNCTION("""COMPUTED_VALUE"""),"Artículo C")</f>
        <v>Artículo C</v>
      </c>
      <c r="H19" s="11" t="str">
        <f>IFERROR(__xludf.DUMMYFUNCTION("""COMPUTED_VALUE"""),"Capítulo de libro A")</f>
        <v>Capítulo de libro A</v>
      </c>
      <c r="I19" s="11" t="str">
        <f>IFERROR(__xludf.DUMMYFUNCTION("""COMPUTED_VALUE"""),"Capítulo de libro A1")</f>
        <v>Capítulo de libro A1</v>
      </c>
      <c r="J19" s="11" t="str">
        <f>IFERROR(__xludf.DUMMYFUNCTION("""COMPUTED_VALUE"""),"Capítulo de libro B")</f>
        <v>Capítulo de libro B</v>
      </c>
      <c r="K19" s="11" t="str">
        <f>IFERROR(__xludf.DUMMYFUNCTION("""COMPUTED_VALUE"""),"Libro A")</f>
        <v>Libro A</v>
      </c>
      <c r="L19" s="11" t="str">
        <f>IFERROR(__xludf.DUMMYFUNCTION("""COMPUTED_VALUE"""),"Libro A1")</f>
        <v>Libro A1</v>
      </c>
      <c r="M19" s="11" t="str">
        <f>IFERROR(__xludf.DUMMYFUNCTION("""COMPUTED_VALUE"""),"Libro B")</f>
        <v>Libro B</v>
      </c>
      <c r="N19" s="11" t="str">
        <f>IFERROR(__xludf.DUMMYFUNCTION("""COMPUTED_VALUE"""),"Solicitud Patente de invención y-o modelo de utitlidad")</f>
        <v>Solicitud Patente de invención y-o modelo de utitlidad</v>
      </c>
      <c r="O19" s="11" t="str">
        <f>IFERROR(__xludf.DUMMYFUNCTION("""COMPUTED_VALUE"""),"Patente de invención")</f>
        <v>Patente de invención</v>
      </c>
      <c r="P19" s="11" t="str">
        <f>IFERROR(__xludf.DUMMYFUNCTION("""COMPUTED_VALUE"""),"Patente de modelo de utilidad")</f>
        <v>Patente de modelo de utilidad</v>
      </c>
      <c r="Q19" s="11" t="str">
        <f>IFERROR(__xludf.DUMMYFUNCTION("""COMPUTED_VALUE"""),"Artículo sin clasificar")</f>
        <v>Artículo sin clasificar</v>
      </c>
      <c r="R19" s="11" t="str">
        <f>IFERROR(__xludf.DUMMYFUNCTION("""COMPUTED_VALUE"""),"Capítulo sin clasificar")</f>
        <v>Capítulo sin clasificar</v>
      </c>
      <c r="S19" s="11"/>
      <c r="T19" s="11"/>
      <c r="U19" s="11" t="str">
        <f>IFERROR(__xludf.DUMMYFUNCTION("""COMPUTED_VALUE"""),"Otros actores")</f>
        <v>Otros actores</v>
      </c>
      <c r="V19" s="11" t="str">
        <f>IFERROR(__xludf.DUMMYFUNCTION("""COMPUTED_VALUE"""),"Universidad de Gante")</f>
        <v>Universidad de Gante</v>
      </c>
      <c r="W19" s="11" t="str">
        <f>IFERROR(__xludf.DUMMYFUNCTION("""COMPUTED_VALUE"""),"Proyecto")</f>
        <v>Proyecto</v>
      </c>
      <c r="X19" s="11" t="str">
        <f>IFERROR(__xludf.DUMMYFUNCTION("""COMPUTED_VALUE"""),"UdeA")</f>
        <v>UdeA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 t="str">
        <f>IFERROR(__xludf.DUMMYFUNCTION("""COMPUTED_VALUE"""),"Ninguna")</f>
        <v>Ninguna</v>
      </c>
      <c r="AL19" s="11"/>
      <c r="AM19" s="11" t="str">
        <f>IFERROR(__xludf.DUMMYFUNCTION("""COMPUTED_VALUE"""),"Obligatorio")</f>
        <v>Obligatorio</v>
      </c>
      <c r="AN19" s="11">
        <f>IFERROR(__xludf.DUMMYFUNCTION("""COMPUTED_VALUE"""),3.0)</f>
        <v>3</v>
      </c>
      <c r="AO19" s="11">
        <f>IFERROR(__xludf.DUMMYFUNCTION("""COMPUTED_VALUE"""),1.0)</f>
        <v>1</v>
      </c>
      <c r="AP19" s="11">
        <f>IFERROR(__xludf.DUMMYFUNCTION("""COMPUTED_VALUE"""),2.0)</f>
        <v>2</v>
      </c>
      <c r="AQ19" s="11">
        <f>IFERROR(__xludf.DUMMYFUNCTION("""COMPUTED_VALUE"""),1.0)</f>
        <v>1</v>
      </c>
      <c r="AR19" s="11">
        <f>IFERROR(__xludf.DUMMYFUNCTION("""COMPUTED_VALUE"""),2.0)</f>
        <v>2</v>
      </c>
      <c r="AS19" s="11">
        <f>IFERROR(__xludf.DUMMYFUNCTION("""COMPUTED_VALUE"""),1.0)</f>
        <v>1</v>
      </c>
      <c r="AT19" s="15" t="str">
        <f>IFERROR(__xludf.DUMMYFUNCTION("""COMPUTED_VALUE"""),"https://doi.org/10.1016/j.comnet.2020.107420")</f>
        <v>https://doi.org/10.1016/j.comnet.2020.107420</v>
      </c>
      <c r="AU19" s="15" t="str">
        <f>IFERROR(__xludf.DUMMYFUNCTION("""COMPUTED_VALUE"""),"https://drive.google.com/file/d/1FVg-yeHQPIAo-LrTeIkEVBaPG_3rXa2z/view?usp=sharing")</f>
        <v>https://drive.google.com/file/d/1FVg-yeHQPIAo-LrTeIkEVBaPG_3rXa2z/view?usp=sharing</v>
      </c>
      <c r="AV19" s="11"/>
      <c r="AW19" s="11"/>
      <c r="AX19" s="11">
        <f>IFERROR(__xludf.DUMMYFUNCTION("""COMPUTED_VALUE"""),5.0)</f>
        <v>5</v>
      </c>
      <c r="AY19" s="11" t="str">
        <f>IFERROR(__xludf.DUMMYFUNCTION("""COMPUTED_VALUE"""),"Delay-constrained NFV orchestration for heterogeneous cloud networks")</f>
        <v>Delay-constrained NFV orchestration for heterogeneous cloud networks</v>
      </c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</row>
    <row r="20">
      <c r="A20" s="11" t="str">
        <f>IFERROR(__xludf.DUMMYFUNCTION("""COMPUTED_VALUE"""),"Proy12")</f>
        <v>Proy12</v>
      </c>
      <c r="B20" s="11" t="str">
        <f>IFERROR(__xludf.DUMMYFUNCTION("""COMPUTED_VALUE"""),"Nuevo_Conocimiento")</f>
        <v>Nuevo_Conocimiento</v>
      </c>
      <c r="C20" s="11" t="str">
        <f>IFERROR(__xludf.DUMMYFUNCTION("""COMPUTED_VALUE"""),"Artículo A1")</f>
        <v>Artículo A1</v>
      </c>
      <c r="D20" s="11" t="str">
        <f>IFERROR(__xludf.DUMMYFUNCTION("""COMPUTED_VALUE"""),"Artículo A1")</f>
        <v>Artículo A1</v>
      </c>
      <c r="E20" s="11" t="str">
        <f>IFERROR(__xludf.DUMMYFUNCTION("""COMPUTED_VALUE"""),"Artículo A2")</f>
        <v>Artículo A2</v>
      </c>
      <c r="F20" s="11" t="str">
        <f>IFERROR(__xludf.DUMMYFUNCTION("""COMPUTED_VALUE"""),"Artículo B")</f>
        <v>Artículo B</v>
      </c>
      <c r="G20" s="11" t="str">
        <f>IFERROR(__xludf.DUMMYFUNCTION("""COMPUTED_VALUE"""),"Artículo C")</f>
        <v>Artículo C</v>
      </c>
      <c r="H20" s="11" t="str">
        <f>IFERROR(__xludf.DUMMYFUNCTION("""COMPUTED_VALUE"""),"Capítulo de libro A")</f>
        <v>Capítulo de libro A</v>
      </c>
      <c r="I20" s="11" t="str">
        <f>IFERROR(__xludf.DUMMYFUNCTION("""COMPUTED_VALUE"""),"Capítulo de libro A1")</f>
        <v>Capítulo de libro A1</v>
      </c>
      <c r="J20" s="11" t="str">
        <f>IFERROR(__xludf.DUMMYFUNCTION("""COMPUTED_VALUE"""),"Capítulo de libro B")</f>
        <v>Capítulo de libro B</v>
      </c>
      <c r="K20" s="11" t="str">
        <f>IFERROR(__xludf.DUMMYFUNCTION("""COMPUTED_VALUE"""),"Libro A")</f>
        <v>Libro A</v>
      </c>
      <c r="L20" s="11" t="str">
        <f>IFERROR(__xludf.DUMMYFUNCTION("""COMPUTED_VALUE"""),"Libro A1")</f>
        <v>Libro A1</v>
      </c>
      <c r="M20" s="11" t="str">
        <f>IFERROR(__xludf.DUMMYFUNCTION("""COMPUTED_VALUE"""),"Libro B")</f>
        <v>Libro B</v>
      </c>
      <c r="N20" s="11" t="str">
        <f>IFERROR(__xludf.DUMMYFUNCTION("""COMPUTED_VALUE"""),"Solicitud Patente de invención y-o modelo de utitlidad")</f>
        <v>Solicitud Patente de invención y-o modelo de utitlidad</v>
      </c>
      <c r="O20" s="11" t="str">
        <f>IFERROR(__xludf.DUMMYFUNCTION("""COMPUTED_VALUE"""),"Patente de invención")</f>
        <v>Patente de invención</v>
      </c>
      <c r="P20" s="11" t="str">
        <f>IFERROR(__xludf.DUMMYFUNCTION("""COMPUTED_VALUE"""),"Patente de modelo de utilidad")</f>
        <v>Patente de modelo de utilidad</v>
      </c>
      <c r="Q20" s="11" t="str">
        <f>IFERROR(__xludf.DUMMYFUNCTION("""COMPUTED_VALUE"""),"Artículo sin clasificar")</f>
        <v>Artículo sin clasificar</v>
      </c>
      <c r="R20" s="11" t="str">
        <f>IFERROR(__xludf.DUMMYFUNCTION("""COMPUTED_VALUE"""),"Capítulo sin clasificar")</f>
        <v>Capítulo sin clasificar</v>
      </c>
      <c r="S20" s="11"/>
      <c r="T20" s="11"/>
      <c r="U20" s="11" t="str">
        <f>IFERROR(__xludf.DUMMYFUNCTION("""COMPUTED_VALUE"""),"Otros actores")</f>
        <v>Otros actores</v>
      </c>
      <c r="V20" s="11" t="str">
        <f>IFERROR(__xludf.DUMMYFUNCTION("""COMPUTED_VALUE"""),"Universidad de Castilla - La Mancha, 
Oklahoma State University")</f>
        <v>Universidad de Castilla - La Mancha, 
Oklahoma State University</v>
      </c>
      <c r="W20" s="11" t="str">
        <f>IFERROR(__xludf.DUMMYFUNCTION("""COMPUTED_VALUE"""),"Proyecto")</f>
        <v>Proyecto</v>
      </c>
      <c r="X20" s="11" t="str">
        <f>IFERROR(__xludf.DUMMYFUNCTION("""COMPUTED_VALUE"""),"UdeA")</f>
        <v>UdeA</v>
      </c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 t="str">
        <f>IFERROR(__xludf.DUMMYFUNCTION("""COMPUTED_VALUE"""),"Ninguna")</f>
        <v>Ninguna</v>
      </c>
      <c r="AL20" s="11"/>
      <c r="AM20" s="11" t="str">
        <f>IFERROR(__xludf.DUMMYFUNCTION("""COMPUTED_VALUE"""),"Obligatorio")</f>
        <v>Obligatorio</v>
      </c>
      <c r="AN20" s="11">
        <f>IFERROR(__xludf.DUMMYFUNCTION("""COMPUTED_VALUE"""),6.0)</f>
        <v>6</v>
      </c>
      <c r="AO20" s="11">
        <f>IFERROR(__xludf.DUMMYFUNCTION("""COMPUTED_VALUE"""),1.0)</f>
        <v>1</v>
      </c>
      <c r="AP20" s="11">
        <f>IFERROR(__xludf.DUMMYFUNCTION("""COMPUTED_VALUE"""),3.0)</f>
        <v>3</v>
      </c>
      <c r="AQ20" s="11">
        <f>IFERROR(__xludf.DUMMYFUNCTION("""COMPUTED_VALUE"""),1.0)</f>
        <v>1</v>
      </c>
      <c r="AR20" s="11">
        <f>IFERROR(__xludf.DUMMYFUNCTION("""COMPUTED_VALUE"""),3.0)</f>
        <v>3</v>
      </c>
      <c r="AS20" s="11">
        <f>IFERROR(__xludf.DUMMYFUNCTION("""COMPUTED_VALUE"""),1.0)</f>
        <v>1</v>
      </c>
      <c r="AT20" s="15" t="str">
        <f>IFERROR(__xludf.DUMMYFUNCTION("""COMPUTED_VALUE"""),"https://doi.org/10.1016/j.fuel.2020.118763")</f>
        <v>https://doi.org/10.1016/j.fuel.2020.118763</v>
      </c>
      <c r="AU20" s="15" t="str">
        <f>IFERROR(__xludf.DUMMYFUNCTION("""COMPUTED_VALUE"""),"https://drive.google.com/file/d/1UU2ul_exNV5opj_w9EJ7-LpiKA2vsBMg/view?usp=sharing")</f>
        <v>https://drive.google.com/file/d/1UU2ul_exNV5opj_w9EJ7-LpiKA2vsBMg/view?usp=sharing</v>
      </c>
      <c r="AV20" s="11"/>
      <c r="AW20" s="11"/>
      <c r="AX20" s="11">
        <f>IFERROR(__xludf.DUMMYFUNCTION("""COMPUTED_VALUE"""),5.0)</f>
        <v>5</v>
      </c>
      <c r="AY20" s="11" t="str">
        <f>IFERROR(__xludf.DUMMYFUNCTION("""COMPUTED_VALUE"""),"Genotoxicity and mutagenicity of particulate matter emitted from diesel, gas
to liquid, biodiesel, and farnesane fuels: A toxicological risk")</f>
        <v>Genotoxicity and mutagenicity of particulate matter emitted from diesel, gas
to liquid, biodiesel, and farnesane fuels: A toxicological risk</v>
      </c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>
      <c r="A21" s="11" t="str">
        <f>IFERROR(__xludf.DUMMYFUNCTION("""COMPUTED_VALUE"""),"Proy2")</f>
        <v>Proy2</v>
      </c>
      <c r="B21" s="11" t="str">
        <f>IFERROR(__xludf.DUMMYFUNCTION("""COMPUTED_VALUE"""),"Nuevo_Conocimiento")</f>
        <v>Nuevo_Conocimiento</v>
      </c>
      <c r="C21" s="11" t="str">
        <f>IFERROR(__xludf.DUMMYFUNCTION("""COMPUTED_VALUE"""),"Artículo B")</f>
        <v>Artículo B</v>
      </c>
      <c r="D21" s="11" t="str">
        <f>IFERROR(__xludf.DUMMYFUNCTION("""COMPUTED_VALUE"""),"Artículo A1")</f>
        <v>Artículo A1</v>
      </c>
      <c r="E21" s="11" t="str">
        <f>IFERROR(__xludf.DUMMYFUNCTION("""COMPUTED_VALUE"""),"Artículo A2")</f>
        <v>Artículo A2</v>
      </c>
      <c r="F21" s="11" t="str">
        <f>IFERROR(__xludf.DUMMYFUNCTION("""COMPUTED_VALUE"""),"Artículo B")</f>
        <v>Artículo B</v>
      </c>
      <c r="G21" s="11" t="str">
        <f>IFERROR(__xludf.DUMMYFUNCTION("""COMPUTED_VALUE"""),"Artículo C")</f>
        <v>Artículo C</v>
      </c>
      <c r="H21" s="11" t="str">
        <f>IFERROR(__xludf.DUMMYFUNCTION("""COMPUTED_VALUE"""),"Capítulo de libro A")</f>
        <v>Capítulo de libro A</v>
      </c>
      <c r="I21" s="11" t="str">
        <f>IFERROR(__xludf.DUMMYFUNCTION("""COMPUTED_VALUE"""),"Capítulo de libro A1")</f>
        <v>Capítulo de libro A1</v>
      </c>
      <c r="J21" s="11" t="str">
        <f>IFERROR(__xludf.DUMMYFUNCTION("""COMPUTED_VALUE"""),"Capítulo de libro B")</f>
        <v>Capítulo de libro B</v>
      </c>
      <c r="K21" s="11" t="str">
        <f>IFERROR(__xludf.DUMMYFUNCTION("""COMPUTED_VALUE"""),"Libro A")</f>
        <v>Libro A</v>
      </c>
      <c r="L21" s="11" t="str">
        <f>IFERROR(__xludf.DUMMYFUNCTION("""COMPUTED_VALUE"""),"Libro A1")</f>
        <v>Libro A1</v>
      </c>
      <c r="M21" s="11" t="str">
        <f>IFERROR(__xludf.DUMMYFUNCTION("""COMPUTED_VALUE"""),"Libro B")</f>
        <v>Libro B</v>
      </c>
      <c r="N21" s="11" t="str">
        <f>IFERROR(__xludf.DUMMYFUNCTION("""COMPUTED_VALUE"""),"Solicitud Patente de invención y-o modelo de utitlidad")</f>
        <v>Solicitud Patente de invención y-o modelo de utitlidad</v>
      </c>
      <c r="O21" s="11" t="str">
        <f>IFERROR(__xludf.DUMMYFUNCTION("""COMPUTED_VALUE"""),"Patente de invención")</f>
        <v>Patente de invención</v>
      </c>
      <c r="P21" s="11" t="str">
        <f>IFERROR(__xludf.DUMMYFUNCTION("""COMPUTED_VALUE"""),"Patente de modelo de utilidad")</f>
        <v>Patente de modelo de utilidad</v>
      </c>
      <c r="Q21" s="11" t="str">
        <f>IFERROR(__xludf.DUMMYFUNCTION("""COMPUTED_VALUE"""),"Artículo sin clasificar")</f>
        <v>Artículo sin clasificar</v>
      </c>
      <c r="R21" s="11" t="str">
        <f>IFERROR(__xludf.DUMMYFUNCTION("""COMPUTED_VALUE"""),"Capítulo sin clasificar")</f>
        <v>Capítulo sin clasificar</v>
      </c>
      <c r="S21" s="11"/>
      <c r="T21" s="11"/>
      <c r="U21" s="11" t="str">
        <f>IFERROR(__xludf.DUMMYFUNCTION("""COMPUTED_VALUE"""),"Otros actores")</f>
        <v>Otros actores</v>
      </c>
      <c r="V21" s="11" t="str">
        <f>IFERROR(__xludf.DUMMYFUNCTION("""COMPUTED_VALUE"""),"University of
Pardubice, Nam, República Checa")</f>
        <v>University of
Pardubice, Nam, República Checa</v>
      </c>
      <c r="W21" s="11" t="str">
        <f>IFERROR(__xludf.DUMMYFUNCTION("""COMPUTED_VALUE"""),"Programa")</f>
        <v>Programa</v>
      </c>
      <c r="X21" s="11" t="str">
        <f>IFERROR(__xludf.DUMMYFUNCTION("""COMPUTED_VALUE"""),"UdeA")</f>
        <v>UdeA</v>
      </c>
      <c r="Y21" s="11" t="str">
        <f>IFERROR(__xludf.DUMMYFUNCTION("""COMPUTED_VALUE"""),"U. Pamplona")</f>
        <v>U. Pamplona</v>
      </c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 t="str">
        <f>IFERROR(__xludf.DUMMYFUNCTION("""COMPUTED_VALUE"""),"UIS")</f>
        <v>UIS</v>
      </c>
      <c r="AK21" s="11" t="str">
        <f>IFERROR(__xludf.DUMMYFUNCTION("""COMPUTED_VALUE"""),"Colaboración")</f>
        <v>Colaboración</v>
      </c>
      <c r="AL21" s="11" t="str">
        <f>IFERROR(__xludf.DUMMYFUNCTION("""COMPUTED_VALUE"""),"P3")</f>
        <v>P3</v>
      </c>
      <c r="AM21" s="11" t="str">
        <f>IFERROR(__xludf.DUMMYFUNCTION("""COMPUTED_VALUE"""),"Adicional")</f>
        <v>Adicional</v>
      </c>
      <c r="AN21" s="11">
        <f>IFERROR(__xludf.DUMMYFUNCTION("""COMPUTED_VALUE"""),5.0)</f>
        <v>5</v>
      </c>
      <c r="AO21" s="11">
        <f>IFERROR(__xludf.DUMMYFUNCTION("""COMPUTED_VALUE"""),1.0)</f>
        <v>1</v>
      </c>
      <c r="AP21" s="11">
        <f>IFERROR(__xludf.DUMMYFUNCTION("""COMPUTED_VALUE"""),4.0)</f>
        <v>4</v>
      </c>
      <c r="AQ21" s="11">
        <f>IFERROR(__xludf.DUMMYFUNCTION("""COMPUTED_VALUE"""),1.0)</f>
        <v>1</v>
      </c>
      <c r="AR21" s="11">
        <f>IFERROR(__xludf.DUMMYFUNCTION("""COMPUTED_VALUE"""),4.0)</f>
        <v>4</v>
      </c>
      <c r="AS21" s="11">
        <f>IFERROR(__xludf.DUMMYFUNCTION("""COMPUTED_VALUE"""),1.0)</f>
        <v>1</v>
      </c>
      <c r="AT21" s="11" t="str">
        <f>IFERROR(__xludf.DUMMYFUNCTION("""COMPUTED_VALUE"""),"DOI: 10.1116/6.0000275")</f>
        <v>DOI: 10.1116/6.0000275</v>
      </c>
      <c r="AU21" s="15" t="str">
        <f>IFERROR(__xludf.DUMMYFUNCTION("""COMPUTED_VALUE"""),"https://drive.google.com/file/d/1i6eFNTqt-074bUDTXMlD1DY4FbHWY4Q6/view?usp=sharing")</f>
        <v>https://drive.google.com/file/d/1i6eFNTqt-074bUDTXMlD1DY4FbHWY4Q6/view?usp=sharing</v>
      </c>
      <c r="AV21" s="11"/>
      <c r="AW21" s="11"/>
      <c r="AX21" s="11">
        <f>IFERROR(__xludf.DUMMYFUNCTION("""COMPUTED_VALUE"""),5.0)</f>
        <v>5</v>
      </c>
      <c r="AY21" s="11" t="str">
        <f>IFERROR(__xludf.DUMMYFUNCTION("""COMPUTED_VALUE"""),"XPS of the surface chemical environment of
CsMAFAPbBrI trication-mixed halide perovskite film")</f>
        <v>XPS of the surface chemical environment of
CsMAFAPbBrI trication-mixed halide perovskite film</v>
      </c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>
      <c r="A22" s="11" t="str">
        <f>IFERROR(__xludf.DUMMYFUNCTION("""COMPUTED_VALUE"""),"Proy12")</f>
        <v>Proy12</v>
      </c>
      <c r="B22" s="11" t="str">
        <f>IFERROR(__xludf.DUMMYFUNCTION("""COMPUTED_VALUE"""),"Nuevo_Conocimiento")</f>
        <v>Nuevo_Conocimiento</v>
      </c>
      <c r="C22" s="11" t="str">
        <f>IFERROR(__xludf.DUMMYFUNCTION("""COMPUTED_VALUE"""),"Artículo A1")</f>
        <v>Artículo A1</v>
      </c>
      <c r="D22" s="11" t="str">
        <f>IFERROR(__xludf.DUMMYFUNCTION("""COMPUTED_VALUE"""),"Artículo A1")</f>
        <v>Artículo A1</v>
      </c>
      <c r="E22" s="11" t="str">
        <f>IFERROR(__xludf.DUMMYFUNCTION("""COMPUTED_VALUE"""),"Artículo A2")</f>
        <v>Artículo A2</v>
      </c>
      <c r="F22" s="11" t="str">
        <f>IFERROR(__xludf.DUMMYFUNCTION("""COMPUTED_VALUE"""),"Artículo B")</f>
        <v>Artículo B</v>
      </c>
      <c r="G22" s="11" t="str">
        <f>IFERROR(__xludf.DUMMYFUNCTION("""COMPUTED_VALUE"""),"Artículo C")</f>
        <v>Artículo C</v>
      </c>
      <c r="H22" s="11" t="str">
        <f>IFERROR(__xludf.DUMMYFUNCTION("""COMPUTED_VALUE"""),"Capítulo de libro A")</f>
        <v>Capítulo de libro A</v>
      </c>
      <c r="I22" s="11" t="str">
        <f>IFERROR(__xludf.DUMMYFUNCTION("""COMPUTED_VALUE"""),"Capítulo de libro A1")</f>
        <v>Capítulo de libro A1</v>
      </c>
      <c r="J22" s="11" t="str">
        <f>IFERROR(__xludf.DUMMYFUNCTION("""COMPUTED_VALUE"""),"Capítulo de libro B")</f>
        <v>Capítulo de libro B</v>
      </c>
      <c r="K22" s="11" t="str">
        <f>IFERROR(__xludf.DUMMYFUNCTION("""COMPUTED_VALUE"""),"Libro A")</f>
        <v>Libro A</v>
      </c>
      <c r="L22" s="11" t="str">
        <f>IFERROR(__xludf.DUMMYFUNCTION("""COMPUTED_VALUE"""),"Libro A1")</f>
        <v>Libro A1</v>
      </c>
      <c r="M22" s="11" t="str">
        <f>IFERROR(__xludf.DUMMYFUNCTION("""COMPUTED_VALUE"""),"Libro B")</f>
        <v>Libro B</v>
      </c>
      <c r="N22" s="11" t="str">
        <f>IFERROR(__xludf.DUMMYFUNCTION("""COMPUTED_VALUE"""),"Solicitud Patente de invención y-o modelo de utitlidad")</f>
        <v>Solicitud Patente de invención y-o modelo de utitlidad</v>
      </c>
      <c r="O22" s="11" t="str">
        <f>IFERROR(__xludf.DUMMYFUNCTION("""COMPUTED_VALUE"""),"Patente de invención")</f>
        <v>Patente de invención</v>
      </c>
      <c r="P22" s="11" t="str">
        <f>IFERROR(__xludf.DUMMYFUNCTION("""COMPUTED_VALUE"""),"Patente de modelo de utilidad")</f>
        <v>Patente de modelo de utilidad</v>
      </c>
      <c r="Q22" s="11" t="str">
        <f>IFERROR(__xludf.DUMMYFUNCTION("""COMPUTED_VALUE"""),"Artículo sin clasificar")</f>
        <v>Artículo sin clasificar</v>
      </c>
      <c r="R22" s="11" t="str">
        <f>IFERROR(__xludf.DUMMYFUNCTION("""COMPUTED_VALUE"""),"Capítulo sin clasificar")</f>
        <v>Capítulo sin clasificar</v>
      </c>
      <c r="S22" s="11"/>
      <c r="T22" s="11"/>
      <c r="U22" s="11" t="str">
        <f>IFERROR(__xludf.DUMMYFUNCTION("""COMPUTED_VALUE"""),"Ninguna")</f>
        <v>Ninguna</v>
      </c>
      <c r="V22" s="11"/>
      <c r="W22" s="11" t="str">
        <f>IFERROR(__xludf.DUMMYFUNCTION("""COMPUTED_VALUE"""),"Programa")</f>
        <v>Programa</v>
      </c>
      <c r="X22" s="11" t="str">
        <f>IFERROR(__xludf.DUMMYFUNCTION("""COMPUTED_VALUE"""),"UdeA")</f>
        <v>UdeA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 t="str">
        <f>IFERROR(__xludf.DUMMYFUNCTION("""COMPUTED_VALUE"""),"Colaboración")</f>
        <v>Colaboración</v>
      </c>
      <c r="AL22" s="11" t="str">
        <f>IFERROR(__xludf.DUMMYFUNCTION("""COMPUTED_VALUE"""),"P6")</f>
        <v>P6</v>
      </c>
      <c r="AM22" s="11" t="str">
        <f>IFERROR(__xludf.DUMMYFUNCTION("""COMPUTED_VALUE"""),"Obligatorio")</f>
        <v>Obligatorio</v>
      </c>
      <c r="AN22" s="11">
        <f>IFERROR(__xludf.DUMMYFUNCTION("""COMPUTED_VALUE"""),3.0)</f>
        <v>3</v>
      </c>
      <c r="AO22" s="11">
        <f>IFERROR(__xludf.DUMMYFUNCTION("""COMPUTED_VALUE"""),2.0)</f>
        <v>2</v>
      </c>
      <c r="AP22" s="11">
        <f>IFERROR(__xludf.DUMMYFUNCTION("""COMPUTED_VALUE"""),2.0)</f>
        <v>2</v>
      </c>
      <c r="AQ22" s="11">
        <f>IFERROR(__xludf.DUMMYFUNCTION("""COMPUTED_VALUE"""),2.0)</f>
        <v>2</v>
      </c>
      <c r="AR22" s="11">
        <f>IFERROR(__xludf.DUMMYFUNCTION("""COMPUTED_VALUE"""),1.0)</f>
        <v>1</v>
      </c>
      <c r="AS22" s="11">
        <f>IFERROR(__xludf.DUMMYFUNCTION("""COMPUTED_VALUE"""),1.0)</f>
        <v>1</v>
      </c>
      <c r="AT22" s="15" t="str">
        <f>IFERROR(__xludf.DUMMYFUNCTION("""COMPUTED_VALUE"""),"https://doi.org/10.1016/j.jes.2020.08.022")</f>
        <v>https://doi.org/10.1016/j.jes.2020.08.022</v>
      </c>
      <c r="AU22" s="15" t="str">
        <f>IFERROR(__xludf.DUMMYFUNCTION("""COMPUTED_VALUE"""),"https://drive.google.com/file/d/1B-xPUZgBcIZx2ec_IhiGEsp49C2R12jO/view?usp=sharing")</f>
        <v>https://drive.google.com/file/d/1B-xPUZgBcIZx2ec_IhiGEsp49C2R12jO/view?usp=sharing</v>
      </c>
      <c r="AV22" s="11"/>
      <c r="AW22" s="11"/>
      <c r="AX22" s="11">
        <f>IFERROR(__xludf.DUMMYFUNCTION("""COMPUTED_VALUE"""),5.0)</f>
        <v>5</v>
      </c>
      <c r="AY22" s="11" t="str">
        <f>IFERROR(__xludf.DUMMYFUNCTION("""COMPUTED_VALUE"""),"Palm oil biodiesel: An assessment of PAH emissions, oxidative potential and ecotoxicity of particulate matter")</f>
        <v>Palm oil biodiesel: An assessment of PAH emissions, oxidative potential and ecotoxicity of particulate matter</v>
      </c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>
      <c r="A23" s="11" t="str">
        <f>IFERROR(__xludf.DUMMYFUNCTION("""COMPUTED_VALUE"""),"Proy12")</f>
        <v>Proy12</v>
      </c>
      <c r="B23" s="11" t="str">
        <f>IFERROR(__xludf.DUMMYFUNCTION("""COMPUTED_VALUE"""),"Nuevo_Conocimiento")</f>
        <v>Nuevo_Conocimiento</v>
      </c>
      <c r="C23" s="11" t="str">
        <f>IFERROR(__xludf.DUMMYFUNCTION("""COMPUTED_VALUE"""),"Artículo A1")</f>
        <v>Artículo A1</v>
      </c>
      <c r="D23" s="11" t="str">
        <f>IFERROR(__xludf.DUMMYFUNCTION("""COMPUTED_VALUE"""),"Artículo A1")</f>
        <v>Artículo A1</v>
      </c>
      <c r="E23" s="11" t="str">
        <f>IFERROR(__xludf.DUMMYFUNCTION("""COMPUTED_VALUE"""),"Artículo A2")</f>
        <v>Artículo A2</v>
      </c>
      <c r="F23" s="11" t="str">
        <f>IFERROR(__xludf.DUMMYFUNCTION("""COMPUTED_VALUE"""),"Artículo B")</f>
        <v>Artículo B</v>
      </c>
      <c r="G23" s="11" t="str">
        <f>IFERROR(__xludf.DUMMYFUNCTION("""COMPUTED_VALUE"""),"Artículo C")</f>
        <v>Artículo C</v>
      </c>
      <c r="H23" s="11" t="str">
        <f>IFERROR(__xludf.DUMMYFUNCTION("""COMPUTED_VALUE"""),"Capítulo de libro A")</f>
        <v>Capítulo de libro A</v>
      </c>
      <c r="I23" s="11" t="str">
        <f>IFERROR(__xludf.DUMMYFUNCTION("""COMPUTED_VALUE"""),"Capítulo de libro A1")</f>
        <v>Capítulo de libro A1</v>
      </c>
      <c r="J23" s="11" t="str">
        <f>IFERROR(__xludf.DUMMYFUNCTION("""COMPUTED_VALUE"""),"Capítulo de libro B")</f>
        <v>Capítulo de libro B</v>
      </c>
      <c r="K23" s="11" t="str">
        <f>IFERROR(__xludf.DUMMYFUNCTION("""COMPUTED_VALUE"""),"Libro A")</f>
        <v>Libro A</v>
      </c>
      <c r="L23" s="11" t="str">
        <f>IFERROR(__xludf.DUMMYFUNCTION("""COMPUTED_VALUE"""),"Libro A1")</f>
        <v>Libro A1</v>
      </c>
      <c r="M23" s="11" t="str">
        <f>IFERROR(__xludf.DUMMYFUNCTION("""COMPUTED_VALUE"""),"Libro B")</f>
        <v>Libro B</v>
      </c>
      <c r="N23" s="11" t="str">
        <f>IFERROR(__xludf.DUMMYFUNCTION("""COMPUTED_VALUE"""),"Solicitud Patente de invención y-o modelo de utitlidad")</f>
        <v>Solicitud Patente de invención y-o modelo de utitlidad</v>
      </c>
      <c r="O23" s="11" t="str">
        <f>IFERROR(__xludf.DUMMYFUNCTION("""COMPUTED_VALUE"""),"Patente de invención")</f>
        <v>Patente de invención</v>
      </c>
      <c r="P23" s="11" t="str">
        <f>IFERROR(__xludf.DUMMYFUNCTION("""COMPUTED_VALUE"""),"Patente de modelo de utilidad")</f>
        <v>Patente de modelo de utilidad</v>
      </c>
      <c r="Q23" s="11" t="str">
        <f>IFERROR(__xludf.DUMMYFUNCTION("""COMPUTED_VALUE"""),"Artículo sin clasificar")</f>
        <v>Artículo sin clasificar</v>
      </c>
      <c r="R23" s="11" t="str">
        <f>IFERROR(__xludf.DUMMYFUNCTION("""COMPUTED_VALUE"""),"Capítulo sin clasificar")</f>
        <v>Capítulo sin clasificar</v>
      </c>
      <c r="S23" s="11"/>
      <c r="T23" s="11"/>
      <c r="U23" s="11" t="str">
        <f>IFERROR(__xludf.DUMMYFUNCTION("""COMPUTED_VALUE"""),"Otros actores")</f>
        <v>Otros actores</v>
      </c>
      <c r="V23" s="11" t="str">
        <f>IFERROR(__xludf.DUMMYFUNCTION("""COMPUTED_VALUE"""),"University of Cambridge, Nanyang Technological University, Cambridge Centre for Advanced Research and Education in Singapore")</f>
        <v>University of Cambridge, Nanyang Technological University, Cambridge Centre for Advanced Research and Education in Singapore</v>
      </c>
      <c r="W23" s="11" t="str">
        <f>IFERROR(__xludf.DUMMYFUNCTION("""COMPUTED_VALUE"""),"Proyecto")</f>
        <v>Proyecto</v>
      </c>
      <c r="X23" s="11" t="str">
        <f>IFERROR(__xludf.DUMMYFUNCTION("""COMPUTED_VALUE"""),"UdeA")</f>
        <v>UdeA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 t="str">
        <f>IFERROR(__xludf.DUMMYFUNCTION("""COMPUTED_VALUE"""),"Ninguna")</f>
        <v>Ninguna</v>
      </c>
      <c r="AL23" s="11"/>
      <c r="AM23" s="11" t="str">
        <f>IFERROR(__xludf.DUMMYFUNCTION("""COMPUTED_VALUE"""),"Obligatorio")</f>
        <v>Obligatorio</v>
      </c>
      <c r="AN23" s="11">
        <f>IFERROR(__xludf.DUMMYFUNCTION("""COMPUTED_VALUE"""),5.0)</f>
        <v>5</v>
      </c>
      <c r="AO23" s="11">
        <f>IFERROR(__xludf.DUMMYFUNCTION("""COMPUTED_VALUE"""),1.0)</f>
        <v>1</v>
      </c>
      <c r="AP23" s="11">
        <f>IFERROR(__xludf.DUMMYFUNCTION("""COMPUTED_VALUE"""),4.0)</f>
        <v>4</v>
      </c>
      <c r="AQ23" s="11">
        <f>IFERROR(__xludf.DUMMYFUNCTION("""COMPUTED_VALUE"""),1.0)</f>
        <v>1</v>
      </c>
      <c r="AR23" s="11">
        <f>IFERROR(__xludf.DUMMYFUNCTION("""COMPUTED_VALUE"""),4.0)</f>
        <v>4</v>
      </c>
      <c r="AS23" s="11">
        <f>IFERROR(__xludf.DUMMYFUNCTION("""COMPUTED_VALUE"""),1.0)</f>
        <v>1</v>
      </c>
      <c r="AT23" s="15" t="str">
        <f>IFERROR(__xludf.DUMMYFUNCTION("""COMPUTED_VALUE"""),"https://doi.org/10.1016/j.carbon.2020.09.074")</f>
        <v>https://doi.org/10.1016/j.carbon.2020.09.074</v>
      </c>
      <c r="AU23" s="15" t="str">
        <f>IFERROR(__xludf.DUMMYFUNCTION("""COMPUTED_VALUE"""),"https://drive.google.com/file/d/1IblewhPJzmsea5FuwHKT5KL7OXAqQNvr/view?usp=sharing")</f>
        <v>https://drive.google.com/file/d/1IblewhPJzmsea5FuwHKT5KL7OXAqQNvr/view?usp=sharing</v>
      </c>
      <c r="AV23" s="11"/>
      <c r="AW23" s="11"/>
      <c r="AX23" s="11">
        <f>IFERROR(__xludf.DUMMYFUNCTION("""COMPUTED_VALUE"""),5.0)</f>
        <v>5</v>
      </c>
      <c r="AY23" s="11" t="str">
        <f>IFERROR(__xludf.DUMMYFUNCTION("""COMPUTED_VALUE"""),"On the thermophoretic sampling and TEM-based characterisation of
soot particles in flames")</f>
        <v>On the thermophoretic sampling and TEM-based characterisation of
soot particles in flames</v>
      </c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</row>
    <row r="24">
      <c r="A24" s="11" t="str">
        <f>IFERROR(__xludf.DUMMYFUNCTION("""COMPUTED_VALUE"""),"Proy12")</f>
        <v>Proy12</v>
      </c>
      <c r="B24" s="11" t="str">
        <f>IFERROR(__xludf.DUMMYFUNCTION("""COMPUTED_VALUE"""),"Nuevo_Conocimiento")</f>
        <v>Nuevo_Conocimiento</v>
      </c>
      <c r="C24" s="11" t="str">
        <f>IFERROR(__xludf.DUMMYFUNCTION("""COMPUTED_VALUE"""),"Artículo A1")</f>
        <v>Artículo A1</v>
      </c>
      <c r="D24" s="11" t="str">
        <f>IFERROR(__xludf.DUMMYFUNCTION("""COMPUTED_VALUE"""),"Artículo A1")</f>
        <v>Artículo A1</v>
      </c>
      <c r="E24" s="11" t="str">
        <f>IFERROR(__xludf.DUMMYFUNCTION("""COMPUTED_VALUE"""),"Artículo A2")</f>
        <v>Artículo A2</v>
      </c>
      <c r="F24" s="11" t="str">
        <f>IFERROR(__xludf.DUMMYFUNCTION("""COMPUTED_VALUE"""),"Artículo B")</f>
        <v>Artículo B</v>
      </c>
      <c r="G24" s="11" t="str">
        <f>IFERROR(__xludf.DUMMYFUNCTION("""COMPUTED_VALUE"""),"Artículo C")</f>
        <v>Artículo C</v>
      </c>
      <c r="H24" s="11" t="str">
        <f>IFERROR(__xludf.DUMMYFUNCTION("""COMPUTED_VALUE"""),"Capítulo de libro A")</f>
        <v>Capítulo de libro A</v>
      </c>
      <c r="I24" s="11" t="str">
        <f>IFERROR(__xludf.DUMMYFUNCTION("""COMPUTED_VALUE"""),"Capítulo de libro A1")</f>
        <v>Capítulo de libro A1</v>
      </c>
      <c r="J24" s="11" t="str">
        <f>IFERROR(__xludf.DUMMYFUNCTION("""COMPUTED_VALUE"""),"Capítulo de libro B")</f>
        <v>Capítulo de libro B</v>
      </c>
      <c r="K24" s="11" t="str">
        <f>IFERROR(__xludf.DUMMYFUNCTION("""COMPUTED_VALUE"""),"Libro A")</f>
        <v>Libro A</v>
      </c>
      <c r="L24" s="11" t="str">
        <f>IFERROR(__xludf.DUMMYFUNCTION("""COMPUTED_VALUE"""),"Libro A1")</f>
        <v>Libro A1</v>
      </c>
      <c r="M24" s="11" t="str">
        <f>IFERROR(__xludf.DUMMYFUNCTION("""COMPUTED_VALUE"""),"Libro B")</f>
        <v>Libro B</v>
      </c>
      <c r="N24" s="11" t="str">
        <f>IFERROR(__xludf.DUMMYFUNCTION("""COMPUTED_VALUE"""),"Solicitud Patente de invención y-o modelo de utitlidad")</f>
        <v>Solicitud Patente de invención y-o modelo de utitlidad</v>
      </c>
      <c r="O24" s="11" t="str">
        <f>IFERROR(__xludf.DUMMYFUNCTION("""COMPUTED_VALUE"""),"Patente de invención")</f>
        <v>Patente de invención</v>
      </c>
      <c r="P24" s="11" t="str">
        <f>IFERROR(__xludf.DUMMYFUNCTION("""COMPUTED_VALUE"""),"Patente de modelo de utilidad")</f>
        <v>Patente de modelo de utilidad</v>
      </c>
      <c r="Q24" s="11" t="str">
        <f>IFERROR(__xludf.DUMMYFUNCTION("""COMPUTED_VALUE"""),"Artículo sin clasificar")</f>
        <v>Artículo sin clasificar</v>
      </c>
      <c r="R24" s="11" t="str">
        <f>IFERROR(__xludf.DUMMYFUNCTION("""COMPUTED_VALUE"""),"Capítulo sin clasificar")</f>
        <v>Capítulo sin clasificar</v>
      </c>
      <c r="S24" s="11"/>
      <c r="T24" s="11"/>
      <c r="U24" s="11" t="str">
        <f>IFERROR(__xludf.DUMMYFUNCTION("""COMPUTED_VALUE"""),"Ninguna")</f>
        <v>Ninguna</v>
      </c>
      <c r="V24" s="11"/>
      <c r="W24" s="11" t="str">
        <f>IFERROR(__xludf.DUMMYFUNCTION("""COMPUTED_VALUE"""),"Proyecto")</f>
        <v>Proyecto</v>
      </c>
      <c r="X24" s="11" t="str">
        <f>IFERROR(__xludf.DUMMYFUNCTION("""COMPUTED_VALUE"""),"UdeA")</f>
        <v>UdeA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 t="str">
        <f>IFERROR(__xludf.DUMMYFUNCTION("""COMPUTED_VALUE"""),"Ninguna")</f>
        <v>Ninguna</v>
      </c>
      <c r="AL24" s="11"/>
      <c r="AM24" s="11" t="str">
        <f>IFERROR(__xludf.DUMMYFUNCTION("""COMPUTED_VALUE"""),"Obligatorio")</f>
        <v>Obligatorio</v>
      </c>
      <c r="AN24" s="11">
        <f>IFERROR(__xludf.DUMMYFUNCTION("""COMPUTED_VALUE"""),5.0)</f>
        <v>5</v>
      </c>
      <c r="AO24" s="11">
        <f>IFERROR(__xludf.DUMMYFUNCTION("""COMPUTED_VALUE"""),1.0)</f>
        <v>1</v>
      </c>
      <c r="AP24" s="11">
        <f>IFERROR(__xludf.DUMMYFUNCTION("""COMPUTED_VALUE"""),2.0)</f>
        <v>2</v>
      </c>
      <c r="AQ24" s="11">
        <f>IFERROR(__xludf.DUMMYFUNCTION("""COMPUTED_VALUE"""),2.0)</f>
        <v>2</v>
      </c>
      <c r="AR24" s="11">
        <f>IFERROR(__xludf.DUMMYFUNCTION("""COMPUTED_VALUE"""),1.0)</f>
        <v>1</v>
      </c>
      <c r="AS24" s="11">
        <f>IFERROR(__xludf.DUMMYFUNCTION("""COMPUTED_VALUE"""),1.0)</f>
        <v>1</v>
      </c>
      <c r="AT24" s="15" t="str">
        <f>IFERROR(__xludf.DUMMYFUNCTION("""COMPUTED_VALUE"""),"https://doi.org/10.1115/1.4048503")</f>
        <v>https://doi.org/10.1115/1.4048503</v>
      </c>
      <c r="AU24" s="15" t="str">
        <f>IFERROR(__xludf.DUMMYFUNCTION("""COMPUTED_VALUE"""),"https://drive.google.com/file/d/1Lpyp26pDj3B8xTz1uWLb12AQeiGOY9TF/view?usp=sharing")</f>
        <v>https://drive.google.com/file/d/1Lpyp26pDj3B8xTz1uWLb12AQeiGOY9TF/view?usp=sharing</v>
      </c>
      <c r="AV24" s="11"/>
      <c r="AW24" s="11"/>
      <c r="AX24" s="11">
        <f>IFERROR(__xludf.DUMMYFUNCTION("""COMPUTED_VALUE"""),5.0)</f>
        <v>5</v>
      </c>
      <c r="AY24" s="11" t="str">
        <f>IFERROR(__xludf.DUMMYFUNCTION("""COMPUTED_VALUE"""),"Genotoxic and Mutagenic Activity of Particulate Matter Gathered in a High Emitter Automotive Diesel Engine Operated With Different Palm Oil-Derived Biofuels")</f>
        <v>Genotoxic and Mutagenic Activity of Particulate Matter Gathered in a High Emitter Automotive Diesel Engine Operated With Different Palm Oil-Derived Biofuels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</row>
    <row r="25">
      <c r="A25" s="11" t="str">
        <f>IFERROR(__xludf.DUMMYFUNCTION("""COMPUTED_VALUE"""),"Proy13")</f>
        <v>Proy13</v>
      </c>
      <c r="B25" s="11" t="str">
        <f>IFERROR(__xludf.DUMMYFUNCTION("""COMPUTED_VALUE"""),"Nuevo_Conocimiento")</f>
        <v>Nuevo_Conocimiento</v>
      </c>
      <c r="C25" s="11" t="str">
        <f>IFERROR(__xludf.DUMMYFUNCTION("""COMPUTED_VALUE"""),"Artículo A1")</f>
        <v>Artículo A1</v>
      </c>
      <c r="D25" s="11" t="str">
        <f>IFERROR(__xludf.DUMMYFUNCTION("""COMPUTED_VALUE"""),"Artículo A1")</f>
        <v>Artículo A1</v>
      </c>
      <c r="E25" s="11" t="str">
        <f>IFERROR(__xludf.DUMMYFUNCTION("""COMPUTED_VALUE"""),"Artículo A2")</f>
        <v>Artículo A2</v>
      </c>
      <c r="F25" s="11" t="str">
        <f>IFERROR(__xludf.DUMMYFUNCTION("""COMPUTED_VALUE"""),"Artículo B")</f>
        <v>Artículo B</v>
      </c>
      <c r="G25" s="11" t="str">
        <f>IFERROR(__xludf.DUMMYFUNCTION("""COMPUTED_VALUE"""),"Artículo C")</f>
        <v>Artículo C</v>
      </c>
      <c r="H25" s="11" t="str">
        <f>IFERROR(__xludf.DUMMYFUNCTION("""COMPUTED_VALUE"""),"Capítulo de libro A")</f>
        <v>Capítulo de libro A</v>
      </c>
      <c r="I25" s="11" t="str">
        <f>IFERROR(__xludf.DUMMYFUNCTION("""COMPUTED_VALUE"""),"Capítulo de libro A1")</f>
        <v>Capítulo de libro A1</v>
      </c>
      <c r="J25" s="11" t="str">
        <f>IFERROR(__xludf.DUMMYFUNCTION("""COMPUTED_VALUE"""),"Capítulo de libro B")</f>
        <v>Capítulo de libro B</v>
      </c>
      <c r="K25" s="11" t="str">
        <f>IFERROR(__xludf.DUMMYFUNCTION("""COMPUTED_VALUE"""),"Libro A")</f>
        <v>Libro A</v>
      </c>
      <c r="L25" s="11" t="str">
        <f>IFERROR(__xludf.DUMMYFUNCTION("""COMPUTED_VALUE"""),"Libro A1")</f>
        <v>Libro A1</v>
      </c>
      <c r="M25" s="11" t="str">
        <f>IFERROR(__xludf.DUMMYFUNCTION("""COMPUTED_VALUE"""),"Libro B")</f>
        <v>Libro B</v>
      </c>
      <c r="N25" s="11" t="str">
        <f>IFERROR(__xludf.DUMMYFUNCTION("""COMPUTED_VALUE"""),"Solicitud Patente de invención y-o modelo de utitlidad")</f>
        <v>Solicitud Patente de invención y-o modelo de utitlidad</v>
      </c>
      <c r="O25" s="11" t="str">
        <f>IFERROR(__xludf.DUMMYFUNCTION("""COMPUTED_VALUE"""),"Patente de invención")</f>
        <v>Patente de invención</v>
      </c>
      <c r="P25" s="11" t="str">
        <f>IFERROR(__xludf.DUMMYFUNCTION("""COMPUTED_VALUE"""),"Patente de modelo de utilidad")</f>
        <v>Patente de modelo de utilidad</v>
      </c>
      <c r="Q25" s="11" t="str">
        <f>IFERROR(__xludf.DUMMYFUNCTION("""COMPUTED_VALUE"""),"Artículo sin clasificar")</f>
        <v>Artículo sin clasificar</v>
      </c>
      <c r="R25" s="11" t="str">
        <f>IFERROR(__xludf.DUMMYFUNCTION("""COMPUTED_VALUE"""),"Capítulo sin clasificar")</f>
        <v>Capítulo sin clasificar</v>
      </c>
      <c r="S25" s="11"/>
      <c r="T25" s="11"/>
      <c r="U25" s="11" t="str">
        <f>IFERROR(__xludf.DUMMYFUNCTION("""COMPUTED_VALUE"""),"Ninguna")</f>
        <v>Ninguna</v>
      </c>
      <c r="V25" s="11"/>
      <c r="W25" s="11" t="str">
        <f>IFERROR(__xludf.DUMMYFUNCTION("""COMPUTED_VALUE"""),"Proyecto")</f>
        <v>Proyecto</v>
      </c>
      <c r="X25" s="11" t="str">
        <f>IFERROR(__xludf.DUMMYFUNCTION("""COMPUTED_VALUE"""),"UdeA")</f>
        <v>UdeA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 t="str">
        <f>IFERROR(__xludf.DUMMYFUNCTION("""COMPUTED_VALUE"""),"Ninguna")</f>
        <v>Ninguna</v>
      </c>
      <c r="AL25" s="11"/>
      <c r="AM25" s="11" t="str">
        <f>IFERROR(__xludf.DUMMYFUNCTION("""COMPUTED_VALUE"""),"Obligatorio")</f>
        <v>Obligatorio</v>
      </c>
      <c r="AN25" s="11">
        <f>IFERROR(__xludf.DUMMYFUNCTION("""COMPUTED_VALUE"""),3.0)</f>
        <v>3</v>
      </c>
      <c r="AO25" s="11">
        <f>IFERROR(__xludf.DUMMYFUNCTION("""COMPUTED_VALUE"""),1.0)</f>
        <v>1</v>
      </c>
      <c r="AP25" s="11">
        <f>IFERROR(__xludf.DUMMYFUNCTION("""COMPUTED_VALUE"""),1.0)</f>
        <v>1</v>
      </c>
      <c r="AQ25" s="11">
        <f>IFERROR(__xludf.DUMMYFUNCTION("""COMPUTED_VALUE"""),1.0)</f>
        <v>1</v>
      </c>
      <c r="AR25" s="11">
        <f>IFERROR(__xludf.DUMMYFUNCTION("""COMPUTED_VALUE"""),1.0)</f>
        <v>1</v>
      </c>
      <c r="AS25" s="11">
        <f>IFERROR(__xludf.DUMMYFUNCTION("""COMPUTED_VALUE"""),1.0)</f>
        <v>1</v>
      </c>
      <c r="AT25" s="15" t="str">
        <f>IFERROR(__xludf.DUMMYFUNCTION("""COMPUTED_VALUE"""),"https://doi.org/10.1016/j.comnet.2020.107560")</f>
        <v>https://doi.org/10.1016/j.comnet.2020.107560</v>
      </c>
      <c r="AU25" s="11"/>
      <c r="AV25" s="11"/>
      <c r="AW25" s="11"/>
      <c r="AX25" s="11">
        <f>IFERROR(__xludf.DUMMYFUNCTION("""COMPUTED_VALUE"""),5.0)</f>
        <v>5</v>
      </c>
      <c r="AY25" s="11" t="str">
        <f>IFERROR(__xludf.DUMMYFUNCTION("""COMPUTED_VALUE"""),"Reliability provision in software defined power substations communication networks")</f>
        <v>Reliability provision in software defined power substations communication networks</v>
      </c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</row>
    <row r="26">
      <c r="A26" s="11" t="str">
        <f>IFERROR(__xludf.DUMMYFUNCTION("""COMPUTED_VALUE"""),"Proy13")</f>
        <v>Proy13</v>
      </c>
      <c r="B26" s="11" t="str">
        <f>IFERROR(__xludf.DUMMYFUNCTION("""COMPUTED_VALUE"""),"Nuevo_Conocimiento")</f>
        <v>Nuevo_Conocimiento</v>
      </c>
      <c r="C26" s="11" t="str">
        <f>IFERROR(__xludf.DUMMYFUNCTION("""COMPUTED_VALUE"""),"Artículo A1")</f>
        <v>Artículo A1</v>
      </c>
      <c r="D26" s="11" t="str">
        <f>IFERROR(__xludf.DUMMYFUNCTION("""COMPUTED_VALUE"""),"Artículo A1")</f>
        <v>Artículo A1</v>
      </c>
      <c r="E26" s="11" t="str">
        <f>IFERROR(__xludf.DUMMYFUNCTION("""COMPUTED_VALUE"""),"Artículo A2")</f>
        <v>Artículo A2</v>
      </c>
      <c r="F26" s="11" t="str">
        <f>IFERROR(__xludf.DUMMYFUNCTION("""COMPUTED_VALUE"""),"Artículo B")</f>
        <v>Artículo B</v>
      </c>
      <c r="G26" s="11" t="str">
        <f>IFERROR(__xludf.DUMMYFUNCTION("""COMPUTED_VALUE"""),"Artículo C")</f>
        <v>Artículo C</v>
      </c>
      <c r="H26" s="11" t="str">
        <f>IFERROR(__xludf.DUMMYFUNCTION("""COMPUTED_VALUE"""),"Capítulo de libro A")</f>
        <v>Capítulo de libro A</v>
      </c>
      <c r="I26" s="11" t="str">
        <f>IFERROR(__xludf.DUMMYFUNCTION("""COMPUTED_VALUE"""),"Capítulo de libro A1")</f>
        <v>Capítulo de libro A1</v>
      </c>
      <c r="J26" s="11" t="str">
        <f>IFERROR(__xludf.DUMMYFUNCTION("""COMPUTED_VALUE"""),"Capítulo de libro B")</f>
        <v>Capítulo de libro B</v>
      </c>
      <c r="K26" s="11" t="str">
        <f>IFERROR(__xludf.DUMMYFUNCTION("""COMPUTED_VALUE"""),"Libro A")</f>
        <v>Libro A</v>
      </c>
      <c r="L26" s="11" t="str">
        <f>IFERROR(__xludf.DUMMYFUNCTION("""COMPUTED_VALUE"""),"Libro A1")</f>
        <v>Libro A1</v>
      </c>
      <c r="M26" s="11" t="str">
        <f>IFERROR(__xludf.DUMMYFUNCTION("""COMPUTED_VALUE"""),"Libro B")</f>
        <v>Libro B</v>
      </c>
      <c r="N26" s="11" t="str">
        <f>IFERROR(__xludf.DUMMYFUNCTION("""COMPUTED_VALUE"""),"Solicitud Patente de invención y-o modelo de utitlidad")</f>
        <v>Solicitud Patente de invención y-o modelo de utitlidad</v>
      </c>
      <c r="O26" s="11" t="str">
        <f>IFERROR(__xludf.DUMMYFUNCTION("""COMPUTED_VALUE"""),"Patente de invención")</f>
        <v>Patente de invención</v>
      </c>
      <c r="P26" s="11" t="str">
        <f>IFERROR(__xludf.DUMMYFUNCTION("""COMPUTED_VALUE"""),"Patente de modelo de utilidad")</f>
        <v>Patente de modelo de utilidad</v>
      </c>
      <c r="Q26" s="11" t="str">
        <f>IFERROR(__xludf.DUMMYFUNCTION("""COMPUTED_VALUE"""),"Artículo sin clasificar")</f>
        <v>Artículo sin clasificar</v>
      </c>
      <c r="R26" s="11" t="str">
        <f>IFERROR(__xludf.DUMMYFUNCTION("""COMPUTED_VALUE"""),"Capítulo sin clasificar")</f>
        <v>Capítulo sin clasificar</v>
      </c>
      <c r="S26" s="11"/>
      <c r="T26" s="11"/>
      <c r="U26" s="11" t="str">
        <f>IFERROR(__xludf.DUMMYFUNCTION("""COMPUTED_VALUE"""),"Ninguna")</f>
        <v>Ninguna</v>
      </c>
      <c r="V26" s="11"/>
      <c r="W26" s="11" t="str">
        <f>IFERROR(__xludf.DUMMYFUNCTION("""COMPUTED_VALUE"""),"Proyecto")</f>
        <v>Proyecto</v>
      </c>
      <c r="X26" s="11" t="str">
        <f>IFERROR(__xludf.DUMMYFUNCTION("""COMPUTED_VALUE"""),"UdeA")</f>
        <v>UdeA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 t="str">
        <f>IFERROR(__xludf.DUMMYFUNCTION("""COMPUTED_VALUE"""),"Pascual Bravo")</f>
        <v>Pascual Bravo</v>
      </c>
      <c r="AK26" s="11" t="str">
        <f>IFERROR(__xludf.DUMMYFUNCTION("""COMPUTED_VALUE"""),"Ninguna")</f>
        <v>Ninguna</v>
      </c>
      <c r="AL26" s="11"/>
      <c r="AM26" s="11" t="str">
        <f>IFERROR(__xludf.DUMMYFUNCTION("""COMPUTED_VALUE"""),"Adicional")</f>
        <v>Adicional</v>
      </c>
      <c r="AN26" s="11">
        <f>IFERROR(__xludf.DUMMYFUNCTION("""COMPUTED_VALUE"""),3.0)</f>
        <v>3</v>
      </c>
      <c r="AO26" s="11">
        <f>IFERROR(__xludf.DUMMYFUNCTION("""COMPUTED_VALUE"""),2.0)</f>
        <v>2</v>
      </c>
      <c r="AP26" s="11">
        <f>IFERROR(__xludf.DUMMYFUNCTION("""COMPUTED_VALUE"""),2.0)</f>
        <v>2</v>
      </c>
      <c r="AQ26" s="11">
        <f>IFERROR(__xludf.DUMMYFUNCTION("""COMPUTED_VALUE"""),1.0)</f>
        <v>1</v>
      </c>
      <c r="AR26" s="11">
        <f>IFERROR(__xludf.DUMMYFUNCTION("""COMPUTED_VALUE"""),2.0)</f>
        <v>2</v>
      </c>
      <c r="AS26" s="11">
        <f>IFERROR(__xludf.DUMMYFUNCTION("""COMPUTED_VALUE"""),1.0)</f>
        <v>1</v>
      </c>
      <c r="AT26" s="11" t="str">
        <f>IFERROR(__xludf.DUMMYFUNCTION("""COMPUTED_VALUE"""),"doi:10.3390/electronics9101740")</f>
        <v>doi:10.3390/electronics9101740</v>
      </c>
      <c r="AU26" s="15" t="str">
        <f>IFERROR(__xludf.DUMMYFUNCTION("""COMPUTED_VALUE"""),"https://drive.google.com/file/d/1ZLc6ZJwRJbYv6kpuH_iRYEvOCSD3iBK8/view?usp=sharing")</f>
        <v>https://drive.google.com/file/d/1ZLc6ZJwRJbYv6kpuH_iRYEvOCSD3iBK8/view?usp=sharing</v>
      </c>
      <c r="AV26" s="11"/>
      <c r="AW26" s="11"/>
      <c r="AX26" s="11">
        <f>IFERROR(__xludf.DUMMYFUNCTION("""COMPUTED_VALUE"""),5.0)</f>
        <v>5</v>
      </c>
      <c r="AY26" s="11" t="str">
        <f>IFERROR(__xludf.DUMMYFUNCTION("""COMPUTED_VALUE"""),"An Approach for Optimal Coordination of
Over-Current Relays in Microgrids with
Distributed Generation")</f>
        <v>An Approach for Optimal Coordination of
Over-Current Relays in Microgrids with
Distributed Generation</v>
      </c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</row>
    <row r="27">
      <c r="A27" s="11" t="str">
        <f>IFERROR(__xludf.DUMMYFUNCTION("""COMPUTED_VALUE"""),"Proy15")</f>
        <v>Proy15</v>
      </c>
      <c r="B27" s="11" t="str">
        <f>IFERROR(__xludf.DUMMYFUNCTION("""COMPUTED_VALUE"""),"Nuevo_Conocimiento")</f>
        <v>Nuevo_Conocimiento</v>
      </c>
      <c r="C27" s="11" t="str">
        <f>IFERROR(__xludf.DUMMYFUNCTION("""COMPUTED_VALUE"""),"Artículo B")</f>
        <v>Artículo B</v>
      </c>
      <c r="D27" s="11" t="str">
        <f>IFERROR(__xludf.DUMMYFUNCTION("""COMPUTED_VALUE"""),"Artículo A1")</f>
        <v>Artículo A1</v>
      </c>
      <c r="E27" s="11" t="str">
        <f>IFERROR(__xludf.DUMMYFUNCTION("""COMPUTED_VALUE"""),"Artículo A2")</f>
        <v>Artículo A2</v>
      </c>
      <c r="F27" s="11" t="str">
        <f>IFERROR(__xludf.DUMMYFUNCTION("""COMPUTED_VALUE"""),"Artículo B")</f>
        <v>Artículo B</v>
      </c>
      <c r="G27" s="11" t="str">
        <f>IFERROR(__xludf.DUMMYFUNCTION("""COMPUTED_VALUE"""),"Artículo C")</f>
        <v>Artículo C</v>
      </c>
      <c r="H27" s="11" t="str">
        <f>IFERROR(__xludf.DUMMYFUNCTION("""COMPUTED_VALUE"""),"Capítulo de libro A")</f>
        <v>Capítulo de libro A</v>
      </c>
      <c r="I27" s="11" t="str">
        <f>IFERROR(__xludf.DUMMYFUNCTION("""COMPUTED_VALUE"""),"Capítulo de libro A1")</f>
        <v>Capítulo de libro A1</v>
      </c>
      <c r="J27" s="11" t="str">
        <f>IFERROR(__xludf.DUMMYFUNCTION("""COMPUTED_VALUE"""),"Capítulo de libro B")</f>
        <v>Capítulo de libro B</v>
      </c>
      <c r="K27" s="11" t="str">
        <f>IFERROR(__xludf.DUMMYFUNCTION("""COMPUTED_VALUE"""),"Libro A")</f>
        <v>Libro A</v>
      </c>
      <c r="L27" s="11" t="str">
        <f>IFERROR(__xludf.DUMMYFUNCTION("""COMPUTED_VALUE"""),"Libro A1")</f>
        <v>Libro A1</v>
      </c>
      <c r="M27" s="11" t="str">
        <f>IFERROR(__xludf.DUMMYFUNCTION("""COMPUTED_VALUE"""),"Libro B")</f>
        <v>Libro B</v>
      </c>
      <c r="N27" s="11" t="str">
        <f>IFERROR(__xludf.DUMMYFUNCTION("""COMPUTED_VALUE"""),"Solicitud Patente de invención y-o modelo de utitlidad")</f>
        <v>Solicitud Patente de invención y-o modelo de utitlidad</v>
      </c>
      <c r="O27" s="11" t="str">
        <f>IFERROR(__xludf.DUMMYFUNCTION("""COMPUTED_VALUE"""),"Patente de invención")</f>
        <v>Patente de invención</v>
      </c>
      <c r="P27" s="11" t="str">
        <f>IFERROR(__xludf.DUMMYFUNCTION("""COMPUTED_VALUE"""),"Patente de modelo de utilidad")</f>
        <v>Patente de modelo de utilidad</v>
      </c>
      <c r="Q27" s="11" t="str">
        <f>IFERROR(__xludf.DUMMYFUNCTION("""COMPUTED_VALUE"""),"Artículo sin clasificar")</f>
        <v>Artículo sin clasificar</v>
      </c>
      <c r="R27" s="11" t="str">
        <f>IFERROR(__xludf.DUMMYFUNCTION("""COMPUTED_VALUE"""),"Capítulo sin clasificar")</f>
        <v>Capítulo sin clasificar</v>
      </c>
      <c r="S27" s="11"/>
      <c r="T27" s="11"/>
      <c r="U27" s="11" t="str">
        <f>IFERROR(__xludf.DUMMYFUNCTION("""COMPUTED_VALUE"""),"Ninguna")</f>
        <v>Ninguna</v>
      </c>
      <c r="V27" s="11"/>
      <c r="W27" s="11" t="str">
        <f>IFERROR(__xludf.DUMMYFUNCTION("""COMPUTED_VALUE"""),"Proyecto")</f>
        <v>Proyecto</v>
      </c>
      <c r="X27" s="11" t="str">
        <f>IFERROR(__xludf.DUMMYFUNCTION("""COMPUTED_VALUE"""),"UdeA")</f>
        <v>UdeA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 t="str">
        <f>IFERROR(__xludf.DUMMYFUNCTION("""COMPUTED_VALUE"""),"Ninguna")</f>
        <v>Ninguna</v>
      </c>
      <c r="AL27" s="11"/>
      <c r="AM27" s="11" t="str">
        <f>IFERROR(__xludf.DUMMYFUNCTION("""COMPUTED_VALUE"""),"Obligatorio")</f>
        <v>Obligatorio</v>
      </c>
      <c r="AN27" s="11">
        <f>IFERROR(__xludf.DUMMYFUNCTION("""COMPUTED_VALUE"""),3.0)</f>
        <v>3</v>
      </c>
      <c r="AO27" s="11">
        <f>IFERROR(__xludf.DUMMYFUNCTION("""COMPUTED_VALUE"""),1.0)</f>
        <v>1</v>
      </c>
      <c r="AP27" s="11">
        <f>IFERROR(__xludf.DUMMYFUNCTION("""COMPUTED_VALUE"""),1.0)</f>
        <v>1</v>
      </c>
      <c r="AQ27" s="11">
        <f>IFERROR(__xludf.DUMMYFUNCTION("""COMPUTED_VALUE"""),1.0)</f>
        <v>1</v>
      </c>
      <c r="AR27" s="11">
        <f>IFERROR(__xludf.DUMMYFUNCTION("""COMPUTED_VALUE"""),1.0)</f>
        <v>1</v>
      </c>
      <c r="AS27" s="11">
        <f>IFERROR(__xludf.DUMMYFUNCTION("""COMPUTED_VALUE"""),1.0)</f>
        <v>1</v>
      </c>
      <c r="AT27" s="15" t="str">
        <f>IFERROR(__xludf.DUMMYFUNCTION("""COMPUTED_VALUE"""),"https://doi.org/10.14483/23448393.15993")</f>
        <v>https://doi.org/10.14483/23448393.15993</v>
      </c>
      <c r="AU27" s="15" t="str">
        <f>IFERROR(__xludf.DUMMYFUNCTION("""COMPUTED_VALUE"""),"https://drive.google.com/file/d/117P8P4Jk33RCOYeH7wz7dtY2BilbMJdW/view?usp=sharing")</f>
        <v>https://drive.google.com/file/d/117P8P4Jk33RCOYeH7wz7dtY2BilbMJdW/view?usp=sharing</v>
      </c>
      <c r="AV27" s="11"/>
      <c r="AW27" s="11"/>
      <c r="AX27" s="11">
        <f>IFERROR(__xludf.DUMMYFUNCTION("""COMPUTED_VALUE"""),5.0)</f>
        <v>5</v>
      </c>
      <c r="AY27" s="11" t="str">
        <f>IFERROR(__xludf.DUMMYFUNCTION("""COMPUTED_VALUE"""),"Influencia de los Suelos en la Dinámica de Transferencia de Nutrientes en
la Interfase Suelo-Agua en un Embalse Tropical")</f>
        <v>Influencia de los Suelos en la Dinámica de Transferencia de Nutrientes en
la Interfase Suelo-Agua en un Embalse Tropical</v>
      </c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</row>
    <row r="28">
      <c r="A28" s="11" t="str">
        <f>IFERROR(__xludf.DUMMYFUNCTION("""COMPUTED_VALUE"""),"Proy1")</f>
        <v>Proy1</v>
      </c>
      <c r="B28" s="11" t="str">
        <f>IFERROR(__xludf.DUMMYFUNCTION("""COMPUTED_VALUE"""),"Nuevo_Conocimiento")</f>
        <v>Nuevo_Conocimiento</v>
      </c>
      <c r="C28" s="11" t="str">
        <f>IFERROR(__xludf.DUMMYFUNCTION("""COMPUTED_VALUE"""),"Artículo B")</f>
        <v>Artículo B</v>
      </c>
      <c r="D28" s="11" t="str">
        <f>IFERROR(__xludf.DUMMYFUNCTION("""COMPUTED_VALUE"""),"Artículo A1")</f>
        <v>Artículo A1</v>
      </c>
      <c r="E28" s="11" t="str">
        <f>IFERROR(__xludf.DUMMYFUNCTION("""COMPUTED_VALUE"""),"Artículo A2")</f>
        <v>Artículo A2</v>
      </c>
      <c r="F28" s="11" t="str">
        <f>IFERROR(__xludf.DUMMYFUNCTION("""COMPUTED_VALUE"""),"Artículo B")</f>
        <v>Artículo B</v>
      </c>
      <c r="G28" s="11" t="str">
        <f>IFERROR(__xludf.DUMMYFUNCTION("""COMPUTED_VALUE"""),"Artículo C")</f>
        <v>Artículo C</v>
      </c>
      <c r="H28" s="11" t="str">
        <f>IFERROR(__xludf.DUMMYFUNCTION("""COMPUTED_VALUE"""),"Capítulo de libro A")</f>
        <v>Capítulo de libro A</v>
      </c>
      <c r="I28" s="11" t="str">
        <f>IFERROR(__xludf.DUMMYFUNCTION("""COMPUTED_VALUE"""),"Capítulo de libro A1")</f>
        <v>Capítulo de libro A1</v>
      </c>
      <c r="J28" s="11" t="str">
        <f>IFERROR(__xludf.DUMMYFUNCTION("""COMPUTED_VALUE"""),"Capítulo de libro B")</f>
        <v>Capítulo de libro B</v>
      </c>
      <c r="K28" s="11" t="str">
        <f>IFERROR(__xludf.DUMMYFUNCTION("""COMPUTED_VALUE"""),"Libro A")</f>
        <v>Libro A</v>
      </c>
      <c r="L28" s="11" t="str">
        <f>IFERROR(__xludf.DUMMYFUNCTION("""COMPUTED_VALUE"""),"Libro A1")</f>
        <v>Libro A1</v>
      </c>
      <c r="M28" s="11" t="str">
        <f>IFERROR(__xludf.DUMMYFUNCTION("""COMPUTED_VALUE"""),"Libro B")</f>
        <v>Libro B</v>
      </c>
      <c r="N28" s="11" t="str">
        <f>IFERROR(__xludf.DUMMYFUNCTION("""COMPUTED_VALUE"""),"Solicitud Patente de invención y-o modelo de utitlidad")</f>
        <v>Solicitud Patente de invención y-o modelo de utitlidad</v>
      </c>
      <c r="O28" s="11" t="str">
        <f>IFERROR(__xludf.DUMMYFUNCTION("""COMPUTED_VALUE"""),"Patente de invención")</f>
        <v>Patente de invención</v>
      </c>
      <c r="P28" s="11" t="str">
        <f>IFERROR(__xludf.DUMMYFUNCTION("""COMPUTED_VALUE"""),"Patente de modelo de utilidad")</f>
        <v>Patente de modelo de utilidad</v>
      </c>
      <c r="Q28" s="11" t="str">
        <f>IFERROR(__xludf.DUMMYFUNCTION("""COMPUTED_VALUE"""),"Artículo sin clasificar")</f>
        <v>Artículo sin clasificar</v>
      </c>
      <c r="R28" s="11" t="str">
        <f>IFERROR(__xludf.DUMMYFUNCTION("""COMPUTED_VALUE"""),"Capítulo sin clasificar")</f>
        <v>Capítulo sin clasificar</v>
      </c>
      <c r="S28" s="11"/>
      <c r="T28" s="11"/>
      <c r="U28" s="11" t="str">
        <f>IFERROR(__xludf.DUMMYFUNCTION("""COMPUTED_VALUE"""),"Ninguna")</f>
        <v>Ninguna</v>
      </c>
      <c r="V28" s="11"/>
      <c r="W28" s="11" t="str">
        <f>IFERROR(__xludf.DUMMYFUNCTION("""COMPUTED_VALUE"""),"Proyecto")</f>
        <v>Proyecto</v>
      </c>
      <c r="X28" s="11" t="str">
        <f>IFERROR(__xludf.DUMMYFUNCTION("""COMPUTED_VALUE"""),"UdeA")</f>
        <v>UdeA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 t="str">
        <f>IFERROR(__xludf.DUMMYFUNCTION("""COMPUTED_VALUE"""),"Ninguna")</f>
        <v>Ninguna</v>
      </c>
      <c r="AL28" s="11"/>
      <c r="AM28" s="11" t="str">
        <f>IFERROR(__xludf.DUMMYFUNCTION("""COMPUTED_VALUE"""),"Adicional")</f>
        <v>Adicional</v>
      </c>
      <c r="AN28" s="11">
        <f>IFERROR(__xludf.DUMMYFUNCTION("""COMPUTED_VALUE"""),3.0)</f>
        <v>3</v>
      </c>
      <c r="AO28" s="11">
        <f>IFERROR(__xludf.DUMMYFUNCTION("""COMPUTED_VALUE"""),1.0)</f>
        <v>1</v>
      </c>
      <c r="AP28" s="11">
        <f>IFERROR(__xludf.DUMMYFUNCTION("""COMPUTED_VALUE"""),1.0)</f>
        <v>1</v>
      </c>
      <c r="AQ28" s="11">
        <f>IFERROR(__xludf.DUMMYFUNCTION("""COMPUTED_VALUE"""),1.0)</f>
        <v>1</v>
      </c>
      <c r="AR28" s="11">
        <f>IFERROR(__xludf.DUMMYFUNCTION("""COMPUTED_VALUE"""),1.0)</f>
        <v>1</v>
      </c>
      <c r="AS28" s="11">
        <f>IFERROR(__xludf.DUMMYFUNCTION("""COMPUTED_VALUE"""),1.0)</f>
        <v>1</v>
      </c>
      <c r="AT28" s="11" t="str">
        <f>IFERROR(__xludf.DUMMYFUNCTION("""COMPUTED_VALUE"""),"doi: 10.18273/revuin.v20n1-2021003")</f>
        <v>doi: 10.18273/revuin.v20n1-2021003</v>
      </c>
      <c r="AU28" s="15" t="str">
        <f>IFERROR(__xludf.DUMMYFUNCTION("""COMPUTED_VALUE"""),"https://drive.google.com/file/d/1pa5emUroqPURpj0InUCsMX1ikIETi9KS/view?usp=sharing")</f>
        <v>https://drive.google.com/file/d/1pa5emUroqPURpj0InUCsMX1ikIETi9KS/view?usp=sharing</v>
      </c>
      <c r="AV28" s="11"/>
      <c r="AW28" s="11"/>
      <c r="AX28" s="11">
        <f>IFERROR(__xludf.DUMMYFUNCTION("""COMPUTED_VALUE"""),5.0)</f>
        <v>5</v>
      </c>
      <c r="AY28" s="11" t="str">
        <f>IFERROR(__xludf.DUMMYFUNCTION("""COMPUTED_VALUE"""),"Consideraciones de diseño de una turbina Michell-Banki")</f>
        <v>Consideraciones de diseño de una turbina Michell-Banki</v>
      </c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</row>
    <row r="29">
      <c r="A29" s="11" t="str">
        <f>IFERROR(__xludf.DUMMYFUNCTION("""COMPUTED_VALUE"""),"Proy13")</f>
        <v>Proy13</v>
      </c>
      <c r="B29" s="11" t="str">
        <f>IFERROR(__xludf.DUMMYFUNCTION("""COMPUTED_VALUE"""),"Nuevo_Conocimiento")</f>
        <v>Nuevo_Conocimiento</v>
      </c>
      <c r="C29" s="11" t="str">
        <f>IFERROR(__xludf.DUMMYFUNCTION("""COMPUTED_VALUE"""),"Artículo A1")</f>
        <v>Artículo A1</v>
      </c>
      <c r="D29" s="11" t="str">
        <f>IFERROR(__xludf.DUMMYFUNCTION("""COMPUTED_VALUE"""),"Artículo A1")</f>
        <v>Artículo A1</v>
      </c>
      <c r="E29" s="11" t="str">
        <f>IFERROR(__xludf.DUMMYFUNCTION("""COMPUTED_VALUE"""),"Artículo A2")</f>
        <v>Artículo A2</v>
      </c>
      <c r="F29" s="11" t="str">
        <f>IFERROR(__xludf.DUMMYFUNCTION("""COMPUTED_VALUE"""),"Artículo B")</f>
        <v>Artículo B</v>
      </c>
      <c r="G29" s="11" t="str">
        <f>IFERROR(__xludf.DUMMYFUNCTION("""COMPUTED_VALUE"""),"Artículo C")</f>
        <v>Artículo C</v>
      </c>
      <c r="H29" s="11" t="str">
        <f>IFERROR(__xludf.DUMMYFUNCTION("""COMPUTED_VALUE"""),"Capítulo de libro A")</f>
        <v>Capítulo de libro A</v>
      </c>
      <c r="I29" s="11" t="str">
        <f>IFERROR(__xludf.DUMMYFUNCTION("""COMPUTED_VALUE"""),"Capítulo de libro A1")</f>
        <v>Capítulo de libro A1</v>
      </c>
      <c r="J29" s="11" t="str">
        <f>IFERROR(__xludf.DUMMYFUNCTION("""COMPUTED_VALUE"""),"Capítulo de libro B")</f>
        <v>Capítulo de libro B</v>
      </c>
      <c r="K29" s="11" t="str">
        <f>IFERROR(__xludf.DUMMYFUNCTION("""COMPUTED_VALUE"""),"Libro A")</f>
        <v>Libro A</v>
      </c>
      <c r="L29" s="11" t="str">
        <f>IFERROR(__xludf.DUMMYFUNCTION("""COMPUTED_VALUE"""),"Libro A1")</f>
        <v>Libro A1</v>
      </c>
      <c r="M29" s="11" t="str">
        <f>IFERROR(__xludf.DUMMYFUNCTION("""COMPUTED_VALUE"""),"Libro B")</f>
        <v>Libro B</v>
      </c>
      <c r="N29" s="11" t="str">
        <f>IFERROR(__xludf.DUMMYFUNCTION("""COMPUTED_VALUE"""),"Solicitud Patente de invención y-o modelo de utitlidad")</f>
        <v>Solicitud Patente de invención y-o modelo de utitlidad</v>
      </c>
      <c r="O29" s="11" t="str">
        <f>IFERROR(__xludf.DUMMYFUNCTION("""COMPUTED_VALUE"""),"Patente de invención")</f>
        <v>Patente de invención</v>
      </c>
      <c r="P29" s="11" t="str">
        <f>IFERROR(__xludf.DUMMYFUNCTION("""COMPUTED_VALUE"""),"Patente de modelo de utilidad")</f>
        <v>Patente de modelo de utilidad</v>
      </c>
      <c r="Q29" s="11" t="str">
        <f>IFERROR(__xludf.DUMMYFUNCTION("""COMPUTED_VALUE"""),"Artículo sin clasificar")</f>
        <v>Artículo sin clasificar</v>
      </c>
      <c r="R29" s="11" t="str">
        <f>IFERROR(__xludf.DUMMYFUNCTION("""COMPUTED_VALUE"""),"Capítulo sin clasificar")</f>
        <v>Capítulo sin clasificar</v>
      </c>
      <c r="S29" s="11"/>
      <c r="T29" s="11"/>
      <c r="U29" s="11" t="str">
        <f>IFERROR(__xludf.DUMMYFUNCTION("""COMPUTED_VALUE"""),"Ninguna")</f>
        <v>Ninguna</v>
      </c>
      <c r="V29" s="11"/>
      <c r="W29" s="11" t="str">
        <f>IFERROR(__xludf.DUMMYFUNCTION("""COMPUTED_VALUE"""),"Proyecto")</f>
        <v>Proyecto</v>
      </c>
      <c r="X29" s="11" t="str">
        <f>IFERROR(__xludf.DUMMYFUNCTION("""COMPUTED_VALUE"""),"UdeA")</f>
        <v>UdeA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 t="str">
        <f>IFERROR(__xludf.DUMMYFUNCTION("""COMPUTED_VALUE"""),"Ninguna")</f>
        <v>Ninguna</v>
      </c>
      <c r="AL29" s="11"/>
      <c r="AM29" s="11" t="str">
        <f>IFERROR(__xludf.DUMMYFUNCTION("""COMPUTED_VALUE"""),"Obligatorio")</f>
        <v>Obligatorio</v>
      </c>
      <c r="AN29" s="11">
        <f>IFERROR(__xludf.DUMMYFUNCTION("""COMPUTED_VALUE"""),3.0)</f>
        <v>3</v>
      </c>
      <c r="AO29" s="11">
        <f>IFERROR(__xludf.DUMMYFUNCTION("""COMPUTED_VALUE"""),2.0)</f>
        <v>2</v>
      </c>
      <c r="AP29" s="11">
        <f>IFERROR(__xludf.DUMMYFUNCTION("""COMPUTED_VALUE"""),1.0)</f>
        <v>1</v>
      </c>
      <c r="AQ29" s="11">
        <f>IFERROR(__xludf.DUMMYFUNCTION("""COMPUTED_VALUE"""),1.0)</f>
        <v>1</v>
      </c>
      <c r="AR29" s="11">
        <f>IFERROR(__xludf.DUMMYFUNCTION("""COMPUTED_VALUE"""),1.0)</f>
        <v>1</v>
      </c>
      <c r="AS29" s="11">
        <f>IFERROR(__xludf.DUMMYFUNCTION("""COMPUTED_VALUE"""),1.0)</f>
        <v>1</v>
      </c>
      <c r="AT29" s="11" t="str">
        <f>IFERROR(__xludf.DUMMYFUNCTION("""COMPUTED_VALUE"""),"doi:10.3390/en13236253")</f>
        <v>doi:10.3390/en13236253</v>
      </c>
      <c r="AU29" s="15" t="str">
        <f>IFERROR(__xludf.DUMMYFUNCTION("""COMPUTED_VALUE"""),"https://drive.google.com/file/d/1MtOrKiJSZZbc6Koo92dAXJQkJerKslqX/view?usp=sharing")</f>
        <v>https://drive.google.com/file/d/1MtOrKiJSZZbc6Koo92dAXJQkJerKslqX/view?usp=sharing</v>
      </c>
      <c r="AV29" s="11"/>
      <c r="AW29" s="11"/>
      <c r="AX29" s="11">
        <f>IFERROR(__xludf.DUMMYFUNCTION("""COMPUTED_VALUE"""),5.0)</f>
        <v>5</v>
      </c>
      <c r="AY29" s="11" t="str">
        <f>IFERROR(__xludf.DUMMYFUNCTION("""COMPUTED_VALUE"""),"Robust Control of Shunt Active Power Filters:
A Dynamical Model-Based Approach with
Verified Controllability")</f>
        <v>Robust Control of Shunt Active Power Filters:
A Dynamical Model-Based Approach with
Verified Controllability</v>
      </c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</row>
    <row r="30">
      <c r="A30" s="11" t="str">
        <f>IFERROR(__xludf.DUMMYFUNCTION("""COMPUTED_VALUE"""),"Proy1")</f>
        <v>Proy1</v>
      </c>
      <c r="B30" s="11" t="str">
        <f>IFERROR(__xludf.DUMMYFUNCTION("""COMPUTED_VALUE"""),"Nuevo_Conocimiento")</f>
        <v>Nuevo_Conocimiento</v>
      </c>
      <c r="C30" s="11" t="str">
        <f>IFERROR(__xludf.DUMMYFUNCTION("""COMPUTED_VALUE"""),"Artículo A2")</f>
        <v>Artículo A2</v>
      </c>
      <c r="D30" s="11" t="str">
        <f>IFERROR(__xludf.DUMMYFUNCTION("""COMPUTED_VALUE"""),"Artículo A1")</f>
        <v>Artículo A1</v>
      </c>
      <c r="E30" s="11" t="str">
        <f>IFERROR(__xludf.DUMMYFUNCTION("""COMPUTED_VALUE"""),"Artículo A2")</f>
        <v>Artículo A2</v>
      </c>
      <c r="F30" s="11" t="str">
        <f>IFERROR(__xludf.DUMMYFUNCTION("""COMPUTED_VALUE"""),"Artículo B")</f>
        <v>Artículo B</v>
      </c>
      <c r="G30" s="11" t="str">
        <f>IFERROR(__xludf.DUMMYFUNCTION("""COMPUTED_VALUE"""),"Artículo C")</f>
        <v>Artículo C</v>
      </c>
      <c r="H30" s="11" t="str">
        <f>IFERROR(__xludf.DUMMYFUNCTION("""COMPUTED_VALUE"""),"Capítulo de libro A")</f>
        <v>Capítulo de libro A</v>
      </c>
      <c r="I30" s="11" t="str">
        <f>IFERROR(__xludf.DUMMYFUNCTION("""COMPUTED_VALUE"""),"Capítulo de libro A1")</f>
        <v>Capítulo de libro A1</v>
      </c>
      <c r="J30" s="11" t="str">
        <f>IFERROR(__xludf.DUMMYFUNCTION("""COMPUTED_VALUE"""),"Capítulo de libro B")</f>
        <v>Capítulo de libro B</v>
      </c>
      <c r="K30" s="11" t="str">
        <f>IFERROR(__xludf.DUMMYFUNCTION("""COMPUTED_VALUE"""),"Libro A")</f>
        <v>Libro A</v>
      </c>
      <c r="L30" s="11" t="str">
        <f>IFERROR(__xludf.DUMMYFUNCTION("""COMPUTED_VALUE"""),"Libro A1")</f>
        <v>Libro A1</v>
      </c>
      <c r="M30" s="11" t="str">
        <f>IFERROR(__xludf.DUMMYFUNCTION("""COMPUTED_VALUE"""),"Libro B")</f>
        <v>Libro B</v>
      </c>
      <c r="N30" s="11" t="str">
        <f>IFERROR(__xludf.DUMMYFUNCTION("""COMPUTED_VALUE"""),"Solicitud Patente de invención y-o modelo de utitlidad")</f>
        <v>Solicitud Patente de invención y-o modelo de utitlidad</v>
      </c>
      <c r="O30" s="11" t="str">
        <f>IFERROR(__xludf.DUMMYFUNCTION("""COMPUTED_VALUE"""),"Patente de invención")</f>
        <v>Patente de invención</v>
      </c>
      <c r="P30" s="11" t="str">
        <f>IFERROR(__xludf.DUMMYFUNCTION("""COMPUTED_VALUE"""),"Patente de modelo de utilidad")</f>
        <v>Patente de modelo de utilidad</v>
      </c>
      <c r="Q30" s="11" t="str">
        <f>IFERROR(__xludf.DUMMYFUNCTION("""COMPUTED_VALUE"""),"Artículo sin clasificar")</f>
        <v>Artículo sin clasificar</v>
      </c>
      <c r="R30" s="11" t="str">
        <f>IFERROR(__xludf.DUMMYFUNCTION("""COMPUTED_VALUE"""),"Capítulo sin clasificar")</f>
        <v>Capítulo sin clasificar</v>
      </c>
      <c r="S30" s="11"/>
      <c r="T30" s="11"/>
      <c r="U30" s="11" t="str">
        <f>IFERROR(__xludf.DUMMYFUNCTION("""COMPUTED_VALUE"""),"Ninguna")</f>
        <v>Ninguna</v>
      </c>
      <c r="V30" s="11"/>
      <c r="W30" s="11" t="str">
        <f>IFERROR(__xludf.DUMMYFUNCTION("""COMPUTED_VALUE"""),"Proyecto")</f>
        <v>Proyecto</v>
      </c>
      <c r="X30" s="11" t="str">
        <f>IFERROR(__xludf.DUMMYFUNCTION("""COMPUTED_VALUE"""),"UdeA")</f>
        <v>UdeA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 t="str">
        <f>IFERROR(__xludf.DUMMYFUNCTION("""COMPUTED_VALUE"""),"Tecnológico de Antioquia")</f>
        <v>Tecnológico de Antioquia</v>
      </c>
      <c r="AK30" s="11" t="str">
        <f>IFERROR(__xludf.DUMMYFUNCTION("""COMPUTED_VALUE"""),"Ninguna")</f>
        <v>Ninguna</v>
      </c>
      <c r="AL30" s="11"/>
      <c r="AM30" s="11" t="str">
        <f>IFERROR(__xludf.DUMMYFUNCTION("""COMPUTED_VALUE"""),"Adicional")</f>
        <v>Adicional</v>
      </c>
      <c r="AN30" s="11">
        <f>IFERROR(__xludf.DUMMYFUNCTION("""COMPUTED_VALUE"""),3.0)</f>
        <v>3</v>
      </c>
      <c r="AO30" s="11">
        <f>IFERROR(__xludf.DUMMYFUNCTION("""COMPUTED_VALUE"""),1.0)</f>
        <v>1</v>
      </c>
      <c r="AP30" s="11">
        <f>IFERROR(__xludf.DUMMYFUNCTION("""COMPUTED_VALUE"""),2.0)</f>
        <v>2</v>
      </c>
      <c r="AQ30" s="11">
        <f>IFERROR(__xludf.DUMMYFUNCTION("""COMPUTED_VALUE"""),1.0)</f>
        <v>1</v>
      </c>
      <c r="AR30" s="11">
        <f>IFERROR(__xludf.DUMMYFUNCTION("""COMPUTED_VALUE"""),2.0)</f>
        <v>2</v>
      </c>
      <c r="AS30" s="11">
        <f>IFERROR(__xludf.DUMMYFUNCTION("""COMPUTED_VALUE"""),1.0)</f>
        <v>1</v>
      </c>
      <c r="AT30" s="15" t="str">
        <f>IFERROR(__xludf.DUMMYFUNCTION("""COMPUTED_VALUE"""),"https://doi.org/10.15282/jmes.13.4.2019.21.0477")</f>
        <v>https://doi.org/10.15282/jmes.13.4.2019.21.0477</v>
      </c>
      <c r="AU30" s="15" t="str">
        <f>IFERROR(__xludf.DUMMYFUNCTION("""COMPUTED_VALUE"""),"https://drive.google.com/file/d/1pa5emUroqPURpj0InUCsMX1ikIETi9KS/view?usp=sharing")</f>
        <v>https://drive.google.com/file/d/1pa5emUroqPURpj0InUCsMX1ikIETi9KS/view?usp=sharing</v>
      </c>
      <c r="AV30" s="11"/>
      <c r="AW30" s="11"/>
      <c r="AX30" s="11">
        <f>IFERROR(__xludf.DUMMYFUNCTION("""COMPUTED_VALUE"""),5.0)</f>
        <v>5</v>
      </c>
      <c r="AY30" s="11" t="str">
        <f>IFERROR(__xludf.DUMMYFUNCTION("""COMPUTED_VALUE"""),"Design and numerical analysis of an efficient H-Darrieus vertical-axis hydrokinetic turbine")</f>
        <v>Design and numerical analysis of an efficient H-Darrieus vertical-axis hydrokinetic turbine</v>
      </c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</row>
    <row r="31">
      <c r="A31" s="11" t="str">
        <f>IFERROR(__xludf.DUMMYFUNCTION("""COMPUTED_VALUE"""),"Proy2")</f>
        <v>Proy2</v>
      </c>
      <c r="B31" s="11" t="str">
        <f>IFERROR(__xludf.DUMMYFUNCTION("""COMPUTED_VALUE"""),"Nuevo_Conocimiento")</f>
        <v>Nuevo_Conocimiento</v>
      </c>
      <c r="C31" s="11" t="str">
        <f>IFERROR(__xludf.DUMMYFUNCTION("""COMPUTED_VALUE"""),"Artículo A1")</f>
        <v>Artículo A1</v>
      </c>
      <c r="D31" s="11" t="str">
        <f>IFERROR(__xludf.DUMMYFUNCTION("""COMPUTED_VALUE"""),"Artículo A1")</f>
        <v>Artículo A1</v>
      </c>
      <c r="E31" s="11" t="str">
        <f>IFERROR(__xludf.DUMMYFUNCTION("""COMPUTED_VALUE"""),"Artículo A2")</f>
        <v>Artículo A2</v>
      </c>
      <c r="F31" s="11" t="str">
        <f>IFERROR(__xludf.DUMMYFUNCTION("""COMPUTED_VALUE"""),"Artículo B")</f>
        <v>Artículo B</v>
      </c>
      <c r="G31" s="11" t="str">
        <f>IFERROR(__xludf.DUMMYFUNCTION("""COMPUTED_VALUE"""),"Artículo C")</f>
        <v>Artículo C</v>
      </c>
      <c r="H31" s="11" t="str">
        <f>IFERROR(__xludf.DUMMYFUNCTION("""COMPUTED_VALUE"""),"Capítulo de libro A")</f>
        <v>Capítulo de libro A</v>
      </c>
      <c r="I31" s="11" t="str">
        <f>IFERROR(__xludf.DUMMYFUNCTION("""COMPUTED_VALUE"""),"Capítulo de libro A1")</f>
        <v>Capítulo de libro A1</v>
      </c>
      <c r="J31" s="11" t="str">
        <f>IFERROR(__xludf.DUMMYFUNCTION("""COMPUTED_VALUE"""),"Capítulo de libro B")</f>
        <v>Capítulo de libro B</v>
      </c>
      <c r="K31" s="11" t="str">
        <f>IFERROR(__xludf.DUMMYFUNCTION("""COMPUTED_VALUE"""),"Libro A")</f>
        <v>Libro A</v>
      </c>
      <c r="L31" s="11" t="str">
        <f>IFERROR(__xludf.DUMMYFUNCTION("""COMPUTED_VALUE"""),"Libro A1")</f>
        <v>Libro A1</v>
      </c>
      <c r="M31" s="11" t="str">
        <f>IFERROR(__xludf.DUMMYFUNCTION("""COMPUTED_VALUE"""),"Libro B")</f>
        <v>Libro B</v>
      </c>
      <c r="N31" s="11" t="str">
        <f>IFERROR(__xludf.DUMMYFUNCTION("""COMPUTED_VALUE"""),"Solicitud Patente de invención y-o modelo de utitlidad")</f>
        <v>Solicitud Patente de invención y-o modelo de utitlidad</v>
      </c>
      <c r="O31" s="11" t="str">
        <f>IFERROR(__xludf.DUMMYFUNCTION("""COMPUTED_VALUE"""),"Patente de invención")</f>
        <v>Patente de invención</v>
      </c>
      <c r="P31" s="11" t="str">
        <f>IFERROR(__xludf.DUMMYFUNCTION("""COMPUTED_VALUE"""),"Patente de modelo de utilidad")</f>
        <v>Patente de modelo de utilidad</v>
      </c>
      <c r="Q31" s="11" t="str">
        <f>IFERROR(__xludf.DUMMYFUNCTION("""COMPUTED_VALUE"""),"Artículo sin clasificar")</f>
        <v>Artículo sin clasificar</v>
      </c>
      <c r="R31" s="11" t="str">
        <f>IFERROR(__xludf.DUMMYFUNCTION("""COMPUTED_VALUE"""),"Capítulo sin clasificar")</f>
        <v>Capítulo sin clasificar</v>
      </c>
      <c r="S31" s="11"/>
      <c r="T31" s="11"/>
      <c r="U31" s="11" t="str">
        <f>IFERROR(__xludf.DUMMYFUNCTION("""COMPUTED_VALUE"""),"Ninguna")</f>
        <v>Ninguna</v>
      </c>
      <c r="V31" s="11"/>
      <c r="W31" s="11" t="str">
        <f>IFERROR(__xludf.DUMMYFUNCTION("""COMPUTED_VALUE"""),"Proyecto")</f>
        <v>Proyecto</v>
      </c>
      <c r="X31" s="11" t="str">
        <f>IFERROR(__xludf.DUMMYFUNCTION("""COMPUTED_VALUE"""),"UdeA")</f>
        <v>UdeA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 t="str">
        <f>IFERROR(__xludf.DUMMYFUNCTION("""COMPUTED_VALUE"""),"Ninguna")</f>
        <v>Ninguna</v>
      </c>
      <c r="AL31" s="11"/>
      <c r="AM31" s="11" t="str">
        <f>IFERROR(__xludf.DUMMYFUNCTION("""COMPUTED_VALUE"""),"Obligatorio")</f>
        <v>Obligatorio</v>
      </c>
      <c r="AN31" s="11">
        <f>IFERROR(__xludf.DUMMYFUNCTION("""COMPUTED_VALUE"""),4.0)</f>
        <v>4</v>
      </c>
      <c r="AO31" s="11">
        <f>IFERROR(__xludf.DUMMYFUNCTION("""COMPUTED_VALUE"""),1.0)</f>
        <v>1</v>
      </c>
      <c r="AP31" s="11">
        <f>IFERROR(__xludf.DUMMYFUNCTION("""COMPUTED_VALUE"""),1.0)</f>
        <v>1</v>
      </c>
      <c r="AQ31" s="11">
        <f>IFERROR(__xludf.DUMMYFUNCTION("""COMPUTED_VALUE"""),1.0)</f>
        <v>1</v>
      </c>
      <c r="AR31" s="11">
        <f>IFERROR(__xludf.DUMMYFUNCTION("""COMPUTED_VALUE"""),1.0)</f>
        <v>1</v>
      </c>
      <c r="AS31" s="11">
        <f>IFERROR(__xludf.DUMMYFUNCTION("""COMPUTED_VALUE"""),1.0)</f>
        <v>1</v>
      </c>
      <c r="AT31" s="15" t="str">
        <f>IFERROR(__xludf.DUMMYFUNCTION("""COMPUTED_VALUE"""),"https://doi.org/10.1016/j.jechem.2020.08.059")</f>
        <v>https://doi.org/10.1016/j.jechem.2020.08.059</v>
      </c>
      <c r="AU31" s="15" t="str">
        <f>IFERROR(__xludf.DUMMYFUNCTION("""COMPUTED_VALUE"""),"https://drive.google.com/file/d/1m2c-jlQ0uEpFMLyVanlKdB0tq82lbu_4/view?usp=sharing")</f>
        <v>https://drive.google.com/file/d/1m2c-jlQ0uEpFMLyVanlKdB0tq82lbu_4/view?usp=sharing</v>
      </c>
      <c r="AV31" s="11"/>
      <c r="AW31" s="11"/>
      <c r="AX31" s="11">
        <f>IFERROR(__xludf.DUMMYFUNCTION("""COMPUTED_VALUE"""),5.0)</f>
        <v>5</v>
      </c>
      <c r="AY31" s="11" t="str">
        <f>IFERROR(__xludf.DUMMYFUNCTION("""COMPUTED_VALUE"""),"Understanding the precursor chemistry for one-step deposition of mixed cation perovskite solar cells by methylamine route")</f>
        <v>Understanding the precursor chemistry for one-step deposition of mixed cation perovskite solar cells by methylamine route</v>
      </c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</row>
    <row r="32">
      <c r="A32" s="11" t="str">
        <f>IFERROR(__xludf.DUMMYFUNCTION("""COMPUTED_VALUE"""),"Proy2")</f>
        <v>Proy2</v>
      </c>
      <c r="B32" s="11" t="str">
        <f>IFERROR(__xludf.DUMMYFUNCTION("""COMPUTED_VALUE"""),"Nuevo_Conocimiento")</f>
        <v>Nuevo_Conocimiento</v>
      </c>
      <c r="C32" s="11" t="str">
        <f>IFERROR(__xludf.DUMMYFUNCTION("""COMPUTED_VALUE"""),"Capítulo de libro A1")</f>
        <v>Capítulo de libro A1</v>
      </c>
      <c r="D32" s="11" t="str">
        <f>IFERROR(__xludf.DUMMYFUNCTION("""COMPUTED_VALUE"""),"Artículo A1")</f>
        <v>Artículo A1</v>
      </c>
      <c r="E32" s="11" t="str">
        <f>IFERROR(__xludf.DUMMYFUNCTION("""COMPUTED_VALUE"""),"Artículo A2")</f>
        <v>Artículo A2</v>
      </c>
      <c r="F32" s="11" t="str">
        <f>IFERROR(__xludf.DUMMYFUNCTION("""COMPUTED_VALUE"""),"Artículo B")</f>
        <v>Artículo B</v>
      </c>
      <c r="G32" s="11" t="str">
        <f>IFERROR(__xludf.DUMMYFUNCTION("""COMPUTED_VALUE"""),"Artículo C")</f>
        <v>Artículo C</v>
      </c>
      <c r="H32" s="11" t="str">
        <f>IFERROR(__xludf.DUMMYFUNCTION("""COMPUTED_VALUE"""),"Capítulo de libro A")</f>
        <v>Capítulo de libro A</v>
      </c>
      <c r="I32" s="11" t="str">
        <f>IFERROR(__xludf.DUMMYFUNCTION("""COMPUTED_VALUE"""),"Capítulo de libro A1")</f>
        <v>Capítulo de libro A1</v>
      </c>
      <c r="J32" s="11" t="str">
        <f>IFERROR(__xludf.DUMMYFUNCTION("""COMPUTED_VALUE"""),"Capítulo de libro B")</f>
        <v>Capítulo de libro B</v>
      </c>
      <c r="K32" s="11" t="str">
        <f>IFERROR(__xludf.DUMMYFUNCTION("""COMPUTED_VALUE"""),"Libro A")</f>
        <v>Libro A</v>
      </c>
      <c r="L32" s="11" t="str">
        <f>IFERROR(__xludf.DUMMYFUNCTION("""COMPUTED_VALUE"""),"Libro A1")</f>
        <v>Libro A1</v>
      </c>
      <c r="M32" s="11" t="str">
        <f>IFERROR(__xludf.DUMMYFUNCTION("""COMPUTED_VALUE"""),"Libro B")</f>
        <v>Libro B</v>
      </c>
      <c r="N32" s="11" t="str">
        <f>IFERROR(__xludf.DUMMYFUNCTION("""COMPUTED_VALUE"""),"Solicitud Patente de invención y-o modelo de utitlidad")</f>
        <v>Solicitud Patente de invención y-o modelo de utitlidad</v>
      </c>
      <c r="O32" s="11" t="str">
        <f>IFERROR(__xludf.DUMMYFUNCTION("""COMPUTED_VALUE"""),"Patente de invención")</f>
        <v>Patente de invención</v>
      </c>
      <c r="P32" s="11" t="str">
        <f>IFERROR(__xludf.DUMMYFUNCTION("""COMPUTED_VALUE"""),"Patente de modelo de utilidad")</f>
        <v>Patente de modelo de utilidad</v>
      </c>
      <c r="Q32" s="11" t="str">
        <f>IFERROR(__xludf.DUMMYFUNCTION("""COMPUTED_VALUE"""),"Artículo sin clasificar")</f>
        <v>Artículo sin clasificar</v>
      </c>
      <c r="R32" s="11" t="str">
        <f>IFERROR(__xludf.DUMMYFUNCTION("""COMPUTED_VALUE"""),"Capítulo sin clasificar")</f>
        <v>Capítulo sin clasificar</v>
      </c>
      <c r="S32" s="11"/>
      <c r="T32" s="11"/>
      <c r="U32" s="11" t="str">
        <f>IFERROR(__xludf.DUMMYFUNCTION("""COMPUTED_VALUE"""),"Ninguna")</f>
        <v>Ninguna</v>
      </c>
      <c r="V32" s="11"/>
      <c r="W32" s="11" t="str">
        <f>IFERROR(__xludf.DUMMYFUNCTION("""COMPUTED_VALUE"""),"Proyecto")</f>
        <v>Proyecto</v>
      </c>
      <c r="X32" s="11" t="str">
        <f>IFERROR(__xludf.DUMMYFUNCTION("""COMPUTED_VALUE"""),"UdeA")</f>
        <v>UdeA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 t="str">
        <f>IFERROR(__xludf.DUMMYFUNCTION("""COMPUTED_VALUE"""),"Ninguna")</f>
        <v>Ninguna</v>
      </c>
      <c r="AL32" s="11"/>
      <c r="AM32" s="11" t="str">
        <f>IFERROR(__xludf.DUMMYFUNCTION("""COMPUTED_VALUE"""),"Obligatorio")</f>
        <v>Obligatorio</v>
      </c>
      <c r="AN32" s="11">
        <f>IFERROR(__xludf.DUMMYFUNCTION("""COMPUTED_VALUE"""),5.0)</f>
        <v>5</v>
      </c>
      <c r="AO32" s="11">
        <f>IFERROR(__xludf.DUMMYFUNCTION("""COMPUTED_VALUE"""),1.0)</f>
        <v>1</v>
      </c>
      <c r="AP32" s="11">
        <f>IFERROR(__xludf.DUMMYFUNCTION("""COMPUTED_VALUE"""),1.0)</f>
        <v>1</v>
      </c>
      <c r="AQ32" s="11">
        <f>IFERROR(__xludf.DUMMYFUNCTION("""COMPUTED_VALUE"""),1.0)</f>
        <v>1</v>
      </c>
      <c r="AR32" s="11">
        <f>IFERROR(__xludf.DUMMYFUNCTION("""COMPUTED_VALUE"""),1.0)</f>
        <v>1</v>
      </c>
      <c r="AS32" s="11">
        <f>IFERROR(__xludf.DUMMYFUNCTION("""COMPUTED_VALUE"""),1.0)</f>
        <v>1</v>
      </c>
      <c r="AT32" s="11" t="str">
        <f>IFERROR(__xludf.DUMMYFUNCTION("""COMPUTED_VALUE"""),"Libro: CHEMICAL SOLUTION SYNTHESIS FOR MATERIALS DESIGN AND THIN FILM DEVICE APPLICATIONS, https://doi.org/10.1016/B978-0-12-819718-9.00009-1")</f>
        <v>Libro: CHEMICAL SOLUTION SYNTHESIS FOR MATERIALS DESIGN AND THIN FILM DEVICE APPLICATIONS, https://doi.org/10.1016/B978-0-12-819718-9.00009-1</v>
      </c>
      <c r="AU32" s="15" t="str">
        <f>IFERROR(__xludf.DUMMYFUNCTION("""COMPUTED_VALUE"""),"https://drive.google.com/file/d/13UJZrVgJ1An8f00kkUNz1kSmPL9ACqmH/view?usp=sharing")</f>
        <v>https://drive.google.com/file/d/13UJZrVgJ1An8f00kkUNz1kSmPL9ACqmH/view?usp=sharing</v>
      </c>
      <c r="AV32" s="11"/>
      <c r="AW32" s="11"/>
      <c r="AX32" s="11">
        <f>IFERROR(__xludf.DUMMYFUNCTION("""COMPUTED_VALUE"""),5.0)</f>
        <v>5</v>
      </c>
      <c r="AY32" s="11" t="str">
        <f>IFERROR(__xludf.DUMMYFUNCTION("""COMPUTED_VALUE"""),"Perovskite solar cells: New precursors
and challenges for scaling-up")</f>
        <v>Perovskite solar cells: New precursors
and challenges for scaling-up</v>
      </c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</row>
    <row r="33">
      <c r="A33" s="11" t="str">
        <f>IFERROR(__xludf.DUMMYFUNCTION("""COMPUTED_VALUE"""),"Proy2")</f>
        <v>Proy2</v>
      </c>
      <c r="B33" s="11" t="str">
        <f>IFERROR(__xludf.DUMMYFUNCTION("""COMPUTED_VALUE"""),"Nuevo_Conocimiento")</f>
        <v>Nuevo_Conocimiento</v>
      </c>
      <c r="C33" s="11" t="str">
        <f>IFERROR(__xludf.DUMMYFUNCTION("""COMPUTED_VALUE"""),"Artículo A1")</f>
        <v>Artículo A1</v>
      </c>
      <c r="D33" s="11" t="str">
        <f>IFERROR(__xludf.DUMMYFUNCTION("""COMPUTED_VALUE"""),"Artículo A1")</f>
        <v>Artículo A1</v>
      </c>
      <c r="E33" s="11" t="str">
        <f>IFERROR(__xludf.DUMMYFUNCTION("""COMPUTED_VALUE"""),"Artículo A2")</f>
        <v>Artículo A2</v>
      </c>
      <c r="F33" s="11" t="str">
        <f>IFERROR(__xludf.DUMMYFUNCTION("""COMPUTED_VALUE"""),"Artículo B")</f>
        <v>Artículo B</v>
      </c>
      <c r="G33" s="11" t="str">
        <f>IFERROR(__xludf.DUMMYFUNCTION("""COMPUTED_VALUE"""),"Artículo C")</f>
        <v>Artículo C</v>
      </c>
      <c r="H33" s="11" t="str">
        <f>IFERROR(__xludf.DUMMYFUNCTION("""COMPUTED_VALUE"""),"Capítulo de libro A")</f>
        <v>Capítulo de libro A</v>
      </c>
      <c r="I33" s="11" t="str">
        <f>IFERROR(__xludf.DUMMYFUNCTION("""COMPUTED_VALUE"""),"Capítulo de libro A1")</f>
        <v>Capítulo de libro A1</v>
      </c>
      <c r="J33" s="11" t="str">
        <f>IFERROR(__xludf.DUMMYFUNCTION("""COMPUTED_VALUE"""),"Capítulo de libro B")</f>
        <v>Capítulo de libro B</v>
      </c>
      <c r="K33" s="11" t="str">
        <f>IFERROR(__xludf.DUMMYFUNCTION("""COMPUTED_VALUE"""),"Libro A")</f>
        <v>Libro A</v>
      </c>
      <c r="L33" s="11" t="str">
        <f>IFERROR(__xludf.DUMMYFUNCTION("""COMPUTED_VALUE"""),"Libro A1")</f>
        <v>Libro A1</v>
      </c>
      <c r="M33" s="11" t="str">
        <f>IFERROR(__xludf.DUMMYFUNCTION("""COMPUTED_VALUE"""),"Libro B")</f>
        <v>Libro B</v>
      </c>
      <c r="N33" s="11" t="str">
        <f>IFERROR(__xludf.DUMMYFUNCTION("""COMPUTED_VALUE"""),"Solicitud Patente de invención y-o modelo de utitlidad")</f>
        <v>Solicitud Patente de invención y-o modelo de utitlidad</v>
      </c>
      <c r="O33" s="11" t="str">
        <f>IFERROR(__xludf.DUMMYFUNCTION("""COMPUTED_VALUE"""),"Patente de invención")</f>
        <v>Patente de invención</v>
      </c>
      <c r="P33" s="11" t="str">
        <f>IFERROR(__xludf.DUMMYFUNCTION("""COMPUTED_VALUE"""),"Patente de modelo de utilidad")</f>
        <v>Patente de modelo de utilidad</v>
      </c>
      <c r="Q33" s="11" t="str">
        <f>IFERROR(__xludf.DUMMYFUNCTION("""COMPUTED_VALUE"""),"Artículo sin clasificar")</f>
        <v>Artículo sin clasificar</v>
      </c>
      <c r="R33" s="11" t="str">
        <f>IFERROR(__xludf.DUMMYFUNCTION("""COMPUTED_VALUE"""),"Capítulo sin clasificar")</f>
        <v>Capítulo sin clasificar</v>
      </c>
      <c r="S33" s="11"/>
      <c r="T33" s="11"/>
      <c r="U33" s="11" t="str">
        <f>IFERROR(__xludf.DUMMYFUNCTION("""COMPUTED_VALUE"""),"Otros actores")</f>
        <v>Otros actores</v>
      </c>
      <c r="V33" s="11" t="str">
        <f>IFERROR(__xludf.DUMMYFUNCTION("""COMPUTED_VALUE"""),"Jaume I University, Castelló de la Plana, Spain")</f>
        <v>Jaume I University, Castelló de la Plana, Spain</v>
      </c>
      <c r="W33" s="11" t="str">
        <f>IFERROR(__xludf.DUMMYFUNCTION("""COMPUTED_VALUE"""),"Proyecto")</f>
        <v>Proyecto</v>
      </c>
      <c r="X33" s="11" t="str">
        <f>IFERROR(__xludf.DUMMYFUNCTION("""COMPUTED_VALUE"""),"UdeA")</f>
        <v>UdeA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 t="str">
        <f>IFERROR(__xludf.DUMMYFUNCTION("""COMPUTED_VALUE"""),"Ninguna")</f>
        <v>Ninguna</v>
      </c>
      <c r="AL33" s="11"/>
      <c r="AM33" s="11" t="str">
        <f>IFERROR(__xludf.DUMMYFUNCTION("""COMPUTED_VALUE"""),"Obligatorio")</f>
        <v>Obligatorio</v>
      </c>
      <c r="AN33" s="11">
        <f>IFERROR(__xludf.DUMMYFUNCTION("""COMPUTED_VALUE"""),3.0)</f>
        <v>3</v>
      </c>
      <c r="AO33" s="11">
        <f>IFERROR(__xludf.DUMMYFUNCTION("""COMPUTED_VALUE"""),2.0)</f>
        <v>2</v>
      </c>
      <c r="AP33" s="11">
        <f>IFERROR(__xludf.DUMMYFUNCTION("""COMPUTED_VALUE"""),2.0)</f>
        <v>2</v>
      </c>
      <c r="AQ33" s="11">
        <f>IFERROR(__xludf.DUMMYFUNCTION("""COMPUTED_VALUE"""),1.0)</f>
        <v>1</v>
      </c>
      <c r="AR33" s="11">
        <f>IFERROR(__xludf.DUMMYFUNCTION("""COMPUTED_VALUE"""),2.0)</f>
        <v>2</v>
      </c>
      <c r="AS33" s="11">
        <f>IFERROR(__xludf.DUMMYFUNCTION("""COMPUTED_VALUE"""),1.0)</f>
        <v>1</v>
      </c>
      <c r="AT33" s="15" t="str">
        <f>IFERROR(__xludf.DUMMYFUNCTION("""COMPUTED_VALUE"""),"https://doi.org/10.1038/s41560-020-00747-9")</f>
        <v>https://doi.org/10.1038/s41560-020-00747-9</v>
      </c>
      <c r="AU33" s="15" t="str">
        <f>IFERROR(__xludf.DUMMYFUNCTION("""COMPUTED_VALUE"""),"https://drive.google.com/file/d/1vawr49unO95xYrAsGkIAFrkaBrGPGpQ8/view?usp=sharing")</f>
        <v>https://drive.google.com/file/d/1vawr49unO95xYrAsGkIAFrkaBrGPGpQ8/view?usp=sharing</v>
      </c>
      <c r="AV33" s="11"/>
      <c r="AW33" s="11"/>
      <c r="AX33" s="11">
        <f>IFERROR(__xludf.DUMMYFUNCTION("""COMPUTED_VALUE"""),5.0)</f>
        <v>5</v>
      </c>
      <c r="AY33" s="11" t="str">
        <f>IFERROR(__xludf.DUMMYFUNCTION("""COMPUTED_VALUE"""),"High-throughput analysis of the ideality factor to
evaluate the outdoor performance of perovskite
solar minimodules")</f>
        <v>High-throughput analysis of the ideality factor to
evaluate the outdoor performance of perovskite
solar minimodules</v>
      </c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</row>
    <row r="34">
      <c r="A34" s="11" t="str">
        <f>IFERROR(__xludf.DUMMYFUNCTION("""COMPUTED_VALUE"""),"Proy4")</f>
        <v>Proy4</v>
      </c>
      <c r="B34" s="11" t="str">
        <f>IFERROR(__xludf.DUMMYFUNCTION("""COMPUTED_VALUE"""),"Nuevo_Conocimiento")</f>
        <v>Nuevo_Conocimiento</v>
      </c>
      <c r="C34" s="11" t="str">
        <f>IFERROR(__xludf.DUMMYFUNCTION("""COMPUTED_VALUE"""),"Artículo A1")</f>
        <v>Artículo A1</v>
      </c>
      <c r="D34" s="11" t="str">
        <f>IFERROR(__xludf.DUMMYFUNCTION("""COMPUTED_VALUE"""),"Artículo A1")</f>
        <v>Artículo A1</v>
      </c>
      <c r="E34" s="11" t="str">
        <f>IFERROR(__xludf.DUMMYFUNCTION("""COMPUTED_VALUE"""),"Artículo A2")</f>
        <v>Artículo A2</v>
      </c>
      <c r="F34" s="11" t="str">
        <f>IFERROR(__xludf.DUMMYFUNCTION("""COMPUTED_VALUE"""),"Artículo B")</f>
        <v>Artículo B</v>
      </c>
      <c r="G34" s="11" t="str">
        <f>IFERROR(__xludf.DUMMYFUNCTION("""COMPUTED_VALUE"""),"Artículo C")</f>
        <v>Artículo C</v>
      </c>
      <c r="H34" s="11" t="str">
        <f>IFERROR(__xludf.DUMMYFUNCTION("""COMPUTED_VALUE"""),"Capítulo de libro A")</f>
        <v>Capítulo de libro A</v>
      </c>
      <c r="I34" s="11" t="str">
        <f>IFERROR(__xludf.DUMMYFUNCTION("""COMPUTED_VALUE"""),"Capítulo de libro A1")</f>
        <v>Capítulo de libro A1</v>
      </c>
      <c r="J34" s="11" t="str">
        <f>IFERROR(__xludf.DUMMYFUNCTION("""COMPUTED_VALUE"""),"Capítulo de libro B")</f>
        <v>Capítulo de libro B</v>
      </c>
      <c r="K34" s="11" t="str">
        <f>IFERROR(__xludf.DUMMYFUNCTION("""COMPUTED_VALUE"""),"Libro A")</f>
        <v>Libro A</v>
      </c>
      <c r="L34" s="11" t="str">
        <f>IFERROR(__xludf.DUMMYFUNCTION("""COMPUTED_VALUE"""),"Libro A1")</f>
        <v>Libro A1</v>
      </c>
      <c r="M34" s="11" t="str">
        <f>IFERROR(__xludf.DUMMYFUNCTION("""COMPUTED_VALUE"""),"Libro B")</f>
        <v>Libro B</v>
      </c>
      <c r="N34" s="11" t="str">
        <f>IFERROR(__xludf.DUMMYFUNCTION("""COMPUTED_VALUE"""),"Solicitud Patente de invención y-o modelo de utitlidad")</f>
        <v>Solicitud Patente de invención y-o modelo de utitlidad</v>
      </c>
      <c r="O34" s="11" t="str">
        <f>IFERROR(__xludf.DUMMYFUNCTION("""COMPUTED_VALUE"""),"Patente de invención")</f>
        <v>Patente de invención</v>
      </c>
      <c r="P34" s="11" t="str">
        <f>IFERROR(__xludf.DUMMYFUNCTION("""COMPUTED_VALUE"""),"Patente de modelo de utilidad")</f>
        <v>Patente de modelo de utilidad</v>
      </c>
      <c r="Q34" s="11" t="str">
        <f>IFERROR(__xludf.DUMMYFUNCTION("""COMPUTED_VALUE"""),"Artículo sin clasificar")</f>
        <v>Artículo sin clasificar</v>
      </c>
      <c r="R34" s="11" t="str">
        <f>IFERROR(__xludf.DUMMYFUNCTION("""COMPUTED_VALUE"""),"Capítulo sin clasificar")</f>
        <v>Capítulo sin clasificar</v>
      </c>
      <c r="S34" s="11"/>
      <c r="T34" s="11"/>
      <c r="U34" s="11" t="str">
        <f>IFERROR(__xludf.DUMMYFUNCTION("""COMPUTED_VALUE"""),"Otros actores")</f>
        <v>Otros actores</v>
      </c>
      <c r="V34" s="11"/>
      <c r="W34" s="11" t="str">
        <f>IFERROR(__xludf.DUMMYFUNCTION("""COMPUTED_VALUE"""),"Programa")</f>
        <v>Programa</v>
      </c>
      <c r="X34" s="11" t="str">
        <f>IFERROR(__xludf.DUMMYFUNCTION("""COMPUTED_VALUE"""),"UdeA")</f>
        <v>UdeA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 t="str">
        <f>IFERROR(__xludf.DUMMYFUNCTION("""COMPUTED_VALUE"""),"Colaboración")</f>
        <v>Colaboración</v>
      </c>
      <c r="AL34" s="11" t="str">
        <f>IFERROR(__xludf.DUMMYFUNCTION("""COMPUTED_VALUE"""),"P2")</f>
        <v>P2</v>
      </c>
      <c r="AM34" s="11" t="str">
        <f>IFERROR(__xludf.DUMMYFUNCTION("""COMPUTED_VALUE"""),"Obligatorio")</f>
        <v>Obligatorio</v>
      </c>
      <c r="AN34" s="11">
        <f>IFERROR(__xludf.DUMMYFUNCTION("""COMPUTED_VALUE"""),4.0)</f>
        <v>4</v>
      </c>
      <c r="AO34" s="11">
        <f>IFERROR(__xludf.DUMMYFUNCTION("""COMPUTED_VALUE"""),2.0)</f>
        <v>2</v>
      </c>
      <c r="AP34" s="11">
        <f>IFERROR(__xludf.DUMMYFUNCTION("""COMPUTED_VALUE"""),1.0)</f>
        <v>1</v>
      </c>
      <c r="AQ34" s="11">
        <f>IFERROR(__xludf.DUMMYFUNCTION("""COMPUTED_VALUE"""),1.0)</f>
        <v>1</v>
      </c>
      <c r="AR34" s="11">
        <f>IFERROR(__xludf.DUMMYFUNCTION("""COMPUTED_VALUE"""),1.0)</f>
        <v>1</v>
      </c>
      <c r="AS34" s="11">
        <f>IFERROR(__xludf.DUMMYFUNCTION("""COMPUTED_VALUE"""),1.0)</f>
        <v>1</v>
      </c>
      <c r="AT34" s="15" t="str">
        <f>IFERROR(__xludf.DUMMYFUNCTION("""COMPUTED_VALUE"""),"https://doi.org/10.1016/j.ssi.2019.115199")</f>
        <v>https://doi.org/10.1016/j.ssi.2019.115199</v>
      </c>
      <c r="AU34" s="15" t="str">
        <f>IFERROR(__xludf.DUMMYFUNCTION("""COMPUTED_VALUE"""),"https://drive.google.com/file/d/1pRa4BzeL_K-mVxxG7xjBb63qETXLtd0v/view?usp=sharing")</f>
        <v>https://drive.google.com/file/d/1pRa4BzeL_K-mVxxG7xjBb63qETXLtd0v/view?usp=sharing</v>
      </c>
      <c r="AV34" s="11"/>
      <c r="AW34" s="11"/>
      <c r="AX34" s="11">
        <f>IFERROR(__xludf.DUMMYFUNCTION("""COMPUTED_VALUE"""),5.0)</f>
        <v>5</v>
      </c>
      <c r="AY34" s="11" t="str">
        <f>IFERROR(__xludf.DUMMYFUNCTION("""COMPUTED_VALUE"""),"Novel hybrid organic-inorganic CH 3 NH 3 NiCl 3 active material for high-capacity and sustainable lithium-ion batteries")</f>
        <v>Novel hybrid organic-inorganic CH 3 NH 3 NiCl 3 active material for high-capacity and sustainable lithium-ion batteries</v>
      </c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</row>
    <row r="35">
      <c r="A35" s="11" t="str">
        <f>IFERROR(__xludf.DUMMYFUNCTION("""COMPUTED_VALUE"""),"Proy3")</f>
        <v>Proy3</v>
      </c>
      <c r="B35" s="11" t="str">
        <f>IFERROR(__xludf.DUMMYFUNCTION("""COMPUTED_VALUE"""),"Nuevo_Conocimiento")</f>
        <v>Nuevo_Conocimiento</v>
      </c>
      <c r="C35" s="11" t="str">
        <f>IFERROR(__xludf.DUMMYFUNCTION("""COMPUTED_VALUE"""),"Artículo C")</f>
        <v>Artículo C</v>
      </c>
      <c r="D35" s="11" t="str">
        <f>IFERROR(__xludf.DUMMYFUNCTION("""COMPUTED_VALUE"""),"Artículo A1")</f>
        <v>Artículo A1</v>
      </c>
      <c r="E35" s="11" t="str">
        <f>IFERROR(__xludf.DUMMYFUNCTION("""COMPUTED_VALUE"""),"Artículo A2")</f>
        <v>Artículo A2</v>
      </c>
      <c r="F35" s="11" t="str">
        <f>IFERROR(__xludf.DUMMYFUNCTION("""COMPUTED_VALUE"""),"Artículo B")</f>
        <v>Artículo B</v>
      </c>
      <c r="G35" s="11" t="str">
        <f>IFERROR(__xludf.DUMMYFUNCTION("""COMPUTED_VALUE"""),"Artículo C")</f>
        <v>Artículo C</v>
      </c>
      <c r="H35" s="11" t="str">
        <f>IFERROR(__xludf.DUMMYFUNCTION("""COMPUTED_VALUE"""),"Capítulo de libro A")</f>
        <v>Capítulo de libro A</v>
      </c>
      <c r="I35" s="11" t="str">
        <f>IFERROR(__xludf.DUMMYFUNCTION("""COMPUTED_VALUE"""),"Capítulo de libro A1")</f>
        <v>Capítulo de libro A1</v>
      </c>
      <c r="J35" s="11" t="str">
        <f>IFERROR(__xludf.DUMMYFUNCTION("""COMPUTED_VALUE"""),"Capítulo de libro B")</f>
        <v>Capítulo de libro B</v>
      </c>
      <c r="K35" s="11" t="str">
        <f>IFERROR(__xludf.DUMMYFUNCTION("""COMPUTED_VALUE"""),"Libro A")</f>
        <v>Libro A</v>
      </c>
      <c r="L35" s="11" t="str">
        <f>IFERROR(__xludf.DUMMYFUNCTION("""COMPUTED_VALUE"""),"Libro A1")</f>
        <v>Libro A1</v>
      </c>
      <c r="M35" s="11" t="str">
        <f>IFERROR(__xludf.DUMMYFUNCTION("""COMPUTED_VALUE"""),"Libro B")</f>
        <v>Libro B</v>
      </c>
      <c r="N35" s="11" t="str">
        <f>IFERROR(__xludf.DUMMYFUNCTION("""COMPUTED_VALUE"""),"Solicitud Patente de invención y-o modelo de utitlidad")</f>
        <v>Solicitud Patente de invención y-o modelo de utitlidad</v>
      </c>
      <c r="O35" s="11" t="str">
        <f>IFERROR(__xludf.DUMMYFUNCTION("""COMPUTED_VALUE"""),"Patente de invención")</f>
        <v>Patente de invención</v>
      </c>
      <c r="P35" s="11" t="str">
        <f>IFERROR(__xludf.DUMMYFUNCTION("""COMPUTED_VALUE"""),"Patente de modelo de utilidad")</f>
        <v>Patente de modelo de utilidad</v>
      </c>
      <c r="Q35" s="11" t="str">
        <f>IFERROR(__xludf.DUMMYFUNCTION("""COMPUTED_VALUE"""),"Artículo sin clasificar")</f>
        <v>Artículo sin clasificar</v>
      </c>
      <c r="R35" s="11" t="str">
        <f>IFERROR(__xludf.DUMMYFUNCTION("""COMPUTED_VALUE"""),"Capítulo sin clasificar")</f>
        <v>Capítulo sin clasificar</v>
      </c>
      <c r="S35" s="11"/>
      <c r="T35" s="11"/>
      <c r="U35" s="11" t="str">
        <f>IFERROR(__xludf.DUMMYFUNCTION("""COMPUTED_VALUE"""),"Ninguna")</f>
        <v>Ninguna</v>
      </c>
      <c r="V35" s="11"/>
      <c r="W35" s="11" t="str">
        <f>IFERROR(__xludf.DUMMYFUNCTION("""COMPUTED_VALUE"""),"Proyecto")</f>
        <v>Proyecto</v>
      </c>
      <c r="X35" s="11" t="str">
        <f>IFERROR(__xludf.DUMMYFUNCTION("""COMPUTED_VALUE"""),"U. Pamplona")</f>
        <v>U. Pamplona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 t="str">
        <f>IFERROR(__xludf.DUMMYFUNCTION("""COMPUTED_VALUE"""),"Ninguna")</f>
        <v>Ninguna</v>
      </c>
      <c r="AL35" s="11"/>
      <c r="AM35" s="11" t="str">
        <f>IFERROR(__xludf.DUMMYFUNCTION("""COMPUTED_VALUE"""),"Adicional")</f>
        <v>Adicional</v>
      </c>
      <c r="AN35" s="11">
        <f>IFERROR(__xludf.DUMMYFUNCTION("""COMPUTED_VALUE"""),3.0)</f>
        <v>3</v>
      </c>
      <c r="AO35" s="11">
        <f>IFERROR(__xludf.DUMMYFUNCTION("""COMPUTED_VALUE"""),1.0)</f>
        <v>1</v>
      </c>
      <c r="AP35" s="11">
        <f>IFERROR(__xludf.DUMMYFUNCTION("""COMPUTED_VALUE"""),1.0)</f>
        <v>1</v>
      </c>
      <c r="AQ35" s="11">
        <f>IFERROR(__xludf.DUMMYFUNCTION("""COMPUTED_VALUE"""),1.0)</f>
        <v>1</v>
      </c>
      <c r="AR35" s="11">
        <f>IFERROR(__xludf.DUMMYFUNCTION("""COMPUTED_VALUE"""),1.0)</f>
        <v>1</v>
      </c>
      <c r="AS35" s="11">
        <f>IFERROR(__xludf.DUMMYFUNCTION("""COMPUTED_VALUE"""),1.0)</f>
        <v>1</v>
      </c>
      <c r="AT35" s="11" t="str">
        <f>IFERROR(__xludf.DUMMYFUNCTION("""COMPUTED_VALUE"""),"ISSN 2172-038 X, Volume No.18, June 2020")</f>
        <v>ISSN 2172-038 X, Volume No.18, June 2020</v>
      </c>
      <c r="AU35" s="15" t="str">
        <f>IFERROR(__xludf.DUMMYFUNCTION("""COMPUTED_VALUE"""),"https://drive.google.com/file/d/1LZP7hCXfSecYlHAfEVjTbIGbvkqsUY0l/view?usp=sharing")</f>
        <v>https://drive.google.com/file/d/1LZP7hCXfSecYlHAfEVjTbIGbvkqsUY0l/view?usp=sharing</v>
      </c>
      <c r="AV35" s="11"/>
      <c r="AW35" s="11"/>
      <c r="AX35" s="11">
        <f>IFERROR(__xludf.DUMMYFUNCTION("""COMPUTED_VALUE"""),5.0)</f>
        <v>5</v>
      </c>
      <c r="AY35" s="11" t="str">
        <f>IFERROR(__xludf.DUMMYFUNCTION("""COMPUTED_VALUE"""),"Statistical methodologies for wind resource analysis,
case: Catatumbo region - Norte de Santander, Colombia")</f>
        <v>Statistical methodologies for wind resource analysis,
case: Catatumbo region - Norte de Santander, Colombia</v>
      </c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</row>
    <row r="36">
      <c r="A36" s="11" t="str">
        <f>IFERROR(__xludf.DUMMYFUNCTION("""COMPUTED_VALUE"""),"Proy10")</f>
        <v>Proy10</v>
      </c>
      <c r="B36" s="11" t="str">
        <f>IFERROR(__xludf.DUMMYFUNCTION("""COMPUTED_VALUE"""),"Nuevo_Conocimiento")</f>
        <v>Nuevo_Conocimiento</v>
      </c>
      <c r="C36" s="11" t="str">
        <f>IFERROR(__xludf.DUMMYFUNCTION("""COMPUTED_VALUE"""),"Artículo A1")</f>
        <v>Artículo A1</v>
      </c>
      <c r="D36" s="11" t="str">
        <f>IFERROR(__xludf.DUMMYFUNCTION("""COMPUTED_VALUE"""),"Artículo A1")</f>
        <v>Artículo A1</v>
      </c>
      <c r="E36" s="11" t="str">
        <f>IFERROR(__xludf.DUMMYFUNCTION("""COMPUTED_VALUE"""),"Artículo A2")</f>
        <v>Artículo A2</v>
      </c>
      <c r="F36" s="11" t="str">
        <f>IFERROR(__xludf.DUMMYFUNCTION("""COMPUTED_VALUE"""),"Artículo B")</f>
        <v>Artículo B</v>
      </c>
      <c r="G36" s="11" t="str">
        <f>IFERROR(__xludf.DUMMYFUNCTION("""COMPUTED_VALUE"""),"Artículo C")</f>
        <v>Artículo C</v>
      </c>
      <c r="H36" s="11" t="str">
        <f>IFERROR(__xludf.DUMMYFUNCTION("""COMPUTED_VALUE"""),"Capítulo de libro A")</f>
        <v>Capítulo de libro A</v>
      </c>
      <c r="I36" s="11" t="str">
        <f>IFERROR(__xludf.DUMMYFUNCTION("""COMPUTED_VALUE"""),"Capítulo de libro A1")</f>
        <v>Capítulo de libro A1</v>
      </c>
      <c r="J36" s="11" t="str">
        <f>IFERROR(__xludf.DUMMYFUNCTION("""COMPUTED_VALUE"""),"Capítulo de libro B")</f>
        <v>Capítulo de libro B</v>
      </c>
      <c r="K36" s="11" t="str">
        <f>IFERROR(__xludf.DUMMYFUNCTION("""COMPUTED_VALUE"""),"Libro A")</f>
        <v>Libro A</v>
      </c>
      <c r="L36" s="11" t="str">
        <f>IFERROR(__xludf.DUMMYFUNCTION("""COMPUTED_VALUE"""),"Libro A1")</f>
        <v>Libro A1</v>
      </c>
      <c r="M36" s="11" t="str">
        <f>IFERROR(__xludf.DUMMYFUNCTION("""COMPUTED_VALUE"""),"Libro B")</f>
        <v>Libro B</v>
      </c>
      <c r="N36" s="11" t="str">
        <f>IFERROR(__xludf.DUMMYFUNCTION("""COMPUTED_VALUE"""),"Solicitud Patente de invención y-o modelo de utitlidad")</f>
        <v>Solicitud Patente de invención y-o modelo de utitlidad</v>
      </c>
      <c r="O36" s="11" t="str">
        <f>IFERROR(__xludf.DUMMYFUNCTION("""COMPUTED_VALUE"""),"Patente de invención")</f>
        <v>Patente de invención</v>
      </c>
      <c r="P36" s="11" t="str">
        <f>IFERROR(__xludf.DUMMYFUNCTION("""COMPUTED_VALUE"""),"Patente de modelo de utilidad")</f>
        <v>Patente de modelo de utilidad</v>
      </c>
      <c r="Q36" s="11" t="str">
        <f>IFERROR(__xludf.DUMMYFUNCTION("""COMPUTED_VALUE"""),"Artículo sin clasificar")</f>
        <v>Artículo sin clasificar</v>
      </c>
      <c r="R36" s="11" t="str">
        <f>IFERROR(__xludf.DUMMYFUNCTION("""COMPUTED_VALUE"""),"Capítulo sin clasificar")</f>
        <v>Capítulo sin clasificar</v>
      </c>
      <c r="S36" s="11"/>
      <c r="T36" s="11"/>
      <c r="U36" s="11" t="str">
        <f>IFERROR(__xludf.DUMMYFUNCTION("""COMPUTED_VALUE"""),"Ninguna")</f>
        <v>Ninguna</v>
      </c>
      <c r="V36" s="11"/>
      <c r="W36" s="11" t="str">
        <f>IFERROR(__xludf.DUMMYFUNCTION("""COMPUTED_VALUE"""),"Proyecto")</f>
        <v>Proyecto</v>
      </c>
      <c r="X36" s="11" t="str">
        <f>IFERROR(__xludf.DUMMYFUNCTION("""COMPUTED_VALUE"""),"UdeA")</f>
        <v>UdeA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 t="str">
        <f>IFERROR(__xludf.DUMMYFUNCTION("""COMPUTED_VALUE"""),"Ninguna")</f>
        <v>Ninguna</v>
      </c>
      <c r="AL36" s="11"/>
      <c r="AM36" s="11" t="str">
        <f>IFERROR(__xludf.DUMMYFUNCTION("""COMPUTED_VALUE"""),"Obligatorio")</f>
        <v>Obligatorio</v>
      </c>
      <c r="AN36" s="11">
        <f>IFERROR(__xludf.DUMMYFUNCTION("""COMPUTED_VALUE"""),3.0)</f>
        <v>3</v>
      </c>
      <c r="AO36" s="11">
        <f>IFERROR(__xludf.DUMMYFUNCTION("""COMPUTED_VALUE"""),2.0)</f>
        <v>2</v>
      </c>
      <c r="AP36" s="11">
        <f>IFERROR(__xludf.DUMMYFUNCTION("""COMPUTED_VALUE"""),1.0)</f>
        <v>1</v>
      </c>
      <c r="AQ36" s="11">
        <f>IFERROR(__xludf.DUMMYFUNCTION("""COMPUTED_VALUE"""),1.0)</f>
        <v>1</v>
      </c>
      <c r="AR36" s="11">
        <f>IFERROR(__xludf.DUMMYFUNCTION("""COMPUTED_VALUE"""),1.0)</f>
        <v>1</v>
      </c>
      <c r="AS36" s="11">
        <f>IFERROR(__xludf.DUMMYFUNCTION("""COMPUTED_VALUE"""),1.0)</f>
        <v>1</v>
      </c>
      <c r="AT36" s="15" t="str">
        <f>IFERROR(__xludf.DUMMYFUNCTION("""COMPUTED_VALUE"""),"https://doi.org/10.1016/j.ijhydene.2020.09.236")</f>
        <v>https://doi.org/10.1016/j.ijhydene.2020.09.236</v>
      </c>
      <c r="AU36" s="15" t="str">
        <f>IFERROR(__xludf.DUMMYFUNCTION("""COMPUTED_VALUE"""),"https://drive.google.com/file/d/1CVLseszQAQQFAJwbjSZ0GHH2HM5TYKw4/view?usp=sharing")</f>
        <v>https://drive.google.com/file/d/1CVLseszQAQQFAJwbjSZ0GHH2HM5TYKw4/view?usp=sharing</v>
      </c>
      <c r="AV36" s="11"/>
      <c r="AW36" s="11"/>
      <c r="AX36" s="11">
        <f>IFERROR(__xludf.DUMMYFUNCTION("""COMPUTED_VALUE"""),5.0)</f>
        <v>5</v>
      </c>
      <c r="AY36" s="11" t="str">
        <f>IFERROR(__xludf.DUMMYFUNCTION("""COMPUTED_VALUE"""),"Emissions and dynamic stability of the flameless
combustion regime using hydrogen blends with
natural gas")</f>
        <v>Emissions and dynamic stability of the flameless
combustion regime using hydrogen blends with
natural gas</v>
      </c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</row>
    <row r="37">
      <c r="A37" s="11" t="str">
        <f>IFERROR(__xludf.DUMMYFUNCTION("""COMPUTED_VALUE"""),"Proy15")</f>
        <v>Proy15</v>
      </c>
      <c r="B37" s="11" t="str">
        <f>IFERROR(__xludf.DUMMYFUNCTION("""COMPUTED_VALUE"""),"Nuevo_Conocimiento")</f>
        <v>Nuevo_Conocimiento</v>
      </c>
      <c r="C37" s="11" t="str">
        <f>IFERROR(__xludf.DUMMYFUNCTION("""COMPUTED_VALUE"""),"Artículo A1")</f>
        <v>Artículo A1</v>
      </c>
      <c r="D37" s="11" t="str">
        <f>IFERROR(__xludf.DUMMYFUNCTION("""COMPUTED_VALUE"""),"Artículo A1")</f>
        <v>Artículo A1</v>
      </c>
      <c r="E37" s="11" t="str">
        <f>IFERROR(__xludf.DUMMYFUNCTION("""COMPUTED_VALUE"""),"Artículo A2")</f>
        <v>Artículo A2</v>
      </c>
      <c r="F37" s="11" t="str">
        <f>IFERROR(__xludf.DUMMYFUNCTION("""COMPUTED_VALUE"""),"Artículo B")</f>
        <v>Artículo B</v>
      </c>
      <c r="G37" s="11" t="str">
        <f>IFERROR(__xludf.DUMMYFUNCTION("""COMPUTED_VALUE"""),"Artículo C")</f>
        <v>Artículo C</v>
      </c>
      <c r="H37" s="11" t="str">
        <f>IFERROR(__xludf.DUMMYFUNCTION("""COMPUTED_VALUE"""),"Capítulo de libro A")</f>
        <v>Capítulo de libro A</v>
      </c>
      <c r="I37" s="11" t="str">
        <f>IFERROR(__xludf.DUMMYFUNCTION("""COMPUTED_VALUE"""),"Capítulo de libro A1")</f>
        <v>Capítulo de libro A1</v>
      </c>
      <c r="J37" s="11" t="str">
        <f>IFERROR(__xludf.DUMMYFUNCTION("""COMPUTED_VALUE"""),"Capítulo de libro B")</f>
        <v>Capítulo de libro B</v>
      </c>
      <c r="K37" s="11" t="str">
        <f>IFERROR(__xludf.DUMMYFUNCTION("""COMPUTED_VALUE"""),"Libro A")</f>
        <v>Libro A</v>
      </c>
      <c r="L37" s="11" t="str">
        <f>IFERROR(__xludf.DUMMYFUNCTION("""COMPUTED_VALUE"""),"Libro A1")</f>
        <v>Libro A1</v>
      </c>
      <c r="M37" s="11" t="str">
        <f>IFERROR(__xludf.DUMMYFUNCTION("""COMPUTED_VALUE"""),"Libro B")</f>
        <v>Libro B</v>
      </c>
      <c r="N37" s="11" t="str">
        <f>IFERROR(__xludf.DUMMYFUNCTION("""COMPUTED_VALUE"""),"Solicitud Patente de invención y-o modelo de utitlidad")</f>
        <v>Solicitud Patente de invención y-o modelo de utitlidad</v>
      </c>
      <c r="O37" s="11" t="str">
        <f>IFERROR(__xludf.DUMMYFUNCTION("""COMPUTED_VALUE"""),"Patente de invención")</f>
        <v>Patente de invención</v>
      </c>
      <c r="P37" s="11" t="str">
        <f>IFERROR(__xludf.DUMMYFUNCTION("""COMPUTED_VALUE"""),"Patente de modelo de utilidad")</f>
        <v>Patente de modelo de utilidad</v>
      </c>
      <c r="Q37" s="11" t="str">
        <f>IFERROR(__xludf.DUMMYFUNCTION("""COMPUTED_VALUE"""),"Artículo sin clasificar")</f>
        <v>Artículo sin clasificar</v>
      </c>
      <c r="R37" s="11" t="str">
        <f>IFERROR(__xludf.DUMMYFUNCTION("""COMPUTED_VALUE"""),"Capítulo sin clasificar")</f>
        <v>Capítulo sin clasificar</v>
      </c>
      <c r="S37" s="11"/>
      <c r="T37" s="11"/>
      <c r="U37" s="11" t="str">
        <f>IFERROR(__xludf.DUMMYFUNCTION("""COMPUTED_VALUE"""),"Ninguna")</f>
        <v>Ninguna</v>
      </c>
      <c r="V37" s="11"/>
      <c r="W37" s="11" t="str">
        <f>IFERROR(__xludf.DUMMYFUNCTION("""COMPUTED_VALUE"""),"Programa")</f>
        <v>Programa</v>
      </c>
      <c r="X37" s="11" t="str">
        <f>IFERROR(__xludf.DUMMYFUNCTION("""COMPUTED_VALUE"""),"UdeA ")</f>
        <v>UdeA 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 t="str">
        <f>IFERROR(__xludf.DUMMYFUNCTION("""COMPUTED_VALUE"""),"Colaboración")</f>
        <v>Colaboración</v>
      </c>
      <c r="AL37" s="11" t="str">
        <f>IFERROR(__xludf.DUMMYFUNCTION("""COMPUTED_VALUE"""),"Proy13")</f>
        <v>Proy13</v>
      </c>
      <c r="AM37" s="11" t="str">
        <f>IFERROR(__xludf.DUMMYFUNCTION("""COMPUTED_VALUE"""),"Obligatorio")</f>
        <v>Obligatorio</v>
      </c>
      <c r="AN37" s="11">
        <f>IFERROR(__xludf.DUMMYFUNCTION("""COMPUTED_VALUE"""),3.0)</f>
        <v>3</v>
      </c>
      <c r="AO37" s="11">
        <f>IFERROR(__xludf.DUMMYFUNCTION("""COMPUTED_VALUE"""),2.0)</f>
        <v>2</v>
      </c>
      <c r="AP37" s="11">
        <f>IFERROR(__xludf.DUMMYFUNCTION("""COMPUTED_VALUE"""),2.0)</f>
        <v>2</v>
      </c>
      <c r="AQ37" s="11">
        <f>IFERROR(__xludf.DUMMYFUNCTION("""COMPUTED_VALUE"""),2.0)</f>
        <v>2</v>
      </c>
      <c r="AR37" s="11">
        <f>IFERROR(__xludf.DUMMYFUNCTION("""COMPUTED_VALUE"""),1.0)</f>
        <v>1</v>
      </c>
      <c r="AS37" s="11">
        <f>IFERROR(__xludf.DUMMYFUNCTION("""COMPUTED_VALUE"""),1.0)</f>
        <v>1</v>
      </c>
      <c r="AT37" s="11" t="str">
        <f>IFERROR(__xludf.DUMMYFUNCTION("""COMPUTED_VALUE"""),"DOI: 10.3390/en12173347")</f>
        <v>DOI: 10.3390/en12173347</v>
      </c>
      <c r="AU37" s="15" t="str">
        <f>IFERROR(__xludf.DUMMYFUNCTION("""COMPUTED_VALUE"""),"https://drive.google.com/open?id=1wVEN6ClYuoN-FlQYn-2mdkv2hedmBJ_X")</f>
        <v>https://drive.google.com/open?id=1wVEN6ClYuoN-FlQYn-2mdkv2hedmBJ_X</v>
      </c>
      <c r="AV37" s="11">
        <f>IFERROR(__xludf.DUMMYFUNCTION("""COMPUTED_VALUE"""),1218.0)</f>
        <v>1218</v>
      </c>
      <c r="AW37" s="11"/>
      <c r="AX37" s="11">
        <f>IFERROR(__xludf.DUMMYFUNCTION("""COMPUTED_VALUE"""),4.0)</f>
        <v>4</v>
      </c>
      <c r="AY37" s="11" t="str">
        <f>IFERROR(__xludf.DUMMYFUNCTION("""COMPUTED_VALUE"""),"A Cradle-to-Grave Multi-Pronged Methodology to Obtain the Carbon Footprint of Electro-Intensive Power Electronic Products")</f>
        <v>A Cradle-to-Grave Multi-Pronged Methodology to Obtain the Carbon Footprint of Electro-Intensive Power Electronic Products</v>
      </c>
      <c r="AZ37" s="11"/>
      <c r="BA37" s="11" t="str">
        <f>IFERROR(__xludf.DUMMYFUNCTION("""COMPUTED_VALUE"""),"Giovanni Andrés Quintana-Pedraza")</f>
        <v>Giovanni Andrés Quintana-Pedraza</v>
      </c>
      <c r="BB37" s="11" t="str">
        <f>IFERROR(__xludf.DUMMYFUNCTION("""COMPUTED_VALUE"""),"Universidad de Antioquia")</f>
        <v>Universidad de Antioquia</v>
      </c>
      <c r="BC37" s="11" t="str">
        <f>IFERROR(__xludf.DUMMYFUNCTION("""COMPUTED_VALUE"""),"GIGA")</f>
        <v>GIGA</v>
      </c>
      <c r="BD37" s="11" t="str">
        <f>IFERROR(__xludf.DUMMYFUNCTION("""COMPUTED_VALUE"""),"Sara Cristina Vieira-Agudelo ")</f>
        <v>Sara Cristina Vieira-Agudelo </v>
      </c>
      <c r="BE37" s="11" t="str">
        <f>IFERROR(__xludf.DUMMYFUNCTION("""COMPUTED_VALUE"""),"Universidad de Antioquia")</f>
        <v>Universidad de Antioquia</v>
      </c>
      <c r="BF37" s="11" t="str">
        <f>IFERROR(__xludf.DUMMYFUNCTION("""COMPUTED_VALUE"""),"GIGA")</f>
        <v>GIGA</v>
      </c>
      <c r="BG37" s="11" t="str">
        <f>IFERROR(__xludf.DUMMYFUNCTION("""COMPUTED_VALUE"""),"Nicolás Muñoz-Galeano ")</f>
        <v>Nicolás Muñoz-Galeano </v>
      </c>
      <c r="BH37" s="11" t="str">
        <f>IFERROR(__xludf.DUMMYFUNCTION("""COMPUTED_VALUE"""),"Universidad de Antioquia")</f>
        <v>Universidad de Antioquia</v>
      </c>
      <c r="BI37" s="11" t="str">
        <f>IFERROR(__xludf.DUMMYFUNCTION("""COMPUTED_VALUE"""),"GIMEL")</f>
        <v>GIMEL</v>
      </c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 t="str">
        <f>IFERROR(__xludf.DUMMYFUNCTION("""COMPUTED_VALUE"""),"Energies (ISSN 1996-1073)")</f>
        <v>Energies (ISSN 1996-1073)</v>
      </c>
      <c r="CR37" s="11">
        <f>IFERROR(__xludf.DUMMYFUNCTION("""COMPUTED_VALUE"""),2.7)</f>
        <v>2.7</v>
      </c>
    </row>
    <row r="38">
      <c r="A38" s="11" t="str">
        <f>IFERROR(__xludf.DUMMYFUNCTION("""COMPUTED_VALUE"""),"Proy13")</f>
        <v>Proy13</v>
      </c>
      <c r="B38" s="11" t="str">
        <f>IFERROR(__xludf.DUMMYFUNCTION("""COMPUTED_VALUE"""),"Nuevo_Conocimiento")</f>
        <v>Nuevo_Conocimiento</v>
      </c>
      <c r="C38" s="11" t="str">
        <f>IFERROR(__xludf.DUMMYFUNCTION("""COMPUTED_VALUE"""),"Artículo A1")</f>
        <v>Artículo A1</v>
      </c>
      <c r="D38" s="11" t="str">
        <f>IFERROR(__xludf.DUMMYFUNCTION("""COMPUTED_VALUE"""),"Artículo A1")</f>
        <v>Artículo A1</v>
      </c>
      <c r="E38" s="11" t="str">
        <f>IFERROR(__xludf.DUMMYFUNCTION("""COMPUTED_VALUE"""),"Artículo A2")</f>
        <v>Artículo A2</v>
      </c>
      <c r="F38" s="11" t="str">
        <f>IFERROR(__xludf.DUMMYFUNCTION("""COMPUTED_VALUE"""),"Artículo B")</f>
        <v>Artículo B</v>
      </c>
      <c r="G38" s="11" t="str">
        <f>IFERROR(__xludf.DUMMYFUNCTION("""COMPUTED_VALUE"""),"Artículo C")</f>
        <v>Artículo C</v>
      </c>
      <c r="H38" s="11" t="str">
        <f>IFERROR(__xludf.DUMMYFUNCTION("""COMPUTED_VALUE"""),"Capítulo de libro A")</f>
        <v>Capítulo de libro A</v>
      </c>
      <c r="I38" s="11" t="str">
        <f>IFERROR(__xludf.DUMMYFUNCTION("""COMPUTED_VALUE"""),"Capítulo de libro A1")</f>
        <v>Capítulo de libro A1</v>
      </c>
      <c r="J38" s="11" t="str">
        <f>IFERROR(__xludf.DUMMYFUNCTION("""COMPUTED_VALUE"""),"Capítulo de libro B")</f>
        <v>Capítulo de libro B</v>
      </c>
      <c r="K38" s="11" t="str">
        <f>IFERROR(__xludf.DUMMYFUNCTION("""COMPUTED_VALUE"""),"Libro A")</f>
        <v>Libro A</v>
      </c>
      <c r="L38" s="11" t="str">
        <f>IFERROR(__xludf.DUMMYFUNCTION("""COMPUTED_VALUE"""),"Libro A1")</f>
        <v>Libro A1</v>
      </c>
      <c r="M38" s="11" t="str">
        <f>IFERROR(__xludf.DUMMYFUNCTION("""COMPUTED_VALUE"""),"Libro B")</f>
        <v>Libro B</v>
      </c>
      <c r="N38" s="11" t="str">
        <f>IFERROR(__xludf.DUMMYFUNCTION("""COMPUTED_VALUE"""),"Solicitud Patente de invención y-o modelo de utitlidad")</f>
        <v>Solicitud Patente de invención y-o modelo de utitlidad</v>
      </c>
      <c r="O38" s="11" t="str">
        <f>IFERROR(__xludf.DUMMYFUNCTION("""COMPUTED_VALUE"""),"Patente de invención")</f>
        <v>Patente de invención</v>
      </c>
      <c r="P38" s="11" t="str">
        <f>IFERROR(__xludf.DUMMYFUNCTION("""COMPUTED_VALUE"""),"Patente de modelo de utilidad")</f>
        <v>Patente de modelo de utilidad</v>
      </c>
      <c r="Q38" s="11" t="str">
        <f>IFERROR(__xludf.DUMMYFUNCTION("""COMPUTED_VALUE"""),"Artículo sin clasificar")</f>
        <v>Artículo sin clasificar</v>
      </c>
      <c r="R38" s="11" t="str">
        <f>IFERROR(__xludf.DUMMYFUNCTION("""COMPUTED_VALUE"""),"Capítulo sin clasificar")</f>
        <v>Capítulo sin clasificar</v>
      </c>
      <c r="S38" s="11"/>
      <c r="T38" s="11"/>
      <c r="U38" s="11" t="str">
        <f>IFERROR(__xludf.DUMMYFUNCTION("""COMPUTED_VALUE"""),"Ninguna")</f>
        <v>Ninguna</v>
      </c>
      <c r="V38" s="11"/>
      <c r="W38" s="11" t="str">
        <f>IFERROR(__xludf.DUMMYFUNCTION("""COMPUTED_VALUE"""),"Proyecto")</f>
        <v>Proyecto</v>
      </c>
      <c r="X38" s="11" t="str">
        <f>IFERROR(__xludf.DUMMYFUNCTION("""COMPUTED_VALUE"""),"UdeA")</f>
        <v>UdeA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 t="str">
        <f>IFERROR(__xludf.DUMMYFUNCTION("""COMPUTED_VALUE"""),"Ninguna")</f>
        <v>Ninguna</v>
      </c>
      <c r="AL38" s="11"/>
      <c r="AM38" s="11" t="str">
        <f>IFERROR(__xludf.DUMMYFUNCTION("""COMPUTED_VALUE"""),"Obligatorio")</f>
        <v>Obligatorio</v>
      </c>
      <c r="AN38" s="11">
        <f>IFERROR(__xludf.DUMMYFUNCTION("""COMPUTED_VALUE"""),2.0)</f>
        <v>2</v>
      </c>
      <c r="AO38" s="11">
        <f>IFERROR(__xludf.DUMMYFUNCTION("""COMPUTED_VALUE"""),2.0)</f>
        <v>2</v>
      </c>
      <c r="AP38" s="11">
        <f>IFERROR(__xludf.DUMMYFUNCTION("""COMPUTED_VALUE"""),1.0)</f>
        <v>1</v>
      </c>
      <c r="AQ38" s="11">
        <f>IFERROR(__xludf.DUMMYFUNCTION("""COMPUTED_VALUE"""),1.0)</f>
        <v>1</v>
      </c>
      <c r="AR38" s="11">
        <f>IFERROR(__xludf.DUMMYFUNCTION("""COMPUTED_VALUE"""),1.0)</f>
        <v>1</v>
      </c>
      <c r="AS38" s="11">
        <f>IFERROR(__xludf.DUMMYFUNCTION("""COMPUTED_VALUE"""),1.0)</f>
        <v>1</v>
      </c>
      <c r="AT38" s="11" t="str">
        <f>IFERROR(__xludf.DUMMYFUNCTION("""COMPUTED_VALUE"""),"DOI: doi.org/10.1016/j.cnsns.2020.105180")</f>
        <v>DOI: doi.org/10.1016/j.cnsns.2020.105180</v>
      </c>
      <c r="AU38" s="15" t="str">
        <f>IFERROR(__xludf.DUMMYFUNCTION("""COMPUTED_VALUE"""),"https://drive.google.com/open?id=1XhyLcT9_R6wP5dAi-EZyR7qbl0tN1K7-")</f>
        <v>https://drive.google.com/open?id=1XhyLcT9_R6wP5dAi-EZyR7qbl0tN1K7-</v>
      </c>
      <c r="AV38" s="11"/>
      <c r="AW38" s="11"/>
      <c r="AX38" s="11">
        <f>IFERROR(__xludf.DUMMYFUNCTION("""COMPUTED_VALUE"""),4.0)</f>
        <v>4</v>
      </c>
      <c r="AY38" s="11" t="str">
        <f>IFERROR(__xludf.DUMMYFUNCTION("""COMPUTED_VALUE"""),"A numerical method for solving Caputo’s and Riemann-Liouville’s fractional differential equations which includes multi-order fractional derivatives and variable coefficients")</f>
        <v>A numerical method for solving Caputo’s and Riemann-Liouville’s fractional differential equations which includes multi-order fractional derivatives and variable coefficients</v>
      </c>
      <c r="AZ38" s="11"/>
      <c r="BA38" s="11" t="str">
        <f>IFERROR(__xludf.DUMMYFUNCTION("""COMPUTED_VALUE"""),"David E. Betancur-Herrera")</f>
        <v>David E. Betancur-Herrera</v>
      </c>
      <c r="BB38" s="11" t="str">
        <f>IFERROR(__xludf.DUMMYFUNCTION("""COMPUTED_VALUE"""),"Universidad de Antioquia")</f>
        <v>Universidad de Antioquia</v>
      </c>
      <c r="BC38" s="11" t="str">
        <f>IFERROR(__xludf.DUMMYFUNCTION("""COMPUTED_VALUE"""),"GIMEL")</f>
        <v>GIMEL</v>
      </c>
      <c r="BD38" s="11" t="str">
        <f>IFERROR(__xludf.DUMMYFUNCTION("""COMPUTED_VALUE"""),"Nicolás Muñoz-Galeano")</f>
        <v>Nicolás Muñoz-Galeano</v>
      </c>
      <c r="BE38" s="11" t="str">
        <f>IFERROR(__xludf.DUMMYFUNCTION("""COMPUTED_VALUE"""),"Universidad de Antioquia")</f>
        <v>Universidad de Antioquia</v>
      </c>
      <c r="BF38" s="11" t="str">
        <f>IFERROR(__xludf.DUMMYFUNCTION("""COMPUTED_VALUE"""),"GIMEL")</f>
        <v>GIMEL</v>
      </c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 t="str">
        <f>IFERROR(__xludf.DUMMYFUNCTION("""COMPUTED_VALUE"""),"Communications in Nonlinear Science and Numerical Simulation (ISSN: 1007-5704)")</f>
        <v>Communications in Nonlinear Science and Numerical Simulation (ISSN: 1007-5704)</v>
      </c>
      <c r="CR38" s="11">
        <f>IFERROR(__xludf.DUMMYFUNCTION("""COMPUTED_VALUE"""),3.9)</f>
        <v>3.9</v>
      </c>
    </row>
    <row r="39">
      <c r="A39" s="11" t="str">
        <f>IFERROR(__xludf.DUMMYFUNCTION("""COMPUTED_VALUE"""),"Proy2")</f>
        <v>Proy2</v>
      </c>
      <c r="B39" s="11" t="str">
        <f>IFERROR(__xludf.DUMMYFUNCTION("""COMPUTED_VALUE"""),"Nuevo_Conocimiento")</f>
        <v>Nuevo_Conocimiento</v>
      </c>
      <c r="C39" s="11" t="str">
        <f>IFERROR(__xludf.DUMMYFUNCTION("""COMPUTED_VALUE"""),"Artículo A1")</f>
        <v>Artículo A1</v>
      </c>
      <c r="D39" s="11" t="str">
        <f>IFERROR(__xludf.DUMMYFUNCTION("""COMPUTED_VALUE"""),"Artículo A1")</f>
        <v>Artículo A1</v>
      </c>
      <c r="E39" s="11" t="str">
        <f>IFERROR(__xludf.DUMMYFUNCTION("""COMPUTED_VALUE"""),"Artículo A2")</f>
        <v>Artículo A2</v>
      </c>
      <c r="F39" s="11" t="str">
        <f>IFERROR(__xludf.DUMMYFUNCTION("""COMPUTED_VALUE"""),"Artículo B")</f>
        <v>Artículo B</v>
      </c>
      <c r="G39" s="11" t="str">
        <f>IFERROR(__xludf.DUMMYFUNCTION("""COMPUTED_VALUE"""),"Artículo C")</f>
        <v>Artículo C</v>
      </c>
      <c r="H39" s="11" t="str">
        <f>IFERROR(__xludf.DUMMYFUNCTION("""COMPUTED_VALUE"""),"Capítulo de libro A")</f>
        <v>Capítulo de libro A</v>
      </c>
      <c r="I39" s="11" t="str">
        <f>IFERROR(__xludf.DUMMYFUNCTION("""COMPUTED_VALUE"""),"Capítulo de libro A1")</f>
        <v>Capítulo de libro A1</v>
      </c>
      <c r="J39" s="11" t="str">
        <f>IFERROR(__xludf.DUMMYFUNCTION("""COMPUTED_VALUE"""),"Capítulo de libro B")</f>
        <v>Capítulo de libro B</v>
      </c>
      <c r="K39" s="11" t="str">
        <f>IFERROR(__xludf.DUMMYFUNCTION("""COMPUTED_VALUE"""),"Libro A")</f>
        <v>Libro A</v>
      </c>
      <c r="L39" s="11" t="str">
        <f>IFERROR(__xludf.DUMMYFUNCTION("""COMPUTED_VALUE"""),"Libro A1")</f>
        <v>Libro A1</v>
      </c>
      <c r="M39" s="11" t="str">
        <f>IFERROR(__xludf.DUMMYFUNCTION("""COMPUTED_VALUE"""),"Libro B")</f>
        <v>Libro B</v>
      </c>
      <c r="N39" s="11" t="str">
        <f>IFERROR(__xludf.DUMMYFUNCTION("""COMPUTED_VALUE"""),"Solicitud Patente de invención y-o modelo de utitlidad")</f>
        <v>Solicitud Patente de invención y-o modelo de utitlidad</v>
      </c>
      <c r="O39" s="11" t="str">
        <f>IFERROR(__xludf.DUMMYFUNCTION("""COMPUTED_VALUE"""),"Patente de invención")</f>
        <v>Patente de invención</v>
      </c>
      <c r="P39" s="11" t="str">
        <f>IFERROR(__xludf.DUMMYFUNCTION("""COMPUTED_VALUE"""),"Patente de modelo de utilidad")</f>
        <v>Patente de modelo de utilidad</v>
      </c>
      <c r="Q39" s="11" t="str">
        <f>IFERROR(__xludf.DUMMYFUNCTION("""COMPUTED_VALUE"""),"Artículo sin clasificar")</f>
        <v>Artículo sin clasificar</v>
      </c>
      <c r="R39" s="11" t="str">
        <f>IFERROR(__xludf.DUMMYFUNCTION("""COMPUTED_VALUE"""),"Capítulo sin clasificar")</f>
        <v>Capítulo sin clasificar</v>
      </c>
      <c r="S39" s="11"/>
      <c r="T39" s="11"/>
      <c r="U39" s="11" t="str">
        <f>IFERROR(__xludf.DUMMYFUNCTION("""COMPUTED_VALUE"""),"Otros actores")</f>
        <v>Otros actores</v>
      </c>
      <c r="V39" s="11" t="str">
        <f>IFERROR(__xludf.DUMMYFUNCTION("""COMPUTED_VALUE"""),"Universidad Jaume I, Yeungnam University, Universidad de Valencia")</f>
        <v>Universidad Jaume I, Yeungnam University, Universidad de Valencia</v>
      </c>
      <c r="W39" s="11" t="str">
        <f>IFERROR(__xludf.DUMMYFUNCTION("""COMPUTED_VALUE"""),"Proyecto")</f>
        <v>Proyecto</v>
      </c>
      <c r="X39" s="11" t="str">
        <f>IFERROR(__xludf.DUMMYFUNCTION("""COMPUTED_VALUE"""),"UdeA, Universidad de Pamplona")</f>
        <v>UdeA, Universidad de Pamplona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 t="str">
        <f>IFERROR(__xludf.DUMMYFUNCTION("""COMPUTED_VALUE"""),"Universidad Industrial de Santander")</f>
        <v>Universidad Industrial de Santander</v>
      </c>
      <c r="AK39" s="11" t="str">
        <f>IFERROR(__xludf.DUMMYFUNCTION("""COMPUTED_VALUE"""),"Ninguna")</f>
        <v>Ninguna</v>
      </c>
      <c r="AL39" s="11"/>
      <c r="AM39" s="11" t="str">
        <f>IFERROR(__xludf.DUMMYFUNCTION("""COMPUTED_VALUE"""),"Obligatorio")</f>
        <v>Obligatorio</v>
      </c>
      <c r="AN39" s="11">
        <f>IFERROR(__xludf.DUMMYFUNCTION("""COMPUTED_VALUE"""),13.0)</f>
        <v>13</v>
      </c>
      <c r="AO39" s="11">
        <f>IFERROR(__xludf.DUMMYFUNCTION("""COMPUTED_VALUE"""),3.0)</f>
        <v>3</v>
      </c>
      <c r="AP39" s="11">
        <f>IFERROR(__xludf.DUMMYFUNCTION("""COMPUTED_VALUE"""),8.0)</f>
        <v>8</v>
      </c>
      <c r="AQ39" s="11">
        <f>IFERROR(__xludf.DUMMYFUNCTION("""COMPUTED_VALUE"""),2.0)</f>
        <v>2</v>
      </c>
      <c r="AR39" s="11">
        <f>IFERROR(__xludf.DUMMYFUNCTION("""COMPUTED_VALUE"""),8.0)</f>
        <v>8</v>
      </c>
      <c r="AS39" s="11">
        <f>IFERROR(__xludf.DUMMYFUNCTION("""COMPUTED_VALUE"""),2.0)</f>
        <v>2</v>
      </c>
      <c r="AT39" s="11" t="str">
        <f>IFERROR(__xludf.DUMMYFUNCTION("""COMPUTED_VALUE"""),"DOI: 10.1021/acsami.9b19374")</f>
        <v>DOI: 10.1021/acsami.9b19374</v>
      </c>
      <c r="AU39" s="15" t="str">
        <f>IFERROR(__xludf.DUMMYFUNCTION("""COMPUTED_VALUE"""),"https://drive.google.com/open?id=1iEmaJUcLzGw26dACp0RKbPEkNROhtYba")</f>
        <v>https://drive.google.com/open?id=1iEmaJUcLzGw26dACp0RKbPEkNROhtYba</v>
      </c>
      <c r="AV39" s="11"/>
      <c r="AW39" s="11"/>
      <c r="AX39" s="11">
        <f>IFERROR(__xludf.DUMMYFUNCTION("""COMPUTED_VALUE"""),4.0)</f>
        <v>4</v>
      </c>
      <c r="AY39" s="11" t="str">
        <f>IFERROR(__xludf.DUMMYFUNCTION("""COMPUTED_VALUE"""),"Unravelling the Photocatalytic Behavior of All-Inorganic Mixed Halide Perovskites: The Role of Surface Chemical States")</f>
        <v>Unravelling the Photocatalytic Behavior of All-Inorganic Mixed Halide Perovskites: The Role of Surface Chemical States</v>
      </c>
      <c r="AZ39" s="11"/>
      <c r="BA39" s="11" t="str">
        <f>IFERROR(__xludf.DUMMYFUNCTION("""COMPUTED_VALUE"""),"Andrés F Gualdrón-Reyes ")</f>
        <v>Andrés F Gualdrón-Reyes </v>
      </c>
      <c r="BB39" s="11" t="str">
        <f>IFERROR(__xludf.DUMMYFUNCTION("""COMPUTED_VALUE"""),"Universidad de Pamplona")</f>
        <v>Universidad de Pamplona</v>
      </c>
      <c r="BC39" s="11" t="str">
        <f>IFERROR(__xludf.DUMMYFUNCTION("""COMPUTED_VALUE"""),"Lab-IBEAR")</f>
        <v>Lab-IBEAR</v>
      </c>
      <c r="BD39" s="11" t="str">
        <f>IFERROR(__xludf.DUMMYFUNCTION("""COMPUTED_VALUE"""),"Jhonatan Rodríguez-Pereira")</f>
        <v>Jhonatan Rodríguez-Pereira</v>
      </c>
      <c r="BE39" s="11" t="str">
        <f>IFERROR(__xludf.DUMMYFUNCTION("""COMPUTED_VALUE"""),"Universidad Industrial de Santander")</f>
        <v>Universidad Industrial de Santander</v>
      </c>
      <c r="BF39" s="11" t="str">
        <f>IFERROR(__xludf.DUMMYFUNCTION("""COMPUTED_VALUE"""),"INAM")</f>
        <v>INAM</v>
      </c>
      <c r="BG39" s="11" t="str">
        <f>IFERROR(__xludf.DUMMYFUNCTION("""COMPUTED_VALUE"""),"Eliseo Amado-González ")</f>
        <v>Eliseo Amado-González </v>
      </c>
      <c r="BH39" s="11" t="str">
        <f>IFERROR(__xludf.DUMMYFUNCTION("""COMPUTED_VALUE"""),"Universidad de Pamplona")</f>
        <v>Universidad de Pamplona</v>
      </c>
      <c r="BI39" s="11" t="str">
        <f>IFERROR(__xludf.DUMMYFUNCTION("""COMPUTED_VALUE"""),"Lab-IBEAR")</f>
        <v>Lab-IBEAR</v>
      </c>
      <c r="BJ39" s="11" t="str">
        <f>IFERROR(__xludf.DUMMYFUNCTION("""COMPUTED_VALUE"""),"Jorge Rueda-P")</f>
        <v>Jorge Rueda-P</v>
      </c>
      <c r="BK39" s="11" t="str">
        <f>IFERROR(__xludf.DUMMYFUNCTION("""COMPUTED_VALUE"""),"Universidad de Pamplona")</f>
        <v>Universidad de Pamplona</v>
      </c>
      <c r="BL39" s="11" t="str">
        <f>IFERROR(__xludf.DUMMYFUNCTION("""COMPUTED_VALUE"""),"Grupo de Óptica Moderna")</f>
        <v>Grupo de Óptica Moderna</v>
      </c>
      <c r="BM39" s="11" t="str">
        <f>IFERROR(__xludf.DUMMYFUNCTION("""COMPUTED_VALUE"""),"Rogelio Ospina")</f>
        <v>Rogelio Ospina</v>
      </c>
      <c r="BN39" s="11" t="str">
        <f>IFERROR(__xludf.DUMMYFUNCTION("""COMPUTED_VALUE"""),"Universidad Industrial de Santander")</f>
        <v>Universidad Industrial de Santander</v>
      </c>
      <c r="BO39" s="11" t="str">
        <f>IFERROR(__xludf.DUMMYFUNCTION("""COMPUTED_VALUE"""),"CMN")</f>
        <v>CMN</v>
      </c>
      <c r="BP39" s="11" t="str">
        <f>IFERROR(__xludf.DUMMYFUNCTION("""COMPUTED_VALUE"""),"Sofia Masi")</f>
        <v>Sofia Masi</v>
      </c>
      <c r="BQ39" s="11" t="str">
        <f>IFERROR(__xludf.DUMMYFUNCTION("""COMPUTED_VALUE"""),"Universitat Jaume I")</f>
        <v>Universitat Jaume I</v>
      </c>
      <c r="BR39" s="11" t="str">
        <f>IFERROR(__xludf.DUMMYFUNCTION("""COMPUTED_VALUE""")," Institute of Advanced Materials (INAM)")</f>
        <v> Institute of Advanced Materials (INAM)</v>
      </c>
      <c r="BS39" s="11" t="str">
        <f>IFERROR(__xludf.DUMMYFUNCTION("""COMPUTED_VALUE"""),"Seog Joon Yoon")</f>
        <v>Seog Joon Yoon</v>
      </c>
      <c r="BT39" s="11" t="str">
        <f>IFERROR(__xludf.DUMMYFUNCTION("""COMPUTED_VALUE"""),"Yeungnam University")</f>
        <v>Yeungnam University</v>
      </c>
      <c r="BU39" s="11"/>
      <c r="BV39" s="11" t="str">
        <f>IFERROR(__xludf.DUMMYFUNCTION("""COMPUTED_VALUE"""),"Juan Tirado")</f>
        <v>Juan Tirado</v>
      </c>
      <c r="BW39" s="11" t="str">
        <f>IFERROR(__xludf.DUMMYFUNCTION("""COMPUTED_VALUE"""),"Universidad de Antioquia")</f>
        <v>Universidad de Antioquia</v>
      </c>
      <c r="BX39" s="11" t="str">
        <f>IFERROR(__xludf.DUMMYFUNCTION("""COMPUTED_VALUE"""),"CIDEMAT")</f>
        <v>CIDEMAT</v>
      </c>
      <c r="BY39" s="11" t="str">
        <f>IFERROR(__xludf.DUMMYFUNCTION("""COMPUTED_VALUE"""),"Franklin Jaramillo")</f>
        <v>Franklin Jaramillo</v>
      </c>
      <c r="BZ39" s="11" t="str">
        <f>IFERROR(__xludf.DUMMYFUNCTION("""COMPUTED_VALUE"""),"Universidad de Antioquia")</f>
        <v>Universidad de Antioquia</v>
      </c>
      <c r="CA39" s="11" t="str">
        <f>IFERROR(__xludf.DUMMYFUNCTION("""COMPUTED_VALUE"""),"CIDEMAT")</f>
        <v>CIDEMAT</v>
      </c>
      <c r="CB39" s="11" t="str">
        <f>IFERROR(__xludf.DUMMYFUNCTION("""COMPUTED_VALUE"""),"Said Agouram")</f>
        <v>Said Agouram</v>
      </c>
      <c r="CC39" s="11" t="str">
        <f>IFERROR(__xludf.DUMMYFUNCTION("""COMPUTED_VALUE"""),"University of Valencia")</f>
        <v>University of Valencia</v>
      </c>
      <c r="CD39" s="11" t="str">
        <f>IFERROR(__xludf.DUMMYFUNCTION("""COMPUTED_VALUE"""),"Department of Applied Physics and Electromagnetism")</f>
        <v>Department of Applied Physics and Electromagnetism</v>
      </c>
      <c r="CE39" s="11" t="str">
        <f>IFERROR(__xludf.DUMMYFUNCTION("""COMPUTED_VALUE"""),"Vicente Muñoz-Sanjosé")</f>
        <v>Vicente Muñoz-Sanjosé</v>
      </c>
      <c r="CF39" s="11" t="str">
        <f>IFERROR(__xludf.DUMMYFUNCTION("""COMPUTED_VALUE"""),"University of Valencia")</f>
        <v>University of Valencia</v>
      </c>
      <c r="CG39" s="11" t="str">
        <f>IFERROR(__xludf.DUMMYFUNCTION("""COMPUTED_VALUE"""),"Materials for Renewable Energy (MAER)")</f>
        <v>Materials for Renewable Energy (MAER)</v>
      </c>
      <c r="CH39" s="11" t="str">
        <f>IFERROR(__xludf.DUMMYFUNCTION("""COMPUTED_VALUE"""),"Sixto Giménez")</f>
        <v>Sixto Giménez</v>
      </c>
      <c r="CI39" s="11" t="str">
        <f>IFERROR(__xludf.DUMMYFUNCTION("""COMPUTED_VALUE"""),"Unitat Mixta d'Investigació UV-UJI")</f>
        <v>Unitat Mixta d'Investigació UV-UJI</v>
      </c>
      <c r="CJ39" s="11" t="str">
        <f>IFERROR(__xludf.DUMMYFUNCTION("""COMPUTED_VALUE"""),"Materials for Renewable Energy (MAER)")</f>
        <v>Materials for Renewable Energy (MAER)</v>
      </c>
      <c r="CK39" s="11" t="str">
        <f>IFERROR(__xludf.DUMMYFUNCTION("""COMPUTED_VALUE"""),"Iván Mora-Seró")</f>
        <v>Iván Mora-Seró</v>
      </c>
      <c r="CL39" s="11" t="str">
        <f>IFERROR(__xludf.DUMMYFUNCTION("""COMPUTED_VALUE"""),"Unitat Mixta d'Investigació UV-UJI")</f>
        <v>Unitat Mixta d'Investigació UV-UJI</v>
      </c>
      <c r="CM39" s="11" t="str">
        <f>IFERROR(__xludf.DUMMYFUNCTION("""COMPUTED_VALUE"""),"Materials for Renewable Energy (MAER)")</f>
        <v>Materials for Renewable Energy (MAER)</v>
      </c>
      <c r="CN39" s="11"/>
      <c r="CO39" s="11"/>
      <c r="CP39" s="11"/>
      <c r="CQ39" s="11" t="str">
        <f>IFERROR(__xludf.DUMMYFUNCTION("""COMPUTED_VALUE"""),"ACS Applied Materials &amp; Interfaces (ISSN: 1944-8252)")</f>
        <v>ACS Applied Materials &amp; Interfaces (ISSN: 1944-8252)</v>
      </c>
      <c r="CR39" s="11">
        <f>IFERROR(__xludf.DUMMYFUNCTION("""COMPUTED_VALUE"""),8.75)</f>
        <v>8.75</v>
      </c>
    </row>
    <row r="40">
      <c r="A40" s="11" t="str">
        <f>IFERROR(__xludf.DUMMYFUNCTION("""COMPUTED_VALUE"""),"Proy13")</f>
        <v>Proy13</v>
      </c>
      <c r="B40" s="11" t="str">
        <f>IFERROR(__xludf.DUMMYFUNCTION("""COMPUTED_VALUE"""),"Nuevo_Conocimiento")</f>
        <v>Nuevo_Conocimiento</v>
      </c>
      <c r="C40" s="11" t="str">
        <f>IFERROR(__xludf.DUMMYFUNCTION("""COMPUTED_VALUE"""),"Capítulo de libro A1")</f>
        <v>Capítulo de libro A1</v>
      </c>
      <c r="D40" s="11" t="str">
        <f>IFERROR(__xludf.DUMMYFUNCTION("""COMPUTED_VALUE"""),"Artículo A1")</f>
        <v>Artículo A1</v>
      </c>
      <c r="E40" s="11" t="str">
        <f>IFERROR(__xludf.DUMMYFUNCTION("""COMPUTED_VALUE"""),"Artículo A2")</f>
        <v>Artículo A2</v>
      </c>
      <c r="F40" s="11" t="str">
        <f>IFERROR(__xludf.DUMMYFUNCTION("""COMPUTED_VALUE"""),"Artículo B")</f>
        <v>Artículo B</v>
      </c>
      <c r="G40" s="11" t="str">
        <f>IFERROR(__xludf.DUMMYFUNCTION("""COMPUTED_VALUE"""),"Artículo C")</f>
        <v>Artículo C</v>
      </c>
      <c r="H40" s="11" t="str">
        <f>IFERROR(__xludf.DUMMYFUNCTION("""COMPUTED_VALUE"""),"Capítulo de libro A")</f>
        <v>Capítulo de libro A</v>
      </c>
      <c r="I40" s="11" t="str">
        <f>IFERROR(__xludf.DUMMYFUNCTION("""COMPUTED_VALUE"""),"Capítulo de libro A1")</f>
        <v>Capítulo de libro A1</v>
      </c>
      <c r="J40" s="11" t="str">
        <f>IFERROR(__xludf.DUMMYFUNCTION("""COMPUTED_VALUE"""),"Capítulo de libro B")</f>
        <v>Capítulo de libro B</v>
      </c>
      <c r="K40" s="11" t="str">
        <f>IFERROR(__xludf.DUMMYFUNCTION("""COMPUTED_VALUE"""),"Libro A")</f>
        <v>Libro A</v>
      </c>
      <c r="L40" s="11" t="str">
        <f>IFERROR(__xludf.DUMMYFUNCTION("""COMPUTED_VALUE"""),"Libro A1")</f>
        <v>Libro A1</v>
      </c>
      <c r="M40" s="11" t="str">
        <f>IFERROR(__xludf.DUMMYFUNCTION("""COMPUTED_VALUE"""),"Libro B")</f>
        <v>Libro B</v>
      </c>
      <c r="N40" s="11" t="str">
        <f>IFERROR(__xludf.DUMMYFUNCTION("""COMPUTED_VALUE"""),"Solicitud Patente de invención y-o modelo de utitlidad")</f>
        <v>Solicitud Patente de invención y-o modelo de utitlidad</v>
      </c>
      <c r="O40" s="11" t="str">
        <f>IFERROR(__xludf.DUMMYFUNCTION("""COMPUTED_VALUE"""),"Patente de invención")</f>
        <v>Patente de invención</v>
      </c>
      <c r="P40" s="11" t="str">
        <f>IFERROR(__xludf.DUMMYFUNCTION("""COMPUTED_VALUE"""),"Patente de modelo de utilidad")</f>
        <v>Patente de modelo de utilidad</v>
      </c>
      <c r="Q40" s="11" t="str">
        <f>IFERROR(__xludf.DUMMYFUNCTION("""COMPUTED_VALUE"""),"Artículo sin clasificar")</f>
        <v>Artículo sin clasificar</v>
      </c>
      <c r="R40" s="11" t="str">
        <f>IFERROR(__xludf.DUMMYFUNCTION("""COMPUTED_VALUE"""),"Capítulo sin clasificar")</f>
        <v>Capítulo sin clasificar</v>
      </c>
      <c r="S40" s="11"/>
      <c r="T40" s="11"/>
      <c r="U40" s="11" t="str">
        <f>IFERROR(__xludf.DUMMYFUNCTION("""COMPUTED_VALUE"""),"Ninguna")</f>
        <v>Ninguna</v>
      </c>
      <c r="V40" s="11"/>
      <c r="W40" s="11"/>
      <c r="X40" s="11" t="str">
        <f>IFERROR(__xludf.DUMMYFUNCTION("""COMPUTED_VALUE"""),"UdeA")</f>
        <v>UdeA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 t="str">
        <f>IFERROR(__xludf.DUMMYFUNCTION("""COMPUTED_VALUE"""),"Ninguna")</f>
        <v>Ninguna</v>
      </c>
      <c r="AL40" s="11"/>
      <c r="AM40" s="11" t="str">
        <f>IFERROR(__xludf.DUMMYFUNCTION("""COMPUTED_VALUE"""),"Adicional")</f>
        <v>Adicional</v>
      </c>
      <c r="AN40" s="11">
        <f>IFERROR(__xludf.DUMMYFUNCTION("""COMPUTED_VALUE"""),3.0)</f>
        <v>3</v>
      </c>
      <c r="AO40" s="11">
        <f>IFERROR(__xludf.DUMMYFUNCTION("""COMPUTED_VALUE"""),2.0)</f>
        <v>2</v>
      </c>
      <c r="AP40" s="11">
        <f>IFERROR(__xludf.DUMMYFUNCTION("""COMPUTED_VALUE"""),1.0)</f>
        <v>1</v>
      </c>
      <c r="AQ40" s="11">
        <f>IFERROR(__xludf.DUMMYFUNCTION("""COMPUTED_VALUE"""),1.0)</f>
        <v>1</v>
      </c>
      <c r="AR40" s="11">
        <f>IFERROR(__xludf.DUMMYFUNCTION("""COMPUTED_VALUE"""),1.0)</f>
        <v>1</v>
      </c>
      <c r="AS40" s="11">
        <f>IFERROR(__xludf.DUMMYFUNCTION("""COMPUTED_VALUE"""),1.0)</f>
        <v>1</v>
      </c>
      <c r="AT40" s="11" t="str">
        <f>IFERROR(__xludf.DUMMYFUNCTION("""COMPUTED_VALUE"""),"Computing the Global Irradiation
over the Plane of Photovoltaic
Arrays: A Step-by-Step
Methodology")</f>
        <v>Computing the Global Irradiation
over the Plane of Photovoltaic
Arrays: A Step-by-Step
Methodology</v>
      </c>
      <c r="AU40" s="15" t="str">
        <f>IFERROR(__xludf.DUMMYFUNCTION("""COMPUTED_VALUE"""),"https://drive.google.com/open?id=1URg0H6n_0-9CV0OjX6nBC1cawxSbYzVD")</f>
        <v>https://drive.google.com/open?id=1URg0H6n_0-9CV0OjX6nBC1cawxSbYzVD</v>
      </c>
      <c r="AV40" s="11"/>
      <c r="AW40" s="11"/>
      <c r="AX40" s="11">
        <f>IFERROR(__xludf.DUMMYFUNCTION("""COMPUTED_VALUE"""),4.0)</f>
        <v>4</v>
      </c>
      <c r="AY40" s="11" t="str">
        <f>IFERROR(__xludf.DUMMYFUNCTION("""COMPUTED_VALUE"""),"Computing the Global Irradiation over the Plane of Photovoltaic Arrays: A Step-by-Step Methodology")</f>
        <v>Computing the Global Irradiation over the Plane of Photovoltaic Arrays: A Step-by-Step Methodology</v>
      </c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</row>
    <row r="41">
      <c r="A41" s="11" t="str">
        <f>IFERROR(__xludf.DUMMYFUNCTION("""COMPUTED_VALUE"""),"Proy13")</f>
        <v>Proy13</v>
      </c>
      <c r="B41" s="11" t="str">
        <f>IFERROR(__xludf.DUMMYFUNCTION("""COMPUTED_VALUE"""),"Nuevo_Conocimiento")</f>
        <v>Nuevo_Conocimiento</v>
      </c>
      <c r="C41" s="11" t="str">
        <f>IFERROR(__xludf.DUMMYFUNCTION("""COMPUTED_VALUE"""),"Artículo A1")</f>
        <v>Artículo A1</v>
      </c>
      <c r="D41" s="11" t="str">
        <f>IFERROR(__xludf.DUMMYFUNCTION("""COMPUTED_VALUE"""),"Artículo A1")</f>
        <v>Artículo A1</v>
      </c>
      <c r="E41" s="11" t="str">
        <f>IFERROR(__xludf.DUMMYFUNCTION("""COMPUTED_VALUE"""),"Artículo A2")</f>
        <v>Artículo A2</v>
      </c>
      <c r="F41" s="11" t="str">
        <f>IFERROR(__xludf.DUMMYFUNCTION("""COMPUTED_VALUE"""),"Artículo B")</f>
        <v>Artículo B</v>
      </c>
      <c r="G41" s="11" t="str">
        <f>IFERROR(__xludf.DUMMYFUNCTION("""COMPUTED_VALUE"""),"Artículo C")</f>
        <v>Artículo C</v>
      </c>
      <c r="H41" s="11" t="str">
        <f>IFERROR(__xludf.DUMMYFUNCTION("""COMPUTED_VALUE"""),"Capítulo de libro A")</f>
        <v>Capítulo de libro A</v>
      </c>
      <c r="I41" s="11" t="str">
        <f>IFERROR(__xludf.DUMMYFUNCTION("""COMPUTED_VALUE"""),"Capítulo de libro A1")</f>
        <v>Capítulo de libro A1</v>
      </c>
      <c r="J41" s="11" t="str">
        <f>IFERROR(__xludf.DUMMYFUNCTION("""COMPUTED_VALUE"""),"Capítulo de libro B")</f>
        <v>Capítulo de libro B</v>
      </c>
      <c r="K41" s="11" t="str">
        <f>IFERROR(__xludf.DUMMYFUNCTION("""COMPUTED_VALUE"""),"Libro A")</f>
        <v>Libro A</v>
      </c>
      <c r="L41" s="11" t="str">
        <f>IFERROR(__xludf.DUMMYFUNCTION("""COMPUTED_VALUE"""),"Libro A1")</f>
        <v>Libro A1</v>
      </c>
      <c r="M41" s="11" t="str">
        <f>IFERROR(__xludf.DUMMYFUNCTION("""COMPUTED_VALUE"""),"Libro B")</f>
        <v>Libro B</v>
      </c>
      <c r="N41" s="11" t="str">
        <f>IFERROR(__xludf.DUMMYFUNCTION("""COMPUTED_VALUE"""),"Solicitud Patente de invención y-o modelo de utitlidad")</f>
        <v>Solicitud Patente de invención y-o modelo de utitlidad</v>
      </c>
      <c r="O41" s="11" t="str">
        <f>IFERROR(__xludf.DUMMYFUNCTION("""COMPUTED_VALUE"""),"Patente de invención")</f>
        <v>Patente de invención</v>
      </c>
      <c r="P41" s="11" t="str">
        <f>IFERROR(__xludf.DUMMYFUNCTION("""COMPUTED_VALUE"""),"Patente de modelo de utilidad")</f>
        <v>Patente de modelo de utilidad</v>
      </c>
      <c r="Q41" s="11" t="str">
        <f>IFERROR(__xludf.DUMMYFUNCTION("""COMPUTED_VALUE"""),"Artículo sin clasificar")</f>
        <v>Artículo sin clasificar</v>
      </c>
      <c r="R41" s="11" t="str">
        <f>IFERROR(__xludf.DUMMYFUNCTION("""COMPUTED_VALUE"""),"Capítulo sin clasificar")</f>
        <v>Capítulo sin clasificar</v>
      </c>
      <c r="S41" s="11"/>
      <c r="T41" s="11"/>
      <c r="U41" s="11" t="str">
        <f>IFERROR(__xludf.DUMMYFUNCTION("""COMPUTED_VALUE"""),"Otros actores")</f>
        <v>Otros actores</v>
      </c>
      <c r="V41" s="11" t="str">
        <f>IFERROR(__xludf.DUMMYFUNCTION("""COMPUTED_VALUE"""),"Universidad Nacional de San Juan, Argentina")</f>
        <v>Universidad Nacional de San Juan, Argentina</v>
      </c>
      <c r="W41" s="11" t="str">
        <f>IFERROR(__xludf.DUMMYFUNCTION("""COMPUTED_VALUE"""),"Proyecto")</f>
        <v>Proyecto</v>
      </c>
      <c r="X41" s="11" t="str">
        <f>IFERROR(__xludf.DUMMYFUNCTION("""COMPUTED_VALUE"""),"UdeA")</f>
        <v>UdeA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 t="str">
        <f>IFERROR(__xludf.DUMMYFUNCTION("""COMPUTED_VALUE"""),"Ninguna")</f>
        <v>Ninguna</v>
      </c>
      <c r="AL41" s="11"/>
      <c r="AM41" s="11" t="str">
        <f>IFERROR(__xludf.DUMMYFUNCTION("""COMPUTED_VALUE"""),"Obligatorio")</f>
        <v>Obligatorio</v>
      </c>
      <c r="AN41" s="11">
        <f>IFERROR(__xludf.DUMMYFUNCTION("""COMPUTED_VALUE"""),3.0)</f>
        <v>3</v>
      </c>
      <c r="AO41" s="11">
        <f>IFERROR(__xludf.DUMMYFUNCTION("""COMPUTED_VALUE"""),2.0)</f>
        <v>2</v>
      </c>
      <c r="AP41" s="11">
        <f>IFERROR(__xludf.DUMMYFUNCTION("""COMPUTED_VALUE"""),2.0)</f>
        <v>2</v>
      </c>
      <c r="AQ41" s="11">
        <f>IFERROR(__xludf.DUMMYFUNCTION("""COMPUTED_VALUE"""),1.0)</f>
        <v>1</v>
      </c>
      <c r="AR41" s="11">
        <f>IFERROR(__xludf.DUMMYFUNCTION("""COMPUTED_VALUE"""),2.0)</f>
        <v>2</v>
      </c>
      <c r="AS41" s="11">
        <f>IFERROR(__xludf.DUMMYFUNCTION("""COMPUTED_VALUE"""),1.0)</f>
        <v>1</v>
      </c>
      <c r="AT41" s="11" t="str">
        <f>IFERROR(__xludf.DUMMYFUNCTION("""COMPUTED_VALUE"""),"DOI: doi.org/10.3390/en13040857")</f>
        <v>DOI: doi.org/10.3390/en13040857</v>
      </c>
      <c r="AU41" s="15" t="str">
        <f>IFERROR(__xludf.DUMMYFUNCTION("""COMPUTED_VALUE"""),"https://drive.google.com/open?id=1NYAwDCan9sVUZIrbn38RsGLZVT91xW9g")</f>
        <v>https://drive.google.com/open?id=1NYAwDCan9sVUZIrbn38RsGLZVT91xW9g</v>
      </c>
      <c r="AV41" s="11">
        <f>IFERROR(__xludf.DUMMYFUNCTION("""COMPUTED_VALUE"""),1299.0)</f>
        <v>1299</v>
      </c>
      <c r="AW41" s="11"/>
      <c r="AX41" s="11">
        <f>IFERROR(__xludf.DUMMYFUNCTION("""COMPUTED_VALUE"""),4.0)</f>
        <v>4</v>
      </c>
      <c r="AY41" s="11" t="str">
        <f>IFERROR(__xludf.DUMMYFUNCTION("""COMPUTED_VALUE"""),"Voltage Stability Margin Index Estimation Using a
Hybrid Kernel Extreme Learning Machine Approach")</f>
        <v>Voltage Stability Margin Index Estimation Using a
Hybrid Kernel Extreme Learning Machine Approach</v>
      </c>
      <c r="AZ41" s="11"/>
      <c r="BA41" s="11" t="str">
        <f>IFERROR(__xludf.DUMMYFUNCTION("""COMPUTED_VALUE"""),"Walter M. Villa-Acevedo ")</f>
        <v>Walter M. Villa-Acevedo </v>
      </c>
      <c r="BB41" s="11" t="str">
        <f>IFERROR(__xludf.DUMMYFUNCTION("""COMPUTED_VALUE"""),"Universidad de Antioquia")</f>
        <v>Universidad de Antioquia</v>
      </c>
      <c r="BC41" s="11" t="str">
        <f>IFERROR(__xludf.DUMMYFUNCTION("""COMPUTED_VALUE"""),"Departamento de Ingeniería Eléctrica")</f>
        <v>Departamento de Ingeniería Eléctrica</v>
      </c>
      <c r="BD41" s="11" t="str">
        <f>IFERROR(__xludf.DUMMYFUNCTION("""COMPUTED_VALUE"""),"Jesús M. López Lezama")</f>
        <v>Jesús M. López Lezama</v>
      </c>
      <c r="BE41" s="11" t="str">
        <f>IFERROR(__xludf.DUMMYFUNCTION("""COMPUTED_VALUE"""),"Universidad de Antioquia")</f>
        <v>Universidad de Antioquia</v>
      </c>
      <c r="BF41" s="11" t="str">
        <f>IFERROR(__xludf.DUMMYFUNCTION("""COMPUTED_VALUE"""),"Departamento de Ingeniería Eléctrica")</f>
        <v>Departamento de Ingeniería Eléctrica</v>
      </c>
      <c r="BG41" s="11" t="str">
        <f>IFERROR(__xludf.DUMMYFUNCTION("""COMPUTED_VALUE"""),"Delia G. Colomé")</f>
        <v>Delia G. Colomé</v>
      </c>
      <c r="BH41" s="11" t="str">
        <f>IFERROR(__xludf.DUMMYFUNCTION("""COMPUTED_VALUE"""),"Universidad Nacional de San Juan")</f>
        <v>Universidad Nacional de San Juan</v>
      </c>
      <c r="BI41" s="11" t="str">
        <f>IFERROR(__xludf.DUMMYFUNCTION("""COMPUTED_VALUE"""),"
Instituto de Energía Eléctrica")</f>
        <v>
Instituto de Energía Eléctrica</v>
      </c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 t="str">
        <f>IFERROR(__xludf.DUMMYFUNCTION("""COMPUTED_VALUE"""),"Energies (ISSN 1996-1073)")</f>
        <v>Energies (ISSN 1996-1073)</v>
      </c>
      <c r="CR41" s="11">
        <f>IFERROR(__xludf.DUMMYFUNCTION("""COMPUTED_VALUE"""),2.7)</f>
        <v>2.7</v>
      </c>
    </row>
    <row r="42">
      <c r="A42" s="11" t="str">
        <f>IFERROR(__xludf.DUMMYFUNCTION("""COMPUTED_VALUE"""),"Proy13")</f>
        <v>Proy13</v>
      </c>
      <c r="B42" s="11" t="str">
        <f>IFERROR(__xludf.DUMMYFUNCTION("""COMPUTED_VALUE"""),"Nuevo_Conocimiento")</f>
        <v>Nuevo_Conocimiento</v>
      </c>
      <c r="C42" s="11" t="str">
        <f>IFERROR(__xludf.DUMMYFUNCTION("""COMPUTED_VALUE"""),"Artículo A1")</f>
        <v>Artículo A1</v>
      </c>
      <c r="D42" s="11" t="str">
        <f>IFERROR(__xludf.DUMMYFUNCTION("""COMPUTED_VALUE"""),"Artículo A1")</f>
        <v>Artículo A1</v>
      </c>
      <c r="E42" s="11" t="str">
        <f>IFERROR(__xludf.DUMMYFUNCTION("""COMPUTED_VALUE"""),"Artículo A2")</f>
        <v>Artículo A2</v>
      </c>
      <c r="F42" s="11" t="str">
        <f>IFERROR(__xludf.DUMMYFUNCTION("""COMPUTED_VALUE"""),"Artículo B")</f>
        <v>Artículo B</v>
      </c>
      <c r="G42" s="11" t="str">
        <f>IFERROR(__xludf.DUMMYFUNCTION("""COMPUTED_VALUE"""),"Artículo C")</f>
        <v>Artículo C</v>
      </c>
      <c r="H42" s="11" t="str">
        <f>IFERROR(__xludf.DUMMYFUNCTION("""COMPUTED_VALUE"""),"Capítulo de libro A")</f>
        <v>Capítulo de libro A</v>
      </c>
      <c r="I42" s="11" t="str">
        <f>IFERROR(__xludf.DUMMYFUNCTION("""COMPUTED_VALUE"""),"Capítulo de libro A1")</f>
        <v>Capítulo de libro A1</v>
      </c>
      <c r="J42" s="11" t="str">
        <f>IFERROR(__xludf.DUMMYFUNCTION("""COMPUTED_VALUE"""),"Capítulo de libro B")</f>
        <v>Capítulo de libro B</v>
      </c>
      <c r="K42" s="11" t="str">
        <f>IFERROR(__xludf.DUMMYFUNCTION("""COMPUTED_VALUE"""),"Libro A")</f>
        <v>Libro A</v>
      </c>
      <c r="L42" s="11" t="str">
        <f>IFERROR(__xludf.DUMMYFUNCTION("""COMPUTED_VALUE"""),"Libro A1")</f>
        <v>Libro A1</v>
      </c>
      <c r="M42" s="11" t="str">
        <f>IFERROR(__xludf.DUMMYFUNCTION("""COMPUTED_VALUE"""),"Libro B")</f>
        <v>Libro B</v>
      </c>
      <c r="N42" s="11" t="str">
        <f>IFERROR(__xludf.DUMMYFUNCTION("""COMPUTED_VALUE"""),"Solicitud Patente de invención y-o modelo de utitlidad")</f>
        <v>Solicitud Patente de invención y-o modelo de utitlidad</v>
      </c>
      <c r="O42" s="11" t="str">
        <f>IFERROR(__xludf.DUMMYFUNCTION("""COMPUTED_VALUE"""),"Patente de invención")</f>
        <v>Patente de invención</v>
      </c>
      <c r="P42" s="11" t="str">
        <f>IFERROR(__xludf.DUMMYFUNCTION("""COMPUTED_VALUE"""),"Patente de modelo de utilidad")</f>
        <v>Patente de modelo de utilidad</v>
      </c>
      <c r="Q42" s="11" t="str">
        <f>IFERROR(__xludf.DUMMYFUNCTION("""COMPUTED_VALUE"""),"Artículo sin clasificar")</f>
        <v>Artículo sin clasificar</v>
      </c>
      <c r="R42" s="11" t="str">
        <f>IFERROR(__xludf.DUMMYFUNCTION("""COMPUTED_VALUE"""),"Capítulo sin clasificar")</f>
        <v>Capítulo sin clasificar</v>
      </c>
      <c r="S42" s="11"/>
      <c r="T42" s="11"/>
      <c r="U42" s="11" t="str">
        <f>IFERROR(__xludf.DUMMYFUNCTION("""COMPUTED_VALUE"""),"Ninguna")</f>
        <v>Ninguna</v>
      </c>
      <c r="V42" s="11"/>
      <c r="W42" s="11" t="str">
        <f>IFERROR(__xludf.DUMMYFUNCTION("""COMPUTED_VALUE"""),"Proyecto")</f>
        <v>Proyecto</v>
      </c>
      <c r="X42" s="11" t="str">
        <f>IFERROR(__xludf.DUMMYFUNCTION("""COMPUTED_VALUE"""),"UdeA")</f>
        <v>UdeA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 t="str">
        <f>IFERROR(__xludf.DUMMYFUNCTION("""COMPUTED_VALUE"""),"Institución Universitaria Pascual Bravo")</f>
        <v>Institución Universitaria Pascual Bravo</v>
      </c>
      <c r="AK42" s="11" t="str">
        <f>IFERROR(__xludf.DUMMYFUNCTION("""COMPUTED_VALUE"""),"Ninguna")</f>
        <v>Ninguna</v>
      </c>
      <c r="AL42" s="11"/>
      <c r="AM42" s="11" t="str">
        <f>IFERROR(__xludf.DUMMYFUNCTION("""COMPUTED_VALUE"""),"Obligatorio")</f>
        <v>Obligatorio</v>
      </c>
      <c r="AN42" s="11">
        <f>IFERROR(__xludf.DUMMYFUNCTION("""COMPUTED_VALUE"""),3.0)</f>
        <v>3</v>
      </c>
      <c r="AO42" s="11">
        <f>IFERROR(__xludf.DUMMYFUNCTION("""COMPUTED_VALUE"""),2.0)</f>
        <v>2</v>
      </c>
      <c r="AP42" s="11">
        <f>IFERROR(__xludf.DUMMYFUNCTION("""COMPUTED_VALUE"""),2.0)</f>
        <v>2</v>
      </c>
      <c r="AQ42" s="11">
        <f>IFERROR(__xludf.DUMMYFUNCTION("""COMPUTED_VALUE"""),1.0)</f>
        <v>1</v>
      </c>
      <c r="AR42" s="11">
        <f>IFERROR(__xludf.DUMMYFUNCTION("""COMPUTED_VALUE"""),2.0)</f>
        <v>2</v>
      </c>
      <c r="AS42" s="11">
        <f>IFERROR(__xludf.DUMMYFUNCTION("""COMPUTED_VALUE"""),1.0)</f>
        <v>1</v>
      </c>
      <c r="AT42" s="11" t="str">
        <f>IFERROR(__xludf.DUMMYFUNCTION("""COMPUTED_VALUE"""),"doi:10.3390/en13040922")</f>
        <v>doi:10.3390/en13040922</v>
      </c>
      <c r="AU42" s="15" t="str">
        <f>IFERROR(__xludf.DUMMYFUNCTION("""COMPUTED_VALUE"""),"https://drive.google.com/open?id=1-chW1gKKhGkPpHE2bl2Vg0uaydhaJlS3")</f>
        <v>https://drive.google.com/open?id=1-chW1gKKhGkPpHE2bl2Vg0uaydhaJlS3</v>
      </c>
      <c r="AV42" s="11">
        <f>IFERROR(__xludf.DUMMYFUNCTION("""COMPUTED_VALUE"""),1302.0)</f>
        <v>1302</v>
      </c>
      <c r="AW42" s="11"/>
      <c r="AX42" s="11">
        <f>IFERROR(__xludf.DUMMYFUNCTION("""COMPUTED_VALUE"""),4.0)</f>
        <v>4</v>
      </c>
      <c r="AY42" s="11" t="str">
        <f>IFERROR(__xludf.DUMMYFUNCTION("""COMPUTED_VALUE"""),"Optimal Coordination of Overcurrent Relays in Microgrids Considering a Non-Standard Characteristic")</f>
        <v>Optimal Coordination of Overcurrent Relays in Microgrids Considering a Non-Standard Characteristic</v>
      </c>
      <c r="AZ42" s="11"/>
      <c r="BA42" s="11" t="str">
        <f>IFERROR(__xludf.DUMMYFUNCTION("""COMPUTED_VALUE"""),"Sergio Danilo Saldarriaga-Zuluaga ")</f>
        <v>Sergio Danilo Saldarriaga-Zuluaga </v>
      </c>
      <c r="BB42" s="11" t="str">
        <f>IFERROR(__xludf.DUMMYFUNCTION("""COMPUTED_VALUE"""),"Institución Universitaria Pascual Bravo")</f>
        <v>Institución Universitaria Pascual Bravo</v>
      </c>
      <c r="BC42" s="11" t="str">
        <f>IFERROR(__xludf.DUMMYFUNCTION("""COMPUTED_VALUE"""),"Departamento de Eléctrica")</f>
        <v>Departamento de Eléctrica</v>
      </c>
      <c r="BD42" s="11" t="str">
        <f>IFERROR(__xludf.DUMMYFUNCTION("""COMPUTED_VALUE"""),"Jesús María López-Lezama")</f>
        <v>Jesús María López-Lezama</v>
      </c>
      <c r="BE42" s="11" t="str">
        <f>IFERROR(__xludf.DUMMYFUNCTION("""COMPUTED_VALUE"""),"Universidad de Antioquia")</f>
        <v>Universidad de Antioquia</v>
      </c>
      <c r="BF42" s="11" t="str">
        <f>IFERROR(__xludf.DUMMYFUNCTION("""COMPUTED_VALUE"""),"GIMEL")</f>
        <v>GIMEL</v>
      </c>
      <c r="BG42" s="11" t="str">
        <f>IFERROR(__xludf.DUMMYFUNCTION("""COMPUTED_VALUE"""),"Nicolás Muñoz-Galeano")</f>
        <v>Nicolás Muñoz-Galeano</v>
      </c>
      <c r="BH42" s="11" t="str">
        <f>IFERROR(__xludf.DUMMYFUNCTION("""COMPUTED_VALUE"""),"Universidad de Antioquia")</f>
        <v>Universidad de Antioquia</v>
      </c>
      <c r="BI42" s="11" t="str">
        <f>IFERROR(__xludf.DUMMYFUNCTION("""COMPUTED_VALUE"""),"GIMEL")</f>
        <v>GIMEL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 t="str">
        <f>IFERROR(__xludf.DUMMYFUNCTION("""COMPUTED_VALUE"""),"Energies (ISSN 1996-1073)")</f>
        <v>Energies (ISSN 1996-1073)</v>
      </c>
      <c r="CR42" s="11">
        <f>IFERROR(__xludf.DUMMYFUNCTION("""COMPUTED_VALUE"""),2.7)</f>
        <v>2.7</v>
      </c>
    </row>
    <row r="43">
      <c r="A43" s="11" t="str">
        <f>IFERROR(__xludf.DUMMYFUNCTION("""COMPUTED_VALUE"""),"Proy4")</f>
        <v>Proy4</v>
      </c>
      <c r="B43" s="11" t="str">
        <f>IFERROR(__xludf.DUMMYFUNCTION("""COMPUTED_VALUE"""),"Nuevo_Conocimiento")</f>
        <v>Nuevo_Conocimiento</v>
      </c>
      <c r="C43" s="11" t="str">
        <f>IFERROR(__xludf.DUMMYFUNCTION("""COMPUTED_VALUE"""),"Artículo A1")</f>
        <v>Artículo A1</v>
      </c>
      <c r="D43" s="11" t="str">
        <f>IFERROR(__xludf.DUMMYFUNCTION("""COMPUTED_VALUE"""),"Artículo A1")</f>
        <v>Artículo A1</v>
      </c>
      <c r="E43" s="11" t="str">
        <f>IFERROR(__xludf.DUMMYFUNCTION("""COMPUTED_VALUE"""),"Artículo A2")</f>
        <v>Artículo A2</v>
      </c>
      <c r="F43" s="11" t="str">
        <f>IFERROR(__xludf.DUMMYFUNCTION("""COMPUTED_VALUE"""),"Artículo B")</f>
        <v>Artículo B</v>
      </c>
      <c r="G43" s="11" t="str">
        <f>IFERROR(__xludf.DUMMYFUNCTION("""COMPUTED_VALUE"""),"Artículo C")</f>
        <v>Artículo C</v>
      </c>
      <c r="H43" s="11" t="str">
        <f>IFERROR(__xludf.DUMMYFUNCTION("""COMPUTED_VALUE"""),"Capítulo de libro A")</f>
        <v>Capítulo de libro A</v>
      </c>
      <c r="I43" s="11" t="str">
        <f>IFERROR(__xludf.DUMMYFUNCTION("""COMPUTED_VALUE"""),"Capítulo de libro A1")</f>
        <v>Capítulo de libro A1</v>
      </c>
      <c r="J43" s="11" t="str">
        <f>IFERROR(__xludf.DUMMYFUNCTION("""COMPUTED_VALUE"""),"Capítulo de libro B")</f>
        <v>Capítulo de libro B</v>
      </c>
      <c r="K43" s="11" t="str">
        <f>IFERROR(__xludf.DUMMYFUNCTION("""COMPUTED_VALUE"""),"Libro A")</f>
        <v>Libro A</v>
      </c>
      <c r="L43" s="11" t="str">
        <f>IFERROR(__xludf.DUMMYFUNCTION("""COMPUTED_VALUE"""),"Libro A1")</f>
        <v>Libro A1</v>
      </c>
      <c r="M43" s="11" t="str">
        <f>IFERROR(__xludf.DUMMYFUNCTION("""COMPUTED_VALUE"""),"Libro B")</f>
        <v>Libro B</v>
      </c>
      <c r="N43" s="11" t="str">
        <f>IFERROR(__xludf.DUMMYFUNCTION("""COMPUTED_VALUE"""),"Solicitud Patente de invención y-o modelo de utitlidad")</f>
        <v>Solicitud Patente de invención y-o modelo de utitlidad</v>
      </c>
      <c r="O43" s="11" t="str">
        <f>IFERROR(__xludf.DUMMYFUNCTION("""COMPUTED_VALUE"""),"Patente de invención")</f>
        <v>Patente de invención</v>
      </c>
      <c r="P43" s="11" t="str">
        <f>IFERROR(__xludf.DUMMYFUNCTION("""COMPUTED_VALUE"""),"Patente de modelo de utilidad")</f>
        <v>Patente de modelo de utilidad</v>
      </c>
      <c r="Q43" s="11" t="str">
        <f>IFERROR(__xludf.DUMMYFUNCTION("""COMPUTED_VALUE"""),"Artículo sin clasificar")</f>
        <v>Artículo sin clasificar</v>
      </c>
      <c r="R43" s="11" t="str">
        <f>IFERROR(__xludf.DUMMYFUNCTION("""COMPUTED_VALUE"""),"Capítulo sin clasificar")</f>
        <v>Capítulo sin clasificar</v>
      </c>
      <c r="S43" s="11"/>
      <c r="T43" s="11"/>
      <c r="U43" s="11" t="str">
        <f>IFERROR(__xludf.DUMMYFUNCTION("""COMPUTED_VALUE"""),"Otros actores")</f>
        <v>Otros actores</v>
      </c>
      <c r="V43" s="11" t="str">
        <f>IFERROR(__xludf.DUMMYFUNCTION("""COMPUTED_VALUE"""),"YPF Tecnología S.A., Argentina")</f>
        <v>YPF Tecnología S.A., Argentina</v>
      </c>
      <c r="W43" s="11" t="str">
        <f>IFERROR(__xludf.DUMMYFUNCTION("""COMPUTED_VALUE"""),"Proyecto")</f>
        <v>Proyecto</v>
      </c>
      <c r="X43" s="11" t="str">
        <f>IFERROR(__xludf.DUMMYFUNCTION("""COMPUTED_VALUE"""),"UdeA")</f>
        <v>UdeA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 t="str">
        <f>IFERROR(__xludf.DUMMYFUNCTION("""COMPUTED_VALUE"""),"Ninguna")</f>
        <v>Ninguna</v>
      </c>
      <c r="AL43" s="11"/>
      <c r="AM43" s="11" t="str">
        <f>IFERROR(__xludf.DUMMYFUNCTION("""COMPUTED_VALUE"""),"Obligatorio")</f>
        <v>Obligatorio</v>
      </c>
      <c r="AN43" s="11">
        <f>IFERROR(__xludf.DUMMYFUNCTION("""COMPUTED_VALUE"""),3.0)</f>
        <v>3</v>
      </c>
      <c r="AO43" s="11">
        <f>IFERROR(__xludf.DUMMYFUNCTION("""COMPUTED_VALUE"""),1.0)</f>
        <v>1</v>
      </c>
      <c r="AP43" s="11">
        <f>IFERROR(__xludf.DUMMYFUNCTION("""COMPUTED_VALUE"""),2.0)</f>
        <v>2</v>
      </c>
      <c r="AQ43" s="11">
        <f>IFERROR(__xludf.DUMMYFUNCTION("""COMPUTED_VALUE"""),1.0)</f>
        <v>1</v>
      </c>
      <c r="AR43" s="11">
        <f>IFERROR(__xludf.DUMMYFUNCTION("""COMPUTED_VALUE"""),2.0)</f>
        <v>2</v>
      </c>
      <c r="AS43" s="11">
        <f>IFERROR(__xludf.DUMMYFUNCTION("""COMPUTED_VALUE"""),1.0)</f>
        <v>1</v>
      </c>
      <c r="AT43" s="11" t="str">
        <f>IFERROR(__xludf.DUMMYFUNCTION("""COMPUTED_VALUE"""),"DOI: doi.org/10.1016/j.ssi.2019.115199")</f>
        <v>DOI: doi.org/10.1016/j.ssi.2019.115199</v>
      </c>
      <c r="AU43" s="15" t="str">
        <f>IFERROR(__xludf.DUMMYFUNCTION("""COMPUTED_VALUE"""),"https://drive.google.com/open?id=1VxkE9IpUR1-UXRg9q-DpXdx7qlUJZ1jE")</f>
        <v>https://drive.google.com/open?id=1VxkE9IpUR1-UXRg9q-DpXdx7qlUJZ1jE</v>
      </c>
      <c r="AV43" s="11">
        <f>IFERROR(__xludf.DUMMYFUNCTION("""COMPUTED_VALUE"""),1301.0)</f>
        <v>1301</v>
      </c>
      <c r="AW43" s="11"/>
      <c r="AX43" s="11">
        <f>IFERROR(__xludf.DUMMYFUNCTION("""COMPUTED_VALUE"""),4.0)</f>
        <v>4</v>
      </c>
      <c r="AY43" s="11" t="str">
        <f>IFERROR(__xludf.DUMMYFUNCTION("""COMPUTED_VALUE"""),"Enhanced rate capability of lithium deficient spinel via controlling cooling rate")</f>
        <v>Enhanced rate capability of lithium deficient spinel via controlling cooling rate</v>
      </c>
      <c r="AZ43" s="11"/>
      <c r="BA43" s="11" t="str">
        <f>IFERROR(__xludf.DUMMYFUNCTION("""COMPUTED_VALUE"""),"F.A.Vásquez")</f>
        <v>F.A.Vásquez</v>
      </c>
      <c r="BB43" s="11" t="str">
        <f>IFERROR(__xludf.DUMMYFUNCTION("""COMPUTED_VALUE"""),"Universidad de Antioquia")</f>
        <v>Universidad de Antioquia</v>
      </c>
      <c r="BC43" s="11" t="str">
        <f>IFERROR(__xludf.DUMMYFUNCTION("""COMPUTED_VALUE"""),"CIDEMAT")</f>
        <v>CIDEMAT</v>
      </c>
      <c r="BD43" s="11" t="str">
        <f>IFERROR(__xludf.DUMMYFUNCTION("""COMPUTED_VALUE"""),"J.E.Thomas")</f>
        <v>J.E.Thomas</v>
      </c>
      <c r="BE43" s="11" t="str">
        <f>IFERROR(__xludf.DUMMYFUNCTION("""COMPUTED_VALUE"""),"YPF Tecnología S.A")</f>
        <v>YPF Tecnología S.A</v>
      </c>
      <c r="BF43" s="11"/>
      <c r="BG43" s="11" t="str">
        <f>IFERROR(__xludf.DUMMYFUNCTION("""COMPUTED_VALUE"""),"J.A.Calderón")</f>
        <v>J.A.Calderón</v>
      </c>
      <c r="BH43" s="11" t="str">
        <f>IFERROR(__xludf.DUMMYFUNCTION("""COMPUTED_VALUE"""),"Universidad de Antioquia")</f>
        <v>Universidad de Antioquia</v>
      </c>
      <c r="BI43" s="11" t="str">
        <f>IFERROR(__xludf.DUMMYFUNCTION("""COMPUTED_VALUE"""),"CIDEMAT")</f>
        <v>CIDEMAT</v>
      </c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 t="str">
        <f>IFERROR(__xludf.DUMMYFUNCTION("""COMPUTED_VALUE"""),"Solid State Ionics (ISSN
0167-2738)")</f>
        <v>Solid State Ionics (ISSN
0167-2738)</v>
      </c>
      <c r="CR43" s="11">
        <f>IFERROR(__xludf.DUMMYFUNCTION("""COMPUTED_VALUE"""),2.88)</f>
        <v>2.88</v>
      </c>
    </row>
    <row r="44">
      <c r="A44" s="11" t="str">
        <f>IFERROR(__xludf.DUMMYFUNCTION("""COMPUTED_VALUE"""),"Proy13")</f>
        <v>Proy13</v>
      </c>
      <c r="B44" s="11" t="str">
        <f>IFERROR(__xludf.DUMMYFUNCTION("""COMPUTED_VALUE"""),"Nuevo_Conocimiento")</f>
        <v>Nuevo_Conocimiento</v>
      </c>
      <c r="C44" s="11" t="str">
        <f>IFERROR(__xludf.DUMMYFUNCTION("""COMPUTED_VALUE"""),"Artículo A1")</f>
        <v>Artículo A1</v>
      </c>
      <c r="D44" s="11" t="str">
        <f>IFERROR(__xludf.DUMMYFUNCTION("""COMPUTED_VALUE"""),"Artículo A1")</f>
        <v>Artículo A1</v>
      </c>
      <c r="E44" s="11" t="str">
        <f>IFERROR(__xludf.DUMMYFUNCTION("""COMPUTED_VALUE"""),"Artículo A2")</f>
        <v>Artículo A2</v>
      </c>
      <c r="F44" s="11" t="str">
        <f>IFERROR(__xludf.DUMMYFUNCTION("""COMPUTED_VALUE"""),"Artículo B")</f>
        <v>Artículo B</v>
      </c>
      <c r="G44" s="11" t="str">
        <f>IFERROR(__xludf.DUMMYFUNCTION("""COMPUTED_VALUE"""),"Artículo C")</f>
        <v>Artículo C</v>
      </c>
      <c r="H44" s="11" t="str">
        <f>IFERROR(__xludf.DUMMYFUNCTION("""COMPUTED_VALUE"""),"Capítulo de libro A")</f>
        <v>Capítulo de libro A</v>
      </c>
      <c r="I44" s="11" t="str">
        <f>IFERROR(__xludf.DUMMYFUNCTION("""COMPUTED_VALUE"""),"Capítulo de libro A1")</f>
        <v>Capítulo de libro A1</v>
      </c>
      <c r="J44" s="11" t="str">
        <f>IFERROR(__xludf.DUMMYFUNCTION("""COMPUTED_VALUE"""),"Capítulo de libro B")</f>
        <v>Capítulo de libro B</v>
      </c>
      <c r="K44" s="11" t="str">
        <f>IFERROR(__xludf.DUMMYFUNCTION("""COMPUTED_VALUE"""),"Libro A")</f>
        <v>Libro A</v>
      </c>
      <c r="L44" s="11" t="str">
        <f>IFERROR(__xludf.DUMMYFUNCTION("""COMPUTED_VALUE"""),"Libro A1")</f>
        <v>Libro A1</v>
      </c>
      <c r="M44" s="11" t="str">
        <f>IFERROR(__xludf.DUMMYFUNCTION("""COMPUTED_VALUE"""),"Libro B")</f>
        <v>Libro B</v>
      </c>
      <c r="N44" s="11" t="str">
        <f>IFERROR(__xludf.DUMMYFUNCTION("""COMPUTED_VALUE"""),"Solicitud Patente de invención y-o modelo de utitlidad")</f>
        <v>Solicitud Patente de invención y-o modelo de utitlidad</v>
      </c>
      <c r="O44" s="11" t="str">
        <f>IFERROR(__xludf.DUMMYFUNCTION("""COMPUTED_VALUE"""),"Patente de invención")</f>
        <v>Patente de invención</v>
      </c>
      <c r="P44" s="11" t="str">
        <f>IFERROR(__xludf.DUMMYFUNCTION("""COMPUTED_VALUE"""),"Patente de modelo de utilidad")</f>
        <v>Patente de modelo de utilidad</v>
      </c>
      <c r="Q44" s="11" t="str">
        <f>IFERROR(__xludf.DUMMYFUNCTION("""COMPUTED_VALUE"""),"Artículo sin clasificar")</f>
        <v>Artículo sin clasificar</v>
      </c>
      <c r="R44" s="11" t="str">
        <f>IFERROR(__xludf.DUMMYFUNCTION("""COMPUTED_VALUE"""),"Capítulo sin clasificar")</f>
        <v>Capítulo sin clasificar</v>
      </c>
      <c r="S44" s="11"/>
      <c r="T44" s="11"/>
      <c r="U44" s="11" t="str">
        <f>IFERROR(__xludf.DUMMYFUNCTION("""COMPUTED_VALUE"""),"Ninguna")</f>
        <v>Ninguna</v>
      </c>
      <c r="V44" s="11"/>
      <c r="W44" s="11" t="str">
        <f>IFERROR(__xludf.DUMMYFUNCTION("""COMPUTED_VALUE"""),"Proyecto")</f>
        <v>Proyecto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 t="str">
        <f>IFERROR(__xludf.DUMMYFUNCTION("""COMPUTED_VALUE"""),"Ninguna")</f>
        <v>Ninguna</v>
      </c>
      <c r="AL44" s="11"/>
      <c r="AM44" s="11" t="str">
        <f>IFERROR(__xludf.DUMMYFUNCTION("""COMPUTED_VALUE"""),"Obligatorio")</f>
        <v>Obligatorio</v>
      </c>
      <c r="AN44" s="11"/>
      <c r="AO44" s="11"/>
      <c r="AP44" s="11"/>
      <c r="AQ44" s="11"/>
      <c r="AR44" s="11"/>
      <c r="AS44" s="11"/>
      <c r="AT44" s="11" t="str">
        <f>IFERROR(__xludf.DUMMYFUNCTION("""COMPUTED_VALUE"""),"DOI: doi.org/10.1016/j.dib.2020.105375")</f>
        <v>DOI: doi.org/10.1016/j.dib.2020.105375</v>
      </c>
      <c r="AU44" s="11"/>
      <c r="AV44" s="11"/>
      <c r="AW44" s="11"/>
      <c r="AX44" s="11">
        <f>IFERROR(__xludf.DUMMYFUNCTION("""COMPUTED_VALUE"""),4.0)</f>
        <v>4</v>
      </c>
      <c r="AY44" s="11" t="str">
        <f>IFERROR(__xludf.DUMMYFUNCTION("""COMPUTED_VALUE"""),"Data for numerical solution of Caputo’s and Riemann–Liouville’s fractional differential equations")</f>
        <v>Data for numerical solution of Caputo’s and Riemann–Liouville’s fractional differential equations</v>
      </c>
      <c r="AZ44" s="11"/>
      <c r="BA44" s="11" t="str">
        <f>IFERROR(__xludf.DUMMYFUNCTION("""COMPUTED_VALUE"""),"David E.Betancur-Herrera")</f>
        <v>David E.Betancur-Herrera</v>
      </c>
      <c r="BB44" s="11" t="str">
        <f>IFERROR(__xludf.DUMMYFUNCTION("""COMPUTED_VALUE"""),"Universidad de Antioquia")</f>
        <v>Universidad de Antioquia</v>
      </c>
      <c r="BC44" s="11" t="str">
        <f>IFERROR(__xludf.DUMMYFUNCTION("""COMPUTED_VALUE"""),"GIMEL")</f>
        <v>GIMEL</v>
      </c>
      <c r="BD44" s="11" t="str">
        <f>IFERROR(__xludf.DUMMYFUNCTION("""COMPUTED_VALUE"""),"NicolasMuñoz-Galeano")</f>
        <v>NicolasMuñoz-Galeano</v>
      </c>
      <c r="BE44" s="11" t="str">
        <f>IFERROR(__xludf.DUMMYFUNCTION("""COMPUTED_VALUE"""),"Universidad de Antioquia")</f>
        <v>Universidad de Antioquia</v>
      </c>
      <c r="BF44" s="11" t="str">
        <f>IFERROR(__xludf.DUMMYFUNCTION("""COMPUTED_VALUE"""),"GIMEL")</f>
        <v>GIMEL</v>
      </c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 t="str">
        <f>IFERROR(__xludf.DUMMYFUNCTION("""COMPUTED_VALUE"""),"Data in Brief (ISSN 2352-3409)")</f>
        <v>Data in Brief (ISSN 2352-3409)</v>
      </c>
      <c r="CR44" s="11"/>
    </row>
    <row r="45">
      <c r="A45" s="11" t="str">
        <f>IFERROR(__xludf.DUMMYFUNCTION("""COMPUTED_VALUE"""),"Proy12")</f>
        <v>Proy12</v>
      </c>
      <c r="B45" s="11" t="str">
        <f>IFERROR(__xludf.DUMMYFUNCTION("""COMPUTED_VALUE"""),"Nuevo_Conocimiento")</f>
        <v>Nuevo_Conocimiento</v>
      </c>
      <c r="C45" s="11" t="str">
        <f>IFERROR(__xludf.DUMMYFUNCTION("""COMPUTED_VALUE"""),"Artículo A1")</f>
        <v>Artículo A1</v>
      </c>
      <c r="D45" s="11" t="str">
        <f>IFERROR(__xludf.DUMMYFUNCTION("""COMPUTED_VALUE"""),"Artículo A1")</f>
        <v>Artículo A1</v>
      </c>
      <c r="E45" s="11" t="str">
        <f>IFERROR(__xludf.DUMMYFUNCTION("""COMPUTED_VALUE"""),"Artículo A2")</f>
        <v>Artículo A2</v>
      </c>
      <c r="F45" s="11" t="str">
        <f>IFERROR(__xludf.DUMMYFUNCTION("""COMPUTED_VALUE"""),"Artículo B")</f>
        <v>Artículo B</v>
      </c>
      <c r="G45" s="11" t="str">
        <f>IFERROR(__xludf.DUMMYFUNCTION("""COMPUTED_VALUE"""),"Artículo C")</f>
        <v>Artículo C</v>
      </c>
      <c r="H45" s="11" t="str">
        <f>IFERROR(__xludf.DUMMYFUNCTION("""COMPUTED_VALUE"""),"Capítulo de libro A")</f>
        <v>Capítulo de libro A</v>
      </c>
      <c r="I45" s="11" t="str">
        <f>IFERROR(__xludf.DUMMYFUNCTION("""COMPUTED_VALUE"""),"Capítulo de libro A1")</f>
        <v>Capítulo de libro A1</v>
      </c>
      <c r="J45" s="11" t="str">
        <f>IFERROR(__xludf.DUMMYFUNCTION("""COMPUTED_VALUE"""),"Capítulo de libro B")</f>
        <v>Capítulo de libro B</v>
      </c>
      <c r="K45" s="11" t="str">
        <f>IFERROR(__xludf.DUMMYFUNCTION("""COMPUTED_VALUE"""),"Libro A")</f>
        <v>Libro A</v>
      </c>
      <c r="L45" s="11" t="str">
        <f>IFERROR(__xludf.DUMMYFUNCTION("""COMPUTED_VALUE"""),"Libro A1")</f>
        <v>Libro A1</v>
      </c>
      <c r="M45" s="11" t="str">
        <f>IFERROR(__xludf.DUMMYFUNCTION("""COMPUTED_VALUE"""),"Libro B")</f>
        <v>Libro B</v>
      </c>
      <c r="N45" s="11" t="str">
        <f>IFERROR(__xludf.DUMMYFUNCTION("""COMPUTED_VALUE"""),"Solicitud Patente de invención y-o modelo de utitlidad")</f>
        <v>Solicitud Patente de invención y-o modelo de utitlidad</v>
      </c>
      <c r="O45" s="11" t="str">
        <f>IFERROR(__xludf.DUMMYFUNCTION("""COMPUTED_VALUE"""),"Patente de invención")</f>
        <v>Patente de invención</v>
      </c>
      <c r="P45" s="11" t="str">
        <f>IFERROR(__xludf.DUMMYFUNCTION("""COMPUTED_VALUE"""),"Patente de modelo de utilidad")</f>
        <v>Patente de modelo de utilidad</v>
      </c>
      <c r="Q45" s="11" t="str">
        <f>IFERROR(__xludf.DUMMYFUNCTION("""COMPUTED_VALUE"""),"Artículo sin clasificar")</f>
        <v>Artículo sin clasificar</v>
      </c>
      <c r="R45" s="11" t="str">
        <f>IFERROR(__xludf.DUMMYFUNCTION("""COMPUTED_VALUE"""),"Capítulo sin clasificar")</f>
        <v>Capítulo sin clasificar</v>
      </c>
      <c r="S45" s="11"/>
      <c r="T45" s="11"/>
      <c r="U45" s="11" t="str">
        <f>IFERROR(__xludf.DUMMYFUNCTION("""COMPUTED_VALUE"""),"Otros actores")</f>
        <v>Otros actores</v>
      </c>
      <c r="V45" s="11" t="str">
        <f>IFERROR(__xludf.DUMMYFUNCTION("""COMPUTED_VALUE"""),"Universidad de Utah")</f>
        <v>Universidad de Utah</v>
      </c>
      <c r="W45" s="11" t="str">
        <f>IFERROR(__xludf.DUMMYFUNCTION("""COMPUTED_VALUE"""),"Proyecto")</f>
        <v>Proyecto</v>
      </c>
      <c r="X45" s="11" t="str">
        <f>IFERROR(__xludf.DUMMYFUNCTION("""COMPUTED_VALUE"""),"UdeA")</f>
        <v>UdeA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 t="str">
        <f>IFERROR(__xludf.DUMMYFUNCTION("""COMPUTED_VALUE"""),"Ninguna")</f>
        <v>Ninguna</v>
      </c>
      <c r="AL45" s="11"/>
      <c r="AM45" s="11" t="str">
        <f>IFERROR(__xludf.DUMMYFUNCTION("""COMPUTED_VALUE"""),"Obligatorio")</f>
        <v>Obligatorio</v>
      </c>
      <c r="AN45" s="11">
        <f>IFERROR(__xludf.DUMMYFUNCTION("""COMPUTED_VALUE"""),6.0)</f>
        <v>6</v>
      </c>
      <c r="AO45" s="11">
        <f>IFERROR(__xludf.DUMMYFUNCTION("""COMPUTED_VALUE"""),1.0)</f>
        <v>1</v>
      </c>
      <c r="AP45" s="11">
        <f>IFERROR(__xludf.DUMMYFUNCTION("""COMPUTED_VALUE"""),3.0)</f>
        <v>3</v>
      </c>
      <c r="AQ45" s="11">
        <f>IFERROR(__xludf.DUMMYFUNCTION("""COMPUTED_VALUE"""),1.0)</f>
        <v>1</v>
      </c>
      <c r="AR45" s="11">
        <f>IFERROR(__xludf.DUMMYFUNCTION("""COMPUTED_VALUE"""),2.0)</f>
        <v>2</v>
      </c>
      <c r="AS45" s="11">
        <f>IFERROR(__xludf.DUMMYFUNCTION("""COMPUTED_VALUE"""),2.0)</f>
        <v>2</v>
      </c>
      <c r="AT45" s="15" t="str">
        <f>IFERROR(__xludf.DUMMYFUNCTION("""COMPUTED_VALUE"""),"doi.org/10.1016/j.combustflame.2019.12.018")</f>
        <v>doi.org/10.1016/j.combustflame.2019.12.018</v>
      </c>
      <c r="AU45" s="15" t="str">
        <f>IFERROR(__xludf.DUMMYFUNCTION("""COMPUTED_VALUE"""),"https://drive.google.com/open?id=1Er_YNnAakoeyraaCREE0B5RwHCz5DE6A")</f>
        <v>https://drive.google.com/open?id=1Er_YNnAakoeyraaCREE0B5RwHCz5DE6A</v>
      </c>
      <c r="AV45" s="11"/>
      <c r="AW45" s="11"/>
      <c r="AX45" s="11">
        <f>IFERROR(__xludf.DUMMYFUNCTION("""COMPUTED_VALUE"""),4.0)</f>
        <v>4</v>
      </c>
      <c r="AY45" s="11" t="str">
        <f>IFERROR(__xludf.DUMMYFUNCTION("""COMPUTED_VALUE"""),"Characterization of renewable diesel particulate matter gathered from non-premixed and partially premixed flame burners and from a diesel engine")</f>
        <v>Characterization of renewable diesel particulate matter gathered from non-premixed and partially premixed flame burners and from a diesel engine</v>
      </c>
      <c r="AZ45" s="11"/>
      <c r="BA45" s="11" t="str">
        <f>IFERROR(__xludf.DUMMYFUNCTION("""COMPUTED_VALUE"""),"Marlon Cadrazco")</f>
        <v>Marlon Cadrazco</v>
      </c>
      <c r="BB45" s="11" t="str">
        <f>IFERROR(__xludf.DUMMYFUNCTION("""COMPUTED_VALUE"""),"Universidad de Antioquia")</f>
        <v>Universidad de Antioquia</v>
      </c>
      <c r="BC45" s="11" t="str">
        <f>IFERROR(__xludf.DUMMYFUNCTION("""COMPUTED_VALUE"""),"Facultad de Ingeniería")</f>
        <v>Facultad de Ingeniería</v>
      </c>
      <c r="BD45" s="11" t="str">
        <f>IFERROR(__xludf.DUMMYFUNCTION("""COMPUTED_VALUE"""),"Alexander Santamaría")</f>
        <v>Alexander Santamaría</v>
      </c>
      <c r="BE45" s="11" t="str">
        <f>IFERROR(__xludf.DUMMYFUNCTION("""COMPUTED_VALUE"""),"Universidad de Antioquia")</f>
        <v>Universidad de Antioquia</v>
      </c>
      <c r="BF45" s="11" t="str">
        <f>IFERROR(__xludf.DUMMYFUNCTION("""COMPUTED_VALUE"""),"Facultad de Ingeniería")</f>
        <v>Facultad de Ingeniería</v>
      </c>
      <c r="BG45" s="11" t="str">
        <f>IFERROR(__xludf.DUMMYFUNCTION("""COMPUTED_VALUE"""),"I. Cristina Jaramillo")</f>
        <v>I. Cristina Jaramillo</v>
      </c>
      <c r="BH45" s="11" t="str">
        <f>IFERROR(__xludf.DUMMYFUNCTION("""COMPUTED_VALUE"""),"University of Utah")</f>
        <v>University of Utah</v>
      </c>
      <c r="BI45" s="11"/>
      <c r="BJ45" s="11" t="str">
        <f>IFERROR(__xludf.DUMMYFUNCTION("""COMPUTED_VALUE"""),"Kamaljeet Kaur")</f>
        <v>Kamaljeet Kaur</v>
      </c>
      <c r="BK45" s="11" t="str">
        <f>IFERROR(__xludf.DUMMYFUNCTION("""COMPUTED_VALUE"""),"University of Utah")</f>
        <v>University of Utah</v>
      </c>
      <c r="BL45" s="11"/>
      <c r="BM45" s="11" t="str">
        <f>IFERROR(__xludf.DUMMYFUNCTION("""COMPUTED_VALUE"""),"K. E. Kelly")</f>
        <v>K. E. Kelly</v>
      </c>
      <c r="BN45" s="11" t="str">
        <f>IFERROR(__xludf.DUMMYFUNCTION("""COMPUTED_VALUE"""),"University of Utah")</f>
        <v>University of Utah</v>
      </c>
      <c r="BO45" s="11"/>
      <c r="BP45" s="11" t="str">
        <f>IFERROR(__xludf.DUMMYFUNCTION("""COMPUTED_VALUE"""),"John R. Agudelo")</f>
        <v>John R. Agudelo</v>
      </c>
      <c r="BQ45" s="11" t="str">
        <f>IFERROR(__xludf.DUMMYFUNCTION("""COMPUTED_VALUE"""),"Universidad de Antioquia")</f>
        <v>Universidad de Antioquia</v>
      </c>
      <c r="BR45" s="11" t="str">
        <f>IFERROR(__xludf.DUMMYFUNCTION("""COMPUTED_VALUE"""),"Facultad de Ingeniería")</f>
        <v>Facultad de Ingeniería</v>
      </c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 t="str">
        <f>IFERROR(__xludf.DUMMYFUNCTION("""COMPUTED_VALUE"""),"Combustion and Flame (ISSN 0010-2180)")</f>
        <v>Combustion and Flame (ISSN 0010-2180)</v>
      </c>
      <c r="CR45" s="11">
        <f>IFERROR(__xludf.DUMMYFUNCTION("""COMPUTED_VALUE"""),4.12)</f>
        <v>4.12</v>
      </c>
    </row>
    <row r="46">
      <c r="A46" s="11" t="str">
        <f>IFERROR(__xludf.DUMMYFUNCTION("""COMPUTED_VALUE"""),"Proy8")</f>
        <v>Proy8</v>
      </c>
      <c r="B46" s="11" t="str">
        <f>IFERROR(__xludf.DUMMYFUNCTION("""COMPUTED_VALUE"""),"Nuevo_Conocimiento")</f>
        <v>Nuevo_Conocimiento</v>
      </c>
      <c r="C46" s="11" t="str">
        <f>IFERROR(__xludf.DUMMYFUNCTION("""COMPUTED_VALUE"""),"Artículo B")</f>
        <v>Artículo B</v>
      </c>
      <c r="D46" s="11" t="str">
        <f>IFERROR(__xludf.DUMMYFUNCTION("""COMPUTED_VALUE"""),"Artículo A1")</f>
        <v>Artículo A1</v>
      </c>
      <c r="E46" s="11" t="str">
        <f>IFERROR(__xludf.DUMMYFUNCTION("""COMPUTED_VALUE"""),"Artículo A2")</f>
        <v>Artículo A2</v>
      </c>
      <c r="F46" s="11" t="str">
        <f>IFERROR(__xludf.DUMMYFUNCTION("""COMPUTED_VALUE"""),"Artículo B")</f>
        <v>Artículo B</v>
      </c>
      <c r="G46" s="11" t="str">
        <f>IFERROR(__xludf.DUMMYFUNCTION("""COMPUTED_VALUE"""),"Artículo C")</f>
        <v>Artículo C</v>
      </c>
      <c r="H46" s="11" t="str">
        <f>IFERROR(__xludf.DUMMYFUNCTION("""COMPUTED_VALUE"""),"Capítulo de libro A")</f>
        <v>Capítulo de libro A</v>
      </c>
      <c r="I46" s="11" t="str">
        <f>IFERROR(__xludf.DUMMYFUNCTION("""COMPUTED_VALUE"""),"Capítulo de libro A1")</f>
        <v>Capítulo de libro A1</v>
      </c>
      <c r="J46" s="11" t="str">
        <f>IFERROR(__xludf.DUMMYFUNCTION("""COMPUTED_VALUE"""),"Capítulo de libro B")</f>
        <v>Capítulo de libro B</v>
      </c>
      <c r="K46" s="11" t="str">
        <f>IFERROR(__xludf.DUMMYFUNCTION("""COMPUTED_VALUE"""),"Libro A")</f>
        <v>Libro A</v>
      </c>
      <c r="L46" s="11" t="str">
        <f>IFERROR(__xludf.DUMMYFUNCTION("""COMPUTED_VALUE"""),"Libro A1")</f>
        <v>Libro A1</v>
      </c>
      <c r="M46" s="11" t="str">
        <f>IFERROR(__xludf.DUMMYFUNCTION("""COMPUTED_VALUE"""),"Libro B")</f>
        <v>Libro B</v>
      </c>
      <c r="N46" s="11" t="str">
        <f>IFERROR(__xludf.DUMMYFUNCTION("""COMPUTED_VALUE"""),"Solicitud Patente de invención y-o modelo de utitlidad")</f>
        <v>Solicitud Patente de invención y-o modelo de utitlidad</v>
      </c>
      <c r="O46" s="11" t="str">
        <f>IFERROR(__xludf.DUMMYFUNCTION("""COMPUTED_VALUE"""),"Patente de invención")</f>
        <v>Patente de invención</v>
      </c>
      <c r="P46" s="11" t="str">
        <f>IFERROR(__xludf.DUMMYFUNCTION("""COMPUTED_VALUE"""),"Patente de modelo de utilidad")</f>
        <v>Patente de modelo de utilidad</v>
      </c>
      <c r="Q46" s="11" t="str">
        <f>IFERROR(__xludf.DUMMYFUNCTION("""COMPUTED_VALUE"""),"Artículo sin clasificar")</f>
        <v>Artículo sin clasificar</v>
      </c>
      <c r="R46" s="11" t="str">
        <f>IFERROR(__xludf.DUMMYFUNCTION("""COMPUTED_VALUE"""),"Capítulo sin clasificar")</f>
        <v>Capítulo sin clasificar</v>
      </c>
      <c r="S46" s="11"/>
      <c r="T46" s="11"/>
      <c r="U46" s="11" t="str">
        <f>IFERROR(__xludf.DUMMYFUNCTION("""COMPUTED_VALUE"""),"Ninguna")</f>
        <v>Ninguna</v>
      </c>
      <c r="V46" s="11"/>
      <c r="W46" s="11" t="str">
        <f>IFERROR(__xludf.DUMMYFUNCTION("""COMPUTED_VALUE"""),"Proyecto")</f>
        <v>Proyecto</v>
      </c>
      <c r="X46" s="11" t="str">
        <f>IFERROR(__xludf.DUMMYFUNCTION("""COMPUTED_VALUE"""),"UdeA")</f>
        <v>UdeA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 t="str">
        <f>IFERROR(__xludf.DUMMYFUNCTION("""COMPUTED_VALUE"""),"Ninguna")</f>
        <v>Ninguna</v>
      </c>
      <c r="AL46" s="11"/>
      <c r="AM46" s="11" t="str">
        <f>IFERROR(__xludf.DUMMYFUNCTION("""COMPUTED_VALUE"""),"Adicional")</f>
        <v>Adicional</v>
      </c>
      <c r="AN46" s="11">
        <f>IFERROR(__xludf.DUMMYFUNCTION("""COMPUTED_VALUE"""),3.0)</f>
        <v>3</v>
      </c>
      <c r="AO46" s="11">
        <f>IFERROR(__xludf.DUMMYFUNCTION("""COMPUTED_VALUE"""),1.0)</f>
        <v>1</v>
      </c>
      <c r="AP46" s="11">
        <f>IFERROR(__xludf.DUMMYFUNCTION("""COMPUTED_VALUE"""),1.0)</f>
        <v>1</v>
      </c>
      <c r="AQ46" s="11">
        <f>IFERROR(__xludf.DUMMYFUNCTION("""COMPUTED_VALUE"""),1.0)</f>
        <v>1</v>
      </c>
      <c r="AR46" s="11">
        <f>IFERROR(__xludf.DUMMYFUNCTION("""COMPUTED_VALUE"""),1.0)</f>
        <v>1</v>
      </c>
      <c r="AS46" s="11">
        <f>IFERROR(__xludf.DUMMYFUNCTION("""COMPUTED_VALUE"""),1.0)</f>
        <v>1</v>
      </c>
      <c r="AT46" s="15" t="str">
        <f>IFERROR(__xludf.DUMMYFUNCTION("""COMPUTED_VALUE"""),"dx.doi.org/10.4067/S0718-07642020000100215")</f>
        <v>dx.doi.org/10.4067/S0718-07642020000100215</v>
      </c>
      <c r="AU46" s="15" t="str">
        <f>IFERROR(__xludf.DUMMYFUNCTION("""COMPUTED_VALUE"""),"https://drive.google.com/open?id=1h-q2xG79UGR36oY3CkZY091uoMmVsgEi")</f>
        <v>https://drive.google.com/open?id=1h-q2xG79UGR36oY3CkZY091uoMmVsgEi</v>
      </c>
      <c r="AV46" s="11"/>
      <c r="AW46" s="11"/>
      <c r="AX46" s="11">
        <f>IFERROR(__xludf.DUMMYFUNCTION("""COMPUTED_VALUE"""),4.0)</f>
        <v>4</v>
      </c>
      <c r="AY46" s="11" t="str">
        <f>IFERROR(__xludf.DUMMYFUNCTION("""COMPUTED_VALUE"""),"Evaluación de técnicas de pretratamiento en buchón de agua (Eichhornia crassipes) para la producción de bioetanol")</f>
        <v>Evaluación de técnicas de pretratamiento en buchón de agua (Eichhornia crassipes) para la producción de bioetanol</v>
      </c>
      <c r="AZ46" s="11"/>
      <c r="BA46" s="11" t="str">
        <f>IFERROR(__xludf.DUMMYFUNCTION("""COMPUTED_VALUE"""),"Karen Ospino")</f>
        <v>Karen Ospino</v>
      </c>
      <c r="BB46" s="11" t="str">
        <f>IFERROR(__xludf.DUMMYFUNCTION("""COMPUTED_VALUE"""),"Universidad de Antioquia")</f>
        <v>Universidad de Antioquia</v>
      </c>
      <c r="BC46" s="11" t="str">
        <f>IFERROR(__xludf.DUMMYFUNCTION("""COMPUTED_VALUE"""),"Facultad de Ingeniería")</f>
        <v>Facultad de Ingeniería</v>
      </c>
      <c r="BD46" s="11" t="str">
        <f>IFERROR(__xludf.DUMMYFUNCTION("""COMPUTED_VALUE"""),"Elkin Gómez")</f>
        <v>Elkin Gómez</v>
      </c>
      <c r="BE46" s="11" t="str">
        <f>IFERROR(__xludf.DUMMYFUNCTION("""COMPUTED_VALUE"""),"Universidad de Antioquia")</f>
        <v>Universidad de Antioquia</v>
      </c>
      <c r="BF46" s="11" t="str">
        <f>IFERROR(__xludf.DUMMYFUNCTION("""COMPUTED_VALUE"""),"Facultad de Ingeniería")</f>
        <v>Facultad de Ingeniería</v>
      </c>
      <c r="BG46" s="11" t="str">
        <f>IFERROR(__xludf.DUMMYFUNCTION("""COMPUTED_VALUE"""),"Luis Rios")</f>
        <v>Luis Rios</v>
      </c>
      <c r="BH46" s="11" t="str">
        <f>IFERROR(__xludf.DUMMYFUNCTION("""COMPUTED_VALUE"""),"Universidad de Antioquia")</f>
        <v>Universidad de Antioquia</v>
      </c>
      <c r="BI46" s="11" t="str">
        <f>IFERROR(__xludf.DUMMYFUNCTION("""COMPUTED_VALUE"""),"Facultad de Ingeniería")</f>
        <v>Facultad de Ingeniería</v>
      </c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 t="str">
        <f>IFERROR(__xludf.DUMMYFUNCTION("""COMPUTED_VALUE"""),"Información tecnológica (ISSN 0718-0764)")</f>
        <v>Información tecnológica (ISSN 0718-0764)</v>
      </c>
      <c r="CR46" s="11"/>
    </row>
    <row r="47">
      <c r="A47" s="11" t="str">
        <f>IFERROR(__xludf.DUMMYFUNCTION("""COMPUTED_VALUE"""),"Proy10")</f>
        <v>Proy10</v>
      </c>
      <c r="B47" s="11" t="str">
        <f>IFERROR(__xludf.DUMMYFUNCTION("""COMPUTED_VALUE"""),"Nuevo_Conocimiento")</f>
        <v>Nuevo_Conocimiento</v>
      </c>
      <c r="C47" s="11" t="str">
        <f>IFERROR(__xludf.DUMMYFUNCTION("""COMPUTED_VALUE"""),"Artículo A1")</f>
        <v>Artículo A1</v>
      </c>
      <c r="D47" s="11" t="str">
        <f>IFERROR(__xludf.DUMMYFUNCTION("""COMPUTED_VALUE"""),"Artículo A1")</f>
        <v>Artículo A1</v>
      </c>
      <c r="E47" s="11" t="str">
        <f>IFERROR(__xludf.DUMMYFUNCTION("""COMPUTED_VALUE"""),"Artículo A2")</f>
        <v>Artículo A2</v>
      </c>
      <c r="F47" s="11" t="str">
        <f>IFERROR(__xludf.DUMMYFUNCTION("""COMPUTED_VALUE"""),"Artículo B")</f>
        <v>Artículo B</v>
      </c>
      <c r="G47" s="11" t="str">
        <f>IFERROR(__xludf.DUMMYFUNCTION("""COMPUTED_VALUE"""),"Artículo C")</f>
        <v>Artículo C</v>
      </c>
      <c r="H47" s="11" t="str">
        <f>IFERROR(__xludf.DUMMYFUNCTION("""COMPUTED_VALUE"""),"Capítulo de libro A")</f>
        <v>Capítulo de libro A</v>
      </c>
      <c r="I47" s="11" t="str">
        <f>IFERROR(__xludf.DUMMYFUNCTION("""COMPUTED_VALUE"""),"Capítulo de libro A1")</f>
        <v>Capítulo de libro A1</v>
      </c>
      <c r="J47" s="11" t="str">
        <f>IFERROR(__xludf.DUMMYFUNCTION("""COMPUTED_VALUE"""),"Capítulo de libro B")</f>
        <v>Capítulo de libro B</v>
      </c>
      <c r="K47" s="11" t="str">
        <f>IFERROR(__xludf.DUMMYFUNCTION("""COMPUTED_VALUE"""),"Libro A")</f>
        <v>Libro A</v>
      </c>
      <c r="L47" s="11" t="str">
        <f>IFERROR(__xludf.DUMMYFUNCTION("""COMPUTED_VALUE"""),"Libro A1")</f>
        <v>Libro A1</v>
      </c>
      <c r="M47" s="11" t="str">
        <f>IFERROR(__xludf.DUMMYFUNCTION("""COMPUTED_VALUE"""),"Libro B")</f>
        <v>Libro B</v>
      </c>
      <c r="N47" s="11" t="str">
        <f>IFERROR(__xludf.DUMMYFUNCTION("""COMPUTED_VALUE"""),"Solicitud Patente de invención y-o modelo de utitlidad")</f>
        <v>Solicitud Patente de invención y-o modelo de utitlidad</v>
      </c>
      <c r="O47" s="11" t="str">
        <f>IFERROR(__xludf.DUMMYFUNCTION("""COMPUTED_VALUE"""),"Patente de invención")</f>
        <v>Patente de invención</v>
      </c>
      <c r="P47" s="11" t="str">
        <f>IFERROR(__xludf.DUMMYFUNCTION("""COMPUTED_VALUE"""),"Patente de modelo de utilidad")</f>
        <v>Patente de modelo de utilidad</v>
      </c>
      <c r="Q47" s="11" t="str">
        <f>IFERROR(__xludf.DUMMYFUNCTION("""COMPUTED_VALUE"""),"Artículo sin clasificar")</f>
        <v>Artículo sin clasificar</v>
      </c>
      <c r="R47" s="11" t="str">
        <f>IFERROR(__xludf.DUMMYFUNCTION("""COMPUTED_VALUE"""),"Capítulo sin clasificar")</f>
        <v>Capítulo sin clasificar</v>
      </c>
      <c r="S47" s="11"/>
      <c r="T47" s="11"/>
      <c r="U47" s="11" t="str">
        <f>IFERROR(__xludf.DUMMYFUNCTION("""COMPUTED_VALUE"""),"Ninguna")</f>
        <v>Ninguna</v>
      </c>
      <c r="V47" s="11"/>
      <c r="W47" s="11" t="str">
        <f>IFERROR(__xludf.DUMMYFUNCTION("""COMPUTED_VALUE"""),"Proyecto")</f>
        <v>Proyecto</v>
      </c>
      <c r="X47" s="11" t="str">
        <f>IFERROR(__xludf.DUMMYFUNCTION("""COMPUTED_VALUE"""),"UdeA")</f>
        <v>UdeA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 t="str">
        <f>IFERROR(__xludf.DUMMYFUNCTION("""COMPUTED_VALUE"""),"Ninguna")</f>
        <v>Ninguna</v>
      </c>
      <c r="AL47" s="11"/>
      <c r="AM47" s="11" t="str">
        <f>IFERROR(__xludf.DUMMYFUNCTION("""COMPUTED_VALUE"""),"Obligatorio")</f>
        <v>Obligatorio</v>
      </c>
      <c r="AN47" s="11">
        <f>IFERROR(__xludf.DUMMYFUNCTION("""COMPUTED_VALUE"""),3.0)</f>
        <v>3</v>
      </c>
      <c r="AO47" s="11">
        <f>IFERROR(__xludf.DUMMYFUNCTION("""COMPUTED_VALUE"""),1.0)</f>
        <v>1</v>
      </c>
      <c r="AP47" s="11">
        <f>IFERROR(__xludf.DUMMYFUNCTION("""COMPUTED_VALUE"""),1.0)</f>
        <v>1</v>
      </c>
      <c r="AQ47" s="11">
        <f>IFERROR(__xludf.DUMMYFUNCTION("""COMPUTED_VALUE"""),1.0)</f>
        <v>1</v>
      </c>
      <c r="AR47" s="11">
        <f>IFERROR(__xludf.DUMMYFUNCTION("""COMPUTED_VALUE"""),1.0)</f>
        <v>1</v>
      </c>
      <c r="AS47" s="11">
        <f>IFERROR(__xludf.DUMMYFUNCTION("""COMPUTED_VALUE"""),1.0)</f>
        <v>1</v>
      </c>
      <c r="AT47" s="11" t="str">
        <f>IFERROR(__xludf.DUMMYFUNCTION("""COMPUTED_VALUE"""),"Journal of Thermal Science and Engineering Applications
DOI: 10.1115/1.4045021")</f>
        <v>Journal of Thermal Science and Engineering Applications
DOI: 10.1115/1.4045021</v>
      </c>
      <c r="AU47" s="11"/>
      <c r="AV47" s="11"/>
      <c r="AW47" s="11"/>
      <c r="AX47" s="11">
        <f>IFERROR(__xludf.DUMMYFUNCTION("""COMPUTED_VALUE"""),4.0)</f>
        <v>4</v>
      </c>
      <c r="AY47" s="11" t="str">
        <f>IFERROR(__xludf.DUMMYFUNCTION("""COMPUTED_VALUE"""),"A Numerical Analysis of the Effect of Atmospheric Pressure on the Performance of a Heating System With a Self-Recuperative Burner")</f>
        <v>A Numerical Analysis of the Effect of Atmospheric Pressure on the Performance of a Heating System With a Self-Recuperative Burner</v>
      </c>
      <c r="AZ47" s="11"/>
      <c r="BA47" s="11" t="str">
        <f>IFERROR(__xludf.DUMMYFUNCTION("""COMPUTED_VALUE"""),"Yefferson López ")</f>
        <v>Yefferson López </v>
      </c>
      <c r="BB47" s="11" t="str">
        <f>IFERROR(__xludf.DUMMYFUNCTION("""COMPUTED_VALUE"""),"Universidad de Antioquia")</f>
        <v>Universidad de Antioquia</v>
      </c>
      <c r="BC47" s="11" t="str">
        <f>IFERROR(__xludf.DUMMYFUNCTION("""COMPUTED_VALUE"""),"GASURE")</f>
        <v>GASURE</v>
      </c>
      <c r="BD47" s="11" t="str">
        <f>IFERROR(__xludf.DUMMYFUNCTION("""COMPUTED_VALUE"""),"Alex M. García ")</f>
        <v>Alex M. García </v>
      </c>
      <c r="BE47" s="11" t="str">
        <f>IFERROR(__xludf.DUMMYFUNCTION("""COMPUTED_VALUE"""),"Universidad de Antioquia")</f>
        <v>Universidad de Antioquia</v>
      </c>
      <c r="BF47" s="11" t="str">
        <f>IFERROR(__xludf.DUMMYFUNCTION("""COMPUTED_VALUE"""),"GASURE")</f>
        <v>GASURE</v>
      </c>
      <c r="BG47" s="11" t="str">
        <f>IFERROR(__xludf.DUMMYFUNCTION("""COMPUTED_VALUE"""),"Andrés A. Amell ")</f>
        <v>Andrés A. Amell </v>
      </c>
      <c r="BH47" s="11" t="str">
        <f>IFERROR(__xludf.DUMMYFUNCTION("""COMPUTED_VALUE"""),"Universidad de Antioquia")</f>
        <v>Universidad de Antioquia</v>
      </c>
      <c r="BI47" s="11" t="str">
        <f>IFERROR(__xludf.DUMMYFUNCTION("""COMPUTED_VALUE"""),"GASURE")</f>
        <v>GASURE</v>
      </c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 t="str">
        <f>IFERROR(__xludf.DUMMYFUNCTION("""COMPUTED_VALUE"""),"Journal of Thermal Science and Engineering Applications (eISSN: 1948-5093)")</f>
        <v>Journal of Thermal Science and Engineering Applications (eISSN: 1948-5093)</v>
      </c>
      <c r="CR47" s="11">
        <f>IFERROR(__xludf.DUMMYFUNCTION("""COMPUTED_VALUE"""),1.1)</f>
        <v>1.1</v>
      </c>
    </row>
    <row r="48">
      <c r="A48" s="11" t="str">
        <f>IFERROR(__xludf.DUMMYFUNCTION("""COMPUTED_VALUE"""),"Proy13")</f>
        <v>Proy13</v>
      </c>
      <c r="B48" s="11" t="str">
        <f>IFERROR(__xludf.DUMMYFUNCTION("""COMPUTED_VALUE"""),"Nuevo_Conocimiento")</f>
        <v>Nuevo_Conocimiento</v>
      </c>
      <c r="C48" s="11" t="str">
        <f>IFERROR(__xludf.DUMMYFUNCTION("""COMPUTED_VALUE"""),"Capítulo de libro A1")</f>
        <v>Capítulo de libro A1</v>
      </c>
      <c r="D48" s="11" t="str">
        <f>IFERROR(__xludf.DUMMYFUNCTION("""COMPUTED_VALUE"""),"Artículo A1")</f>
        <v>Artículo A1</v>
      </c>
      <c r="E48" s="11" t="str">
        <f>IFERROR(__xludf.DUMMYFUNCTION("""COMPUTED_VALUE"""),"Artículo A2")</f>
        <v>Artículo A2</v>
      </c>
      <c r="F48" s="11" t="str">
        <f>IFERROR(__xludf.DUMMYFUNCTION("""COMPUTED_VALUE"""),"Artículo B")</f>
        <v>Artículo B</v>
      </c>
      <c r="G48" s="11" t="str">
        <f>IFERROR(__xludf.DUMMYFUNCTION("""COMPUTED_VALUE"""),"Artículo C")</f>
        <v>Artículo C</v>
      </c>
      <c r="H48" s="11" t="str">
        <f>IFERROR(__xludf.DUMMYFUNCTION("""COMPUTED_VALUE"""),"Capítulo de libro A")</f>
        <v>Capítulo de libro A</v>
      </c>
      <c r="I48" s="11" t="str">
        <f>IFERROR(__xludf.DUMMYFUNCTION("""COMPUTED_VALUE"""),"Capítulo de libro A1")</f>
        <v>Capítulo de libro A1</v>
      </c>
      <c r="J48" s="11" t="str">
        <f>IFERROR(__xludf.DUMMYFUNCTION("""COMPUTED_VALUE"""),"Capítulo de libro B")</f>
        <v>Capítulo de libro B</v>
      </c>
      <c r="K48" s="11" t="str">
        <f>IFERROR(__xludf.DUMMYFUNCTION("""COMPUTED_VALUE"""),"Libro A")</f>
        <v>Libro A</v>
      </c>
      <c r="L48" s="11" t="str">
        <f>IFERROR(__xludf.DUMMYFUNCTION("""COMPUTED_VALUE"""),"Libro A1")</f>
        <v>Libro A1</v>
      </c>
      <c r="M48" s="11" t="str">
        <f>IFERROR(__xludf.DUMMYFUNCTION("""COMPUTED_VALUE"""),"Libro B")</f>
        <v>Libro B</v>
      </c>
      <c r="N48" s="11" t="str">
        <f>IFERROR(__xludf.DUMMYFUNCTION("""COMPUTED_VALUE"""),"Solicitud Patente de invención y-o modelo de utitlidad")</f>
        <v>Solicitud Patente de invención y-o modelo de utitlidad</v>
      </c>
      <c r="O48" s="11" t="str">
        <f>IFERROR(__xludf.DUMMYFUNCTION("""COMPUTED_VALUE"""),"Patente de invención")</f>
        <v>Patente de invención</v>
      </c>
      <c r="P48" s="11" t="str">
        <f>IFERROR(__xludf.DUMMYFUNCTION("""COMPUTED_VALUE"""),"Patente de modelo de utilidad")</f>
        <v>Patente de modelo de utilidad</v>
      </c>
      <c r="Q48" s="11" t="str">
        <f>IFERROR(__xludf.DUMMYFUNCTION("""COMPUTED_VALUE"""),"Artículo sin clasificar")</f>
        <v>Artículo sin clasificar</v>
      </c>
      <c r="R48" s="11" t="str">
        <f>IFERROR(__xludf.DUMMYFUNCTION("""COMPUTED_VALUE"""),"Capítulo sin clasificar")</f>
        <v>Capítulo sin clasificar</v>
      </c>
      <c r="S48" s="11"/>
      <c r="T48" s="11"/>
      <c r="U48" s="11" t="str">
        <f>IFERROR(__xludf.DUMMYFUNCTION("""COMPUTED_VALUE"""),"Ninguna")</f>
        <v>Ninguna</v>
      </c>
      <c r="V48" s="11"/>
      <c r="W48" s="11" t="str">
        <f>IFERROR(__xludf.DUMMYFUNCTION("""COMPUTED_VALUE"""),"Proyecto")</f>
        <v>Proyecto</v>
      </c>
      <c r="X48" s="11" t="str">
        <f>IFERROR(__xludf.DUMMYFUNCTION("""COMPUTED_VALUE"""),"UdeA")</f>
        <v>UdeA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 t="str">
        <f>IFERROR(__xludf.DUMMYFUNCTION("""COMPUTED_VALUE"""),"Ninguna")</f>
        <v>Ninguna</v>
      </c>
      <c r="AL48" s="11"/>
      <c r="AM48" s="11" t="str">
        <f>IFERROR(__xludf.DUMMYFUNCTION("""COMPUTED_VALUE"""),"Adicional")</f>
        <v>Adicional</v>
      </c>
      <c r="AN48" s="11">
        <f>IFERROR(__xludf.DUMMYFUNCTION("""COMPUTED_VALUE"""),3.0)</f>
        <v>3</v>
      </c>
      <c r="AO48" s="11">
        <f>IFERROR(__xludf.DUMMYFUNCTION("""COMPUTED_VALUE"""),3.0)</f>
        <v>3</v>
      </c>
      <c r="AP48" s="11">
        <f>IFERROR(__xludf.DUMMYFUNCTION("""COMPUTED_VALUE"""),1.0)</f>
        <v>1</v>
      </c>
      <c r="AQ48" s="11">
        <f>IFERROR(__xludf.DUMMYFUNCTION("""COMPUTED_VALUE"""),1.0)</f>
        <v>1</v>
      </c>
      <c r="AR48" s="11">
        <f>IFERROR(__xludf.DUMMYFUNCTION("""COMPUTED_VALUE"""),1.0)</f>
        <v>1</v>
      </c>
      <c r="AS48" s="11">
        <f>IFERROR(__xludf.DUMMYFUNCTION("""COMPUTED_VALUE"""),1.0)</f>
        <v>1</v>
      </c>
      <c r="AT48" s="11" t="str">
        <f>IFERROR(__xludf.DUMMYFUNCTION("""COMPUTED_VALUE"""),"DOI: 10.5772/intechopen.88830")</f>
        <v>DOI: 10.5772/intechopen.88830</v>
      </c>
      <c r="AU48" s="15" t="str">
        <f>IFERROR(__xludf.DUMMYFUNCTION("""COMPUTED_VALUE"""),"https://drive.google.com/file/d/1B4UAbdaZ5Ju85YOIFz17ukkxR_0P6P9b/view?usp=sharing")</f>
        <v>https://drive.google.com/file/d/1B4UAbdaZ5Ju85YOIFz17ukkxR_0P6P9b/view?usp=sharing</v>
      </c>
      <c r="AV48" s="11"/>
      <c r="AW48" s="11"/>
      <c r="AX48" s="11">
        <f>IFERROR(__xludf.DUMMYFUNCTION("""COMPUTED_VALUE"""),4.0)</f>
        <v>4</v>
      </c>
      <c r="AY48" s="11" t="str">
        <f>IFERROR(__xludf.DUMMYFUNCTION("""COMPUTED_VALUE"""),"Methodology for Sizing Hybrid
Battery-Backed Power Generation
Systems in Off-Grid Areas")</f>
        <v>Methodology for Sizing Hybrid
Battery-Backed Power Generation
Systems in Off-Grid Areas</v>
      </c>
      <c r="AZ48" s="11"/>
      <c r="BA48" s="11" t="str">
        <f>IFERROR(__xludf.DUMMYFUNCTION("""COMPUTED_VALUE"""),"Oswaldo A. Arraez Cancelliere")</f>
        <v>Oswaldo A. Arraez Cancelliere</v>
      </c>
      <c r="BB48" s="11" t="str">
        <f>IFERROR(__xludf.DUMMYFUNCTION("""COMPUTED_VALUE"""),"Universidad de Antioquia")</f>
        <v>Universidad de Antioquia</v>
      </c>
      <c r="BC48" s="11" t="str">
        <f>IFERROR(__xludf.DUMMYFUNCTION("""COMPUTED_VALUE"""),"GIMEL")</f>
        <v>GIMEL</v>
      </c>
      <c r="BD48" s="11" t="str">
        <f>IFERROR(__xludf.DUMMYFUNCTION("""COMPUTED_VALUE"""),"Nicolás Muñoz Galeano")</f>
        <v>Nicolás Muñoz Galeano</v>
      </c>
      <c r="BE48" s="11" t="str">
        <f>IFERROR(__xludf.DUMMYFUNCTION("""COMPUTED_VALUE"""),"Universidad de Antioquia")</f>
        <v>Universidad de Antioquia</v>
      </c>
      <c r="BF48" s="11" t="str">
        <f>IFERROR(__xludf.DUMMYFUNCTION("""COMPUTED_VALUE"""),"GIMEL")</f>
        <v>GIMEL</v>
      </c>
      <c r="BG48" s="11" t="str">
        <f>IFERROR(__xludf.DUMMYFUNCTION("""COMPUTED_VALUE"""),"Jesús M. López Lezama")</f>
        <v>Jesús M. López Lezama</v>
      </c>
      <c r="BH48" s="11" t="str">
        <f>IFERROR(__xludf.DUMMYFUNCTION("""COMPUTED_VALUE"""),"Universidad de Antioquia")</f>
        <v>Universidad de Antioquia</v>
      </c>
      <c r="BI48" s="11" t="str">
        <f>IFERROR(__xludf.DUMMYFUNCTION("""COMPUTED_VALUE"""),"GIMEL")</f>
        <v>GIMEL</v>
      </c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</row>
    <row r="49">
      <c r="A49" s="11" t="str">
        <f>IFERROR(__xludf.DUMMYFUNCTION("""COMPUTED_VALUE"""),"Proy14")</f>
        <v>Proy14</v>
      </c>
      <c r="B49" s="11" t="str">
        <f>IFERROR(__xludf.DUMMYFUNCTION("""COMPUTED_VALUE"""),"Nuevo_Conocimiento")</f>
        <v>Nuevo_Conocimiento</v>
      </c>
      <c r="C49" s="11" t="str">
        <f>IFERROR(__xludf.DUMMYFUNCTION("""COMPUTED_VALUE"""),"Artículo A2")</f>
        <v>Artículo A2</v>
      </c>
      <c r="D49" s="11" t="str">
        <f>IFERROR(__xludf.DUMMYFUNCTION("""COMPUTED_VALUE"""),"Artículo A1")</f>
        <v>Artículo A1</v>
      </c>
      <c r="E49" s="11" t="str">
        <f>IFERROR(__xludf.DUMMYFUNCTION("""COMPUTED_VALUE"""),"Artículo A2")</f>
        <v>Artículo A2</v>
      </c>
      <c r="F49" s="11" t="str">
        <f>IFERROR(__xludf.DUMMYFUNCTION("""COMPUTED_VALUE"""),"Artículo B")</f>
        <v>Artículo B</v>
      </c>
      <c r="G49" s="11" t="str">
        <f>IFERROR(__xludf.DUMMYFUNCTION("""COMPUTED_VALUE"""),"Artículo C")</f>
        <v>Artículo C</v>
      </c>
      <c r="H49" s="11" t="str">
        <f>IFERROR(__xludf.DUMMYFUNCTION("""COMPUTED_VALUE"""),"Capítulo de libro A")</f>
        <v>Capítulo de libro A</v>
      </c>
      <c r="I49" s="11" t="str">
        <f>IFERROR(__xludf.DUMMYFUNCTION("""COMPUTED_VALUE"""),"Capítulo de libro A1")</f>
        <v>Capítulo de libro A1</v>
      </c>
      <c r="J49" s="11" t="str">
        <f>IFERROR(__xludf.DUMMYFUNCTION("""COMPUTED_VALUE"""),"Capítulo de libro B")</f>
        <v>Capítulo de libro B</v>
      </c>
      <c r="K49" s="11" t="str">
        <f>IFERROR(__xludf.DUMMYFUNCTION("""COMPUTED_VALUE"""),"Libro A")</f>
        <v>Libro A</v>
      </c>
      <c r="L49" s="11" t="str">
        <f>IFERROR(__xludf.DUMMYFUNCTION("""COMPUTED_VALUE"""),"Libro A1")</f>
        <v>Libro A1</v>
      </c>
      <c r="M49" s="11" t="str">
        <f>IFERROR(__xludf.DUMMYFUNCTION("""COMPUTED_VALUE"""),"Libro B")</f>
        <v>Libro B</v>
      </c>
      <c r="N49" s="11" t="str">
        <f>IFERROR(__xludf.DUMMYFUNCTION("""COMPUTED_VALUE"""),"Solicitud Patente de invención y-o modelo de utitlidad")</f>
        <v>Solicitud Patente de invención y-o modelo de utitlidad</v>
      </c>
      <c r="O49" s="11" t="str">
        <f>IFERROR(__xludf.DUMMYFUNCTION("""COMPUTED_VALUE"""),"Patente de invención")</f>
        <v>Patente de invención</v>
      </c>
      <c r="P49" s="11" t="str">
        <f>IFERROR(__xludf.DUMMYFUNCTION("""COMPUTED_VALUE"""),"Patente de modelo de utilidad")</f>
        <v>Patente de modelo de utilidad</v>
      </c>
      <c r="Q49" s="11" t="str">
        <f>IFERROR(__xludf.DUMMYFUNCTION("""COMPUTED_VALUE"""),"Artículo sin clasificar")</f>
        <v>Artículo sin clasificar</v>
      </c>
      <c r="R49" s="11" t="str">
        <f>IFERROR(__xludf.DUMMYFUNCTION("""COMPUTED_VALUE"""),"Capítulo sin clasificar")</f>
        <v>Capítulo sin clasificar</v>
      </c>
      <c r="S49" s="11"/>
      <c r="T49" s="11"/>
      <c r="U49" s="11" t="str">
        <f>IFERROR(__xludf.DUMMYFUNCTION("""COMPUTED_VALUE"""),"Ninguna")</f>
        <v>Ninguna</v>
      </c>
      <c r="V49" s="11"/>
      <c r="W49" s="11" t="str">
        <f>IFERROR(__xludf.DUMMYFUNCTION("""COMPUTED_VALUE"""),"Proyecto")</f>
        <v>Proyecto</v>
      </c>
      <c r="X49" s="11" t="str">
        <f>IFERROR(__xludf.DUMMYFUNCTION("""COMPUTED_VALUE"""),"UniValle")</f>
        <v>UniValle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 t="str">
        <f>IFERROR(__xludf.DUMMYFUNCTION("""COMPUTED_VALUE"""),"Ninguna")</f>
        <v>Ninguna</v>
      </c>
      <c r="AL49" s="11"/>
      <c r="AM49" s="11" t="str">
        <f>IFERROR(__xludf.DUMMYFUNCTION("""COMPUTED_VALUE"""),"Obligatorio")</f>
        <v>Obligatorio</v>
      </c>
      <c r="AN49" s="11">
        <f>IFERROR(__xludf.DUMMYFUNCTION("""COMPUTED_VALUE"""),4.0)</f>
        <v>4</v>
      </c>
      <c r="AO49" s="11">
        <f>IFERROR(__xludf.DUMMYFUNCTION("""COMPUTED_VALUE"""),4.0)</f>
        <v>4</v>
      </c>
      <c r="AP49" s="11">
        <f>IFERROR(__xludf.DUMMYFUNCTION("""COMPUTED_VALUE"""),1.0)</f>
        <v>1</v>
      </c>
      <c r="AQ49" s="11">
        <f>IFERROR(__xludf.DUMMYFUNCTION("""COMPUTED_VALUE"""),1.0)</f>
        <v>1</v>
      </c>
      <c r="AR49" s="11">
        <f>IFERROR(__xludf.DUMMYFUNCTION("""COMPUTED_VALUE"""),1.0)</f>
        <v>1</v>
      </c>
      <c r="AS49" s="11">
        <f>IFERROR(__xludf.DUMMYFUNCTION("""COMPUTED_VALUE"""),1.0)</f>
        <v>1</v>
      </c>
      <c r="AT49" s="15" t="str">
        <f>IFERROR(__xludf.DUMMYFUNCTION("""COMPUTED_VALUE"""),"https://doi.org/10.32479/ijeep.9343")</f>
        <v>https://doi.org/10.32479/ijeep.9343</v>
      </c>
      <c r="AU49" s="15" t="str">
        <f>IFERROR(__xludf.DUMMYFUNCTION("""COMPUTED_VALUE"""),"https://drive.google.com/file/d/1f4FtAIMm0lQ3iSvbmvpQjLHkVSsQzuHd/view?usp=sharing")</f>
        <v>https://drive.google.com/file/d/1f4FtAIMm0lQ3iSvbmvpQjLHkVSsQzuHd/view?usp=sharing</v>
      </c>
      <c r="AV49" s="11"/>
      <c r="AW49" s="11"/>
      <c r="AX49" s="11">
        <f>IFERROR(__xludf.DUMMYFUNCTION("""COMPUTED_VALUE"""),4.0)</f>
        <v>4</v>
      </c>
      <c r="AY49" s="11" t="str">
        <f>IFERROR(__xludf.DUMMYFUNCTION("""COMPUTED_VALUE"""),"A Bi-level Multi-objective Optimization Model for the Planning, Design and Operation of Smart Grid Projects. Case Study: An Islanded Microgrid")</f>
        <v>A Bi-level Multi-objective Optimization Model for the Planning, Design and Operation of Smart Grid Projects. Case Study: An Islanded Microgrid</v>
      </c>
      <c r="AZ49" s="11"/>
      <c r="BA49" s="11" t="str">
        <f>IFERROR(__xludf.DUMMYFUNCTION("""COMPUTED_VALUE"""),"Ricardo Echeverri Martinez")</f>
        <v>Ricardo Echeverri Martinez</v>
      </c>
      <c r="BB49" s="11" t="str">
        <f>IFERROR(__xludf.DUMMYFUNCTION("""COMPUTED_VALUE"""),"Universidad del Valle")</f>
        <v>Universidad del Valle</v>
      </c>
      <c r="BC49" s="11" t="str">
        <f>IFERROR(__xludf.DUMMYFUNCTION("""COMPUTED_VALUE"""),"Escuela de Ingeniería Eléctrica y Electrónica")</f>
        <v>Escuela de Ingeniería Eléctrica y Electrónica</v>
      </c>
      <c r="BD49" s="11" t="str">
        <f>IFERROR(__xludf.DUMMYFUNCTION("""COMPUTED_VALUE"""),"Eduardo Caicedo Bravo")</f>
        <v>Eduardo Caicedo Bravo</v>
      </c>
      <c r="BE49" s="11" t="str">
        <f>IFERROR(__xludf.DUMMYFUNCTION("""COMPUTED_VALUE"""),"Universidad del Valle")</f>
        <v>Universidad del Valle</v>
      </c>
      <c r="BF49" s="11" t="str">
        <f>IFERROR(__xludf.DUMMYFUNCTION("""COMPUTED_VALUE"""),"Escuela de Ingeniería Eléctrica y Electrónica")</f>
        <v>Escuela de Ingeniería Eléctrica y Electrónica</v>
      </c>
      <c r="BG49" s="11" t="str">
        <f>IFERROR(__xludf.DUMMYFUNCTION("""COMPUTED_VALUE"""),"Wilfredo Alfonso Morales")</f>
        <v>Wilfredo Alfonso Morales</v>
      </c>
      <c r="BH49" s="11" t="str">
        <f>IFERROR(__xludf.DUMMYFUNCTION("""COMPUTED_VALUE"""),"Universidad del Valle")</f>
        <v>Universidad del Valle</v>
      </c>
      <c r="BI49" s="11" t="str">
        <f>IFERROR(__xludf.DUMMYFUNCTION("""COMPUTED_VALUE"""),"Escuela de Ingeniería Eléctrica y Electrónica")</f>
        <v>Escuela de Ingeniería Eléctrica y Electrónica</v>
      </c>
      <c r="BJ49" s="11" t="str">
        <f>IFERROR(__xludf.DUMMYFUNCTION("""COMPUTED_VALUE"""),"Juan David García Racines")</f>
        <v>Juan David García Racines</v>
      </c>
      <c r="BK49" s="11" t="str">
        <f>IFERROR(__xludf.DUMMYFUNCTION("""COMPUTED_VALUE"""),"Universidad del Valle")</f>
        <v>Universidad del Valle</v>
      </c>
      <c r="BL49" s="11" t="str">
        <f>IFERROR(__xludf.DUMMYFUNCTION("""COMPUTED_VALUE"""),"Escuela de Ingeniería Eléctrica y Electrónica")</f>
        <v>Escuela de Ingeniería Eléctrica y Electrónica</v>
      </c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 t="str">
        <f>IFERROR(__xludf.DUMMYFUNCTION("""COMPUTED_VALUE"""),"International Journal of Energy Economics and Policy (ISSN: 2146-4553)")</f>
        <v>International Journal of Energy Economics and Policy (ISSN: 2146-4553)</v>
      </c>
      <c r="CR49" s="11"/>
    </row>
    <row r="50">
      <c r="A50" s="11" t="str">
        <f>IFERROR(__xludf.DUMMYFUNCTION("""COMPUTED_VALUE"""),"Proy14")</f>
        <v>Proy14</v>
      </c>
      <c r="B50" s="11" t="str">
        <f>IFERROR(__xludf.DUMMYFUNCTION("""COMPUTED_VALUE"""),"Nuevo_Conocimiento")</f>
        <v>Nuevo_Conocimiento</v>
      </c>
      <c r="C50" s="11" t="str">
        <f>IFERROR(__xludf.DUMMYFUNCTION("""COMPUTED_VALUE"""),"Artículo A2")</f>
        <v>Artículo A2</v>
      </c>
      <c r="D50" s="11" t="str">
        <f>IFERROR(__xludf.DUMMYFUNCTION("""COMPUTED_VALUE"""),"Artículo A1")</f>
        <v>Artículo A1</v>
      </c>
      <c r="E50" s="11" t="str">
        <f>IFERROR(__xludf.DUMMYFUNCTION("""COMPUTED_VALUE"""),"Artículo A2")</f>
        <v>Artículo A2</v>
      </c>
      <c r="F50" s="11" t="str">
        <f>IFERROR(__xludf.DUMMYFUNCTION("""COMPUTED_VALUE"""),"Artículo B")</f>
        <v>Artículo B</v>
      </c>
      <c r="G50" s="11" t="str">
        <f>IFERROR(__xludf.DUMMYFUNCTION("""COMPUTED_VALUE"""),"Artículo C")</f>
        <v>Artículo C</v>
      </c>
      <c r="H50" s="11" t="str">
        <f>IFERROR(__xludf.DUMMYFUNCTION("""COMPUTED_VALUE"""),"Capítulo de libro A")</f>
        <v>Capítulo de libro A</v>
      </c>
      <c r="I50" s="11" t="str">
        <f>IFERROR(__xludf.DUMMYFUNCTION("""COMPUTED_VALUE"""),"Capítulo de libro A1")</f>
        <v>Capítulo de libro A1</v>
      </c>
      <c r="J50" s="11" t="str">
        <f>IFERROR(__xludf.DUMMYFUNCTION("""COMPUTED_VALUE"""),"Capítulo de libro B")</f>
        <v>Capítulo de libro B</v>
      </c>
      <c r="K50" s="11" t="str">
        <f>IFERROR(__xludf.DUMMYFUNCTION("""COMPUTED_VALUE"""),"Libro A")</f>
        <v>Libro A</v>
      </c>
      <c r="L50" s="11" t="str">
        <f>IFERROR(__xludf.DUMMYFUNCTION("""COMPUTED_VALUE"""),"Libro A1")</f>
        <v>Libro A1</v>
      </c>
      <c r="M50" s="11" t="str">
        <f>IFERROR(__xludf.DUMMYFUNCTION("""COMPUTED_VALUE"""),"Libro B")</f>
        <v>Libro B</v>
      </c>
      <c r="N50" s="11" t="str">
        <f>IFERROR(__xludf.DUMMYFUNCTION("""COMPUTED_VALUE"""),"Solicitud Patente de invención y-o modelo de utitlidad")</f>
        <v>Solicitud Patente de invención y-o modelo de utitlidad</v>
      </c>
      <c r="O50" s="11" t="str">
        <f>IFERROR(__xludf.DUMMYFUNCTION("""COMPUTED_VALUE"""),"Patente de invención")</f>
        <v>Patente de invención</v>
      </c>
      <c r="P50" s="11" t="str">
        <f>IFERROR(__xludf.DUMMYFUNCTION("""COMPUTED_VALUE"""),"Patente de modelo de utilidad")</f>
        <v>Patente de modelo de utilidad</v>
      </c>
      <c r="Q50" s="11" t="str">
        <f>IFERROR(__xludf.DUMMYFUNCTION("""COMPUTED_VALUE"""),"Artículo sin clasificar")</f>
        <v>Artículo sin clasificar</v>
      </c>
      <c r="R50" s="11" t="str">
        <f>IFERROR(__xludf.DUMMYFUNCTION("""COMPUTED_VALUE"""),"Capítulo sin clasificar")</f>
        <v>Capítulo sin clasificar</v>
      </c>
      <c r="S50" s="11"/>
      <c r="T50" s="11"/>
      <c r="U50" s="11" t="str">
        <f>IFERROR(__xludf.DUMMYFUNCTION("""COMPUTED_VALUE"""),"Otros actores")</f>
        <v>Otros actores</v>
      </c>
      <c r="V50" s="11" t="str">
        <f>IFERROR(__xludf.DUMMYFUNCTION("""COMPUTED_VALUE"""),"Instituto Nacional de Electricidad y Energías Limpias - Cuermavaca, México
Universidad de Morelos")</f>
        <v>Instituto Nacional de Electricidad y Energías Limpias - Cuermavaca, México
Universidad de Morelos</v>
      </c>
      <c r="W50" s="11" t="str">
        <f>IFERROR(__xludf.DUMMYFUNCTION("""COMPUTED_VALUE"""),"Proyecto")</f>
        <v>Proyecto</v>
      </c>
      <c r="X50" s="11" t="str">
        <f>IFERROR(__xludf.DUMMYFUNCTION("""COMPUTED_VALUE"""),"UniValle")</f>
        <v>UniValle</v>
      </c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 t="str">
        <f>IFERROR(__xludf.DUMMYFUNCTION("""COMPUTED_VALUE"""),"Ninguna")</f>
        <v>Ninguna</v>
      </c>
      <c r="AL50" s="11"/>
      <c r="AM50" s="11" t="str">
        <f>IFERROR(__xludf.DUMMYFUNCTION("""COMPUTED_VALUE"""),"Obligatorio")</f>
        <v>Obligatorio</v>
      </c>
      <c r="AN50" s="11">
        <f>IFERROR(__xludf.DUMMYFUNCTION("""COMPUTED_VALUE"""),6.0)</f>
        <v>6</v>
      </c>
      <c r="AO50" s="11">
        <f>IFERROR(__xludf.DUMMYFUNCTION("""COMPUTED_VALUE"""),2.0)</f>
        <v>2</v>
      </c>
      <c r="AP50" s="11">
        <f>IFERROR(__xludf.DUMMYFUNCTION("""COMPUTED_VALUE"""),3.0)</f>
        <v>3</v>
      </c>
      <c r="AQ50" s="11">
        <f>IFERROR(__xludf.DUMMYFUNCTION("""COMPUTED_VALUE"""),1.0)</f>
        <v>1</v>
      </c>
      <c r="AR50" s="11">
        <f>IFERROR(__xludf.DUMMYFUNCTION("""COMPUTED_VALUE"""),3.0)</f>
        <v>3</v>
      </c>
      <c r="AS50" s="11">
        <f>IFERROR(__xludf.DUMMYFUNCTION("""COMPUTED_VALUE"""),1.0)</f>
        <v>1</v>
      </c>
      <c r="AT50" s="11" t="str">
        <f>IFERROR(__xludf.DUMMYFUNCTION("""COMPUTED_VALUE"""),"OPTIMAL PLANNING, DESIGN AND OPERATION OF A 
REGIONAL ENERGY MIX USING RENEWABLE 
GENERATION. 
STUDY CASE: YUCATAN PENINSULA")</f>
        <v>OPTIMAL PLANNING, DESIGN AND OPERATION OF A 
REGIONAL ENERGY MIX USING RENEWABLE 
GENERATION. 
STUDY CASE: YUCATAN PENINSULA</v>
      </c>
      <c r="AU50" s="15" t="str">
        <f>IFERROR(__xludf.DUMMYFUNCTION("""COMPUTED_VALUE"""),"https://drive.google.com/file/d/1t75IBdxAeC534qhqOMSPSgeOzvuBiJKI/view?usp=sharing")</f>
        <v>https://drive.google.com/file/d/1t75IBdxAeC534qhqOMSPSgeOzvuBiJKI/view?usp=sharing</v>
      </c>
      <c r="AV50" s="11"/>
      <c r="AW50" s="11"/>
      <c r="AX50" s="11">
        <f>IFERROR(__xludf.DUMMYFUNCTION("""COMPUTED_VALUE"""),4.0)</f>
        <v>4</v>
      </c>
      <c r="AY50" s="11" t="str">
        <f>IFERROR(__xludf.DUMMYFUNCTION("""COMPUTED_VALUE"""),"OPTIMAL PLANNING, DESIGN AND OPERATION OF A 
REGIONAL ENERGY MIX USING RENEWABLE 
GENERATION. 
STUDY CASE: YUCATAN PENINSULA")</f>
        <v>OPTIMAL PLANNING, DESIGN AND OPERATION OF A 
REGIONAL ENERGY MIX USING RENEWABLE 
GENERATION. 
STUDY CASE: YUCATAN PENINSULA</v>
      </c>
      <c r="AZ50" s="11"/>
      <c r="BA50" s="11" t="str">
        <f>IFERROR(__xludf.DUMMYFUNCTION("""COMPUTED_VALUE"""),"Ricardo Echeverri Martinez")</f>
        <v>Ricardo Echeverri Martinez</v>
      </c>
      <c r="BB50" s="11" t="str">
        <f>IFERROR(__xludf.DUMMYFUNCTION("""COMPUTED_VALUE"""),"Universidad del Valle")</f>
        <v>Universidad del Valle</v>
      </c>
      <c r="BC50" s="11" t="str">
        <f>IFERROR(__xludf.DUMMYFUNCTION("""COMPUTED_VALUE"""),"Escuela de Ingeniería Eléctrica y Electrónica")</f>
        <v>Escuela de Ingeniería Eléctrica y Electrónica</v>
      </c>
      <c r="BD50" s="11" t="str">
        <f>IFERROR(__xludf.DUMMYFUNCTION("""COMPUTED_VALUE"""),"BenjamÌn Eddie Zayas PÈrez")</f>
        <v>BenjamÌn Eddie Zayas PÈrez</v>
      </c>
      <c r="BE50" s="11" t="str">
        <f>IFERROR(__xludf.DUMMYFUNCTION("""COMPUTED_VALUE"""),"Instituto Nacional de Electricidad y Energias Limpias")</f>
        <v>Instituto Nacional de Electricidad y Energias Limpias</v>
      </c>
      <c r="BF50" s="11"/>
      <c r="BG50" s="11" t="str">
        <f>IFERROR(__xludf.DUMMYFUNCTION("""COMPUTED_VALUE"""),"Alfredo Espinosa Reza")</f>
        <v>Alfredo Espinosa Reza</v>
      </c>
      <c r="BH50" s="11" t="str">
        <f>IFERROR(__xludf.DUMMYFUNCTION("""COMPUTED_VALUE"""),"Instituto Nacional de Electricidad y Energias Limpias")</f>
        <v>Instituto Nacional de Electricidad y Energias Limpias</v>
      </c>
      <c r="BI50" s="11"/>
      <c r="BJ50" s="11" t="str">
        <f>IFERROR(__xludf.DUMMYFUNCTION("""COMPUTED_VALUE"""),"Antonio Rodriguez")</f>
        <v>Antonio Rodriguez</v>
      </c>
      <c r="BK50" s="11" t="str">
        <f>IFERROR(__xludf.DUMMYFUNCTION("""COMPUTED_VALUE"""),"Universidad Autónoma del Estado de Morelos")</f>
        <v>Universidad Autónoma del Estado de Morelos</v>
      </c>
      <c r="BL50" s="11"/>
      <c r="BM50" s="11" t="str">
        <f>IFERROR(__xludf.DUMMYFUNCTION("""COMPUTED_VALUE"""),"Eduardo Caicedo Bravo")</f>
        <v>Eduardo Caicedo Bravo</v>
      </c>
      <c r="BN50" s="11" t="str">
        <f>IFERROR(__xludf.DUMMYFUNCTION("""COMPUTED_VALUE"""),"Universidad del Valle")</f>
        <v>Universidad del Valle</v>
      </c>
      <c r="BO50" s="11" t="str">
        <f>IFERROR(__xludf.DUMMYFUNCTION("""COMPUTED_VALUE"""),"Escuela de Ingeniería Eléctrica y Electrónica")</f>
        <v>Escuela de Ingeniería Eléctrica y Electrónica</v>
      </c>
      <c r="BP50" s="11" t="str">
        <f>IFERROR(__xludf.DUMMYFUNCTION("""COMPUTED_VALUE"""),"Wilfredo Alfonso Morales")</f>
        <v>Wilfredo Alfonso Morales</v>
      </c>
      <c r="BQ50" s="11" t="str">
        <f>IFERROR(__xludf.DUMMYFUNCTION("""COMPUTED_VALUE"""),"Universidad del Valle")</f>
        <v>Universidad del Valle</v>
      </c>
      <c r="BR50" s="11" t="str">
        <f>IFERROR(__xludf.DUMMYFUNCTION("""COMPUTED_VALUE"""),"Escuela de Ingeniería Eléctrica y Electrónica")</f>
        <v>Escuela de Ingeniería Eléctrica y Electrónica</v>
      </c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 t="str">
        <f>IFERROR(__xludf.DUMMYFUNCTION("""COMPUTED_VALUE"""),"International Journal of Sustainable Energy (ISSN: 1478-646X)")</f>
        <v>International Journal of Sustainable Energy (ISSN: 1478-646X)</v>
      </c>
      <c r="CR50" s="11"/>
    </row>
    <row r="51">
      <c r="A51" s="11" t="str">
        <f>IFERROR(__xludf.DUMMYFUNCTION("""COMPUTED_VALUE"""),"Proy10")</f>
        <v>Proy10</v>
      </c>
      <c r="B51" s="11" t="str">
        <f>IFERROR(__xludf.DUMMYFUNCTION("""COMPUTED_VALUE"""),"Nuevo_Conocimiento")</f>
        <v>Nuevo_Conocimiento</v>
      </c>
      <c r="C51" s="11" t="str">
        <f>IFERROR(__xludf.DUMMYFUNCTION("""COMPUTED_VALUE"""),"Artículo A1")</f>
        <v>Artículo A1</v>
      </c>
      <c r="D51" s="11" t="str">
        <f>IFERROR(__xludf.DUMMYFUNCTION("""COMPUTED_VALUE"""),"Artículo A1")</f>
        <v>Artículo A1</v>
      </c>
      <c r="E51" s="11" t="str">
        <f>IFERROR(__xludf.DUMMYFUNCTION("""COMPUTED_VALUE"""),"Artículo A2")</f>
        <v>Artículo A2</v>
      </c>
      <c r="F51" s="11" t="str">
        <f>IFERROR(__xludf.DUMMYFUNCTION("""COMPUTED_VALUE"""),"Artículo B")</f>
        <v>Artículo B</v>
      </c>
      <c r="G51" s="11" t="str">
        <f>IFERROR(__xludf.DUMMYFUNCTION("""COMPUTED_VALUE"""),"Artículo C")</f>
        <v>Artículo C</v>
      </c>
      <c r="H51" s="11" t="str">
        <f>IFERROR(__xludf.DUMMYFUNCTION("""COMPUTED_VALUE"""),"Capítulo de libro A")</f>
        <v>Capítulo de libro A</v>
      </c>
      <c r="I51" s="11" t="str">
        <f>IFERROR(__xludf.DUMMYFUNCTION("""COMPUTED_VALUE"""),"Capítulo de libro A1")</f>
        <v>Capítulo de libro A1</v>
      </c>
      <c r="J51" s="11" t="str">
        <f>IFERROR(__xludf.DUMMYFUNCTION("""COMPUTED_VALUE"""),"Capítulo de libro B")</f>
        <v>Capítulo de libro B</v>
      </c>
      <c r="K51" s="11" t="str">
        <f>IFERROR(__xludf.DUMMYFUNCTION("""COMPUTED_VALUE"""),"Libro A")</f>
        <v>Libro A</v>
      </c>
      <c r="L51" s="11" t="str">
        <f>IFERROR(__xludf.DUMMYFUNCTION("""COMPUTED_VALUE"""),"Libro A1")</f>
        <v>Libro A1</v>
      </c>
      <c r="M51" s="11" t="str">
        <f>IFERROR(__xludf.DUMMYFUNCTION("""COMPUTED_VALUE"""),"Libro B")</f>
        <v>Libro B</v>
      </c>
      <c r="N51" s="11" t="str">
        <f>IFERROR(__xludf.DUMMYFUNCTION("""COMPUTED_VALUE"""),"Solicitud Patente de invención y-o modelo de utitlidad")</f>
        <v>Solicitud Patente de invención y-o modelo de utitlidad</v>
      </c>
      <c r="O51" s="11" t="str">
        <f>IFERROR(__xludf.DUMMYFUNCTION("""COMPUTED_VALUE"""),"Patente de invención")</f>
        <v>Patente de invención</v>
      </c>
      <c r="P51" s="11" t="str">
        <f>IFERROR(__xludf.DUMMYFUNCTION("""COMPUTED_VALUE"""),"Patente de modelo de utilidad")</f>
        <v>Patente de modelo de utilidad</v>
      </c>
      <c r="Q51" s="11" t="str">
        <f>IFERROR(__xludf.DUMMYFUNCTION("""COMPUTED_VALUE"""),"Artículo sin clasificar")</f>
        <v>Artículo sin clasificar</v>
      </c>
      <c r="R51" s="11" t="str">
        <f>IFERROR(__xludf.DUMMYFUNCTION("""COMPUTED_VALUE"""),"Capítulo sin clasificar")</f>
        <v>Capítulo sin clasificar</v>
      </c>
      <c r="S51" s="11"/>
      <c r="T51" s="11"/>
      <c r="U51" s="11" t="str">
        <f>IFERROR(__xludf.DUMMYFUNCTION("""COMPUTED_VALUE"""),"Ninguna")</f>
        <v>Ninguna</v>
      </c>
      <c r="V51" s="11"/>
      <c r="W51" s="11" t="str">
        <f>IFERROR(__xludf.DUMMYFUNCTION("""COMPUTED_VALUE"""),"Proyecto")</f>
        <v>Proyecto</v>
      </c>
      <c r="X51" s="11" t="str">
        <f>IFERROR(__xludf.DUMMYFUNCTION("""COMPUTED_VALUE"""),"UdeA")</f>
        <v>UdeA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 t="str">
        <f>IFERROR(__xludf.DUMMYFUNCTION("""COMPUTED_VALUE"""),"Ninguna")</f>
        <v>Ninguna</v>
      </c>
      <c r="AL51" s="11"/>
      <c r="AM51" s="11" t="str">
        <f>IFERROR(__xludf.DUMMYFUNCTION("""COMPUTED_VALUE"""),"Obligatorio")</f>
        <v>Obligatorio</v>
      </c>
      <c r="AN51" s="11">
        <f>IFERROR(__xludf.DUMMYFUNCTION("""COMPUTED_VALUE"""),4.0)</f>
        <v>4</v>
      </c>
      <c r="AO51" s="11">
        <f>IFERROR(__xludf.DUMMYFUNCTION("""COMPUTED_VALUE"""),4.0)</f>
        <v>4</v>
      </c>
      <c r="AP51" s="11">
        <f>IFERROR(__xludf.DUMMYFUNCTION("""COMPUTED_VALUE"""),1.0)</f>
        <v>1</v>
      </c>
      <c r="AQ51" s="11">
        <f>IFERROR(__xludf.DUMMYFUNCTION("""COMPUTED_VALUE"""),1.0)</f>
        <v>1</v>
      </c>
      <c r="AR51" s="11">
        <f>IFERROR(__xludf.DUMMYFUNCTION("""COMPUTED_VALUE"""),1.0)</f>
        <v>1</v>
      </c>
      <c r="AS51" s="11">
        <f>IFERROR(__xludf.DUMMYFUNCTION("""COMPUTED_VALUE"""),1.0)</f>
        <v>1</v>
      </c>
      <c r="AT51" s="15" t="str">
        <f>IFERROR(__xludf.DUMMYFUNCTION("""COMPUTED_VALUE"""),"https://doi.org/10.1115/1.4047571")</f>
        <v>https://doi.org/10.1115/1.4047571</v>
      </c>
      <c r="AU51" s="15" t="str">
        <f>IFERROR(__xludf.DUMMYFUNCTION("""COMPUTED_VALUE"""),"https://drive.google.com/file/d/1XtrsZ9FMaoa13e-i1wTHU3dU7oUHcSf1/view?usp=sharing")</f>
        <v>https://drive.google.com/file/d/1XtrsZ9FMaoa13e-i1wTHU3dU7oUHcSf1/view?usp=sharing</v>
      </c>
      <c r="AV51" s="11"/>
      <c r="AW51" s="11"/>
      <c r="AX51" s="11">
        <f>IFERROR(__xludf.DUMMYFUNCTION("""COMPUTED_VALUE"""),4.0)</f>
        <v>4</v>
      </c>
      <c r="AY51" s="11" t="str">
        <f>IFERROR(__xludf.DUMMYFUNCTION("""COMPUTED_VALUE"""),"Numerical and experimental study of the
effect of injected CO2 flow on the stability of
flameless combustion")</f>
        <v>Numerical and experimental study of the
effect of injected CO2 flow on the stability of
flameless combustion</v>
      </c>
      <c r="AZ51" s="11"/>
      <c r="BA51" s="11" t="str">
        <f>IFERROR(__xludf.DUMMYFUNCTION("""COMPUTED_VALUE"""),"Cristian C. Mejía")</f>
        <v>Cristian C. Mejía</v>
      </c>
      <c r="BB51" s="11" t="str">
        <f>IFERROR(__xludf.DUMMYFUNCTION("""COMPUTED_VALUE"""),"Universidad de Antioquia")</f>
        <v>Universidad de Antioquia</v>
      </c>
      <c r="BC51" s="11" t="str">
        <f>IFERROR(__xludf.DUMMYFUNCTION("""COMPUTED_VALUE"""),"GASURE")</f>
        <v>GASURE</v>
      </c>
      <c r="BD51" s="11" t="str">
        <f>IFERROR(__xludf.DUMMYFUNCTION("""COMPUTED_VALUE"""),"
Alex M. Garcia Vergara")</f>
        <v>
Alex M. Garcia Vergara</v>
      </c>
      <c r="BE51" s="11" t="str">
        <f>IFERROR(__xludf.DUMMYFUNCTION("""COMPUTED_VALUE"""),"Universidad de Antioquia")</f>
        <v>Universidad de Antioquia</v>
      </c>
      <c r="BF51" s="11" t="str">
        <f>IFERROR(__xludf.DUMMYFUNCTION("""COMPUTED_VALUE"""),"GASURE")</f>
        <v>GASURE</v>
      </c>
      <c r="BG51" s="11" t="str">
        <f>IFERROR(__xludf.DUMMYFUNCTION("""COMPUTED_VALUE"""),"Julian Obando ")</f>
        <v>Julian Obando </v>
      </c>
      <c r="BH51" s="11" t="str">
        <f>IFERROR(__xludf.DUMMYFUNCTION("""COMPUTED_VALUE"""),"Universidad de Antioquia")</f>
        <v>Universidad de Antioquia</v>
      </c>
      <c r="BI51" s="11" t="str">
        <f>IFERROR(__xludf.DUMMYFUNCTION("""COMPUTED_VALUE"""),"GASURE")</f>
        <v>GASURE</v>
      </c>
      <c r="BJ51" s="11" t="str">
        <f>IFERROR(__xludf.DUMMYFUNCTION("""COMPUTED_VALUE"""),"Andrés A. Amell")</f>
        <v>Andrés A. Amell</v>
      </c>
      <c r="BK51" s="11" t="str">
        <f>IFERROR(__xludf.DUMMYFUNCTION("""COMPUTED_VALUE"""),"Universidad de Antioquia")</f>
        <v>Universidad de Antioquia</v>
      </c>
      <c r="BL51" s="11" t="str">
        <f>IFERROR(__xludf.DUMMYFUNCTION("""COMPUTED_VALUE"""),"GASURE")</f>
        <v>GASURE</v>
      </c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 t="str">
        <f>IFERROR(__xludf.DUMMYFUNCTION("""COMPUTED_VALUE"""),"Journal of Thermal Science and Engineering Applications (eISSN: 1948-5093)")</f>
        <v>Journal of Thermal Science and Engineering Applications (eISSN: 1948-5093)</v>
      </c>
      <c r="CR51" s="11">
        <f>IFERROR(__xludf.DUMMYFUNCTION("""COMPUTED_VALUE"""),1.1)</f>
        <v>1.1</v>
      </c>
    </row>
    <row r="52">
      <c r="A52" s="11" t="str">
        <f>IFERROR(__xludf.DUMMYFUNCTION("""COMPUTED_VALUE"""),"Proy10")</f>
        <v>Proy10</v>
      </c>
      <c r="B52" s="11" t="str">
        <f>IFERROR(__xludf.DUMMYFUNCTION("""COMPUTED_VALUE"""),"Nuevo_Conocimiento")</f>
        <v>Nuevo_Conocimiento</v>
      </c>
      <c r="C52" s="11" t="str">
        <f>IFERROR(__xludf.DUMMYFUNCTION("""COMPUTED_VALUE"""),"Artículo A1")</f>
        <v>Artículo A1</v>
      </c>
      <c r="D52" s="11" t="str">
        <f>IFERROR(__xludf.DUMMYFUNCTION("""COMPUTED_VALUE"""),"Artículo A1")</f>
        <v>Artículo A1</v>
      </c>
      <c r="E52" s="11" t="str">
        <f>IFERROR(__xludf.DUMMYFUNCTION("""COMPUTED_VALUE"""),"Artículo A2")</f>
        <v>Artículo A2</v>
      </c>
      <c r="F52" s="11" t="str">
        <f>IFERROR(__xludf.DUMMYFUNCTION("""COMPUTED_VALUE"""),"Artículo B")</f>
        <v>Artículo B</v>
      </c>
      <c r="G52" s="11" t="str">
        <f>IFERROR(__xludf.DUMMYFUNCTION("""COMPUTED_VALUE"""),"Artículo C")</f>
        <v>Artículo C</v>
      </c>
      <c r="H52" s="11" t="str">
        <f>IFERROR(__xludf.DUMMYFUNCTION("""COMPUTED_VALUE"""),"Capítulo de libro A")</f>
        <v>Capítulo de libro A</v>
      </c>
      <c r="I52" s="11" t="str">
        <f>IFERROR(__xludf.DUMMYFUNCTION("""COMPUTED_VALUE"""),"Capítulo de libro A1")</f>
        <v>Capítulo de libro A1</v>
      </c>
      <c r="J52" s="11" t="str">
        <f>IFERROR(__xludf.DUMMYFUNCTION("""COMPUTED_VALUE"""),"Capítulo de libro B")</f>
        <v>Capítulo de libro B</v>
      </c>
      <c r="K52" s="11" t="str">
        <f>IFERROR(__xludf.DUMMYFUNCTION("""COMPUTED_VALUE"""),"Libro A")</f>
        <v>Libro A</v>
      </c>
      <c r="L52" s="11" t="str">
        <f>IFERROR(__xludf.DUMMYFUNCTION("""COMPUTED_VALUE"""),"Libro A1")</f>
        <v>Libro A1</v>
      </c>
      <c r="M52" s="11" t="str">
        <f>IFERROR(__xludf.DUMMYFUNCTION("""COMPUTED_VALUE"""),"Libro B")</f>
        <v>Libro B</v>
      </c>
      <c r="N52" s="11" t="str">
        <f>IFERROR(__xludf.DUMMYFUNCTION("""COMPUTED_VALUE"""),"Solicitud Patente de invención y-o modelo de utitlidad")</f>
        <v>Solicitud Patente de invención y-o modelo de utitlidad</v>
      </c>
      <c r="O52" s="11" t="str">
        <f>IFERROR(__xludf.DUMMYFUNCTION("""COMPUTED_VALUE"""),"Patente de invención")</f>
        <v>Patente de invención</v>
      </c>
      <c r="P52" s="11" t="str">
        <f>IFERROR(__xludf.DUMMYFUNCTION("""COMPUTED_VALUE"""),"Patente de modelo de utilidad")</f>
        <v>Patente de modelo de utilidad</v>
      </c>
      <c r="Q52" s="11" t="str">
        <f>IFERROR(__xludf.DUMMYFUNCTION("""COMPUTED_VALUE"""),"Artículo sin clasificar")</f>
        <v>Artículo sin clasificar</v>
      </c>
      <c r="R52" s="11" t="str">
        <f>IFERROR(__xludf.DUMMYFUNCTION("""COMPUTED_VALUE"""),"Capítulo sin clasificar")</f>
        <v>Capítulo sin clasificar</v>
      </c>
      <c r="S52" s="11"/>
      <c r="T52" s="11"/>
      <c r="U52" s="11" t="str">
        <f>IFERROR(__xludf.DUMMYFUNCTION("""COMPUTED_VALUE"""),"Ninguna")</f>
        <v>Ninguna</v>
      </c>
      <c r="V52" s="11"/>
      <c r="W52" s="11" t="str">
        <f>IFERROR(__xludf.DUMMYFUNCTION("""COMPUTED_VALUE"""),"Proyecto")</f>
        <v>Proyecto</v>
      </c>
      <c r="X52" s="11" t="str">
        <f>IFERROR(__xludf.DUMMYFUNCTION("""COMPUTED_VALUE"""),"UdeA")</f>
        <v>UdeA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 t="str">
        <f>IFERROR(__xludf.DUMMYFUNCTION("""COMPUTED_VALUE"""),"Ninguna")</f>
        <v>Ninguna</v>
      </c>
      <c r="AL52" s="11"/>
      <c r="AM52" s="11" t="str">
        <f>IFERROR(__xludf.DUMMYFUNCTION("""COMPUTED_VALUE"""),"Obligatorio")</f>
        <v>Obligatorio</v>
      </c>
      <c r="AN52" s="11">
        <f>IFERROR(__xludf.DUMMYFUNCTION("""COMPUTED_VALUE"""),3.0)</f>
        <v>3</v>
      </c>
      <c r="AO52" s="11">
        <f>IFERROR(__xludf.DUMMYFUNCTION("""COMPUTED_VALUE"""),3.0)</f>
        <v>3</v>
      </c>
      <c r="AP52" s="11">
        <f>IFERROR(__xludf.DUMMYFUNCTION("""COMPUTED_VALUE"""),1.0)</f>
        <v>1</v>
      </c>
      <c r="AQ52" s="11">
        <f>IFERROR(__xludf.DUMMYFUNCTION("""COMPUTED_VALUE"""),1.0)</f>
        <v>1</v>
      </c>
      <c r="AR52" s="11">
        <f>IFERROR(__xludf.DUMMYFUNCTION("""COMPUTED_VALUE"""),1.0)</f>
        <v>1</v>
      </c>
      <c r="AS52" s="11">
        <f>IFERROR(__xludf.DUMMYFUNCTION("""COMPUTED_VALUE"""),1.0)</f>
        <v>1</v>
      </c>
      <c r="AT52" s="15" t="str">
        <f>IFERROR(__xludf.DUMMYFUNCTION("""COMPUTED_VALUE"""),"https://doi.org/10.1016/j.fuel.2020.118013")</f>
        <v>https://doi.org/10.1016/j.fuel.2020.118013</v>
      </c>
      <c r="AU52" s="15" t="str">
        <f>IFERROR(__xludf.DUMMYFUNCTION("""COMPUTED_VALUE"""),"https://drive.google.com/file/d/1qLiCnhE06fTfFiVedojw2ivluL5j78Hc/view?usp=sharing")</f>
        <v>https://drive.google.com/file/d/1qLiCnhE06fTfFiVedojw2ivluL5j78Hc/view?usp=sharing</v>
      </c>
      <c r="AV52" s="11"/>
      <c r="AW52" s="11"/>
      <c r="AX52" s="11">
        <f>IFERROR(__xludf.DUMMYFUNCTION("""COMPUTED_VALUE"""),4.0)</f>
        <v>4</v>
      </c>
      <c r="AY52" s="11" t="str">
        <f>IFERROR(__xludf.DUMMYFUNCTION("""COMPUTED_VALUE"""),"Combustion model evaluation in a CFD simulation of a radiant-tube burner")</f>
        <v>Combustion model evaluation in a CFD simulation of a radiant-tube burner</v>
      </c>
      <c r="AZ52" s="11"/>
      <c r="BA52" s="11" t="str">
        <f>IFERROR(__xludf.DUMMYFUNCTION("""COMPUTED_VALUE"""),"Alex M. García")</f>
        <v>Alex M. García</v>
      </c>
      <c r="BB52" s="11" t="str">
        <f>IFERROR(__xludf.DUMMYFUNCTION("""COMPUTED_VALUE"""),"Universidad de Antioquia")</f>
        <v>Universidad de Antioquia</v>
      </c>
      <c r="BC52" s="11" t="str">
        <f>IFERROR(__xludf.DUMMYFUNCTION("""COMPUTED_VALUE"""),"GASURE")</f>
        <v>GASURE</v>
      </c>
      <c r="BD52" s="11" t="str">
        <f>IFERROR(__xludf.DUMMYFUNCTION("""COMPUTED_VALUE"""),"M. Alejandro Rendon")</f>
        <v>M. Alejandro Rendon</v>
      </c>
      <c r="BE52" s="11" t="str">
        <f>IFERROR(__xludf.DUMMYFUNCTION("""COMPUTED_VALUE"""),"Universidad de Antioquia")</f>
        <v>Universidad de Antioquia</v>
      </c>
      <c r="BF52" s="11" t="str">
        <f>IFERROR(__xludf.DUMMYFUNCTION("""COMPUTED_VALUE"""),"GASURE")</f>
        <v>GASURE</v>
      </c>
      <c r="BG52" s="11" t="str">
        <f>IFERROR(__xludf.DUMMYFUNCTION("""COMPUTED_VALUE"""),"Andrés A. Amell")</f>
        <v>Andrés A. Amell</v>
      </c>
      <c r="BH52" s="11" t="str">
        <f>IFERROR(__xludf.DUMMYFUNCTION("""COMPUTED_VALUE"""),"Universidad de Antioquia")</f>
        <v>Universidad de Antioquia</v>
      </c>
      <c r="BI52" s="11" t="str">
        <f>IFERROR(__xludf.DUMMYFUNCTION("""COMPUTED_VALUE"""),"GASURE")</f>
        <v>GASURE</v>
      </c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 t="str">
        <f>IFERROR(__xludf.DUMMYFUNCTION("""COMPUTED_VALUE"""),"Fuel (ISSN 0016-2361)")</f>
        <v>Fuel (ISSN 0016-2361)</v>
      </c>
      <c r="CR52" s="11">
        <f>IFERROR(__xludf.DUMMYFUNCTION("""COMPUTED_VALUE"""),5.6)</f>
        <v>5.6</v>
      </c>
    </row>
    <row r="53">
      <c r="A53" s="11" t="str">
        <f>IFERROR(__xludf.DUMMYFUNCTION("""COMPUTED_VALUE"""),"Proy8")</f>
        <v>Proy8</v>
      </c>
      <c r="B53" s="11" t="str">
        <f>IFERROR(__xludf.DUMMYFUNCTION("""COMPUTED_VALUE"""),"Nuevo_Conocimiento")</f>
        <v>Nuevo_Conocimiento</v>
      </c>
      <c r="C53" s="11" t="str">
        <f>IFERROR(__xludf.DUMMYFUNCTION("""COMPUTED_VALUE"""),"Artículo A1")</f>
        <v>Artículo A1</v>
      </c>
      <c r="D53" s="11" t="str">
        <f>IFERROR(__xludf.DUMMYFUNCTION("""COMPUTED_VALUE"""),"Artículo A1")</f>
        <v>Artículo A1</v>
      </c>
      <c r="E53" s="11" t="str">
        <f>IFERROR(__xludf.DUMMYFUNCTION("""COMPUTED_VALUE"""),"Artículo A2")</f>
        <v>Artículo A2</v>
      </c>
      <c r="F53" s="11" t="str">
        <f>IFERROR(__xludf.DUMMYFUNCTION("""COMPUTED_VALUE"""),"Artículo B")</f>
        <v>Artículo B</v>
      </c>
      <c r="G53" s="11" t="str">
        <f>IFERROR(__xludf.DUMMYFUNCTION("""COMPUTED_VALUE"""),"Artículo C")</f>
        <v>Artículo C</v>
      </c>
      <c r="H53" s="11" t="str">
        <f>IFERROR(__xludf.DUMMYFUNCTION("""COMPUTED_VALUE"""),"Capítulo de libro A")</f>
        <v>Capítulo de libro A</v>
      </c>
      <c r="I53" s="11" t="str">
        <f>IFERROR(__xludf.DUMMYFUNCTION("""COMPUTED_VALUE"""),"Capítulo de libro A1")</f>
        <v>Capítulo de libro A1</v>
      </c>
      <c r="J53" s="11" t="str">
        <f>IFERROR(__xludf.DUMMYFUNCTION("""COMPUTED_VALUE"""),"Capítulo de libro B")</f>
        <v>Capítulo de libro B</v>
      </c>
      <c r="K53" s="11" t="str">
        <f>IFERROR(__xludf.DUMMYFUNCTION("""COMPUTED_VALUE"""),"Libro A")</f>
        <v>Libro A</v>
      </c>
      <c r="L53" s="11" t="str">
        <f>IFERROR(__xludf.DUMMYFUNCTION("""COMPUTED_VALUE"""),"Libro A1")</f>
        <v>Libro A1</v>
      </c>
      <c r="M53" s="11" t="str">
        <f>IFERROR(__xludf.DUMMYFUNCTION("""COMPUTED_VALUE"""),"Libro B")</f>
        <v>Libro B</v>
      </c>
      <c r="N53" s="11" t="str">
        <f>IFERROR(__xludf.DUMMYFUNCTION("""COMPUTED_VALUE"""),"Solicitud Patente de invención y-o modelo de utitlidad")</f>
        <v>Solicitud Patente de invención y-o modelo de utitlidad</v>
      </c>
      <c r="O53" s="11" t="str">
        <f>IFERROR(__xludf.DUMMYFUNCTION("""COMPUTED_VALUE"""),"Patente de invención")</f>
        <v>Patente de invención</v>
      </c>
      <c r="P53" s="11" t="str">
        <f>IFERROR(__xludf.DUMMYFUNCTION("""COMPUTED_VALUE"""),"Patente de modelo de utilidad")</f>
        <v>Patente de modelo de utilidad</v>
      </c>
      <c r="Q53" s="11" t="str">
        <f>IFERROR(__xludf.DUMMYFUNCTION("""COMPUTED_VALUE"""),"Artículo sin clasificar")</f>
        <v>Artículo sin clasificar</v>
      </c>
      <c r="R53" s="11" t="str">
        <f>IFERROR(__xludf.DUMMYFUNCTION("""COMPUTED_VALUE"""),"Capítulo sin clasificar")</f>
        <v>Capítulo sin clasificar</v>
      </c>
      <c r="S53" s="11"/>
      <c r="T53" s="11"/>
      <c r="U53" s="11" t="str">
        <f>IFERROR(__xludf.DUMMYFUNCTION("""COMPUTED_VALUE"""),"Otros actores")</f>
        <v>Otros actores</v>
      </c>
      <c r="V53" s="11" t="str">
        <f>IFERROR(__xludf.DUMMYFUNCTION("""COMPUTED_VALUE"""),"Universidad de Castilla La Mancha")</f>
        <v>Universidad de Castilla La Mancha</v>
      </c>
      <c r="W53" s="11" t="str">
        <f>IFERROR(__xludf.DUMMYFUNCTION("""COMPUTED_VALUE"""),"Programa")</f>
        <v>Programa</v>
      </c>
      <c r="X53" s="11" t="str">
        <f>IFERROR(__xludf.DUMMYFUNCTION("""COMPUTED_VALUE"""),"UdeA")</f>
        <v>UdeA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 t="str">
        <f>IFERROR(__xludf.DUMMYFUNCTION("""COMPUTED_VALUE"""),"Colaboración")</f>
        <v>Colaboración</v>
      </c>
      <c r="AL53" s="11" t="str">
        <f>IFERROR(__xludf.DUMMYFUNCTION("""COMPUTED_VALUE"""),"P12")</f>
        <v>P12</v>
      </c>
      <c r="AM53" s="11" t="str">
        <f>IFERROR(__xludf.DUMMYFUNCTION("""COMPUTED_VALUE"""),"Obligatorio")</f>
        <v>Obligatorio</v>
      </c>
      <c r="AN53" s="11">
        <f>IFERROR(__xludf.DUMMYFUNCTION("""COMPUTED_VALUE"""),4.0)</f>
        <v>4</v>
      </c>
      <c r="AO53" s="11">
        <f>IFERROR(__xludf.DUMMYFUNCTION("""COMPUTED_VALUE"""),3.0)</f>
        <v>3</v>
      </c>
      <c r="AP53" s="11">
        <f>IFERROR(__xludf.DUMMYFUNCTION("""COMPUTED_VALUE"""),3.0)</f>
        <v>3</v>
      </c>
      <c r="AQ53" s="11">
        <f>IFERROR(__xludf.DUMMYFUNCTION("""COMPUTED_VALUE"""),2.0)</f>
        <v>2</v>
      </c>
      <c r="AR53" s="11">
        <f>IFERROR(__xludf.DUMMYFUNCTION("""COMPUTED_VALUE"""),2.0)</f>
        <v>2</v>
      </c>
      <c r="AS53" s="11">
        <f>IFERROR(__xludf.DUMMYFUNCTION("""COMPUTED_VALUE"""),1.0)</f>
        <v>1</v>
      </c>
      <c r="AT53" s="15" t="str">
        <f>IFERROR(__xludf.DUMMYFUNCTION("""COMPUTED_VALUE"""),"https://doi.org/10.1016/j.renene.2020.06.079")</f>
        <v>https://doi.org/10.1016/j.renene.2020.06.079</v>
      </c>
      <c r="AU53" s="15" t="str">
        <f>IFERROR(__xludf.DUMMYFUNCTION("""COMPUTED_VALUE"""),"https://drive.google.com/file/d/14Dawt5ntcdjJa2s-pPvNlmOUTgdob5yT/view?usp=sharing")</f>
        <v>https://drive.google.com/file/d/14Dawt5ntcdjJa2s-pPvNlmOUTgdob5yT/view?usp=sharing</v>
      </c>
      <c r="AV53" s="11"/>
      <c r="AW53" s="11"/>
      <c r="AX53" s="11">
        <f>IFERROR(__xludf.DUMMYFUNCTION("""COMPUTED_VALUE"""),4.0)</f>
        <v>4</v>
      </c>
      <c r="AY53" s="11" t="str">
        <f>IFERROR(__xludf.DUMMYFUNCTION("""COMPUTED_VALUE"""),"Reconsideration of regulated contamination limits to improve filterability of biodiesel
and blends with diesel fuels")</f>
        <v>Reconsideration of regulated contamination limits to improve filterability of biodiesel
and blends with diesel fuels</v>
      </c>
      <c r="AZ53" s="11"/>
      <c r="BA53" s="11" t="str">
        <f>IFERROR(__xludf.DUMMYFUNCTION("""COMPUTED_VALUE"""),"Fernando Cardeño")</f>
        <v>Fernando Cardeño</v>
      </c>
      <c r="BB53" s="11" t="str">
        <f>IFERROR(__xludf.DUMMYFUNCTION("""COMPUTED_VALUE"""),"Universidad de Antioquia")</f>
        <v>Universidad de Antioquia</v>
      </c>
      <c r="BC53" s="11" t="str">
        <f>IFERROR(__xludf.DUMMYFUNCTION("""COMPUTED_VALUE"""),"Facultad de Ingeniería")</f>
        <v>Facultad de Ingeniería</v>
      </c>
      <c r="BD53" s="11" t="str">
        <f>IFERROR(__xludf.DUMMYFUNCTION("""COMPUTED_VALUE"""),"Magín Lapuerta")</f>
        <v>Magín Lapuerta</v>
      </c>
      <c r="BE53" s="11" t="str">
        <f>IFERROR(__xludf.DUMMYFUNCTION("""COMPUTED_VALUE"""),"Universidad de Castilla-La Mancha")</f>
        <v>Universidad de Castilla-La Mancha</v>
      </c>
      <c r="BF53" s="11"/>
      <c r="BG53" s="11" t="str">
        <f>IFERROR(__xludf.DUMMYFUNCTION("""COMPUTED_VALUE"""),"Luis Rios")</f>
        <v>Luis Rios</v>
      </c>
      <c r="BH53" s="11" t="str">
        <f>IFERROR(__xludf.DUMMYFUNCTION("""COMPUTED_VALUE"""),"Universidad de Antioquia")</f>
        <v>Universidad de Antioquia</v>
      </c>
      <c r="BI53" s="11" t="str">
        <f>IFERROR(__xludf.DUMMYFUNCTION("""COMPUTED_VALUE"""),"GIMEL")</f>
        <v>GIMEL</v>
      </c>
      <c r="BJ53" s="11" t="str">
        <f>IFERROR(__xludf.DUMMYFUNCTION("""COMPUTED_VALUE"""),"John R. Agudelo")</f>
        <v>John R. Agudelo</v>
      </c>
      <c r="BK53" s="11" t="str">
        <f>IFERROR(__xludf.DUMMYFUNCTION("""COMPUTED_VALUE"""),"Universidad de Antioquia")</f>
        <v>Universidad de Antioquia</v>
      </c>
      <c r="BL53" s="11" t="str">
        <f>IFERROR(__xludf.DUMMYFUNCTION("""COMPUTED_VALUE"""),"GIMEL")</f>
        <v>GIMEL</v>
      </c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 t="str">
        <f>IFERROR(__xludf.DUMMYFUNCTION("""COMPUTED_VALUE"""),"Renewable Energy (ISSN 0960-1481)")</f>
        <v>Renewable Energy (ISSN 0960-1481)</v>
      </c>
      <c r="CR53" s="11">
        <f>IFERROR(__xludf.DUMMYFUNCTION("""COMPUTED_VALUE"""),6.3)</f>
        <v>6.3</v>
      </c>
    </row>
    <row r="54">
      <c r="A54" s="11" t="str">
        <f>IFERROR(__xludf.DUMMYFUNCTION("""COMPUTED_VALUE"""),"Proy1")</f>
        <v>Proy1</v>
      </c>
      <c r="B54" s="11" t="str">
        <f>IFERROR(__xludf.DUMMYFUNCTION("""COMPUTED_VALUE"""),"Nuevo_Conocimiento")</f>
        <v>Nuevo_Conocimiento</v>
      </c>
      <c r="C54" s="11" t="str">
        <f>IFERROR(__xludf.DUMMYFUNCTION("""COMPUTED_VALUE"""),"Artículo A1")</f>
        <v>Artículo A1</v>
      </c>
      <c r="D54" s="11" t="str">
        <f>IFERROR(__xludf.DUMMYFUNCTION("""COMPUTED_VALUE"""),"Artículo A1")</f>
        <v>Artículo A1</v>
      </c>
      <c r="E54" s="11" t="str">
        <f>IFERROR(__xludf.DUMMYFUNCTION("""COMPUTED_VALUE"""),"Artículo A2")</f>
        <v>Artículo A2</v>
      </c>
      <c r="F54" s="11" t="str">
        <f>IFERROR(__xludf.DUMMYFUNCTION("""COMPUTED_VALUE"""),"Artículo B")</f>
        <v>Artículo B</v>
      </c>
      <c r="G54" s="11" t="str">
        <f>IFERROR(__xludf.DUMMYFUNCTION("""COMPUTED_VALUE"""),"Artículo C")</f>
        <v>Artículo C</v>
      </c>
      <c r="H54" s="11" t="str">
        <f>IFERROR(__xludf.DUMMYFUNCTION("""COMPUTED_VALUE"""),"Capítulo de libro A")</f>
        <v>Capítulo de libro A</v>
      </c>
      <c r="I54" s="11" t="str">
        <f>IFERROR(__xludf.DUMMYFUNCTION("""COMPUTED_VALUE"""),"Capítulo de libro A1")</f>
        <v>Capítulo de libro A1</v>
      </c>
      <c r="J54" s="11" t="str">
        <f>IFERROR(__xludf.DUMMYFUNCTION("""COMPUTED_VALUE"""),"Capítulo de libro B")</f>
        <v>Capítulo de libro B</v>
      </c>
      <c r="K54" s="11" t="str">
        <f>IFERROR(__xludf.DUMMYFUNCTION("""COMPUTED_VALUE"""),"Libro A")</f>
        <v>Libro A</v>
      </c>
      <c r="L54" s="11" t="str">
        <f>IFERROR(__xludf.DUMMYFUNCTION("""COMPUTED_VALUE"""),"Libro A1")</f>
        <v>Libro A1</v>
      </c>
      <c r="M54" s="11" t="str">
        <f>IFERROR(__xludf.DUMMYFUNCTION("""COMPUTED_VALUE"""),"Libro B")</f>
        <v>Libro B</v>
      </c>
      <c r="N54" s="11" t="str">
        <f>IFERROR(__xludf.DUMMYFUNCTION("""COMPUTED_VALUE"""),"Solicitud Patente de invención y-o modelo de utitlidad")</f>
        <v>Solicitud Patente de invención y-o modelo de utitlidad</v>
      </c>
      <c r="O54" s="11" t="str">
        <f>IFERROR(__xludf.DUMMYFUNCTION("""COMPUTED_VALUE"""),"Patente de invención")</f>
        <v>Patente de invención</v>
      </c>
      <c r="P54" s="11" t="str">
        <f>IFERROR(__xludf.DUMMYFUNCTION("""COMPUTED_VALUE"""),"Patente de modelo de utilidad")</f>
        <v>Patente de modelo de utilidad</v>
      </c>
      <c r="Q54" s="11" t="str">
        <f>IFERROR(__xludf.DUMMYFUNCTION("""COMPUTED_VALUE"""),"Artículo sin clasificar")</f>
        <v>Artículo sin clasificar</v>
      </c>
      <c r="R54" s="11" t="str">
        <f>IFERROR(__xludf.DUMMYFUNCTION("""COMPUTED_VALUE"""),"Capítulo sin clasificar")</f>
        <v>Capítulo sin clasificar</v>
      </c>
      <c r="S54" s="11"/>
      <c r="T54" s="11"/>
      <c r="U54" s="11" t="str">
        <f>IFERROR(__xludf.DUMMYFUNCTION("""COMPUTED_VALUE"""),"Ninguna")</f>
        <v>Ninguna</v>
      </c>
      <c r="V54" s="11"/>
      <c r="W54" s="11" t="str">
        <f>IFERROR(__xludf.DUMMYFUNCTION("""COMPUTED_VALUE"""),"Proyecto")</f>
        <v>Proyecto</v>
      </c>
      <c r="X54" s="11" t="str">
        <f>IFERROR(__xludf.DUMMYFUNCTION("""COMPUTED_VALUE"""),"UdeA")</f>
        <v>UdeA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 t="str">
        <f>IFERROR(__xludf.DUMMYFUNCTION("""COMPUTED_VALUE"""),"Tecnológico de Antioquia")</f>
        <v>Tecnológico de Antioquia</v>
      </c>
      <c r="AK54" s="11" t="str">
        <f>IFERROR(__xludf.DUMMYFUNCTION("""COMPUTED_VALUE"""),"Ninguna")</f>
        <v>Ninguna</v>
      </c>
      <c r="AL54" s="11"/>
      <c r="AM54" s="11" t="str">
        <f>IFERROR(__xludf.DUMMYFUNCTION("""COMPUTED_VALUE"""),"Obligatorio")</f>
        <v>Obligatorio</v>
      </c>
      <c r="AN54" s="11">
        <f>IFERROR(__xludf.DUMMYFUNCTION("""COMPUTED_VALUE"""),5.0)</f>
        <v>5</v>
      </c>
      <c r="AO54" s="11">
        <f>IFERROR(__xludf.DUMMYFUNCTION("""COMPUTED_VALUE"""),4.0)</f>
        <v>4</v>
      </c>
      <c r="AP54" s="11">
        <f>IFERROR(__xludf.DUMMYFUNCTION("""COMPUTED_VALUE"""),2.0)</f>
        <v>2</v>
      </c>
      <c r="AQ54" s="11">
        <f>IFERROR(__xludf.DUMMYFUNCTION("""COMPUTED_VALUE"""),1.0)</f>
        <v>1</v>
      </c>
      <c r="AR54" s="11">
        <f>IFERROR(__xludf.DUMMYFUNCTION("""COMPUTED_VALUE"""),2.0)</f>
        <v>2</v>
      </c>
      <c r="AS54" s="11">
        <f>IFERROR(__xludf.DUMMYFUNCTION("""COMPUTED_VALUE"""),1.0)</f>
        <v>1</v>
      </c>
      <c r="AT54" s="15" t="str">
        <f>IFERROR(__xludf.DUMMYFUNCTION("""COMPUTED_VALUE"""),"https://doi.org/10.1016/j.jksues.2020.04.011")</f>
        <v>https://doi.org/10.1016/j.jksues.2020.04.011</v>
      </c>
      <c r="AU54" s="15" t="str">
        <f>IFERROR(__xludf.DUMMYFUNCTION("""COMPUTED_VALUE"""),"https://drive.google.com/file/d/1R4L-RS9a0SaNe8VYsZwU0s6-_3749WsS/view?usp=sharing")</f>
        <v>https://drive.google.com/file/d/1R4L-RS9a0SaNe8VYsZwU0s6-_3749WsS/view?usp=sharing</v>
      </c>
      <c r="AV54" s="11"/>
      <c r="AW54" s="11"/>
      <c r="AX54" s="11">
        <f>IFERROR(__xludf.DUMMYFUNCTION("""COMPUTED_VALUE"""),4.0)</f>
        <v>4</v>
      </c>
      <c r="AY54" s="11" t="str">
        <f>IFERROR(__xludf.DUMMYFUNCTION("""COMPUTED_VALUE"""),"Experimental analysis on the performance of a pico-hydro Turgo turbine")</f>
        <v>Experimental analysis on the performance of a pico-hydro Turgo turbine</v>
      </c>
      <c r="AZ54" s="11"/>
      <c r="BA54" s="11" t="str">
        <f>IFERROR(__xludf.DUMMYFUNCTION("""COMPUTED_VALUE"""),"Edwin Gallego")</f>
        <v>Edwin Gallego</v>
      </c>
      <c r="BB54" s="11" t="str">
        <f>IFERROR(__xludf.DUMMYFUNCTION("""COMPUTED_VALUE"""),"Universidad de Antioquia")</f>
        <v>Universidad de Antioquia</v>
      </c>
      <c r="BC54" s="11" t="str">
        <f>IFERROR(__xludf.DUMMYFUNCTION("""COMPUTED_VALUE"""),"Departamento de Ingeniería Mecánica")</f>
        <v>Departamento de Ingeniería Mecánica</v>
      </c>
      <c r="BD54" s="11" t="str">
        <f>IFERROR(__xludf.DUMMYFUNCTION("""COMPUTED_VALUE"""),"Ainhoa Rubio Clemente")</f>
        <v>Ainhoa Rubio Clemente</v>
      </c>
      <c r="BE54" s="11" t="str">
        <f>IFERROR(__xludf.DUMMYFUNCTION("""COMPUTED_VALUE"""),"Departamento de Ingeniería Mecánica")</f>
        <v>Departamento de Ingeniería Mecánica</v>
      </c>
      <c r="BF54" s="11"/>
      <c r="BG54" s="11" t="str">
        <f>IFERROR(__xludf.DUMMYFUNCTION("""COMPUTED_VALUE"""),"Juan Pineda")</f>
        <v>Juan Pineda</v>
      </c>
      <c r="BH54" s="11" t="str">
        <f>IFERROR(__xludf.DUMMYFUNCTION("""COMPUTED_VALUE"""),"Universidad de Antioquia")</f>
        <v>Universidad de Antioquia</v>
      </c>
      <c r="BI54" s="11" t="str">
        <f>IFERROR(__xludf.DUMMYFUNCTION("""COMPUTED_VALUE"""),"Departamento de Ingeniería Mecánica")</f>
        <v>Departamento de Ingeniería Mecánica</v>
      </c>
      <c r="BJ54" s="11" t="str">
        <f>IFERROR(__xludf.DUMMYFUNCTION("""COMPUTED_VALUE"""),"Laura Velásquez")</f>
        <v>Laura Velásquez</v>
      </c>
      <c r="BK54" s="11" t="str">
        <f>IFERROR(__xludf.DUMMYFUNCTION("""COMPUTED_VALUE"""),"Universidad de Antioquia")</f>
        <v>Universidad de Antioquia</v>
      </c>
      <c r="BL54" s="11" t="str">
        <f>IFERROR(__xludf.DUMMYFUNCTION("""COMPUTED_VALUE"""),"Departamento de Ingeniería Mecánica")</f>
        <v>Departamento de Ingeniería Mecánica</v>
      </c>
      <c r="BM54" s="11" t="str">
        <f>IFERROR(__xludf.DUMMYFUNCTION("""COMPUTED_VALUE"""),"Edwin Lenin Chica Arrieta")</f>
        <v>Edwin Lenin Chica Arrieta</v>
      </c>
      <c r="BN54" s="11" t="str">
        <f>IFERROR(__xludf.DUMMYFUNCTION("""COMPUTED_VALUE"""),"Universidad de Antioquia")</f>
        <v>Universidad de Antioquia</v>
      </c>
      <c r="BO54" s="11" t="str">
        <f>IFERROR(__xludf.DUMMYFUNCTION("""COMPUTED_VALUE"""),"Departamento de Ingeniería Mecánica")</f>
        <v>Departamento de Ingeniería Mecánica</v>
      </c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 t="str">
        <f>IFERROR(__xludf.DUMMYFUNCTION("""COMPUTED_VALUE"""),"Journal of King Saud University - Engineering Sciences (ISSN1018-3639)")</f>
        <v>Journal of King Saud University - Engineering Sciences (ISSN1018-3639)</v>
      </c>
      <c r="CR54" s="11"/>
    </row>
    <row r="55">
      <c r="A55" s="11" t="str">
        <f>IFERROR(__xludf.DUMMYFUNCTION("""COMPUTED_VALUE"""),"Proy13")</f>
        <v>Proy13</v>
      </c>
      <c r="B55" s="11" t="str">
        <f>IFERROR(__xludf.DUMMYFUNCTION("""COMPUTED_VALUE"""),"Nuevo_Conocimiento")</f>
        <v>Nuevo_Conocimiento</v>
      </c>
      <c r="C55" s="11" t="str">
        <f>IFERROR(__xludf.DUMMYFUNCTION("""COMPUTED_VALUE"""),"Artículo A1")</f>
        <v>Artículo A1</v>
      </c>
      <c r="D55" s="11" t="str">
        <f>IFERROR(__xludf.DUMMYFUNCTION("""COMPUTED_VALUE"""),"Artículo A1")</f>
        <v>Artículo A1</v>
      </c>
      <c r="E55" s="11" t="str">
        <f>IFERROR(__xludf.DUMMYFUNCTION("""COMPUTED_VALUE"""),"Artículo A2")</f>
        <v>Artículo A2</v>
      </c>
      <c r="F55" s="11" t="str">
        <f>IFERROR(__xludf.DUMMYFUNCTION("""COMPUTED_VALUE"""),"Artículo B")</f>
        <v>Artículo B</v>
      </c>
      <c r="G55" s="11" t="str">
        <f>IFERROR(__xludf.DUMMYFUNCTION("""COMPUTED_VALUE"""),"Artículo C")</f>
        <v>Artículo C</v>
      </c>
      <c r="H55" s="11" t="str">
        <f>IFERROR(__xludf.DUMMYFUNCTION("""COMPUTED_VALUE"""),"Capítulo de libro A")</f>
        <v>Capítulo de libro A</v>
      </c>
      <c r="I55" s="11" t="str">
        <f>IFERROR(__xludf.DUMMYFUNCTION("""COMPUTED_VALUE"""),"Capítulo de libro A1")</f>
        <v>Capítulo de libro A1</v>
      </c>
      <c r="J55" s="11" t="str">
        <f>IFERROR(__xludf.DUMMYFUNCTION("""COMPUTED_VALUE"""),"Capítulo de libro B")</f>
        <v>Capítulo de libro B</v>
      </c>
      <c r="K55" s="11" t="str">
        <f>IFERROR(__xludf.DUMMYFUNCTION("""COMPUTED_VALUE"""),"Libro A")</f>
        <v>Libro A</v>
      </c>
      <c r="L55" s="11" t="str">
        <f>IFERROR(__xludf.DUMMYFUNCTION("""COMPUTED_VALUE"""),"Libro A1")</f>
        <v>Libro A1</v>
      </c>
      <c r="M55" s="11" t="str">
        <f>IFERROR(__xludf.DUMMYFUNCTION("""COMPUTED_VALUE"""),"Libro B")</f>
        <v>Libro B</v>
      </c>
      <c r="N55" s="11" t="str">
        <f>IFERROR(__xludf.DUMMYFUNCTION("""COMPUTED_VALUE"""),"Solicitud Patente de invención y-o modelo de utitlidad")</f>
        <v>Solicitud Patente de invención y-o modelo de utitlidad</v>
      </c>
      <c r="O55" s="11" t="str">
        <f>IFERROR(__xludf.DUMMYFUNCTION("""COMPUTED_VALUE"""),"Patente de invención")</f>
        <v>Patente de invención</v>
      </c>
      <c r="P55" s="11" t="str">
        <f>IFERROR(__xludf.DUMMYFUNCTION("""COMPUTED_VALUE"""),"Patente de modelo de utilidad")</f>
        <v>Patente de modelo de utilidad</v>
      </c>
      <c r="Q55" s="11" t="str">
        <f>IFERROR(__xludf.DUMMYFUNCTION("""COMPUTED_VALUE"""),"Artículo sin clasificar")</f>
        <v>Artículo sin clasificar</v>
      </c>
      <c r="R55" s="11" t="str">
        <f>IFERROR(__xludf.DUMMYFUNCTION("""COMPUTED_VALUE"""),"Capítulo sin clasificar")</f>
        <v>Capítulo sin clasificar</v>
      </c>
      <c r="S55" s="11"/>
      <c r="T55" s="11"/>
      <c r="U55" s="11" t="str">
        <f>IFERROR(__xludf.DUMMYFUNCTION("""COMPUTED_VALUE"""),"Ninguna")</f>
        <v>Ninguna</v>
      </c>
      <c r="V55" s="11"/>
      <c r="W55" s="11" t="str">
        <f>IFERROR(__xludf.DUMMYFUNCTION("""COMPUTED_VALUE"""),"Proyecto")</f>
        <v>Proyecto</v>
      </c>
      <c r="X55" s="11" t="str">
        <f>IFERROR(__xludf.DUMMYFUNCTION("""COMPUTED_VALUE"""),"UdeA ")</f>
        <v>UdeA 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 t="str">
        <f>IFERROR(__xludf.DUMMYFUNCTION("""COMPUTED_VALUE"""),"ITM, Pascual Bravo")</f>
        <v>ITM, Pascual Bravo</v>
      </c>
      <c r="AK55" s="11" t="str">
        <f>IFERROR(__xludf.DUMMYFUNCTION("""COMPUTED_VALUE"""),"Ninguna")</f>
        <v>Ninguna</v>
      </c>
      <c r="AL55" s="11"/>
      <c r="AM55" s="11" t="str">
        <f>IFERROR(__xludf.DUMMYFUNCTION("""COMPUTED_VALUE"""),"Adicional")</f>
        <v>Adicional</v>
      </c>
      <c r="AN55" s="11">
        <f>IFERROR(__xludf.DUMMYFUNCTION("""COMPUTED_VALUE"""),3.0)</f>
        <v>3</v>
      </c>
      <c r="AO55" s="11">
        <f>IFERROR(__xludf.DUMMYFUNCTION("""COMPUTED_VALUE"""),1.0)</f>
        <v>1</v>
      </c>
      <c r="AP55" s="11">
        <f>IFERROR(__xludf.DUMMYFUNCTION("""COMPUTED_VALUE"""),3.0)</f>
        <v>3</v>
      </c>
      <c r="AQ55" s="11">
        <f>IFERROR(__xludf.DUMMYFUNCTION("""COMPUTED_VALUE"""),1.0)</f>
        <v>1</v>
      </c>
      <c r="AR55" s="11">
        <f>IFERROR(__xludf.DUMMYFUNCTION("""COMPUTED_VALUE"""),3.0)</f>
        <v>3</v>
      </c>
      <c r="AS55" s="11">
        <f>IFERROR(__xludf.DUMMYFUNCTION("""COMPUTED_VALUE"""),1.0)</f>
        <v>1</v>
      </c>
      <c r="AT55" s="11" t="str">
        <f>IFERROR(__xludf.DUMMYFUNCTION("""COMPUTED_VALUE"""),"DOI:10.3390/resources8010051")</f>
        <v>DOI:10.3390/resources8010051</v>
      </c>
      <c r="AU55" s="15" t="str">
        <f>IFERROR(__xludf.DUMMYFUNCTION("""COMPUTED_VALUE"""),"https://drive.google.com/open?id=1df_IOiu8kq7T0LsHowq6XPBlMKzzvrMd")</f>
        <v>https://drive.google.com/open?id=1df_IOiu8kq7T0LsHowq6XPBlMKzzvrMd</v>
      </c>
      <c r="AV55" s="11">
        <f>IFERROR(__xludf.DUMMYFUNCTION("""COMPUTED_VALUE"""),1095.0)</f>
        <v>1095</v>
      </c>
      <c r="AW55" s="11"/>
      <c r="AX55" s="11">
        <f>IFERROR(__xludf.DUMMYFUNCTION("""COMPUTED_VALUE"""),3.0)</f>
        <v>3</v>
      </c>
      <c r="AY55" s="11" t="str">
        <f>IFERROR(__xludf.DUMMYFUNCTION("""COMPUTED_VALUE"""),"Municipal Solid Waste as a Source of Electric Power Generation in Colombia: A Techno-Economic Evaluation under Different Scenarios")</f>
        <v>Municipal Solid Waste as a Source of Electric Power Generation in Colombia: A Techno-Economic Evaluation under Different Scenarios</v>
      </c>
      <c r="AZ55" s="11"/>
      <c r="BA55" s="11" t="str">
        <f>IFERROR(__xludf.DUMMYFUNCTION("""COMPUTED_VALUE"""),"Santiago Alzate")</f>
        <v>Santiago Alzate</v>
      </c>
      <c r="BB55" s="11" t="str">
        <f>IFERROR(__xludf.DUMMYFUNCTION("""COMPUTED_VALUE"""),"Institucion Universitaria Pascual Bravo")</f>
        <v>Institucion Universitaria Pascual Bravo</v>
      </c>
      <c r="BC55" s="11"/>
      <c r="BD55" s="11" t="str">
        <f>IFERROR(__xludf.DUMMYFUNCTION("""COMPUTED_VALUE"""),"Bonie Restrepo-Cuestas ")</f>
        <v>Bonie Restrepo-Cuestas </v>
      </c>
      <c r="BE55" s="11" t="str">
        <f>IFERROR(__xludf.DUMMYFUNCTION("""COMPUTED_VALUE"""),"Instituto Tecnológico Metropolitano")</f>
        <v>Instituto Tecnológico Metropolitano</v>
      </c>
      <c r="BF55" s="11" t="str">
        <f>IFERROR(__xludf.DUMMYFUNCTION("""COMPUTED_VALUE"""),"MATyER")</f>
        <v>MATyER</v>
      </c>
      <c r="BG55" s="11" t="str">
        <f>IFERROR(__xludf.DUMMYFUNCTION("""COMPUTED_VALUE"""),"Álvaro Jaramillo-Duque ")</f>
        <v>Álvaro Jaramillo-Duque </v>
      </c>
      <c r="BH55" s="11" t="str">
        <f>IFERROR(__xludf.DUMMYFUNCTION("""COMPUTED_VALUE"""),"Universidad de Antioquia")</f>
        <v>Universidad de Antioquia</v>
      </c>
      <c r="BI55" s="11" t="str">
        <f>IFERROR(__xludf.DUMMYFUNCTION("""COMPUTED_VALUE"""),"GIMEL")</f>
        <v>GIMEL</v>
      </c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 t="str">
        <f>IFERROR(__xludf.DUMMYFUNCTION("""COMPUTED_VALUE"""),"Resources (ISSN 2079-9276)")</f>
        <v>Resources (ISSN 2079-9276)</v>
      </c>
      <c r="CR55" s="11">
        <f>IFERROR(__xludf.DUMMYFUNCTION("""COMPUTED_VALUE"""),3.5)</f>
        <v>3.5</v>
      </c>
    </row>
    <row r="56">
      <c r="A56" s="11" t="str">
        <f>IFERROR(__xludf.DUMMYFUNCTION("""COMPUTED_VALUE"""),"Proy2")</f>
        <v>Proy2</v>
      </c>
      <c r="B56" s="11" t="str">
        <f>IFERROR(__xludf.DUMMYFUNCTION("""COMPUTED_VALUE"""),"Nuevo_Conocimiento")</f>
        <v>Nuevo_Conocimiento</v>
      </c>
      <c r="C56" s="11" t="str">
        <f>IFERROR(__xludf.DUMMYFUNCTION("""COMPUTED_VALUE"""),"Artículo A1")</f>
        <v>Artículo A1</v>
      </c>
      <c r="D56" s="11" t="str">
        <f>IFERROR(__xludf.DUMMYFUNCTION("""COMPUTED_VALUE"""),"Artículo A1")</f>
        <v>Artículo A1</v>
      </c>
      <c r="E56" s="11" t="str">
        <f>IFERROR(__xludf.DUMMYFUNCTION("""COMPUTED_VALUE"""),"Artículo A2")</f>
        <v>Artículo A2</v>
      </c>
      <c r="F56" s="11" t="str">
        <f>IFERROR(__xludf.DUMMYFUNCTION("""COMPUTED_VALUE"""),"Artículo B")</f>
        <v>Artículo B</v>
      </c>
      <c r="G56" s="11" t="str">
        <f>IFERROR(__xludf.DUMMYFUNCTION("""COMPUTED_VALUE"""),"Artículo C")</f>
        <v>Artículo C</v>
      </c>
      <c r="H56" s="11" t="str">
        <f>IFERROR(__xludf.DUMMYFUNCTION("""COMPUTED_VALUE"""),"Capítulo de libro A")</f>
        <v>Capítulo de libro A</v>
      </c>
      <c r="I56" s="11" t="str">
        <f>IFERROR(__xludf.DUMMYFUNCTION("""COMPUTED_VALUE"""),"Capítulo de libro A1")</f>
        <v>Capítulo de libro A1</v>
      </c>
      <c r="J56" s="11" t="str">
        <f>IFERROR(__xludf.DUMMYFUNCTION("""COMPUTED_VALUE"""),"Capítulo de libro B")</f>
        <v>Capítulo de libro B</v>
      </c>
      <c r="K56" s="11" t="str">
        <f>IFERROR(__xludf.DUMMYFUNCTION("""COMPUTED_VALUE"""),"Libro A")</f>
        <v>Libro A</v>
      </c>
      <c r="L56" s="11" t="str">
        <f>IFERROR(__xludf.DUMMYFUNCTION("""COMPUTED_VALUE"""),"Libro A1")</f>
        <v>Libro A1</v>
      </c>
      <c r="M56" s="11" t="str">
        <f>IFERROR(__xludf.DUMMYFUNCTION("""COMPUTED_VALUE"""),"Libro B")</f>
        <v>Libro B</v>
      </c>
      <c r="N56" s="11" t="str">
        <f>IFERROR(__xludf.DUMMYFUNCTION("""COMPUTED_VALUE"""),"Solicitud Patente de invención y-o modelo de utitlidad")</f>
        <v>Solicitud Patente de invención y-o modelo de utitlidad</v>
      </c>
      <c r="O56" s="11" t="str">
        <f>IFERROR(__xludf.DUMMYFUNCTION("""COMPUTED_VALUE"""),"Patente de invención")</f>
        <v>Patente de invención</v>
      </c>
      <c r="P56" s="11" t="str">
        <f>IFERROR(__xludf.DUMMYFUNCTION("""COMPUTED_VALUE"""),"Patente de modelo de utilidad")</f>
        <v>Patente de modelo de utilidad</v>
      </c>
      <c r="Q56" s="11" t="str">
        <f>IFERROR(__xludf.DUMMYFUNCTION("""COMPUTED_VALUE"""),"Artículo sin clasificar")</f>
        <v>Artículo sin clasificar</v>
      </c>
      <c r="R56" s="11" t="str">
        <f>IFERROR(__xludf.DUMMYFUNCTION("""COMPUTED_VALUE"""),"Capítulo sin clasificar")</f>
        <v>Capítulo sin clasificar</v>
      </c>
      <c r="S56" s="11"/>
      <c r="T56" s="11"/>
      <c r="U56" s="11" t="str">
        <f>IFERROR(__xludf.DUMMYFUNCTION("""COMPUTED_VALUE"""),"Otros actores")</f>
        <v>Otros actores</v>
      </c>
      <c r="V56" s="11" t="str">
        <f>IFERROR(__xludf.DUMMYFUNCTION("""COMPUTED_VALUE"""),"EPFL, Humboldt Universität zu Berlin")</f>
        <v>EPFL, Humboldt Universität zu Berlin</v>
      </c>
      <c r="W56" s="11" t="str">
        <f>IFERROR(__xludf.DUMMYFUNCTION("""COMPUTED_VALUE"""),"Proyecto")</f>
        <v>Proyecto</v>
      </c>
      <c r="X56" s="11" t="str">
        <f>IFERROR(__xludf.DUMMYFUNCTION("""COMPUTED_VALUE"""),"UdeA ")</f>
        <v>UdeA </v>
      </c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 t="str">
        <f>IFERROR(__xludf.DUMMYFUNCTION("""COMPUTED_VALUE"""),"Ninguna")</f>
        <v>Ninguna</v>
      </c>
      <c r="AL56" s="11"/>
      <c r="AM56" s="11" t="str">
        <f>IFERROR(__xludf.DUMMYFUNCTION("""COMPUTED_VALUE"""),"Adicional")</f>
        <v>Adicional</v>
      </c>
      <c r="AN56" s="11">
        <f>IFERROR(__xludf.DUMMYFUNCTION("""COMPUTED_VALUE"""),1.0)</f>
        <v>1</v>
      </c>
      <c r="AO56" s="11">
        <f>IFERROR(__xludf.DUMMYFUNCTION("""COMPUTED_VALUE"""),1.0)</f>
        <v>1</v>
      </c>
      <c r="AP56" s="11">
        <f>IFERROR(__xludf.DUMMYFUNCTION("""COMPUTED_VALUE"""),3.0)</f>
        <v>3</v>
      </c>
      <c r="AQ56" s="11">
        <f>IFERROR(__xludf.DUMMYFUNCTION("""COMPUTED_VALUE"""),1.0)</f>
        <v>1</v>
      </c>
      <c r="AR56" s="11">
        <f>IFERROR(__xludf.DUMMYFUNCTION("""COMPUTED_VALUE"""),3.0)</f>
        <v>3</v>
      </c>
      <c r="AS56" s="11">
        <f>IFERROR(__xludf.DUMMYFUNCTION("""COMPUTED_VALUE"""),1.0)</f>
        <v>1</v>
      </c>
      <c r="AT56" s="11" t="str">
        <f>IFERROR(__xludf.DUMMYFUNCTION("""COMPUTED_VALUE"""),"DOI: 10.1021/acsaem.9b00603")</f>
        <v>DOI: 10.1021/acsaem.9b00603</v>
      </c>
      <c r="AU56" s="15" t="str">
        <f>IFERROR(__xludf.DUMMYFUNCTION("""COMPUTED_VALUE"""),"https://drive.google.com/open?id=1GKg0yptTqATmb8kv7xFHtHAbyGOLwFRR")</f>
        <v>https://drive.google.com/open?id=1GKg0yptTqATmb8kv7xFHtHAbyGOLwFRR</v>
      </c>
      <c r="AV56" s="11">
        <f>IFERROR(__xludf.DUMMYFUNCTION("""COMPUTED_VALUE"""),1154.0)</f>
        <v>1154</v>
      </c>
      <c r="AW56" s="11"/>
      <c r="AX56" s="11">
        <f>IFERROR(__xludf.DUMMYFUNCTION("""COMPUTED_VALUE"""),3.0)</f>
        <v>3</v>
      </c>
      <c r="AY56" s="11" t="str">
        <f>IFERROR(__xludf.DUMMYFUNCTION("""COMPUTED_VALUE"""),"Air-stable n-i-p planar perovskite solar cells using nickel oxide nanocrystals as sole hole-transporting material")</f>
        <v>Air-stable n-i-p planar perovskite solar cells using nickel oxide nanocrystals as sole hole-transporting material</v>
      </c>
      <c r="AZ56" s="11"/>
      <c r="BA56" s="11" t="str">
        <f>IFERROR(__xludf.DUMMYFUNCTION("""COMPUTED_VALUE"""),"Juan Tirado")</f>
        <v>Juan Tirado</v>
      </c>
      <c r="BB56" s="11" t="str">
        <f>IFERROR(__xludf.DUMMYFUNCTION("""COMPUTED_VALUE"""),"Universidad de Antioquia")</f>
        <v>Universidad de Antioquia</v>
      </c>
      <c r="BC56" s="11" t="str">
        <f>IFERROR(__xludf.DUMMYFUNCTION("""COMPUTED_VALUE"""),"CIDEMAT")</f>
        <v>CIDEMAT</v>
      </c>
      <c r="BD56" s="11" t="str">
        <f>IFERROR(__xludf.DUMMYFUNCTION("""COMPUTED_VALUE"""),"Manuel Vázquez-Montoya")</f>
        <v>Manuel Vázquez-Montoya</v>
      </c>
      <c r="BE56" s="11" t="str">
        <f>IFERROR(__xludf.DUMMYFUNCTION("""COMPUTED_VALUE"""),"Universidad de Antioquia")</f>
        <v>Universidad de Antioquia</v>
      </c>
      <c r="BF56" s="11" t="str">
        <f>IFERROR(__xludf.DUMMYFUNCTION("""COMPUTED_VALUE"""),"CIDEMAT")</f>
        <v>CIDEMAT</v>
      </c>
      <c r="BG56" s="11" t="str">
        <f>IFERROR(__xludf.DUMMYFUNCTION("""COMPUTED_VALUE"""),"Cristina    Roldán-Carmona")</f>
        <v>Cristina    Roldán-Carmona</v>
      </c>
      <c r="BH56" s="11" t="str">
        <f>IFERROR(__xludf.DUMMYFUNCTION("""COMPUTED_VALUE"""),"EPFL")</f>
        <v>EPFL</v>
      </c>
      <c r="BI56" s="11" t="str">
        <f>IFERROR(__xludf.DUMMYFUNCTION("""COMPUTED_VALUE"""),"Molecular Engineering of Functional Materials")</f>
        <v>Molecular Engineering of Functional Materials</v>
      </c>
      <c r="BJ56" s="11" t="str">
        <f>IFERROR(__xludf.DUMMYFUNCTION("""COMPUTED_VALUE"""),"Maryline 
Ralaiarisoa")</f>
        <v>Maryline 
Ralaiarisoa</v>
      </c>
      <c r="BK56" s="11" t="str">
        <f>IFERROR(__xludf.DUMMYFUNCTION("""COMPUTED_VALUE"""),"Humboldt Universitat")</f>
        <v>Humboldt Universitat</v>
      </c>
      <c r="BL56" s="11" t="str">
        <f>IFERROR(__xludf.DUMMYFUNCTION("""COMPUTED_VALUE"""),"Institut fur Physik")</f>
        <v>Institut fur Physik</v>
      </c>
      <c r="BM56" s="11" t="str">
        <f>IFERROR(__xludf.DUMMYFUNCTION("""COMPUTED_VALUE"""),"Norbert Koch")</f>
        <v>Norbert Koch</v>
      </c>
      <c r="BN56" s="11" t="str">
        <f>IFERROR(__xludf.DUMMYFUNCTION("""COMPUTED_VALUE"""),"Humboldt Universitat")</f>
        <v>Humboldt Universitat</v>
      </c>
      <c r="BO56" s="11" t="str">
        <f>IFERROR(__xludf.DUMMYFUNCTION("""COMPUTED_VALUE"""),"Institut fur Physik")</f>
        <v>Institut fur Physik</v>
      </c>
      <c r="BP56" s="11" t="str">
        <f>IFERROR(__xludf.DUMMYFUNCTION("""COMPUTED_VALUE"""),"Mohammad Khaja Nazeeruddin")</f>
        <v>Mohammad Khaja Nazeeruddin</v>
      </c>
      <c r="BQ56" s="11" t="str">
        <f>IFERROR(__xludf.DUMMYFUNCTION("""COMPUTED_VALUE"""),"EPFL")</f>
        <v>EPFL</v>
      </c>
      <c r="BR56" s="11" t="str">
        <f>IFERROR(__xludf.DUMMYFUNCTION("""COMPUTED_VALUE"""),"Molecular Engineering of Functional Materials")</f>
        <v>Molecular Engineering of Functional Materials</v>
      </c>
      <c r="BS56" s="11" t="str">
        <f>IFERROR(__xludf.DUMMYFUNCTION("""COMPUTED_VALUE"""),"Franklin Jaramillo")</f>
        <v>Franklin Jaramillo</v>
      </c>
      <c r="BT56" s="11" t="str">
        <f>IFERROR(__xludf.DUMMYFUNCTION("""COMPUTED_VALUE"""),"Universidad de Antioquia")</f>
        <v>Universidad de Antioquia</v>
      </c>
      <c r="BU56" s="11" t="str">
        <f>IFERROR(__xludf.DUMMYFUNCTION("""COMPUTED_VALUE"""),"CIDEMAT")</f>
        <v>CIDEMAT</v>
      </c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 t="str">
        <f>IFERROR(__xludf.DUMMYFUNCTION("""COMPUTED_VALUE"""),"Applied Energy Materials (ISSN: 2574-0962)")</f>
        <v>Applied Energy Materials (ISSN: 2574-0962)</v>
      </c>
      <c r="CR56" s="11">
        <f>IFERROR(__xludf.DUMMYFUNCTION("""COMPUTED_VALUE"""),4.47)</f>
        <v>4.47</v>
      </c>
    </row>
    <row r="57">
      <c r="A57" s="11" t="str">
        <f>IFERROR(__xludf.DUMMYFUNCTION("""COMPUTED_VALUE"""),"Proy13")</f>
        <v>Proy13</v>
      </c>
      <c r="B57" s="11" t="str">
        <f>IFERROR(__xludf.DUMMYFUNCTION("""COMPUTED_VALUE"""),"Nuevo_Conocimiento")</f>
        <v>Nuevo_Conocimiento</v>
      </c>
      <c r="C57" s="11" t="str">
        <f>IFERROR(__xludf.DUMMYFUNCTION("""COMPUTED_VALUE"""),"Artículo A1")</f>
        <v>Artículo A1</v>
      </c>
      <c r="D57" s="11" t="str">
        <f>IFERROR(__xludf.DUMMYFUNCTION("""COMPUTED_VALUE"""),"Artículo A1")</f>
        <v>Artículo A1</v>
      </c>
      <c r="E57" s="11" t="str">
        <f>IFERROR(__xludf.DUMMYFUNCTION("""COMPUTED_VALUE"""),"Artículo A2")</f>
        <v>Artículo A2</v>
      </c>
      <c r="F57" s="11" t="str">
        <f>IFERROR(__xludf.DUMMYFUNCTION("""COMPUTED_VALUE"""),"Artículo B")</f>
        <v>Artículo B</v>
      </c>
      <c r="G57" s="11" t="str">
        <f>IFERROR(__xludf.DUMMYFUNCTION("""COMPUTED_VALUE"""),"Artículo C")</f>
        <v>Artículo C</v>
      </c>
      <c r="H57" s="11" t="str">
        <f>IFERROR(__xludf.DUMMYFUNCTION("""COMPUTED_VALUE"""),"Capítulo de libro A")</f>
        <v>Capítulo de libro A</v>
      </c>
      <c r="I57" s="11" t="str">
        <f>IFERROR(__xludf.DUMMYFUNCTION("""COMPUTED_VALUE"""),"Capítulo de libro A1")</f>
        <v>Capítulo de libro A1</v>
      </c>
      <c r="J57" s="11" t="str">
        <f>IFERROR(__xludf.DUMMYFUNCTION("""COMPUTED_VALUE"""),"Capítulo de libro B")</f>
        <v>Capítulo de libro B</v>
      </c>
      <c r="K57" s="11" t="str">
        <f>IFERROR(__xludf.DUMMYFUNCTION("""COMPUTED_VALUE"""),"Libro A")</f>
        <v>Libro A</v>
      </c>
      <c r="L57" s="11" t="str">
        <f>IFERROR(__xludf.DUMMYFUNCTION("""COMPUTED_VALUE"""),"Libro A1")</f>
        <v>Libro A1</v>
      </c>
      <c r="M57" s="11" t="str">
        <f>IFERROR(__xludf.DUMMYFUNCTION("""COMPUTED_VALUE"""),"Libro B")</f>
        <v>Libro B</v>
      </c>
      <c r="N57" s="11" t="str">
        <f>IFERROR(__xludf.DUMMYFUNCTION("""COMPUTED_VALUE"""),"Solicitud Patente de invención y-o modelo de utitlidad")</f>
        <v>Solicitud Patente de invención y-o modelo de utitlidad</v>
      </c>
      <c r="O57" s="11" t="str">
        <f>IFERROR(__xludf.DUMMYFUNCTION("""COMPUTED_VALUE"""),"Patente de invención")</f>
        <v>Patente de invención</v>
      </c>
      <c r="P57" s="11" t="str">
        <f>IFERROR(__xludf.DUMMYFUNCTION("""COMPUTED_VALUE"""),"Patente de modelo de utilidad")</f>
        <v>Patente de modelo de utilidad</v>
      </c>
      <c r="Q57" s="11" t="str">
        <f>IFERROR(__xludf.DUMMYFUNCTION("""COMPUTED_VALUE"""),"Artículo sin clasificar")</f>
        <v>Artículo sin clasificar</v>
      </c>
      <c r="R57" s="11" t="str">
        <f>IFERROR(__xludf.DUMMYFUNCTION("""COMPUTED_VALUE"""),"Capítulo sin clasificar")</f>
        <v>Capítulo sin clasificar</v>
      </c>
      <c r="S57" s="11"/>
      <c r="T57" s="11"/>
      <c r="U57" s="11" t="str">
        <f>IFERROR(__xludf.DUMMYFUNCTION("""COMPUTED_VALUE"""),"Ninguna")</f>
        <v>Ninguna</v>
      </c>
      <c r="V57" s="11"/>
      <c r="W57" s="11" t="str">
        <f>IFERROR(__xludf.DUMMYFUNCTION("""COMPUTED_VALUE"""),"Proyecto")</f>
        <v>Proyecto</v>
      </c>
      <c r="X57" s="11" t="str">
        <f>IFERROR(__xludf.DUMMYFUNCTION("""COMPUTED_VALUE"""),"UdeA ")</f>
        <v>UdeA </v>
      </c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 t="str">
        <f>IFERROR(__xludf.DUMMYFUNCTION("""COMPUTED_VALUE"""),"Ninguna")</f>
        <v>Ninguna</v>
      </c>
      <c r="AL57" s="11"/>
      <c r="AM57" s="11" t="str">
        <f>IFERROR(__xludf.DUMMYFUNCTION("""COMPUTED_VALUE"""),"Obligatorio")</f>
        <v>Obligatorio</v>
      </c>
      <c r="AN57" s="11">
        <f>IFERROR(__xludf.DUMMYFUNCTION("""COMPUTED_VALUE"""),2.0)</f>
        <v>2</v>
      </c>
      <c r="AO57" s="11">
        <f>IFERROR(__xludf.DUMMYFUNCTION("""COMPUTED_VALUE"""),1.0)</f>
        <v>1</v>
      </c>
      <c r="AP57" s="11">
        <f>IFERROR(__xludf.DUMMYFUNCTION("""COMPUTED_VALUE"""),1.0)</f>
        <v>1</v>
      </c>
      <c r="AQ57" s="11">
        <f>IFERROR(__xludf.DUMMYFUNCTION("""COMPUTED_VALUE"""),1.0)</f>
        <v>1</v>
      </c>
      <c r="AR57" s="11">
        <f>IFERROR(__xludf.DUMMYFUNCTION("""COMPUTED_VALUE"""),1.0)</f>
        <v>1</v>
      </c>
      <c r="AS57" s="11">
        <f>IFERROR(__xludf.DUMMYFUNCTION("""COMPUTED_VALUE"""),1.0)</f>
        <v>1</v>
      </c>
      <c r="AT57" s="11" t="str">
        <f>IFERROR(__xludf.DUMMYFUNCTION("""COMPUTED_VALUE"""),"DOI: 10.3390/en12193779 ")</f>
        <v>DOI: 10.3390/en12193779 </v>
      </c>
      <c r="AU57" s="15" t="str">
        <f>IFERROR(__xludf.DUMMYFUNCTION("""COMPUTED_VALUE"""),"https://drive.google.com/open?id=1JuevOshIlU83uMPxc3TYM6bN1HGgAVhU")</f>
        <v>https://drive.google.com/open?id=1JuevOshIlU83uMPxc3TYM6bN1HGgAVhU</v>
      </c>
      <c r="AV57" s="11">
        <f>IFERROR(__xludf.DUMMYFUNCTION("""COMPUTED_VALUE"""),1226.0)</f>
        <v>1226</v>
      </c>
      <c r="AW57" s="11"/>
      <c r="AX57" s="11">
        <f>IFERROR(__xludf.DUMMYFUNCTION("""COMPUTED_VALUE"""),3.0)</f>
        <v>3</v>
      </c>
      <c r="AY57" s="11" t="str">
        <f>IFERROR(__xludf.DUMMYFUNCTION("""COMPUTED_VALUE"""),"Alternative Methodology to Calculate the Directional Characteristic Settings of Directional Overcurrent Relays in Transmission and Distribution Networks")</f>
        <v>Alternative Methodology to Calculate the Directional Characteristic Settings of Directional Overcurrent Relays in Transmission and Distribution Networks</v>
      </c>
      <c r="AZ57" s="11"/>
      <c r="BA57" s="11" t="str">
        <f>IFERROR(__xludf.DUMMYFUNCTION("""COMPUTED_VALUE"""),"José de Jesús Jaramillo Serna")</f>
        <v>José de Jesús Jaramillo Serna</v>
      </c>
      <c r="BB57" s="11" t="str">
        <f>IFERROR(__xludf.DUMMYFUNCTION("""COMPUTED_VALUE"""),"Universidad de Antioquia")</f>
        <v>Universidad de Antioquia</v>
      </c>
      <c r="BC57" s="11" t="str">
        <f>IFERROR(__xludf.DUMMYFUNCTION("""COMPUTED_VALUE"""),"GIMEL")</f>
        <v>GIMEL</v>
      </c>
      <c r="BD57" s="11" t="str">
        <f>IFERROR(__xludf.DUMMYFUNCTION("""COMPUTED_VALUE"""),"Jesús M. López-Lezama")</f>
        <v>Jesús M. López-Lezama</v>
      </c>
      <c r="BE57" s="11" t="str">
        <f>IFERROR(__xludf.DUMMYFUNCTION("""COMPUTED_VALUE"""),"Universidad de Antioquia")</f>
        <v>Universidad de Antioquia</v>
      </c>
      <c r="BF57" s="11" t="str">
        <f>IFERROR(__xludf.DUMMYFUNCTION("""COMPUTED_VALUE"""),"GIMEL")</f>
        <v>GIMEL</v>
      </c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 t="str">
        <f>IFERROR(__xludf.DUMMYFUNCTION("""COMPUTED_VALUE"""),"Energies (ISSN 1996-1073)")</f>
        <v>Energies (ISSN 1996-1073)</v>
      </c>
      <c r="CR57" s="11">
        <f>IFERROR(__xludf.DUMMYFUNCTION("""COMPUTED_VALUE"""),2.7)</f>
        <v>2.7</v>
      </c>
    </row>
    <row r="58">
      <c r="A58" s="11" t="str">
        <f>IFERROR(__xludf.DUMMYFUNCTION("""COMPUTED_VALUE"""),"Proy13")</f>
        <v>Proy13</v>
      </c>
      <c r="B58" s="11" t="str">
        <f>IFERROR(__xludf.DUMMYFUNCTION("""COMPUTED_VALUE"""),"Nuevo_Conocimiento")</f>
        <v>Nuevo_Conocimiento</v>
      </c>
      <c r="C58" s="11" t="str">
        <f>IFERROR(__xludf.DUMMYFUNCTION("""COMPUTED_VALUE"""),"Artículo A1")</f>
        <v>Artículo A1</v>
      </c>
      <c r="D58" s="11" t="str">
        <f>IFERROR(__xludf.DUMMYFUNCTION("""COMPUTED_VALUE"""),"Artículo A1")</f>
        <v>Artículo A1</v>
      </c>
      <c r="E58" s="11" t="str">
        <f>IFERROR(__xludf.DUMMYFUNCTION("""COMPUTED_VALUE"""),"Artículo A2")</f>
        <v>Artículo A2</v>
      </c>
      <c r="F58" s="11" t="str">
        <f>IFERROR(__xludf.DUMMYFUNCTION("""COMPUTED_VALUE"""),"Artículo B")</f>
        <v>Artículo B</v>
      </c>
      <c r="G58" s="11" t="str">
        <f>IFERROR(__xludf.DUMMYFUNCTION("""COMPUTED_VALUE"""),"Artículo C")</f>
        <v>Artículo C</v>
      </c>
      <c r="H58" s="11" t="str">
        <f>IFERROR(__xludf.DUMMYFUNCTION("""COMPUTED_VALUE"""),"Capítulo de libro A")</f>
        <v>Capítulo de libro A</v>
      </c>
      <c r="I58" s="11" t="str">
        <f>IFERROR(__xludf.DUMMYFUNCTION("""COMPUTED_VALUE"""),"Capítulo de libro A1")</f>
        <v>Capítulo de libro A1</v>
      </c>
      <c r="J58" s="11" t="str">
        <f>IFERROR(__xludf.DUMMYFUNCTION("""COMPUTED_VALUE"""),"Capítulo de libro B")</f>
        <v>Capítulo de libro B</v>
      </c>
      <c r="K58" s="11" t="str">
        <f>IFERROR(__xludf.DUMMYFUNCTION("""COMPUTED_VALUE"""),"Libro A")</f>
        <v>Libro A</v>
      </c>
      <c r="L58" s="11" t="str">
        <f>IFERROR(__xludf.DUMMYFUNCTION("""COMPUTED_VALUE"""),"Libro A1")</f>
        <v>Libro A1</v>
      </c>
      <c r="M58" s="11" t="str">
        <f>IFERROR(__xludf.DUMMYFUNCTION("""COMPUTED_VALUE"""),"Libro B")</f>
        <v>Libro B</v>
      </c>
      <c r="N58" s="11" t="str">
        <f>IFERROR(__xludf.DUMMYFUNCTION("""COMPUTED_VALUE"""),"Solicitud Patente de invención y-o modelo de utitlidad")</f>
        <v>Solicitud Patente de invención y-o modelo de utitlidad</v>
      </c>
      <c r="O58" s="11" t="str">
        <f>IFERROR(__xludf.DUMMYFUNCTION("""COMPUTED_VALUE"""),"Patente de invención")</f>
        <v>Patente de invención</v>
      </c>
      <c r="P58" s="11" t="str">
        <f>IFERROR(__xludf.DUMMYFUNCTION("""COMPUTED_VALUE"""),"Patente de modelo de utilidad")</f>
        <v>Patente de modelo de utilidad</v>
      </c>
      <c r="Q58" s="11" t="str">
        <f>IFERROR(__xludf.DUMMYFUNCTION("""COMPUTED_VALUE"""),"Artículo sin clasificar")</f>
        <v>Artículo sin clasificar</v>
      </c>
      <c r="R58" s="11" t="str">
        <f>IFERROR(__xludf.DUMMYFUNCTION("""COMPUTED_VALUE"""),"Capítulo sin clasificar")</f>
        <v>Capítulo sin clasificar</v>
      </c>
      <c r="S58" s="11"/>
      <c r="T58" s="11"/>
      <c r="U58" s="11" t="str">
        <f>IFERROR(__xludf.DUMMYFUNCTION("""COMPUTED_VALUE"""),"Ninguna")</f>
        <v>Ninguna</v>
      </c>
      <c r="V58" s="11"/>
      <c r="W58" s="11" t="str">
        <f>IFERROR(__xludf.DUMMYFUNCTION("""COMPUTED_VALUE"""),"Programa")</f>
        <v>Programa</v>
      </c>
      <c r="X58" s="11" t="str">
        <f>IFERROR(__xludf.DUMMYFUNCTION("""COMPUTED_VALUE"""),"UdeA ")</f>
        <v>UdeA 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 t="str">
        <f>IFERROR(__xludf.DUMMYFUNCTION("""COMPUTED_VALUE"""),"Colaboración")</f>
        <v>Colaboración</v>
      </c>
      <c r="AL58" s="11" t="str">
        <f>IFERROR(__xludf.DUMMYFUNCTION("""COMPUTED_VALUE"""),"Proy15")</f>
        <v>Proy15</v>
      </c>
      <c r="AM58" s="11" t="str">
        <f>IFERROR(__xludf.DUMMYFUNCTION("""COMPUTED_VALUE"""),"Obligatorio")</f>
        <v>Obligatorio</v>
      </c>
      <c r="AN58" s="11">
        <f>IFERROR(__xludf.DUMMYFUNCTION("""COMPUTED_VALUE"""),4.0)</f>
        <v>4</v>
      </c>
      <c r="AO58" s="11">
        <f>IFERROR(__xludf.DUMMYFUNCTION("""COMPUTED_VALUE"""),3.0)</f>
        <v>3</v>
      </c>
      <c r="AP58" s="11">
        <f>IFERROR(__xludf.DUMMYFUNCTION("""COMPUTED_VALUE"""),2.0)</f>
        <v>2</v>
      </c>
      <c r="AQ58" s="11">
        <f>IFERROR(__xludf.DUMMYFUNCTION("""COMPUTED_VALUE"""),2.0)</f>
        <v>2</v>
      </c>
      <c r="AR58" s="11">
        <f>IFERROR(__xludf.DUMMYFUNCTION("""COMPUTED_VALUE"""),1.0)</f>
        <v>1</v>
      </c>
      <c r="AS58" s="11">
        <f>IFERROR(__xludf.DUMMYFUNCTION("""COMPUTED_VALUE"""),1.0)</f>
        <v>1</v>
      </c>
      <c r="AT58" s="11" t="str">
        <f>IFERROR(__xludf.DUMMYFUNCTION("""COMPUTED_VALUE"""),"DOI: :10.3390/en12224402")</f>
        <v>DOI: :10.3390/en12224402</v>
      </c>
      <c r="AU58" s="15" t="str">
        <f>IFERROR(__xludf.DUMMYFUNCTION("""COMPUTED_VALUE"""),"https://drive.google.com/open?id=1jgaVL6-vGqEFMskmX9iAOOpvepjU5dFk")</f>
        <v>https://drive.google.com/open?id=1jgaVL6-vGqEFMskmX9iAOOpvepjU5dFk</v>
      </c>
      <c r="AV58" s="11">
        <f>IFERROR(__xludf.DUMMYFUNCTION("""COMPUTED_VALUE"""),1249.0)</f>
        <v>1249</v>
      </c>
      <c r="AW58" s="11"/>
      <c r="AX58" s="11">
        <f>IFERROR(__xludf.DUMMYFUNCTION("""COMPUTED_VALUE"""),3.0)</f>
        <v>3</v>
      </c>
      <c r="AY58" s="11" t="str">
        <f>IFERROR(__xludf.DUMMYFUNCTION("""COMPUTED_VALUE"""),"Assessment and Day-Ahead Forecasting of Hourly Solar Radiation in Medellín, Colombia")</f>
        <v>Assessment and Day-Ahead Forecasting of Hourly Solar Radiation in Medellín, Colombia</v>
      </c>
      <c r="AZ58" s="11"/>
      <c r="BA58" s="11" t="str">
        <f>IFERROR(__xludf.DUMMYFUNCTION("""COMPUTED_VALUE"""),"Julián Urrego-Ortiz ")</f>
        <v>Julián Urrego-Ortiz </v>
      </c>
      <c r="BB58" s="11" t="str">
        <f>IFERROR(__xludf.DUMMYFUNCTION("""COMPUTED_VALUE"""),"Universidad de Antioquia")</f>
        <v>Universidad de Antioquia</v>
      </c>
      <c r="BC58" s="11" t="str">
        <f>IFERROR(__xludf.DUMMYFUNCTION("""COMPUTED_VALUE"""),"GIGA")</f>
        <v>GIGA</v>
      </c>
      <c r="BD58" s="11" t="str">
        <f>IFERROR(__xludf.DUMMYFUNCTION("""COMPUTED_VALUE"""),"J. Alejandro Martínez")</f>
        <v>J. Alejandro Martínez</v>
      </c>
      <c r="BE58" s="11" t="str">
        <f>IFERROR(__xludf.DUMMYFUNCTION("""COMPUTED_VALUE"""),"Universidad de Antioquia")</f>
        <v>Universidad de Antioquia</v>
      </c>
      <c r="BF58" s="11" t="str">
        <f>IFERROR(__xludf.DUMMYFUNCTION("""COMPUTED_VALUE"""),"GIGA")</f>
        <v>GIGA</v>
      </c>
      <c r="BG58" s="11" t="str">
        <f>IFERROR(__xludf.DUMMYFUNCTION("""COMPUTED_VALUE"""),"Paola A. Arias ")</f>
        <v>Paola A. Arias </v>
      </c>
      <c r="BH58" s="11" t="str">
        <f>IFERROR(__xludf.DUMMYFUNCTION("""COMPUTED_VALUE"""),"Universidad de Antioquia")</f>
        <v>Universidad de Antioquia</v>
      </c>
      <c r="BI58" s="11" t="str">
        <f>IFERROR(__xludf.DUMMYFUNCTION("""COMPUTED_VALUE"""),"GIGA")</f>
        <v>GIGA</v>
      </c>
      <c r="BJ58" s="11" t="str">
        <f>IFERROR(__xludf.DUMMYFUNCTION("""COMPUTED_VALUE"""),"Álvaro Jaramillo-Duque ")</f>
        <v>Álvaro Jaramillo-Duque </v>
      </c>
      <c r="BK58" s="11" t="str">
        <f>IFERROR(__xludf.DUMMYFUNCTION("""COMPUTED_VALUE"""),"Universidad de Antioquia")</f>
        <v>Universidad de Antioquia</v>
      </c>
      <c r="BL58" s="11" t="str">
        <f>IFERROR(__xludf.DUMMYFUNCTION("""COMPUTED_VALUE"""),"GIMEL")</f>
        <v>GIMEL</v>
      </c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 t="str">
        <f>IFERROR(__xludf.DUMMYFUNCTION("""COMPUTED_VALUE"""),"Energies (ISSN 1996-1073)")</f>
        <v>Energies (ISSN 1996-1073)</v>
      </c>
      <c r="CR58" s="11">
        <f>IFERROR(__xludf.DUMMYFUNCTION("""COMPUTED_VALUE"""),2.7)</f>
        <v>2.7</v>
      </c>
    </row>
    <row r="59">
      <c r="A59" s="11" t="str">
        <f>IFERROR(__xludf.DUMMYFUNCTION("""COMPUTED_VALUE"""),"Proy2")</f>
        <v>Proy2</v>
      </c>
      <c r="B59" s="11" t="str">
        <f>IFERROR(__xludf.DUMMYFUNCTION("""COMPUTED_VALUE"""),"Nuevo_Conocimiento")</f>
        <v>Nuevo_Conocimiento</v>
      </c>
      <c r="C59" s="11" t="str">
        <f>IFERROR(__xludf.DUMMYFUNCTION("""COMPUTED_VALUE"""),"Artículo A1")</f>
        <v>Artículo A1</v>
      </c>
      <c r="D59" s="11" t="str">
        <f>IFERROR(__xludf.DUMMYFUNCTION("""COMPUTED_VALUE"""),"Artículo A1")</f>
        <v>Artículo A1</v>
      </c>
      <c r="E59" s="11" t="str">
        <f>IFERROR(__xludf.DUMMYFUNCTION("""COMPUTED_VALUE"""),"Artículo A2")</f>
        <v>Artículo A2</v>
      </c>
      <c r="F59" s="11" t="str">
        <f>IFERROR(__xludf.DUMMYFUNCTION("""COMPUTED_VALUE"""),"Artículo B")</f>
        <v>Artículo B</v>
      </c>
      <c r="G59" s="11" t="str">
        <f>IFERROR(__xludf.DUMMYFUNCTION("""COMPUTED_VALUE"""),"Artículo C")</f>
        <v>Artículo C</v>
      </c>
      <c r="H59" s="11" t="str">
        <f>IFERROR(__xludf.DUMMYFUNCTION("""COMPUTED_VALUE"""),"Capítulo de libro A")</f>
        <v>Capítulo de libro A</v>
      </c>
      <c r="I59" s="11" t="str">
        <f>IFERROR(__xludf.DUMMYFUNCTION("""COMPUTED_VALUE"""),"Capítulo de libro A1")</f>
        <v>Capítulo de libro A1</v>
      </c>
      <c r="J59" s="11" t="str">
        <f>IFERROR(__xludf.DUMMYFUNCTION("""COMPUTED_VALUE"""),"Capítulo de libro B")</f>
        <v>Capítulo de libro B</v>
      </c>
      <c r="K59" s="11" t="str">
        <f>IFERROR(__xludf.DUMMYFUNCTION("""COMPUTED_VALUE"""),"Libro A")</f>
        <v>Libro A</v>
      </c>
      <c r="L59" s="11" t="str">
        <f>IFERROR(__xludf.DUMMYFUNCTION("""COMPUTED_VALUE"""),"Libro A1")</f>
        <v>Libro A1</v>
      </c>
      <c r="M59" s="11" t="str">
        <f>IFERROR(__xludf.DUMMYFUNCTION("""COMPUTED_VALUE"""),"Libro B")</f>
        <v>Libro B</v>
      </c>
      <c r="N59" s="11" t="str">
        <f>IFERROR(__xludf.DUMMYFUNCTION("""COMPUTED_VALUE"""),"Solicitud Patente de invención y-o modelo de utitlidad")</f>
        <v>Solicitud Patente de invención y-o modelo de utitlidad</v>
      </c>
      <c r="O59" s="11" t="str">
        <f>IFERROR(__xludf.DUMMYFUNCTION("""COMPUTED_VALUE"""),"Patente de invención")</f>
        <v>Patente de invención</v>
      </c>
      <c r="P59" s="11" t="str">
        <f>IFERROR(__xludf.DUMMYFUNCTION("""COMPUTED_VALUE"""),"Patente de modelo de utilidad")</f>
        <v>Patente de modelo de utilidad</v>
      </c>
      <c r="Q59" s="11" t="str">
        <f>IFERROR(__xludf.DUMMYFUNCTION("""COMPUTED_VALUE"""),"Artículo sin clasificar")</f>
        <v>Artículo sin clasificar</v>
      </c>
      <c r="R59" s="11" t="str">
        <f>IFERROR(__xludf.DUMMYFUNCTION("""COMPUTED_VALUE"""),"Capítulo sin clasificar")</f>
        <v>Capítulo sin clasificar</v>
      </c>
      <c r="S59" s="11"/>
      <c r="T59" s="11"/>
      <c r="U59" s="11" t="str">
        <f>IFERROR(__xludf.DUMMYFUNCTION("""COMPUTED_VALUE"""),"Ninguna")</f>
        <v>Ninguna</v>
      </c>
      <c r="V59" s="11"/>
      <c r="W59" s="11" t="str">
        <f>IFERROR(__xludf.DUMMYFUNCTION("""COMPUTED_VALUE"""),"Proyecto")</f>
        <v>Proyecto</v>
      </c>
      <c r="X59" s="11" t="str">
        <f>IFERROR(__xludf.DUMMYFUNCTION("""COMPUTED_VALUE"""),"UdeA ")</f>
        <v>UdeA 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 t="str">
        <f>IFERROR(__xludf.DUMMYFUNCTION("""COMPUTED_VALUE"""),"Insumo")</f>
        <v>Insumo</v>
      </c>
      <c r="AL59" s="11" t="str">
        <f>IFERROR(__xludf.DUMMYFUNCTION("""COMPUTED_VALUE"""),"Proy9")</f>
        <v>Proy9</v>
      </c>
      <c r="AM59" s="11" t="str">
        <f>IFERROR(__xludf.DUMMYFUNCTION("""COMPUTED_VALUE"""),"Obligatorio")</f>
        <v>Obligatorio</v>
      </c>
      <c r="AN59" s="11">
        <f>IFERROR(__xludf.DUMMYFUNCTION("""COMPUTED_VALUE"""),3.0)</f>
        <v>3</v>
      </c>
      <c r="AO59" s="11">
        <f>IFERROR(__xludf.DUMMYFUNCTION("""COMPUTED_VALUE"""),3.0)</f>
        <v>3</v>
      </c>
      <c r="AP59" s="11">
        <f>IFERROR(__xludf.DUMMYFUNCTION("""COMPUTED_VALUE"""),2.0)</f>
        <v>2</v>
      </c>
      <c r="AQ59" s="11">
        <f>IFERROR(__xludf.DUMMYFUNCTION("""COMPUTED_VALUE"""),2.0)</f>
        <v>2</v>
      </c>
      <c r="AR59" s="11">
        <f>IFERROR(__xludf.DUMMYFUNCTION("""COMPUTED_VALUE"""),1.0)</f>
        <v>1</v>
      </c>
      <c r="AS59" s="11">
        <f>IFERROR(__xludf.DUMMYFUNCTION("""COMPUTED_VALUE"""),1.0)</f>
        <v>1</v>
      </c>
      <c r="AT59" s="11" t="str">
        <f>IFERROR(__xludf.DUMMYFUNCTION("""COMPUTED_VALUE"""),"DOI: 10.1016/j.solener.2019.10.051")</f>
        <v>DOI: 10.1016/j.solener.2019.10.051</v>
      </c>
      <c r="AU59" s="15" t="str">
        <f>IFERROR(__xludf.DUMMYFUNCTION("""COMPUTED_VALUE"""),"https://drive.google.com/open?id=1bUSYgVCy-AUe6EAP64YbM3b5iKHEEJOu")</f>
        <v>https://drive.google.com/open?id=1bUSYgVCy-AUe6EAP64YbM3b5iKHEEJOu</v>
      </c>
      <c r="AV59" s="11">
        <f>IFERROR(__xludf.DUMMYFUNCTION("""COMPUTED_VALUE"""),1247.0)</f>
        <v>1247</v>
      </c>
      <c r="AW59" s="11"/>
      <c r="AX59" s="11">
        <f>IFERROR(__xludf.DUMMYFUNCTION("""COMPUTED_VALUE"""),3.0)</f>
        <v>3</v>
      </c>
      <c r="AY59" s="11" t="str">
        <f>IFERROR(__xludf.DUMMYFUNCTION("""COMPUTED_VALUE"""),"Monitoring system to evaluate the outdoor performance of solar devices considering the power rating conditions")</f>
        <v>Monitoring system to evaluate the outdoor performance of solar devices considering the power rating conditions</v>
      </c>
      <c r="AZ59" s="11"/>
      <c r="BA59" s="11" t="str">
        <f>IFERROR(__xludf.DUMMYFUNCTION("""COMPUTED_VALUE"""),"Esteban Velilla")</f>
        <v>Esteban Velilla</v>
      </c>
      <c r="BB59" s="11" t="str">
        <f>IFERROR(__xludf.DUMMYFUNCTION("""COMPUTED_VALUE"""),"Universidad de Antioquia")</f>
        <v>Universidad de Antioquia</v>
      </c>
      <c r="BC59" s="11" t="str">
        <f>IFERROR(__xludf.DUMMYFUNCTION("""COMPUTED_VALUE"""),"CIDEMAT")</f>
        <v>CIDEMAT</v>
      </c>
      <c r="BD59" s="11" t="str">
        <f>IFERROR(__xludf.DUMMYFUNCTION("""COMPUTED_VALUE"""),"Juan B. Cano")</f>
        <v>Juan B. Cano</v>
      </c>
      <c r="BE59" s="11" t="str">
        <f>IFERROR(__xludf.DUMMYFUNCTION("""COMPUTED_VALUE"""),"Universidad de Antioquia")</f>
        <v>Universidad de Antioquia</v>
      </c>
      <c r="BF59" s="11" t="str">
        <f>IFERROR(__xludf.DUMMYFUNCTION("""COMPUTED_VALUE"""),"GIMEL")</f>
        <v>GIMEL</v>
      </c>
      <c r="BG59" s="11" t="str">
        <f>IFERROR(__xludf.DUMMYFUNCTION("""COMPUTED_VALUE"""),"Franklin Jaramillo")</f>
        <v>Franklin Jaramillo</v>
      </c>
      <c r="BH59" s="11" t="str">
        <f>IFERROR(__xludf.DUMMYFUNCTION("""COMPUTED_VALUE"""),"Universidad de Antioquia")</f>
        <v>Universidad de Antioquia</v>
      </c>
      <c r="BI59" s="11" t="str">
        <f>IFERROR(__xludf.DUMMYFUNCTION("""COMPUTED_VALUE"""),"CIDEMAT")</f>
        <v>CIDEMAT</v>
      </c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 t="str">
        <f>IFERROR(__xludf.DUMMYFUNCTION("""COMPUTED_VALUE"""),"Energies (ISSN 1996-1073)")</f>
        <v>Energies (ISSN 1996-1073)</v>
      </c>
      <c r="CR59" s="11">
        <f>IFERROR(__xludf.DUMMYFUNCTION("""COMPUTED_VALUE"""),2.7)</f>
        <v>2.7</v>
      </c>
    </row>
    <row r="60">
      <c r="A60" s="11" t="str">
        <f>IFERROR(__xludf.DUMMYFUNCTION("""COMPUTED_VALUE"""),"Proy1")</f>
        <v>Proy1</v>
      </c>
      <c r="B60" s="11" t="str">
        <f>IFERROR(__xludf.DUMMYFUNCTION("""COMPUTED_VALUE"""),"Nuevo_Conocimiento")</f>
        <v>Nuevo_Conocimiento</v>
      </c>
      <c r="C60" s="11" t="str">
        <f>IFERROR(__xludf.DUMMYFUNCTION("""COMPUTED_VALUE"""),"Capítulo de libro A1")</f>
        <v>Capítulo de libro A1</v>
      </c>
      <c r="D60" s="11" t="str">
        <f>IFERROR(__xludf.DUMMYFUNCTION("""COMPUTED_VALUE"""),"Artículo A1")</f>
        <v>Artículo A1</v>
      </c>
      <c r="E60" s="11" t="str">
        <f>IFERROR(__xludf.DUMMYFUNCTION("""COMPUTED_VALUE"""),"Artículo A2")</f>
        <v>Artículo A2</v>
      </c>
      <c r="F60" s="11" t="str">
        <f>IFERROR(__xludf.DUMMYFUNCTION("""COMPUTED_VALUE"""),"Artículo B")</f>
        <v>Artículo B</v>
      </c>
      <c r="G60" s="11" t="str">
        <f>IFERROR(__xludf.DUMMYFUNCTION("""COMPUTED_VALUE"""),"Artículo C")</f>
        <v>Artículo C</v>
      </c>
      <c r="H60" s="11" t="str">
        <f>IFERROR(__xludf.DUMMYFUNCTION("""COMPUTED_VALUE"""),"Capítulo de libro A")</f>
        <v>Capítulo de libro A</v>
      </c>
      <c r="I60" s="11" t="str">
        <f>IFERROR(__xludf.DUMMYFUNCTION("""COMPUTED_VALUE"""),"Capítulo de libro A1")</f>
        <v>Capítulo de libro A1</v>
      </c>
      <c r="J60" s="11" t="str">
        <f>IFERROR(__xludf.DUMMYFUNCTION("""COMPUTED_VALUE"""),"Capítulo de libro B")</f>
        <v>Capítulo de libro B</v>
      </c>
      <c r="K60" s="11" t="str">
        <f>IFERROR(__xludf.DUMMYFUNCTION("""COMPUTED_VALUE"""),"Libro A")</f>
        <v>Libro A</v>
      </c>
      <c r="L60" s="11" t="str">
        <f>IFERROR(__xludf.DUMMYFUNCTION("""COMPUTED_VALUE"""),"Libro A1")</f>
        <v>Libro A1</v>
      </c>
      <c r="M60" s="11" t="str">
        <f>IFERROR(__xludf.DUMMYFUNCTION("""COMPUTED_VALUE"""),"Libro B")</f>
        <v>Libro B</v>
      </c>
      <c r="N60" s="11" t="str">
        <f>IFERROR(__xludf.DUMMYFUNCTION("""COMPUTED_VALUE"""),"Solicitud Patente de invención y-o modelo de utitlidad")</f>
        <v>Solicitud Patente de invención y-o modelo de utitlidad</v>
      </c>
      <c r="O60" s="11" t="str">
        <f>IFERROR(__xludf.DUMMYFUNCTION("""COMPUTED_VALUE"""),"Patente de invención")</f>
        <v>Patente de invención</v>
      </c>
      <c r="P60" s="11" t="str">
        <f>IFERROR(__xludf.DUMMYFUNCTION("""COMPUTED_VALUE"""),"Patente de modelo de utilidad")</f>
        <v>Patente de modelo de utilidad</v>
      </c>
      <c r="Q60" s="11" t="str">
        <f>IFERROR(__xludf.DUMMYFUNCTION("""COMPUTED_VALUE"""),"Artículo sin clasificar")</f>
        <v>Artículo sin clasificar</v>
      </c>
      <c r="R60" s="11" t="str">
        <f>IFERROR(__xludf.DUMMYFUNCTION("""COMPUTED_VALUE"""),"Capítulo sin clasificar")</f>
        <v>Capítulo sin clasificar</v>
      </c>
      <c r="S60" s="11"/>
      <c r="T60" s="11"/>
      <c r="U60" s="11" t="str">
        <f>IFERROR(__xludf.DUMMYFUNCTION("""COMPUTED_VALUE"""),"Ninguna")</f>
        <v>Ninguna</v>
      </c>
      <c r="V60" s="11"/>
      <c r="W60" s="11" t="str">
        <f>IFERROR(__xludf.DUMMYFUNCTION("""COMPUTED_VALUE"""),"Proyecto")</f>
        <v>Proyecto</v>
      </c>
      <c r="X60" s="11" t="str">
        <f>IFERROR(__xludf.DUMMYFUNCTION("""COMPUTED_VALUE"""),"UdeA ")</f>
        <v>UdeA </v>
      </c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 t="str">
        <f>IFERROR(__xludf.DUMMYFUNCTION("""COMPUTED_VALUE"""),"Tecnológico de Antioquia")</f>
        <v>Tecnológico de Antioquia</v>
      </c>
      <c r="AK60" s="11" t="str">
        <f>IFERROR(__xludf.DUMMYFUNCTION("""COMPUTED_VALUE"""),"Ninguna")</f>
        <v>Ninguna</v>
      </c>
      <c r="AL60" s="11"/>
      <c r="AM60" s="11" t="str">
        <f>IFERROR(__xludf.DUMMYFUNCTION("""COMPUTED_VALUE"""),"Obligatorio")</f>
        <v>Obligatorio</v>
      </c>
      <c r="AN60" s="11">
        <f>IFERROR(__xludf.DUMMYFUNCTION("""COMPUTED_VALUE"""),2.0)</f>
        <v>2</v>
      </c>
      <c r="AO60" s="11">
        <f>IFERROR(__xludf.DUMMYFUNCTION("""COMPUTED_VALUE"""),1.0)</f>
        <v>1</v>
      </c>
      <c r="AP60" s="11">
        <f>IFERROR(__xludf.DUMMYFUNCTION("""COMPUTED_VALUE"""),2.0)</f>
        <v>2</v>
      </c>
      <c r="AQ60" s="11">
        <f>IFERROR(__xludf.DUMMYFUNCTION("""COMPUTED_VALUE"""),1.0)</f>
        <v>1</v>
      </c>
      <c r="AR60" s="11">
        <f>IFERROR(__xludf.DUMMYFUNCTION("""COMPUTED_VALUE"""),2.0)</f>
        <v>2</v>
      </c>
      <c r="AS60" s="11">
        <f>IFERROR(__xludf.DUMMYFUNCTION("""COMPUTED_VALUE"""),1.0)</f>
        <v>1</v>
      </c>
      <c r="AT60" s="11" t="str">
        <f>IFERROR(__xludf.DUMMYFUNCTION("""COMPUTED_VALUE"""),"DOI: http://dx.doi.org/10.5772/intechopen.89184")</f>
        <v>DOI: http://dx.doi.org/10.5772/intechopen.89184</v>
      </c>
      <c r="AU60" s="15" t="str">
        <f>IFERROR(__xludf.DUMMYFUNCTION("""COMPUTED_VALUE"""),"https://drive.google.com/open?id=1kOlr_AEf0mbwQFfbC-YVaW3XwKet6V7V")</f>
        <v>https://drive.google.com/open?id=1kOlr_AEf0mbwQFfbC-YVaW3XwKet6V7V</v>
      </c>
      <c r="AV60" s="11"/>
      <c r="AW60" s="11"/>
      <c r="AX60" s="11">
        <f>IFERROR(__xludf.DUMMYFUNCTION("""COMPUTED_VALUE"""),3.0)</f>
        <v>3</v>
      </c>
      <c r="AY60" s="11" t="str">
        <f>IFERROR(__xludf.DUMMYFUNCTION("""COMPUTED_VALUE"""),"Computational fluid dynamic simulation of vertical axis hydrokinetic turbine")</f>
        <v>Computational fluid dynamic simulation of vertical axis hydrokinetic turbine</v>
      </c>
      <c r="AZ60" s="11" t="str">
        <f>IFERROR(__xludf.DUMMYFUNCTION("""COMPUTED_VALUE"""),"Informe 3")</f>
        <v>Informe 3</v>
      </c>
      <c r="BA60" s="11" t="str">
        <f>IFERROR(__xludf.DUMMYFUNCTION("""COMPUTED_VALUE"""),"Edwin Lenin Chica Arrieta")</f>
        <v>Edwin Lenin Chica Arrieta</v>
      </c>
      <c r="BB60" s="11" t="str">
        <f>IFERROR(__xludf.DUMMYFUNCTION("""COMPUTED_VALUE"""),"Universidad de Antioquia")</f>
        <v>Universidad de Antioquia</v>
      </c>
      <c r="BC60" s="11" t="str">
        <f>IFERROR(__xludf.DUMMYFUNCTION("""COMPUTED_VALUE"""),"Departamento de Ingeniería Mecánica")</f>
        <v>Departamento de Ingeniería Mecánica</v>
      </c>
      <c r="BD60" s="11" t="str">
        <f>IFERROR(__xludf.DUMMYFUNCTION("""COMPUTED_VALUE"""),"Ainhoa Rubio Clemente")</f>
        <v>Ainhoa Rubio Clemente</v>
      </c>
      <c r="BE60" s="11" t="str">
        <f>IFERROR(__xludf.DUMMYFUNCTION("""COMPUTED_VALUE"""),"Universidad de Antioquia")</f>
        <v>Universidad de Antioquia</v>
      </c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</row>
    <row r="61">
      <c r="A61" s="11" t="str">
        <f>IFERROR(__xludf.DUMMYFUNCTION("""COMPUTED_VALUE"""),"Proy1")</f>
        <v>Proy1</v>
      </c>
      <c r="B61" s="11" t="str">
        <f>IFERROR(__xludf.DUMMYFUNCTION("""COMPUTED_VALUE"""),"Nuevo_Conocimiento")</f>
        <v>Nuevo_Conocimiento</v>
      </c>
      <c r="C61" s="11" t="str">
        <f>IFERROR(__xludf.DUMMYFUNCTION("""COMPUTED_VALUE"""),"Artículo A1")</f>
        <v>Artículo A1</v>
      </c>
      <c r="D61" s="11" t="str">
        <f>IFERROR(__xludf.DUMMYFUNCTION("""COMPUTED_VALUE"""),"Artículo A1")</f>
        <v>Artículo A1</v>
      </c>
      <c r="E61" s="11" t="str">
        <f>IFERROR(__xludf.DUMMYFUNCTION("""COMPUTED_VALUE"""),"Artículo A2")</f>
        <v>Artículo A2</v>
      </c>
      <c r="F61" s="11" t="str">
        <f>IFERROR(__xludf.DUMMYFUNCTION("""COMPUTED_VALUE"""),"Artículo B")</f>
        <v>Artículo B</v>
      </c>
      <c r="G61" s="11" t="str">
        <f>IFERROR(__xludf.DUMMYFUNCTION("""COMPUTED_VALUE"""),"Artículo C")</f>
        <v>Artículo C</v>
      </c>
      <c r="H61" s="11" t="str">
        <f>IFERROR(__xludf.DUMMYFUNCTION("""COMPUTED_VALUE"""),"Capítulo de libro A")</f>
        <v>Capítulo de libro A</v>
      </c>
      <c r="I61" s="11" t="str">
        <f>IFERROR(__xludf.DUMMYFUNCTION("""COMPUTED_VALUE"""),"Capítulo de libro A1")</f>
        <v>Capítulo de libro A1</v>
      </c>
      <c r="J61" s="11" t="str">
        <f>IFERROR(__xludf.DUMMYFUNCTION("""COMPUTED_VALUE"""),"Capítulo de libro B")</f>
        <v>Capítulo de libro B</v>
      </c>
      <c r="K61" s="11" t="str">
        <f>IFERROR(__xludf.DUMMYFUNCTION("""COMPUTED_VALUE"""),"Libro A")</f>
        <v>Libro A</v>
      </c>
      <c r="L61" s="11" t="str">
        <f>IFERROR(__xludf.DUMMYFUNCTION("""COMPUTED_VALUE"""),"Libro A1")</f>
        <v>Libro A1</v>
      </c>
      <c r="M61" s="11" t="str">
        <f>IFERROR(__xludf.DUMMYFUNCTION("""COMPUTED_VALUE"""),"Libro B")</f>
        <v>Libro B</v>
      </c>
      <c r="N61" s="11" t="str">
        <f>IFERROR(__xludf.DUMMYFUNCTION("""COMPUTED_VALUE"""),"Solicitud Patente de invención y-o modelo de utitlidad")</f>
        <v>Solicitud Patente de invención y-o modelo de utitlidad</v>
      </c>
      <c r="O61" s="11" t="str">
        <f>IFERROR(__xludf.DUMMYFUNCTION("""COMPUTED_VALUE"""),"Patente de invención")</f>
        <v>Patente de invención</v>
      </c>
      <c r="P61" s="11" t="str">
        <f>IFERROR(__xludf.DUMMYFUNCTION("""COMPUTED_VALUE"""),"Patente de modelo de utilidad")</f>
        <v>Patente de modelo de utilidad</v>
      </c>
      <c r="Q61" s="11" t="str">
        <f>IFERROR(__xludf.DUMMYFUNCTION("""COMPUTED_VALUE"""),"Artículo sin clasificar")</f>
        <v>Artículo sin clasificar</v>
      </c>
      <c r="R61" s="11" t="str">
        <f>IFERROR(__xludf.DUMMYFUNCTION("""COMPUTED_VALUE"""),"Capítulo sin clasificar")</f>
        <v>Capítulo sin clasificar</v>
      </c>
      <c r="S61" s="11"/>
      <c r="T61" s="11"/>
      <c r="U61" s="11" t="str">
        <f>IFERROR(__xludf.DUMMYFUNCTION("""COMPUTED_VALUE"""),"Ninguna")</f>
        <v>Ninguna</v>
      </c>
      <c r="V61" s="11"/>
      <c r="W61" s="11" t="str">
        <f>IFERROR(__xludf.DUMMYFUNCTION("""COMPUTED_VALUE"""),"Proyecto")</f>
        <v>Proyecto</v>
      </c>
      <c r="X61" s="11" t="str">
        <f>IFERROR(__xludf.DUMMYFUNCTION("""COMPUTED_VALUE"""),"UdeA")</f>
        <v>UdeA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 t="str">
        <f>IFERROR(__xludf.DUMMYFUNCTION("""COMPUTED_VALUE"""),"Tecnológico de Antioquia")</f>
        <v>Tecnológico de Antioquia</v>
      </c>
      <c r="AK61" s="11" t="str">
        <f>IFERROR(__xludf.DUMMYFUNCTION("""COMPUTED_VALUE"""),"Ninguna")</f>
        <v>Ninguna</v>
      </c>
      <c r="AL61" s="11"/>
      <c r="AM61" s="11" t="str">
        <f>IFERROR(__xludf.DUMMYFUNCTION("""COMPUTED_VALUE"""),"Obligatorio")</f>
        <v>Obligatorio</v>
      </c>
      <c r="AN61" s="11">
        <f>IFERROR(__xludf.DUMMYFUNCTION("""COMPUTED_VALUE"""),4.0)</f>
        <v>4</v>
      </c>
      <c r="AO61" s="11">
        <f>IFERROR(__xludf.DUMMYFUNCTION("""COMPUTED_VALUE"""),3.0)</f>
        <v>3</v>
      </c>
      <c r="AP61" s="11">
        <f>IFERROR(__xludf.DUMMYFUNCTION("""COMPUTED_VALUE"""),2.0)</f>
        <v>2</v>
      </c>
      <c r="AQ61" s="11">
        <f>IFERROR(__xludf.DUMMYFUNCTION("""COMPUTED_VALUE"""),1.0)</f>
        <v>1</v>
      </c>
      <c r="AR61" s="11">
        <f>IFERROR(__xludf.DUMMYFUNCTION("""COMPUTED_VALUE"""),2.0)</f>
        <v>2</v>
      </c>
      <c r="AS61" s="11">
        <f>IFERROR(__xludf.DUMMYFUNCTION("""COMPUTED_VALUE"""),1.0)</f>
        <v>1</v>
      </c>
      <c r="AT61" s="11" t="str">
        <f>IFERROR(__xludf.DUMMYFUNCTION("""COMPUTED_VALUE"""),"doi:10.3390/en12244679")</f>
        <v>doi:10.3390/en12244679</v>
      </c>
      <c r="AU61" s="15" t="str">
        <f>IFERROR(__xludf.DUMMYFUNCTION("""COMPUTED_VALUE"""),"https://drive.google.com/open?id=1-HqESMEmoHDsnHsd-9yMtyorAjC-QBug")</f>
        <v>https://drive.google.com/open?id=1-HqESMEmoHDsnHsd-9yMtyorAjC-QBug</v>
      </c>
      <c r="AV61" s="11"/>
      <c r="AW61" s="11"/>
      <c r="AX61" s="11">
        <f>IFERROR(__xludf.DUMMYFUNCTION("""COMPUTED_VALUE"""),3.0)</f>
        <v>3</v>
      </c>
      <c r="AY61" s="11" t="str">
        <f>IFERROR(__xludf.DUMMYFUNCTION("""COMPUTED_VALUE"""),"Design and Optimization of a Multi-Element Hydrofoil for a Horizontal-Axis Hydrokinetic Turbine")</f>
        <v>Design and Optimization of a Multi-Element Hydrofoil for a Horizontal-Axis Hydrokinetic Turbine</v>
      </c>
      <c r="AZ61" s="11" t="str">
        <f>IFERROR(__xludf.DUMMYFUNCTION("""COMPUTED_VALUE"""),"Informe 3")</f>
        <v>Informe 3</v>
      </c>
      <c r="BA61" s="11" t="str">
        <f>IFERROR(__xludf.DUMMYFUNCTION("""COMPUTED_VALUE"""),"Jonathan Aguilar ")</f>
        <v>Jonathan Aguilar </v>
      </c>
      <c r="BB61" s="11" t="str">
        <f>IFERROR(__xludf.DUMMYFUNCTION("""COMPUTED_VALUE"""),"Universidad de Antioquia")</f>
        <v>Universidad de Antioquia</v>
      </c>
      <c r="BC61" s="11" t="str">
        <f>IFERROR(__xludf.DUMMYFUNCTION("""COMPUTED_VALUE"""),"Departamento de Ingeniería Mecánica")</f>
        <v>Departamento de Ingeniería Mecánica</v>
      </c>
      <c r="BD61" s="11" t="str">
        <f>IFERROR(__xludf.DUMMYFUNCTION("""COMPUTED_VALUE"""),"Ainhoa Rubio Clemente")</f>
        <v>Ainhoa Rubio Clemente</v>
      </c>
      <c r="BE61" s="11" t="str">
        <f>IFERROR(__xludf.DUMMYFUNCTION("""COMPUTED_VALUE"""),"Institución Universitaria TdeA")</f>
        <v>Institución Universitaria TdeA</v>
      </c>
      <c r="BF61" s="11"/>
      <c r="BG61" s="11" t="str">
        <f>IFERROR(__xludf.DUMMYFUNCTION("""COMPUTED_VALUE"""),"Laura Velasquez")</f>
        <v>Laura Velasquez</v>
      </c>
      <c r="BH61" s="11" t="str">
        <f>IFERROR(__xludf.DUMMYFUNCTION("""COMPUTED_VALUE"""),"Universidad de Antioquia")</f>
        <v>Universidad de Antioquia</v>
      </c>
      <c r="BI61" s="11"/>
      <c r="BJ61" s="11" t="str">
        <f>IFERROR(__xludf.DUMMYFUNCTION("""COMPUTED_VALUE"""),"Edwin Chica")</f>
        <v>Edwin Chica</v>
      </c>
      <c r="BK61" s="11" t="str">
        <f>IFERROR(__xludf.DUMMYFUNCTION("""COMPUTED_VALUE"""),"Universidad de Antioquia")</f>
        <v>Universidad de Antioquia</v>
      </c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 t="str">
        <f>IFERROR(__xludf.DUMMYFUNCTION("""COMPUTED_VALUE"""),"Energies (ISSN 1996-1073)")</f>
        <v>Energies (ISSN 1996-1073)</v>
      </c>
      <c r="CR61" s="11">
        <f>IFERROR(__xludf.DUMMYFUNCTION("""COMPUTED_VALUE"""),2.7)</f>
        <v>2.7</v>
      </c>
    </row>
    <row r="62">
      <c r="A62" s="11" t="str">
        <f>IFERROR(__xludf.DUMMYFUNCTION("""COMPUTED_VALUE"""),"Proy14")</f>
        <v>Proy14</v>
      </c>
      <c r="B62" s="11" t="str">
        <f>IFERROR(__xludf.DUMMYFUNCTION("""COMPUTED_VALUE"""),"Nuevo_Conocimiento")</f>
        <v>Nuevo_Conocimiento</v>
      </c>
      <c r="C62" s="11" t="str">
        <f>IFERROR(__xludf.DUMMYFUNCTION("""COMPUTED_VALUE"""),"Artículo A1")</f>
        <v>Artículo A1</v>
      </c>
      <c r="D62" s="11" t="str">
        <f>IFERROR(__xludf.DUMMYFUNCTION("""COMPUTED_VALUE"""),"Artículo A1")</f>
        <v>Artículo A1</v>
      </c>
      <c r="E62" s="11" t="str">
        <f>IFERROR(__xludf.DUMMYFUNCTION("""COMPUTED_VALUE"""),"Artículo A2")</f>
        <v>Artículo A2</v>
      </c>
      <c r="F62" s="11" t="str">
        <f>IFERROR(__xludf.DUMMYFUNCTION("""COMPUTED_VALUE"""),"Artículo B")</f>
        <v>Artículo B</v>
      </c>
      <c r="G62" s="11" t="str">
        <f>IFERROR(__xludf.DUMMYFUNCTION("""COMPUTED_VALUE"""),"Artículo C")</f>
        <v>Artículo C</v>
      </c>
      <c r="H62" s="11" t="str">
        <f>IFERROR(__xludf.DUMMYFUNCTION("""COMPUTED_VALUE"""),"Capítulo de libro A")</f>
        <v>Capítulo de libro A</v>
      </c>
      <c r="I62" s="11" t="str">
        <f>IFERROR(__xludf.DUMMYFUNCTION("""COMPUTED_VALUE"""),"Capítulo de libro A1")</f>
        <v>Capítulo de libro A1</v>
      </c>
      <c r="J62" s="11" t="str">
        <f>IFERROR(__xludf.DUMMYFUNCTION("""COMPUTED_VALUE"""),"Capítulo de libro B")</f>
        <v>Capítulo de libro B</v>
      </c>
      <c r="K62" s="11" t="str">
        <f>IFERROR(__xludf.DUMMYFUNCTION("""COMPUTED_VALUE"""),"Libro A")</f>
        <v>Libro A</v>
      </c>
      <c r="L62" s="11" t="str">
        <f>IFERROR(__xludf.DUMMYFUNCTION("""COMPUTED_VALUE"""),"Libro A1")</f>
        <v>Libro A1</v>
      </c>
      <c r="M62" s="11" t="str">
        <f>IFERROR(__xludf.DUMMYFUNCTION("""COMPUTED_VALUE"""),"Libro B")</f>
        <v>Libro B</v>
      </c>
      <c r="N62" s="11" t="str">
        <f>IFERROR(__xludf.DUMMYFUNCTION("""COMPUTED_VALUE"""),"Solicitud Patente de invención y-o modelo de utitlidad")</f>
        <v>Solicitud Patente de invención y-o modelo de utitlidad</v>
      </c>
      <c r="O62" s="11" t="str">
        <f>IFERROR(__xludf.DUMMYFUNCTION("""COMPUTED_VALUE"""),"Patente de invención")</f>
        <v>Patente de invención</v>
      </c>
      <c r="P62" s="11" t="str">
        <f>IFERROR(__xludf.DUMMYFUNCTION("""COMPUTED_VALUE"""),"Patente de modelo de utilidad")</f>
        <v>Patente de modelo de utilidad</v>
      </c>
      <c r="Q62" s="11" t="str">
        <f>IFERROR(__xludf.DUMMYFUNCTION("""COMPUTED_VALUE"""),"Artículo sin clasificar")</f>
        <v>Artículo sin clasificar</v>
      </c>
      <c r="R62" s="11" t="str">
        <f>IFERROR(__xludf.DUMMYFUNCTION("""COMPUTED_VALUE"""),"Capítulo sin clasificar")</f>
        <v>Capítulo sin clasificar</v>
      </c>
      <c r="S62" s="11"/>
      <c r="T62" s="11"/>
      <c r="U62" s="11" t="str">
        <f>IFERROR(__xludf.DUMMYFUNCTION("""COMPUTED_VALUE"""),"Ninguna")</f>
        <v>Ninguna</v>
      </c>
      <c r="V62" s="11"/>
      <c r="W62" s="11" t="str">
        <f>IFERROR(__xludf.DUMMYFUNCTION("""COMPUTED_VALUE"""),"Proyecto")</f>
        <v>Proyecto</v>
      </c>
      <c r="X62" s="11" t="str">
        <f>IFERROR(__xludf.DUMMYFUNCTION("""COMPUTED_VALUE"""),"UniValle")</f>
        <v>UniValle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 t="str">
        <f>IFERROR(__xludf.DUMMYFUNCTION("""COMPUTED_VALUE"""),"Ninguna")</f>
        <v>Ninguna</v>
      </c>
      <c r="AL62" s="11"/>
      <c r="AM62" s="11" t="str">
        <f>IFERROR(__xludf.DUMMYFUNCTION("""COMPUTED_VALUE"""),"Obligatorio")</f>
        <v>Obligatorio</v>
      </c>
      <c r="AN62" s="11">
        <f>IFERROR(__xludf.DUMMYFUNCTION("""COMPUTED_VALUE"""),2.0)</f>
        <v>2</v>
      </c>
      <c r="AO62" s="11">
        <f>IFERROR(__xludf.DUMMYFUNCTION("""COMPUTED_VALUE"""),2.0)</f>
        <v>2</v>
      </c>
      <c r="AP62" s="11">
        <f>IFERROR(__xludf.DUMMYFUNCTION("""COMPUTED_VALUE"""),1.0)</f>
        <v>1</v>
      </c>
      <c r="AQ62" s="11">
        <f>IFERROR(__xludf.DUMMYFUNCTION("""COMPUTED_VALUE"""),1.0)</f>
        <v>1</v>
      </c>
      <c r="AR62" s="11">
        <f>IFERROR(__xludf.DUMMYFUNCTION("""COMPUTED_VALUE"""),1.0)</f>
        <v>1</v>
      </c>
      <c r="AS62" s="11">
        <f>IFERROR(__xludf.DUMMYFUNCTION("""COMPUTED_VALUE"""),1.0)</f>
        <v>1</v>
      </c>
      <c r="AT62" s="11" t="str">
        <f>IFERROR(__xludf.DUMMYFUNCTION("""COMPUTED_VALUE"""),"doi: 10.1049/iet-gtd.2019.0037")</f>
        <v>doi: 10.1049/iet-gtd.2019.0037</v>
      </c>
      <c r="AU62" s="15" t="str">
        <f>IFERROR(__xludf.DUMMYFUNCTION("""COMPUTED_VALUE"""),"https://drive.google.com/open?id=1fRU-A9dt_ueHqq3bVUje8jdXWbJUYsLx")</f>
        <v>https://drive.google.com/open?id=1fRU-A9dt_ueHqq3bVUje8jdXWbJUYsLx</v>
      </c>
      <c r="AV62" s="11"/>
      <c r="AW62" s="11"/>
      <c r="AX62" s="11">
        <f>IFERROR(__xludf.DUMMYFUNCTION("""COMPUTED_VALUE"""),3.0)</f>
        <v>3</v>
      </c>
      <c r="AY62" s="11" t="str">
        <f>IFERROR(__xludf.DUMMYFUNCTION("""COMPUTED_VALUE"""),"Optimal management of electric power in microgrids under a strategic multi-objective decision-making approach and operational proportional adjustment")</f>
        <v>Optimal management of electric power in microgrids under a strategic multi-objective decision-making approach and operational proportional adjustment</v>
      </c>
      <c r="AZ62" s="11"/>
      <c r="BA62" s="11" t="str">
        <f>IFERROR(__xludf.DUMMYFUNCTION("""COMPUTED_VALUE"""),"Dany Mauricio López-Santiago")</f>
        <v>Dany Mauricio López-Santiago</v>
      </c>
      <c r="BB62" s="11" t="str">
        <f>IFERROR(__xludf.DUMMYFUNCTION("""COMPUTED_VALUE"""),"Universidad del Valle")</f>
        <v>Universidad del Valle</v>
      </c>
      <c r="BC62" s="11"/>
      <c r="BD62" s="11" t="str">
        <f>IFERROR(__xludf.DUMMYFUNCTION("""COMPUTED_VALUE"""),"Eduardo Francisco Caicedo")</f>
        <v>Eduardo Francisco Caicedo</v>
      </c>
      <c r="BE62" s="11" t="str">
        <f>IFERROR(__xludf.DUMMYFUNCTION("""COMPUTED_VALUE"""),"Universidad del Valle")</f>
        <v>Universidad del Valle</v>
      </c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 t="str">
        <f>IFERROR(__xludf.DUMMYFUNCTION("""COMPUTED_VALUE"""),"IET Generation, Transmission &amp; Distribution (ISSN 1751-8695)")</f>
        <v>IET Generation, Transmission &amp; Distribution (ISSN 1751-8695)</v>
      </c>
      <c r="CR62" s="11">
        <f>IFERROR(__xludf.DUMMYFUNCTION("""COMPUTED_VALUE"""),3.2)</f>
        <v>3.2</v>
      </c>
    </row>
    <row r="63">
      <c r="A63" s="11" t="str">
        <f>IFERROR(__xludf.DUMMYFUNCTION("""COMPUTED_VALUE"""),"Proy1")</f>
        <v>Proy1</v>
      </c>
      <c r="B63" s="11" t="str">
        <f>IFERROR(__xludf.DUMMYFUNCTION("""COMPUTED_VALUE"""),"Nuevo_Conocimiento")</f>
        <v>Nuevo_Conocimiento</v>
      </c>
      <c r="C63" s="11" t="str">
        <f>IFERROR(__xludf.DUMMYFUNCTION("""COMPUTED_VALUE"""),"Artículo A2")</f>
        <v>Artículo A2</v>
      </c>
      <c r="D63" s="11" t="str">
        <f>IFERROR(__xludf.DUMMYFUNCTION("""COMPUTED_VALUE"""),"Artículo A1")</f>
        <v>Artículo A1</v>
      </c>
      <c r="E63" s="11" t="str">
        <f>IFERROR(__xludf.DUMMYFUNCTION("""COMPUTED_VALUE"""),"Artículo A2")</f>
        <v>Artículo A2</v>
      </c>
      <c r="F63" s="11" t="str">
        <f>IFERROR(__xludf.DUMMYFUNCTION("""COMPUTED_VALUE"""),"Artículo B")</f>
        <v>Artículo B</v>
      </c>
      <c r="G63" s="11" t="str">
        <f>IFERROR(__xludf.DUMMYFUNCTION("""COMPUTED_VALUE"""),"Artículo C")</f>
        <v>Artículo C</v>
      </c>
      <c r="H63" s="11" t="str">
        <f>IFERROR(__xludf.DUMMYFUNCTION("""COMPUTED_VALUE"""),"Capítulo de libro A")</f>
        <v>Capítulo de libro A</v>
      </c>
      <c r="I63" s="11" t="str">
        <f>IFERROR(__xludf.DUMMYFUNCTION("""COMPUTED_VALUE"""),"Capítulo de libro A1")</f>
        <v>Capítulo de libro A1</v>
      </c>
      <c r="J63" s="11" t="str">
        <f>IFERROR(__xludf.DUMMYFUNCTION("""COMPUTED_VALUE"""),"Capítulo de libro B")</f>
        <v>Capítulo de libro B</v>
      </c>
      <c r="K63" s="11" t="str">
        <f>IFERROR(__xludf.DUMMYFUNCTION("""COMPUTED_VALUE"""),"Libro A")</f>
        <v>Libro A</v>
      </c>
      <c r="L63" s="11" t="str">
        <f>IFERROR(__xludf.DUMMYFUNCTION("""COMPUTED_VALUE"""),"Libro A1")</f>
        <v>Libro A1</v>
      </c>
      <c r="M63" s="11" t="str">
        <f>IFERROR(__xludf.DUMMYFUNCTION("""COMPUTED_VALUE"""),"Libro B")</f>
        <v>Libro B</v>
      </c>
      <c r="N63" s="11" t="str">
        <f>IFERROR(__xludf.DUMMYFUNCTION("""COMPUTED_VALUE"""),"Solicitud Patente de invención y-o modelo de utitlidad")</f>
        <v>Solicitud Patente de invención y-o modelo de utitlidad</v>
      </c>
      <c r="O63" s="11" t="str">
        <f>IFERROR(__xludf.DUMMYFUNCTION("""COMPUTED_VALUE"""),"Patente de invención")</f>
        <v>Patente de invención</v>
      </c>
      <c r="P63" s="11" t="str">
        <f>IFERROR(__xludf.DUMMYFUNCTION("""COMPUTED_VALUE"""),"Patente de modelo de utilidad")</f>
        <v>Patente de modelo de utilidad</v>
      </c>
      <c r="Q63" s="11" t="str">
        <f>IFERROR(__xludf.DUMMYFUNCTION("""COMPUTED_VALUE"""),"Artículo sin clasificar")</f>
        <v>Artículo sin clasificar</v>
      </c>
      <c r="R63" s="11" t="str">
        <f>IFERROR(__xludf.DUMMYFUNCTION("""COMPUTED_VALUE"""),"Capítulo sin clasificar")</f>
        <v>Capítulo sin clasificar</v>
      </c>
      <c r="S63" s="11"/>
      <c r="T63" s="11"/>
      <c r="U63" s="11" t="str">
        <f>IFERROR(__xludf.DUMMYFUNCTION("""COMPUTED_VALUE"""),"Ninguna")</f>
        <v>Ninguna</v>
      </c>
      <c r="V63" s="11"/>
      <c r="W63" s="11" t="str">
        <f>IFERROR(__xludf.DUMMYFUNCTION("""COMPUTED_VALUE"""),"Proyecto")</f>
        <v>Proyecto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 t="str">
        <f>IFERROR(__xludf.DUMMYFUNCTION("""COMPUTED_VALUE"""),"Tecnológico de Antioquia")</f>
        <v>Tecnológico de Antioquia</v>
      </c>
      <c r="AK63" s="11" t="str">
        <f>IFERROR(__xludf.DUMMYFUNCTION("""COMPUTED_VALUE"""),"Ninguna")</f>
        <v>Ninguna</v>
      </c>
      <c r="AL63" s="11"/>
      <c r="AM63" s="11" t="str">
        <f>IFERROR(__xludf.DUMMYFUNCTION("""COMPUTED_VALUE"""),"Obligatorio")</f>
        <v>Obligatorio</v>
      </c>
      <c r="AN63" s="11">
        <f>IFERROR(__xludf.DUMMYFUNCTION("""COMPUTED_VALUE"""),3.0)</f>
        <v>3</v>
      </c>
      <c r="AO63" s="11">
        <f>IFERROR(__xludf.DUMMYFUNCTION("""COMPUTED_VALUE"""),1.0)</f>
        <v>1</v>
      </c>
      <c r="AP63" s="11">
        <f>IFERROR(__xludf.DUMMYFUNCTION("""COMPUTED_VALUE"""),2.0)</f>
        <v>2</v>
      </c>
      <c r="AQ63" s="11">
        <f>IFERROR(__xludf.DUMMYFUNCTION("""COMPUTED_VALUE"""),1.0)</f>
        <v>1</v>
      </c>
      <c r="AR63" s="11">
        <f>IFERROR(__xludf.DUMMYFUNCTION("""COMPUTED_VALUE"""),2.0)</f>
        <v>2</v>
      </c>
      <c r="AS63" s="11">
        <f>IFERROR(__xludf.DUMMYFUNCTION("""COMPUTED_VALUE"""),1.0)</f>
        <v>1</v>
      </c>
      <c r="AT63" s="11" t="str">
        <f>IFERROR(__xludf.DUMMYFUNCTION("""COMPUTED_VALUE"""),"doi: doi.org/10.15282/jmes.13.4.2019.21.04")</f>
        <v>doi: doi.org/10.15282/jmes.13.4.2019.21.04</v>
      </c>
      <c r="AU63" s="15" t="str">
        <f>IFERROR(__xludf.DUMMYFUNCTION("""COMPUTED_VALUE"""),"https://drive.google.com/open?id=1fzABheyKGjcUHZZeep37nTuZMPb-niC9")</f>
        <v>https://drive.google.com/open?id=1fzABheyKGjcUHZZeep37nTuZMPb-niC9</v>
      </c>
      <c r="AV63" s="11"/>
      <c r="AW63" s="11"/>
      <c r="AX63" s="11">
        <f>IFERROR(__xludf.DUMMYFUNCTION("""COMPUTED_VALUE"""),3.0)</f>
        <v>3</v>
      </c>
      <c r="AY63" s="11" t="str">
        <f>IFERROR(__xludf.DUMMYFUNCTION("""COMPUTED_VALUE"""),"Design and numerical analysis of an efficient H-Darrieus vertical-axis hydrokinetic turbine")</f>
        <v>Design and numerical analysis of an efficient H-Darrieus vertical-axis hydrokinetic turbine</v>
      </c>
      <c r="AZ63" s="11" t="str">
        <f>IFERROR(__xludf.DUMMYFUNCTION("""COMPUTED_VALUE"""),"Informe 3")</f>
        <v>Informe 3</v>
      </c>
      <c r="BA63" s="11" t="str">
        <f>IFERROR(__xludf.DUMMYFUNCTION("""COMPUTED_VALUE"""),"Ramirez D")</f>
        <v>Ramirez D</v>
      </c>
      <c r="BB63" s="11" t="str">
        <f>IFERROR(__xludf.DUMMYFUNCTION("""COMPUTED_VALUE"""),"Universidad de Antioquia")</f>
        <v>Universidad de Antioquia</v>
      </c>
      <c r="BC63" s="11"/>
      <c r="BD63" s="11" t="str">
        <f>IFERROR(__xludf.DUMMYFUNCTION("""COMPUTED_VALUE"""),"Ainhoa Rubio Clemente")</f>
        <v>Ainhoa Rubio Clemente</v>
      </c>
      <c r="BE63" s="11" t="str">
        <f>IFERROR(__xludf.DUMMYFUNCTION("""COMPUTED_VALUE"""),"Universidad de Antioquia")</f>
        <v>Universidad de Antioquia</v>
      </c>
      <c r="BF63" s="11"/>
      <c r="BG63" s="11" t="str">
        <f>IFERROR(__xludf.DUMMYFUNCTION("""COMPUTED_VALUE"""),"Edwin Lenin Chica ")</f>
        <v>Edwin Lenin Chica </v>
      </c>
      <c r="BH63" s="11" t="str">
        <f>IFERROR(__xludf.DUMMYFUNCTION("""COMPUTED_VALUE"""),"Universidad de Antioquia")</f>
        <v>Universidad de Antioquia</v>
      </c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 t="str">
        <f>IFERROR(__xludf.DUMMYFUNCTION("""COMPUTED_VALUE"""),"JOURNAL OF MECHANICAL ENGINEERING AND SCIENCES (JMES) (ISSN: 2231-8380)")</f>
        <v>JOURNAL OF MECHANICAL ENGINEERING AND SCIENCES (JMES) (ISSN: 2231-8380)</v>
      </c>
      <c r="CR63" s="11"/>
    </row>
    <row r="64">
      <c r="A64" s="11" t="str">
        <f>IFERROR(__xludf.DUMMYFUNCTION("""COMPUTED_VALUE"""),"Proy12")</f>
        <v>Proy12</v>
      </c>
      <c r="B64" s="11" t="str">
        <f>IFERROR(__xludf.DUMMYFUNCTION("""COMPUTED_VALUE"""),"Nuevo_Conocimiento")</f>
        <v>Nuevo_Conocimiento</v>
      </c>
      <c r="C64" s="11" t="str">
        <f>IFERROR(__xludf.DUMMYFUNCTION("""COMPUTED_VALUE"""),"Artículo A1")</f>
        <v>Artículo A1</v>
      </c>
      <c r="D64" s="11" t="str">
        <f>IFERROR(__xludf.DUMMYFUNCTION("""COMPUTED_VALUE"""),"Artículo A1")</f>
        <v>Artículo A1</v>
      </c>
      <c r="E64" s="11" t="str">
        <f>IFERROR(__xludf.DUMMYFUNCTION("""COMPUTED_VALUE"""),"Artículo A2")</f>
        <v>Artículo A2</v>
      </c>
      <c r="F64" s="11" t="str">
        <f>IFERROR(__xludf.DUMMYFUNCTION("""COMPUTED_VALUE"""),"Artículo B")</f>
        <v>Artículo B</v>
      </c>
      <c r="G64" s="11" t="str">
        <f>IFERROR(__xludf.DUMMYFUNCTION("""COMPUTED_VALUE"""),"Artículo C")</f>
        <v>Artículo C</v>
      </c>
      <c r="H64" s="11" t="str">
        <f>IFERROR(__xludf.DUMMYFUNCTION("""COMPUTED_VALUE"""),"Capítulo de libro A")</f>
        <v>Capítulo de libro A</v>
      </c>
      <c r="I64" s="11" t="str">
        <f>IFERROR(__xludf.DUMMYFUNCTION("""COMPUTED_VALUE"""),"Capítulo de libro A1")</f>
        <v>Capítulo de libro A1</v>
      </c>
      <c r="J64" s="11" t="str">
        <f>IFERROR(__xludf.DUMMYFUNCTION("""COMPUTED_VALUE"""),"Capítulo de libro B")</f>
        <v>Capítulo de libro B</v>
      </c>
      <c r="K64" s="11" t="str">
        <f>IFERROR(__xludf.DUMMYFUNCTION("""COMPUTED_VALUE"""),"Libro A")</f>
        <v>Libro A</v>
      </c>
      <c r="L64" s="11" t="str">
        <f>IFERROR(__xludf.DUMMYFUNCTION("""COMPUTED_VALUE"""),"Libro A1")</f>
        <v>Libro A1</v>
      </c>
      <c r="M64" s="11" t="str">
        <f>IFERROR(__xludf.DUMMYFUNCTION("""COMPUTED_VALUE"""),"Libro B")</f>
        <v>Libro B</v>
      </c>
      <c r="N64" s="11" t="str">
        <f>IFERROR(__xludf.DUMMYFUNCTION("""COMPUTED_VALUE"""),"Solicitud Patente de invención y-o modelo de utitlidad")</f>
        <v>Solicitud Patente de invención y-o modelo de utitlidad</v>
      </c>
      <c r="O64" s="11" t="str">
        <f>IFERROR(__xludf.DUMMYFUNCTION("""COMPUTED_VALUE"""),"Patente de invención")</f>
        <v>Patente de invención</v>
      </c>
      <c r="P64" s="11" t="str">
        <f>IFERROR(__xludf.DUMMYFUNCTION("""COMPUTED_VALUE"""),"Patente de modelo de utilidad")</f>
        <v>Patente de modelo de utilidad</v>
      </c>
      <c r="Q64" s="11" t="str">
        <f>IFERROR(__xludf.DUMMYFUNCTION("""COMPUTED_VALUE"""),"Artículo sin clasificar")</f>
        <v>Artículo sin clasificar</v>
      </c>
      <c r="R64" s="11" t="str">
        <f>IFERROR(__xludf.DUMMYFUNCTION("""COMPUTED_VALUE"""),"Capítulo sin clasificar")</f>
        <v>Capítulo sin clasificar</v>
      </c>
      <c r="S64" s="11"/>
      <c r="T64" s="11"/>
      <c r="U64" s="11" t="str">
        <f>IFERROR(__xludf.DUMMYFUNCTION("""COMPUTED_VALUE"""),"Otros actores")</f>
        <v>Otros actores</v>
      </c>
      <c r="V64" s="11" t="str">
        <f>IFERROR(__xludf.DUMMYFUNCTION("""COMPUTED_VALUE"""),"Universidad de Castilla La Mancha")</f>
        <v>Universidad de Castilla La Mancha</v>
      </c>
      <c r="W64" s="11" t="str">
        <f>IFERROR(__xludf.DUMMYFUNCTION("""COMPUTED_VALUE"""),"Proyecto")</f>
        <v>Proyecto</v>
      </c>
      <c r="X64" s="11" t="str">
        <f>IFERROR(__xludf.DUMMYFUNCTION("""COMPUTED_VALUE"""),"UdeA ")</f>
        <v>UdeA </v>
      </c>
      <c r="Y64" s="11"/>
      <c r="Z64" s="11"/>
      <c r="AA64" s="11"/>
      <c r="AB64" s="11" t="str">
        <f>IFERROR(__xludf.DUMMYFUNCTION("""COMPUTED_VALUE"""),"UdeA ")</f>
        <v>UdeA </v>
      </c>
      <c r="AC64" s="11" t="str">
        <f>IFERROR(__xludf.DUMMYFUNCTION("""COMPUTED_VALUE"""),"UniCauca")</f>
        <v>UniCauca</v>
      </c>
      <c r="AD64" s="11"/>
      <c r="AE64" s="11"/>
      <c r="AF64" s="11"/>
      <c r="AG64" s="11"/>
      <c r="AH64" s="11"/>
      <c r="AI64" s="11"/>
      <c r="AJ64" s="11"/>
      <c r="AK64" s="11" t="str">
        <f>IFERROR(__xludf.DUMMYFUNCTION("""COMPUTED_VALUE"""),"Ninguna")</f>
        <v>Ninguna</v>
      </c>
      <c r="AL64" s="11"/>
      <c r="AM64" s="11" t="str">
        <f>IFERROR(__xludf.DUMMYFUNCTION("""COMPUTED_VALUE"""),"Obligatorio")</f>
        <v>Obligatorio</v>
      </c>
      <c r="AN64" s="11">
        <f>IFERROR(__xludf.DUMMYFUNCTION("""COMPUTED_VALUE"""),3.0)</f>
        <v>3</v>
      </c>
      <c r="AO64" s="11">
        <f>IFERROR(__xludf.DUMMYFUNCTION("""COMPUTED_VALUE"""),1.0)</f>
        <v>1</v>
      </c>
      <c r="AP64" s="11">
        <f>IFERROR(__xludf.DUMMYFUNCTION("""COMPUTED_VALUE"""),2.0)</f>
        <v>2</v>
      </c>
      <c r="AQ64" s="11">
        <f>IFERROR(__xludf.DUMMYFUNCTION("""COMPUTED_VALUE"""),1.0)</f>
        <v>1</v>
      </c>
      <c r="AR64" s="11">
        <f>IFERROR(__xludf.DUMMYFUNCTION("""COMPUTED_VALUE"""),2.0)</f>
        <v>2</v>
      </c>
      <c r="AS64" s="11">
        <f>IFERROR(__xludf.DUMMYFUNCTION("""COMPUTED_VALUE"""),1.0)</f>
        <v>1</v>
      </c>
      <c r="AT64" s="11" t="str">
        <f>IFERROR(__xludf.DUMMYFUNCTION("""COMPUTED_VALUE"""),"DOI 10.1021/acs.iecr.9b00843")</f>
        <v>DOI 10.1021/acs.iecr.9b00843</v>
      </c>
      <c r="AU64" s="15" t="str">
        <f>IFERROR(__xludf.DUMMYFUNCTION("""COMPUTED_VALUE"""),"https://drive.google.com/open?id=17tqNt3mFAX4zhX3GU6aHCk0cWHh1rnba")</f>
        <v>https://drive.google.com/open?id=17tqNt3mFAX4zhX3GU6aHCk0cWHh1rnba</v>
      </c>
      <c r="AV64" s="11">
        <f>IFERROR(__xludf.DUMMYFUNCTION("""COMPUTED_VALUE"""),1099.0)</f>
        <v>1099</v>
      </c>
      <c r="AW64" s="11"/>
      <c r="AX64" s="11">
        <f>IFERROR(__xludf.DUMMYFUNCTION("""COMPUTED_VALUE"""),2.0)</f>
        <v>2</v>
      </c>
      <c r="AY64" s="11" t="str">
        <f>IFERROR(__xludf.DUMMYFUNCTION("""COMPUTED_VALUE"""),"Prediction of Flash-Point Temperature of Alcohol/Biodiesel/Diesel Fuel Blends")</f>
        <v>Prediction of Flash-Point Temperature of Alcohol/Biodiesel/Diesel Fuel Blends</v>
      </c>
      <c r="AZ64" s="11"/>
      <c r="BA64" s="11" t="str">
        <f>IFERROR(__xludf.DUMMYFUNCTION("""COMPUTED_VALUE"""),"Arnaldo Álvarez")</f>
        <v>Arnaldo Álvarez</v>
      </c>
      <c r="BB64" s="11" t="str">
        <f>IFERROR(__xludf.DUMMYFUNCTION("""COMPUTED_VALUE"""),"Universidad de Antioquia")</f>
        <v>Universidad de Antioquia</v>
      </c>
      <c r="BC64" s="11"/>
      <c r="BD64" s="11" t="str">
        <f>IFERROR(__xludf.DUMMYFUNCTION("""COMPUTED_VALUE"""),"Magín Lapuerta")</f>
        <v>Magín Lapuerta</v>
      </c>
      <c r="BE64" s="11" t="str">
        <f>IFERROR(__xludf.DUMMYFUNCTION("""COMPUTED_VALUE"""),"Universidad de Castilla-La mancha")</f>
        <v>Universidad de Castilla-La mancha</v>
      </c>
      <c r="BF64" s="11"/>
      <c r="BG64" s="11" t="str">
        <f>IFERROR(__xludf.DUMMYFUNCTION("""COMPUTED_VALUE"""),"John R. Agudelo")</f>
        <v>John R. Agudelo</v>
      </c>
      <c r="BH64" s="11" t="str">
        <f>IFERROR(__xludf.DUMMYFUNCTION("""COMPUTED_VALUE"""),"Universidad de Antioquia")</f>
        <v>Universidad de Antioquia</v>
      </c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 t="str">
        <f>IFERROR(__xludf.DUMMYFUNCTION("""COMPUTED_VALUE"""),"Industrial &amp; Engineering Chemistry Research")</f>
        <v>Industrial &amp; Engineering Chemistry Research</v>
      </c>
      <c r="CR64" s="11">
        <f>IFERROR(__xludf.DUMMYFUNCTION("""COMPUTED_VALUE"""),3.57)</f>
        <v>3.57</v>
      </c>
    </row>
    <row r="65">
      <c r="A65" s="11" t="str">
        <f>IFERROR(__xludf.DUMMYFUNCTION("""COMPUTED_VALUE"""),"Proy13")</f>
        <v>Proy13</v>
      </c>
      <c r="B65" s="11" t="str">
        <f>IFERROR(__xludf.DUMMYFUNCTION("""COMPUTED_VALUE"""),"Nuevo_Conocimiento")</f>
        <v>Nuevo_Conocimiento</v>
      </c>
      <c r="C65" s="11" t="str">
        <f>IFERROR(__xludf.DUMMYFUNCTION("""COMPUTED_VALUE"""),"Artículo A1")</f>
        <v>Artículo A1</v>
      </c>
      <c r="D65" s="11" t="str">
        <f>IFERROR(__xludf.DUMMYFUNCTION("""COMPUTED_VALUE"""),"Artículo A1")</f>
        <v>Artículo A1</v>
      </c>
      <c r="E65" s="11" t="str">
        <f>IFERROR(__xludf.DUMMYFUNCTION("""COMPUTED_VALUE"""),"Artículo A2")</f>
        <v>Artículo A2</v>
      </c>
      <c r="F65" s="11" t="str">
        <f>IFERROR(__xludf.DUMMYFUNCTION("""COMPUTED_VALUE"""),"Artículo B")</f>
        <v>Artículo B</v>
      </c>
      <c r="G65" s="11" t="str">
        <f>IFERROR(__xludf.DUMMYFUNCTION("""COMPUTED_VALUE"""),"Artículo C")</f>
        <v>Artículo C</v>
      </c>
      <c r="H65" s="11" t="str">
        <f>IFERROR(__xludf.DUMMYFUNCTION("""COMPUTED_VALUE"""),"Capítulo de libro A")</f>
        <v>Capítulo de libro A</v>
      </c>
      <c r="I65" s="11" t="str">
        <f>IFERROR(__xludf.DUMMYFUNCTION("""COMPUTED_VALUE"""),"Capítulo de libro A1")</f>
        <v>Capítulo de libro A1</v>
      </c>
      <c r="J65" s="11" t="str">
        <f>IFERROR(__xludf.DUMMYFUNCTION("""COMPUTED_VALUE"""),"Capítulo de libro B")</f>
        <v>Capítulo de libro B</v>
      </c>
      <c r="K65" s="11" t="str">
        <f>IFERROR(__xludf.DUMMYFUNCTION("""COMPUTED_VALUE"""),"Libro A")</f>
        <v>Libro A</v>
      </c>
      <c r="L65" s="11" t="str">
        <f>IFERROR(__xludf.DUMMYFUNCTION("""COMPUTED_VALUE"""),"Libro A1")</f>
        <v>Libro A1</v>
      </c>
      <c r="M65" s="11" t="str">
        <f>IFERROR(__xludf.DUMMYFUNCTION("""COMPUTED_VALUE"""),"Libro B")</f>
        <v>Libro B</v>
      </c>
      <c r="N65" s="11" t="str">
        <f>IFERROR(__xludf.DUMMYFUNCTION("""COMPUTED_VALUE"""),"Solicitud Patente de invención y-o modelo de utitlidad")</f>
        <v>Solicitud Patente de invención y-o modelo de utitlidad</v>
      </c>
      <c r="O65" s="11" t="str">
        <f>IFERROR(__xludf.DUMMYFUNCTION("""COMPUTED_VALUE"""),"Patente de invención")</f>
        <v>Patente de invención</v>
      </c>
      <c r="P65" s="11" t="str">
        <f>IFERROR(__xludf.DUMMYFUNCTION("""COMPUTED_VALUE"""),"Patente de modelo de utilidad")</f>
        <v>Patente de modelo de utilidad</v>
      </c>
      <c r="Q65" s="11" t="str">
        <f>IFERROR(__xludf.DUMMYFUNCTION("""COMPUTED_VALUE"""),"Artículo sin clasificar")</f>
        <v>Artículo sin clasificar</v>
      </c>
      <c r="R65" s="11" t="str">
        <f>IFERROR(__xludf.DUMMYFUNCTION("""COMPUTED_VALUE"""),"Capítulo sin clasificar")</f>
        <v>Capítulo sin clasificar</v>
      </c>
      <c r="S65" s="11"/>
      <c r="T65" s="11"/>
      <c r="U65" s="11" t="str">
        <f>IFERROR(__xludf.DUMMYFUNCTION("""COMPUTED_VALUE"""),"Ninguna")</f>
        <v>Ninguna</v>
      </c>
      <c r="V65" s="11"/>
      <c r="W65" s="11" t="str">
        <f>IFERROR(__xludf.DUMMYFUNCTION("""COMPUTED_VALUE"""),"Proyecto")</f>
        <v>Proyecto</v>
      </c>
      <c r="X65" s="11" t="str">
        <f>IFERROR(__xludf.DUMMYFUNCTION("""COMPUTED_VALUE"""),"UdeA ")</f>
        <v>UdeA 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 t="str">
        <f>IFERROR(__xludf.DUMMYFUNCTION("""COMPUTED_VALUE"""),"Ninguna")</f>
        <v>Ninguna</v>
      </c>
      <c r="AL65" s="11"/>
      <c r="AM65" s="11" t="str">
        <f>IFERROR(__xludf.DUMMYFUNCTION("""COMPUTED_VALUE"""),"Obligatorio")</f>
        <v>Obligatorio</v>
      </c>
      <c r="AN65" s="11">
        <f>IFERROR(__xludf.DUMMYFUNCTION("""COMPUTED_VALUE"""),2.0)</f>
        <v>2</v>
      </c>
      <c r="AO65" s="11">
        <f>IFERROR(__xludf.DUMMYFUNCTION("""COMPUTED_VALUE"""),1.0)</f>
        <v>1</v>
      </c>
      <c r="AP65" s="11">
        <f>IFERROR(__xludf.DUMMYFUNCTION("""COMPUTED_VALUE"""),1.0)</f>
        <v>1</v>
      </c>
      <c r="AQ65" s="11">
        <f>IFERROR(__xludf.DUMMYFUNCTION("""COMPUTED_VALUE"""),1.0)</f>
        <v>1</v>
      </c>
      <c r="AR65" s="11">
        <f>IFERROR(__xludf.DUMMYFUNCTION("""COMPUTED_VALUE"""),1.0)</f>
        <v>1</v>
      </c>
      <c r="AS65" s="11">
        <f>IFERROR(__xludf.DUMMYFUNCTION("""COMPUTED_VALUE"""),1.0)</f>
        <v>1</v>
      </c>
      <c r="AT65" s="11" t="str">
        <f>IFERROR(__xludf.DUMMYFUNCTION("""COMPUTED_VALUE"""),"DOI:10.3390/en12071290")</f>
        <v>DOI:10.3390/en12071290</v>
      </c>
      <c r="AU65" s="15" t="str">
        <f>IFERROR(__xludf.DUMMYFUNCTION("""COMPUTED_VALUE"""),"https://drive.google.com/open?id=1Mhog12DdtDtCQJoCGSTbSIRVnrbAx92m")</f>
        <v>https://drive.google.com/open?id=1Mhog12DdtDtCQJoCGSTbSIRVnrbAx92m</v>
      </c>
      <c r="AV65" s="11">
        <f>IFERROR(__xludf.DUMMYFUNCTION("""COMPUTED_VALUE"""),1094.0)</f>
        <v>1094</v>
      </c>
      <c r="AW65" s="11"/>
      <c r="AX65" s="11">
        <f>IFERROR(__xludf.DUMMYFUNCTION("""COMPUTED_VALUE"""),2.0)</f>
        <v>2</v>
      </c>
      <c r="AY65" s="11" t="str">
        <f>IFERROR(__xludf.DUMMYFUNCTION("""COMPUTED_VALUE"""),"Calculation of Distance Protection Settings in Mutually Coupled Transmission Lines: A Comparative Analysis")</f>
        <v>Calculation of Distance Protection Settings in Mutually Coupled Transmission Lines: A Comparative Analysis</v>
      </c>
      <c r="AZ65" s="11"/>
      <c r="BA65" s="11" t="str">
        <f>IFERROR(__xludf.DUMMYFUNCTION("""COMPUTED_VALUE"""),"José de Jesús Jaramillo Serna ")</f>
        <v>José de Jesús Jaramillo Serna </v>
      </c>
      <c r="BB65" s="11" t="str">
        <f>IFERROR(__xludf.DUMMYFUNCTION("""COMPUTED_VALUE"""),"Universidad de Antioquia")</f>
        <v>Universidad de Antioquia</v>
      </c>
      <c r="BC65" s="11" t="str">
        <f>IFERROR(__xludf.DUMMYFUNCTION("""COMPUTED_VALUE"""),"GIMEL")</f>
        <v>GIMEL</v>
      </c>
      <c r="BD65" s="11" t="str">
        <f>IFERROR(__xludf.DUMMYFUNCTION("""COMPUTED_VALUE"""),"Jesús M. López-Lezama ")</f>
        <v>Jesús M. López-Lezama </v>
      </c>
      <c r="BE65" s="11" t="str">
        <f>IFERROR(__xludf.DUMMYFUNCTION("""COMPUTED_VALUE"""),"Universidad de Antioquia")</f>
        <v>Universidad de Antioquia</v>
      </c>
      <c r="BF65" s="11" t="str">
        <f>IFERROR(__xludf.DUMMYFUNCTION("""COMPUTED_VALUE"""),"GIMEL")</f>
        <v>GIMEL</v>
      </c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 t="str">
        <f>IFERROR(__xludf.DUMMYFUNCTION("""COMPUTED_VALUE"""),"Energies (ISSN 1996-1073)")</f>
        <v>Energies (ISSN 1996-1073)</v>
      </c>
      <c r="CR65" s="11">
        <f>IFERROR(__xludf.DUMMYFUNCTION("""COMPUTED_VALUE"""),2.7)</f>
        <v>2.7</v>
      </c>
    </row>
    <row r="66">
      <c r="A66" s="11" t="str">
        <f>IFERROR(__xludf.DUMMYFUNCTION("""COMPUTED_VALUE"""),"Proy4")</f>
        <v>Proy4</v>
      </c>
      <c r="B66" s="11" t="str">
        <f>IFERROR(__xludf.DUMMYFUNCTION("""COMPUTED_VALUE"""),"Nuevo_Conocimiento")</f>
        <v>Nuevo_Conocimiento</v>
      </c>
      <c r="C66" s="11" t="str">
        <f>IFERROR(__xludf.DUMMYFUNCTION("""COMPUTED_VALUE"""),"Artículo A1")</f>
        <v>Artículo A1</v>
      </c>
      <c r="D66" s="11" t="str">
        <f>IFERROR(__xludf.DUMMYFUNCTION("""COMPUTED_VALUE"""),"Artículo A1")</f>
        <v>Artículo A1</v>
      </c>
      <c r="E66" s="11" t="str">
        <f>IFERROR(__xludf.DUMMYFUNCTION("""COMPUTED_VALUE"""),"Artículo A2")</f>
        <v>Artículo A2</v>
      </c>
      <c r="F66" s="11" t="str">
        <f>IFERROR(__xludf.DUMMYFUNCTION("""COMPUTED_VALUE"""),"Artículo B")</f>
        <v>Artículo B</v>
      </c>
      <c r="G66" s="11" t="str">
        <f>IFERROR(__xludf.DUMMYFUNCTION("""COMPUTED_VALUE"""),"Artículo C")</f>
        <v>Artículo C</v>
      </c>
      <c r="H66" s="11" t="str">
        <f>IFERROR(__xludf.DUMMYFUNCTION("""COMPUTED_VALUE"""),"Capítulo de libro A")</f>
        <v>Capítulo de libro A</v>
      </c>
      <c r="I66" s="11" t="str">
        <f>IFERROR(__xludf.DUMMYFUNCTION("""COMPUTED_VALUE"""),"Capítulo de libro A1")</f>
        <v>Capítulo de libro A1</v>
      </c>
      <c r="J66" s="11" t="str">
        <f>IFERROR(__xludf.DUMMYFUNCTION("""COMPUTED_VALUE"""),"Capítulo de libro B")</f>
        <v>Capítulo de libro B</v>
      </c>
      <c r="K66" s="11" t="str">
        <f>IFERROR(__xludf.DUMMYFUNCTION("""COMPUTED_VALUE"""),"Libro A")</f>
        <v>Libro A</v>
      </c>
      <c r="L66" s="11" t="str">
        <f>IFERROR(__xludf.DUMMYFUNCTION("""COMPUTED_VALUE"""),"Libro A1")</f>
        <v>Libro A1</v>
      </c>
      <c r="M66" s="11" t="str">
        <f>IFERROR(__xludf.DUMMYFUNCTION("""COMPUTED_VALUE"""),"Libro B")</f>
        <v>Libro B</v>
      </c>
      <c r="N66" s="11" t="str">
        <f>IFERROR(__xludf.DUMMYFUNCTION("""COMPUTED_VALUE"""),"Solicitud Patente de invención y-o modelo de utitlidad")</f>
        <v>Solicitud Patente de invención y-o modelo de utitlidad</v>
      </c>
      <c r="O66" s="11" t="str">
        <f>IFERROR(__xludf.DUMMYFUNCTION("""COMPUTED_VALUE"""),"Patente de invención")</f>
        <v>Patente de invención</v>
      </c>
      <c r="P66" s="11" t="str">
        <f>IFERROR(__xludf.DUMMYFUNCTION("""COMPUTED_VALUE"""),"Patente de modelo de utilidad")</f>
        <v>Patente de modelo de utilidad</v>
      </c>
      <c r="Q66" s="11" t="str">
        <f>IFERROR(__xludf.DUMMYFUNCTION("""COMPUTED_VALUE"""),"Artículo sin clasificar")</f>
        <v>Artículo sin clasificar</v>
      </c>
      <c r="R66" s="11" t="str">
        <f>IFERROR(__xludf.DUMMYFUNCTION("""COMPUTED_VALUE"""),"Capítulo sin clasificar")</f>
        <v>Capítulo sin clasificar</v>
      </c>
      <c r="S66" s="11"/>
      <c r="T66" s="11"/>
      <c r="U66" s="11" t="str">
        <f>IFERROR(__xludf.DUMMYFUNCTION("""COMPUTED_VALUE"""),"Ninguna")</f>
        <v>Ninguna</v>
      </c>
      <c r="V66" s="11"/>
      <c r="W66" s="11" t="str">
        <f>IFERROR(__xludf.DUMMYFUNCTION("""COMPUTED_VALUE"""),"Proyecto")</f>
        <v>Proyecto</v>
      </c>
      <c r="X66" s="11" t="str">
        <f>IFERROR(__xludf.DUMMYFUNCTION("""COMPUTED_VALUE"""),"UdeA")</f>
        <v>UdeA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 t="str">
        <f>IFERROR(__xludf.DUMMYFUNCTION("""COMPUTED_VALUE"""),"Eafit")</f>
        <v>Eafit</v>
      </c>
      <c r="AK66" s="11" t="str">
        <f>IFERROR(__xludf.DUMMYFUNCTION("""COMPUTED_VALUE"""),"Ninguna")</f>
        <v>Ninguna</v>
      </c>
      <c r="AL66" s="11"/>
      <c r="AM66" s="11" t="str">
        <f>IFERROR(__xludf.DUMMYFUNCTION("""COMPUTED_VALUE"""),"Obligatorio")</f>
        <v>Obligatorio</v>
      </c>
      <c r="AN66" s="11">
        <f>IFERROR(__xludf.DUMMYFUNCTION("""COMPUTED_VALUE"""),5.0)</f>
        <v>5</v>
      </c>
      <c r="AO66" s="11">
        <f>IFERROR(__xludf.DUMMYFUNCTION("""COMPUTED_VALUE"""),1.0)</f>
        <v>1</v>
      </c>
      <c r="AP66" s="11">
        <f>IFERROR(__xludf.DUMMYFUNCTION("""COMPUTED_VALUE"""),2.0)</f>
        <v>2</v>
      </c>
      <c r="AQ66" s="11">
        <f>IFERROR(__xludf.DUMMYFUNCTION("""COMPUTED_VALUE"""),1.0)</f>
        <v>1</v>
      </c>
      <c r="AR66" s="11">
        <f>IFERROR(__xludf.DUMMYFUNCTION("""COMPUTED_VALUE"""),2.0)</f>
        <v>2</v>
      </c>
      <c r="AS66" s="11">
        <f>IFERROR(__xludf.DUMMYFUNCTION("""COMPUTED_VALUE"""),1.0)</f>
        <v>1</v>
      </c>
      <c r="AT66" s="15" t="str">
        <f>IFERROR(__xludf.DUMMYFUNCTION("""COMPUTED_VALUE"""),"https://doi.org/10.1016/j.jallcom.2020.158045")</f>
        <v>https://doi.org/10.1016/j.jallcom.2020.158045</v>
      </c>
      <c r="AU66" s="15" t="str">
        <f>IFERROR(__xludf.DUMMYFUNCTION("""COMPUTED_VALUE"""),"https://drive.google.com/file/d/11lcp-2zXtz4DjO22yPMsJqwC2EkE-mFZ/view?usp=sharing")</f>
        <v>https://drive.google.com/file/d/11lcp-2zXtz4DjO22yPMsJqwC2EkE-mFZ/view?usp=sharing</v>
      </c>
      <c r="AV66" s="11"/>
      <c r="AW66" s="11"/>
      <c r="AX66" s="11"/>
      <c r="AY66" s="11" t="str">
        <f>IFERROR(__xludf.DUMMYFUNCTION("""COMPUTED_VALUE"""),"Carbon nanofibers impregnated with Fe3O4 nanoparticles as a flexible
and high capacity negative electrode for lithium-ion batteries ")</f>
        <v>Carbon nanofibers impregnated with Fe3O4 nanoparticles as a flexible
and high capacity negative electrode for lithium-ion batteries </v>
      </c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</row>
    <row r="67">
      <c r="A67" s="11" t="str">
        <f>IFERROR(__xludf.DUMMYFUNCTION("""COMPUTED_VALUE"""),"Proy4")</f>
        <v>Proy4</v>
      </c>
      <c r="B67" s="11" t="str">
        <f>IFERROR(__xludf.DUMMYFUNCTION("""COMPUTED_VALUE"""),"Nuevo_Conocimiento")</f>
        <v>Nuevo_Conocimiento</v>
      </c>
      <c r="C67" s="11" t="str">
        <f>IFERROR(__xludf.DUMMYFUNCTION("""COMPUTED_VALUE"""),"Artículo A1")</f>
        <v>Artículo A1</v>
      </c>
      <c r="D67" s="11" t="str">
        <f>IFERROR(__xludf.DUMMYFUNCTION("""COMPUTED_VALUE"""),"Artículo A1")</f>
        <v>Artículo A1</v>
      </c>
      <c r="E67" s="11" t="str">
        <f>IFERROR(__xludf.DUMMYFUNCTION("""COMPUTED_VALUE"""),"Artículo A2")</f>
        <v>Artículo A2</v>
      </c>
      <c r="F67" s="11" t="str">
        <f>IFERROR(__xludf.DUMMYFUNCTION("""COMPUTED_VALUE"""),"Artículo B")</f>
        <v>Artículo B</v>
      </c>
      <c r="G67" s="11" t="str">
        <f>IFERROR(__xludf.DUMMYFUNCTION("""COMPUTED_VALUE"""),"Artículo C")</f>
        <v>Artículo C</v>
      </c>
      <c r="H67" s="11" t="str">
        <f>IFERROR(__xludf.DUMMYFUNCTION("""COMPUTED_VALUE"""),"Capítulo de libro A")</f>
        <v>Capítulo de libro A</v>
      </c>
      <c r="I67" s="11" t="str">
        <f>IFERROR(__xludf.DUMMYFUNCTION("""COMPUTED_VALUE"""),"Capítulo de libro A1")</f>
        <v>Capítulo de libro A1</v>
      </c>
      <c r="J67" s="11" t="str">
        <f>IFERROR(__xludf.DUMMYFUNCTION("""COMPUTED_VALUE"""),"Capítulo de libro B")</f>
        <v>Capítulo de libro B</v>
      </c>
      <c r="K67" s="11" t="str">
        <f>IFERROR(__xludf.DUMMYFUNCTION("""COMPUTED_VALUE"""),"Libro A")</f>
        <v>Libro A</v>
      </c>
      <c r="L67" s="11" t="str">
        <f>IFERROR(__xludf.DUMMYFUNCTION("""COMPUTED_VALUE"""),"Libro A1")</f>
        <v>Libro A1</v>
      </c>
      <c r="M67" s="11" t="str">
        <f>IFERROR(__xludf.DUMMYFUNCTION("""COMPUTED_VALUE"""),"Libro B")</f>
        <v>Libro B</v>
      </c>
      <c r="N67" s="11" t="str">
        <f>IFERROR(__xludf.DUMMYFUNCTION("""COMPUTED_VALUE"""),"Solicitud Patente de invención y-o modelo de utitlidad")</f>
        <v>Solicitud Patente de invención y-o modelo de utitlidad</v>
      </c>
      <c r="O67" s="11" t="str">
        <f>IFERROR(__xludf.DUMMYFUNCTION("""COMPUTED_VALUE"""),"Patente de invención")</f>
        <v>Patente de invención</v>
      </c>
      <c r="P67" s="11" t="str">
        <f>IFERROR(__xludf.DUMMYFUNCTION("""COMPUTED_VALUE"""),"Patente de modelo de utilidad")</f>
        <v>Patente de modelo de utilidad</v>
      </c>
      <c r="Q67" s="11" t="str">
        <f>IFERROR(__xludf.DUMMYFUNCTION("""COMPUTED_VALUE"""),"Artículo sin clasificar")</f>
        <v>Artículo sin clasificar</v>
      </c>
      <c r="R67" s="11" t="str">
        <f>IFERROR(__xludf.DUMMYFUNCTION("""COMPUTED_VALUE"""),"Capítulo sin clasificar")</f>
        <v>Capítulo sin clasificar</v>
      </c>
      <c r="S67" s="11"/>
      <c r="T67" s="11"/>
      <c r="U67" s="11" t="str">
        <f>IFERROR(__xludf.DUMMYFUNCTION("""COMPUTED_VALUE"""),"Aliados de Séneca")</f>
        <v>Aliados de Séneca</v>
      </c>
      <c r="V67" s="11" t="str">
        <f>IFERROR(__xludf.DUMMYFUNCTION("""COMPUTED_VALUE"""),"U. Hokkaido")</f>
        <v>U. Hokkaido</v>
      </c>
      <c r="W67" s="11" t="str">
        <f>IFERROR(__xludf.DUMMYFUNCTION("""COMPUTED_VALUE"""),"Proyecto")</f>
        <v>Proyecto</v>
      </c>
      <c r="X67" s="11" t="str">
        <f>IFERROR(__xludf.DUMMYFUNCTION("""COMPUTED_VALUE"""),"UdeA")</f>
        <v>UdeA</v>
      </c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 t="str">
        <f>IFERROR(__xludf.DUMMYFUNCTION("""COMPUTED_VALUE"""),"Tokyo Metropolitan University")</f>
        <v>Tokyo Metropolitan University</v>
      </c>
      <c r="AK67" s="11" t="str">
        <f>IFERROR(__xludf.DUMMYFUNCTION("""COMPUTED_VALUE"""),"Ninguna")</f>
        <v>Ninguna</v>
      </c>
      <c r="AL67" s="11"/>
      <c r="AM67" s="11" t="str">
        <f>IFERROR(__xludf.DUMMYFUNCTION("""COMPUTED_VALUE"""),"Obligatorio")</f>
        <v>Obligatorio</v>
      </c>
      <c r="AN67" s="11">
        <f>IFERROR(__xludf.DUMMYFUNCTION("""COMPUTED_VALUE"""),8.0)</f>
        <v>8</v>
      </c>
      <c r="AO67" s="11">
        <f>IFERROR(__xludf.DUMMYFUNCTION("""COMPUTED_VALUE"""),1.0)</f>
        <v>1</v>
      </c>
      <c r="AP67" s="11">
        <f>IFERROR(__xludf.DUMMYFUNCTION("""COMPUTED_VALUE"""),3.0)</f>
        <v>3</v>
      </c>
      <c r="AQ67" s="11">
        <f>IFERROR(__xludf.DUMMYFUNCTION("""COMPUTED_VALUE"""),1.0)</f>
        <v>1</v>
      </c>
      <c r="AR67" s="11">
        <f>IFERROR(__xludf.DUMMYFUNCTION("""COMPUTED_VALUE"""),3.0)</f>
        <v>3</v>
      </c>
      <c r="AS67" s="11">
        <f>IFERROR(__xludf.DUMMYFUNCTION("""COMPUTED_VALUE"""),1.0)</f>
        <v>1</v>
      </c>
      <c r="AT67" s="15" t="str">
        <f>IFERROR(__xludf.DUMMYFUNCTION("""COMPUTED_VALUE"""),"https://dx.doi.org/10.1021/acsami.0c17886")</f>
        <v>https://dx.doi.org/10.1021/acsami.0c17886</v>
      </c>
      <c r="AU67" s="15" t="str">
        <f>IFERROR(__xludf.DUMMYFUNCTION("""COMPUTED_VALUE"""),"https://drive.google.com/file/d/1GEpVtP_4rTCIAwisfXLWmL6rd1oR8dl6/view?usp=sharing")</f>
        <v>https://drive.google.com/file/d/1GEpVtP_4rTCIAwisfXLWmL6rd1oR8dl6/view?usp=sharing</v>
      </c>
      <c r="AV67" s="11"/>
      <c r="AW67" s="11"/>
      <c r="AX67" s="11"/>
      <c r="AY67" s="11" t="str">
        <f>IFERROR(__xludf.DUMMYFUNCTION("""COMPUTED_VALUE"""),"Kinetic Control of the Li0.9Mn1.6Ni0.4O4 Spinel Structure with
Enhanced Electrochemical Performance")</f>
        <v>Kinetic Control of the Li0.9Mn1.6Ni0.4O4 Spinel Structure with
Enhanced Electrochemical Performance</v>
      </c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</row>
    <row r="68">
      <c r="A68" s="11" t="str">
        <f>IFERROR(__xludf.DUMMYFUNCTION("""COMPUTED_VALUE"""),"Proy10")</f>
        <v>Proy10</v>
      </c>
      <c r="B68" s="11" t="str">
        <f>IFERROR(__xludf.DUMMYFUNCTION("""COMPUTED_VALUE"""),"Nuevo_Conocimiento")</f>
        <v>Nuevo_Conocimiento</v>
      </c>
      <c r="C68" s="11" t="str">
        <f>IFERROR(__xludf.DUMMYFUNCTION("""COMPUTED_VALUE"""),"Artículo A1")</f>
        <v>Artículo A1</v>
      </c>
      <c r="D68" s="11" t="str">
        <f>IFERROR(__xludf.DUMMYFUNCTION("""COMPUTED_VALUE"""),"Artículo A1")</f>
        <v>Artículo A1</v>
      </c>
      <c r="E68" s="11" t="str">
        <f>IFERROR(__xludf.DUMMYFUNCTION("""COMPUTED_VALUE"""),"Artículo A2")</f>
        <v>Artículo A2</v>
      </c>
      <c r="F68" s="11" t="str">
        <f>IFERROR(__xludf.DUMMYFUNCTION("""COMPUTED_VALUE"""),"Artículo B")</f>
        <v>Artículo B</v>
      </c>
      <c r="G68" s="11" t="str">
        <f>IFERROR(__xludf.DUMMYFUNCTION("""COMPUTED_VALUE"""),"Artículo C")</f>
        <v>Artículo C</v>
      </c>
      <c r="H68" s="11" t="str">
        <f>IFERROR(__xludf.DUMMYFUNCTION("""COMPUTED_VALUE"""),"Capítulo de libro A")</f>
        <v>Capítulo de libro A</v>
      </c>
      <c r="I68" s="11" t="str">
        <f>IFERROR(__xludf.DUMMYFUNCTION("""COMPUTED_VALUE"""),"Capítulo de libro A1")</f>
        <v>Capítulo de libro A1</v>
      </c>
      <c r="J68" s="11" t="str">
        <f>IFERROR(__xludf.DUMMYFUNCTION("""COMPUTED_VALUE"""),"Capítulo de libro B")</f>
        <v>Capítulo de libro B</v>
      </c>
      <c r="K68" s="11" t="str">
        <f>IFERROR(__xludf.DUMMYFUNCTION("""COMPUTED_VALUE"""),"Libro A")</f>
        <v>Libro A</v>
      </c>
      <c r="L68" s="11" t="str">
        <f>IFERROR(__xludf.DUMMYFUNCTION("""COMPUTED_VALUE"""),"Libro A1")</f>
        <v>Libro A1</v>
      </c>
      <c r="M68" s="11" t="str">
        <f>IFERROR(__xludf.DUMMYFUNCTION("""COMPUTED_VALUE"""),"Libro B")</f>
        <v>Libro B</v>
      </c>
      <c r="N68" s="11" t="str">
        <f>IFERROR(__xludf.DUMMYFUNCTION("""COMPUTED_VALUE"""),"Solicitud Patente de invención y-o modelo de utitlidad")</f>
        <v>Solicitud Patente de invención y-o modelo de utitlidad</v>
      </c>
      <c r="O68" s="11" t="str">
        <f>IFERROR(__xludf.DUMMYFUNCTION("""COMPUTED_VALUE"""),"Patente de invención")</f>
        <v>Patente de invención</v>
      </c>
      <c r="P68" s="11" t="str">
        <f>IFERROR(__xludf.DUMMYFUNCTION("""COMPUTED_VALUE"""),"Patente de modelo de utilidad")</f>
        <v>Patente de modelo de utilidad</v>
      </c>
      <c r="Q68" s="11" t="str">
        <f>IFERROR(__xludf.DUMMYFUNCTION("""COMPUTED_VALUE"""),"Artículo sin clasificar")</f>
        <v>Artículo sin clasificar</v>
      </c>
      <c r="R68" s="11" t="str">
        <f>IFERROR(__xludf.DUMMYFUNCTION("""COMPUTED_VALUE"""),"Capítulo sin clasificar")</f>
        <v>Capítulo sin clasificar</v>
      </c>
      <c r="S68" s="11"/>
      <c r="T68" s="11"/>
      <c r="U68" s="11" t="str">
        <f>IFERROR(__xludf.DUMMYFUNCTION("""COMPUTED_VALUE"""),"Ninguna")</f>
        <v>Ninguna</v>
      </c>
      <c r="V68" s="11"/>
      <c r="W68" s="11" t="str">
        <f>IFERROR(__xludf.DUMMYFUNCTION("""COMPUTED_VALUE"""),"Proyecto")</f>
        <v>Proyecto</v>
      </c>
      <c r="X68" s="11" t="str">
        <f>IFERROR(__xludf.DUMMYFUNCTION("""COMPUTED_VALUE"""),"UdeA, Sumicol")</f>
        <v>UdeA, Sumicol</v>
      </c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 t="str">
        <f>IFERROR(__xludf.DUMMYFUNCTION("""COMPUTED_VALUE"""),"Ninguna")</f>
        <v>Ninguna</v>
      </c>
      <c r="AL68" s="11"/>
      <c r="AM68" s="11" t="str">
        <f>IFERROR(__xludf.DUMMYFUNCTION("""COMPUTED_VALUE"""),"Obligatorio")</f>
        <v>Obligatorio</v>
      </c>
      <c r="AN68" s="11">
        <f>IFERROR(__xludf.DUMMYFUNCTION("""COMPUTED_VALUE"""),6.0)</f>
        <v>6</v>
      </c>
      <c r="AO68" s="11">
        <f>IFERROR(__xludf.DUMMYFUNCTION("""COMPUTED_VALUE"""),2.0)</f>
        <v>2</v>
      </c>
      <c r="AP68" s="11">
        <f>IFERROR(__xludf.DUMMYFUNCTION("""COMPUTED_VALUE"""),2.0)</f>
        <v>2</v>
      </c>
      <c r="AQ68" s="11">
        <f>IFERROR(__xludf.DUMMYFUNCTION("""COMPUTED_VALUE"""),2.0)</f>
        <v>2</v>
      </c>
      <c r="AR68" s="11">
        <f>IFERROR(__xludf.DUMMYFUNCTION("""COMPUTED_VALUE"""),2.0)</f>
        <v>2</v>
      </c>
      <c r="AS68" s="11">
        <f>IFERROR(__xludf.DUMMYFUNCTION("""COMPUTED_VALUE"""),2.0)</f>
        <v>2</v>
      </c>
      <c r="AT68" s="15" t="str">
        <f>IFERROR(__xludf.DUMMYFUNCTION("""COMPUTED_VALUE"""),"https://doi.org/10.1080/07373937.2021.1872610")</f>
        <v>https://doi.org/10.1080/07373937.2021.1872610</v>
      </c>
      <c r="AU68" s="15" t="str">
        <f>IFERROR(__xludf.DUMMYFUNCTION("""COMPUTED_VALUE"""),"https://drive.google.com/file/d/19aNv5ZZFHujgEjOAlilaVDnDA11bdy9z/view?usp=sharing")</f>
        <v>https://drive.google.com/file/d/19aNv5ZZFHujgEjOAlilaVDnDA11bdy9z/view?usp=sharing</v>
      </c>
      <c r="AV68" s="11"/>
      <c r="AW68" s="11"/>
      <c r="AX68" s="11"/>
      <c r="AY68" s="11" t="str">
        <f>IFERROR(__xludf.DUMMYFUNCTION("""COMPUTED_VALUE"""),"Analysis of potential energy savings in a rotary dryer for clay drying using
data mining techniques")</f>
        <v>Analysis of potential energy savings in a rotary dryer for clay drying using
data mining techniques</v>
      </c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</row>
  </sheetData>
  <hyperlinks>
    <hyperlink r:id="rId1" ref="AT5"/>
    <hyperlink r:id="rId2" ref="AU5"/>
    <hyperlink r:id="rId3" ref="AT6"/>
    <hyperlink r:id="rId4" ref="AU6"/>
    <hyperlink r:id="rId5" ref="AT7"/>
    <hyperlink r:id="rId6" ref="AU7"/>
    <hyperlink r:id="rId7" ref="AU8"/>
    <hyperlink r:id="rId8" ref="AT9"/>
    <hyperlink r:id="rId9" ref="AU9"/>
    <hyperlink r:id="rId10" ref="AT10"/>
    <hyperlink r:id="rId11" ref="AU10"/>
    <hyperlink r:id="rId12" ref="AU11"/>
    <hyperlink r:id="rId13" ref="AT12"/>
    <hyperlink r:id="rId14" ref="AU12"/>
    <hyperlink r:id="rId15" ref="AT13"/>
    <hyperlink r:id="rId16" ref="AU13"/>
    <hyperlink r:id="rId17" ref="AT14"/>
    <hyperlink r:id="rId18" ref="AU14"/>
    <hyperlink r:id="rId19" ref="AT15"/>
    <hyperlink r:id="rId20" ref="AU15"/>
    <hyperlink r:id="rId21" ref="AT16"/>
    <hyperlink r:id="rId22" ref="AU16"/>
    <hyperlink r:id="rId23" ref="AT17"/>
    <hyperlink r:id="rId24" ref="AU17"/>
    <hyperlink r:id="rId25" ref="AT18"/>
    <hyperlink r:id="rId26" ref="AU18"/>
    <hyperlink r:id="rId27" ref="AT19"/>
    <hyperlink r:id="rId28" ref="AU19"/>
    <hyperlink r:id="rId29" ref="AT20"/>
    <hyperlink r:id="rId30" ref="AU20"/>
    <hyperlink r:id="rId31" ref="AU21"/>
    <hyperlink r:id="rId32" ref="AT22"/>
    <hyperlink r:id="rId33" ref="AU22"/>
    <hyperlink r:id="rId34" ref="AT23"/>
    <hyperlink r:id="rId35" ref="AU23"/>
    <hyperlink r:id="rId36" ref="AT24"/>
    <hyperlink r:id="rId37" ref="AU24"/>
    <hyperlink r:id="rId38" ref="AT25"/>
    <hyperlink r:id="rId39" ref="AU26"/>
    <hyperlink r:id="rId40" ref="AT27"/>
    <hyperlink r:id="rId41" ref="AU27"/>
    <hyperlink r:id="rId42" ref="AU28"/>
    <hyperlink r:id="rId43" ref="AU29"/>
    <hyperlink r:id="rId44" ref="AT30"/>
    <hyperlink r:id="rId45" ref="AU30"/>
    <hyperlink r:id="rId46" ref="AT31"/>
    <hyperlink r:id="rId47" ref="AU31"/>
    <hyperlink r:id="rId48" ref="AU32"/>
    <hyperlink r:id="rId49" ref="AT33"/>
    <hyperlink r:id="rId50" ref="AU33"/>
    <hyperlink r:id="rId51" ref="AT34"/>
    <hyperlink r:id="rId52" ref="AU34"/>
    <hyperlink r:id="rId53" ref="AU35"/>
    <hyperlink r:id="rId54" ref="AT36"/>
    <hyperlink r:id="rId55" ref="AU36"/>
    <hyperlink r:id="rId56" ref="AU37"/>
    <hyperlink r:id="rId57" ref="AU38"/>
    <hyperlink r:id="rId58" ref="AU39"/>
    <hyperlink r:id="rId59" ref="AU40"/>
    <hyperlink r:id="rId60" ref="AU41"/>
    <hyperlink r:id="rId61" ref="AU42"/>
    <hyperlink r:id="rId62" ref="AU43"/>
    <hyperlink r:id="rId63" ref="AT45"/>
    <hyperlink r:id="rId64" ref="AU45"/>
    <hyperlink r:id="rId65" ref="AT46"/>
    <hyperlink r:id="rId66" ref="AU46"/>
    <hyperlink r:id="rId67" ref="AU48"/>
    <hyperlink r:id="rId68" ref="AT49"/>
    <hyperlink r:id="rId69" ref="AU49"/>
    <hyperlink r:id="rId70" ref="AU50"/>
    <hyperlink r:id="rId71" ref="AT51"/>
    <hyperlink r:id="rId72" ref="AU51"/>
    <hyperlink r:id="rId73" ref="AT52"/>
    <hyperlink r:id="rId74" ref="AU52"/>
    <hyperlink r:id="rId75" ref="AT53"/>
    <hyperlink r:id="rId76" ref="AU53"/>
    <hyperlink r:id="rId77" ref="AT54"/>
    <hyperlink r:id="rId78" ref="AU54"/>
    <hyperlink r:id="rId79" ref="AU55"/>
    <hyperlink r:id="rId80" ref="AU56"/>
    <hyperlink r:id="rId81" ref="AU57"/>
    <hyperlink r:id="rId82" ref="AU58"/>
    <hyperlink r:id="rId83" ref="AU59"/>
    <hyperlink r:id="rId84" ref="AU60"/>
    <hyperlink r:id="rId85" ref="AU61"/>
    <hyperlink r:id="rId86" ref="AU62"/>
    <hyperlink r:id="rId87" ref="AU63"/>
    <hyperlink r:id="rId88" ref="AU64"/>
    <hyperlink r:id="rId89" ref="AU65"/>
    <hyperlink r:id="rId90" ref="AT66"/>
    <hyperlink r:id="rId91" ref="AU66"/>
    <hyperlink r:id="rId92" ref="AT67"/>
    <hyperlink r:id="rId93" ref="AU67"/>
    <hyperlink r:id="rId94" ref="AT68"/>
    <hyperlink r:id="rId95" ref="AU68"/>
  </hyperlinks>
  <drawing r:id="rId9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238</v>
      </c>
      <c r="K1" s="12"/>
    </row>
    <row r="2">
      <c r="A2" s="13"/>
      <c r="K2" s="13"/>
    </row>
    <row r="3">
      <c r="A3" s="13"/>
      <c r="K3" s="13"/>
    </row>
    <row r="4">
      <c r="A4" s="14" t="str">
        <f>IFERROR(__xludf.DUMMYFUNCTION("QUERY(NuevoC!A:CX, A1)"),"select *    where B = 'Nuevo_Conocimiento' order by AX desc    PROYECTO")</f>
        <v>select *    where B = 'Nuevo_Conocimiento' order by AX desc    PROYECTO</v>
      </c>
      <c r="B4" s="11" t="str">
        <f>IFERROR(__xludf.DUMMYFUNCTION("""COMPUTED_VALUE"""),"    SUBPRODUCTO")</f>
        <v>    SUBPRODUCTO</v>
      </c>
      <c r="C4" s="11" t="str">
        <f>IFERROR(__xludf.DUMMYFUNCTION("""COMPUTED_VALUE"""),"    Autor 1 ")</f>
        <v>    Autor 1 </v>
      </c>
      <c r="D4" s="11" t="str">
        <f>IFERROR(__xludf.DUMMYFUNCTION("""COMPUTED_VALUE"""),"    Autor 2 ")</f>
        <v>    Autor 2 </v>
      </c>
      <c r="E4" s="11" t="str">
        <f>IFERROR(__xludf.DUMMYFUNCTION("""COMPUTED_VALUE"""),"    Autor 3")</f>
        <v>    Autor 3</v>
      </c>
      <c r="F4" s="11" t="str">
        <f>IFERROR(__xludf.DUMMYFUNCTION("""COMPUTED_VALUE"""),"    Autor 4")</f>
        <v>    Autor 4</v>
      </c>
      <c r="G4" s="11" t="str">
        <f>IFERROR(__xludf.DUMMYFUNCTION("""COMPUTED_VALUE"""),"    Autor 5")</f>
        <v>    Autor 5</v>
      </c>
      <c r="H4" s="11" t="str">
        <f>IFERROR(__xludf.DUMMYFUNCTION("""COMPUTED_VALUE"""),"    Autor 6")</f>
        <v>    Autor 6</v>
      </c>
      <c r="I4" s="11" t="str">
        <f>IFERROR(__xludf.DUMMYFUNCTION("""COMPUTED_VALUE"""),"    Autor 7")</f>
        <v>    Autor 7</v>
      </c>
      <c r="J4" s="11" t="str">
        <f>IFERROR(__xludf.DUMMYFUNCTION("""COMPUTED_VALUE"""),"    Autor 8")</f>
        <v>    Autor 8</v>
      </c>
      <c r="K4" s="14" t="str">
        <f>IFERROR(__xludf.DUMMYFUNCTION("""COMPUTED_VALUE"""),"    Autor 10")</f>
        <v>    Autor 10</v>
      </c>
      <c r="L4" s="11" t="str">
        <f>IFERROR(__xludf.DUMMYFUNCTION("""COMPUTED_VALUE"""),"    Autor 11")</f>
        <v>    Autor 11</v>
      </c>
      <c r="M4" s="11" t="str">
        <f>IFERROR(__xludf.DUMMYFUNCTION("""COMPUTED_VALUE"""),"    Autor 12")</f>
        <v>    Autor 12</v>
      </c>
      <c r="N4" s="11" t="str">
        <f>IFERROR(__xludf.DUMMYFUNCTION("""COMPUTED_VALUE"""),"    Autor 13")</f>
        <v>    Autor 13</v>
      </c>
      <c r="O4" s="11" t="str">
        <f>IFERROR(__xludf.DUMMYFUNCTION("""COMPUTED_VALUE"""),"    Autor 14")</f>
        <v>    Autor 14</v>
      </c>
    </row>
    <row r="5">
      <c r="A5" s="11" t="str">
        <f>IFERROR(__xludf.DUMMYFUNCTION("""COMPUTED_VALUE"""),"Proy8")</f>
        <v>Proy8</v>
      </c>
      <c r="B5" s="11" t="str">
        <f>IFERROR(__xludf.DUMMYFUNCTION("""COMPUTED_VALUE"""),"Artículo A1")</f>
        <v>Artículo A1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>
      <c r="A6" s="11" t="str">
        <f>IFERROR(__xludf.DUMMYFUNCTION("""COMPUTED_VALUE"""),"Proy8")</f>
        <v>Proy8</v>
      </c>
      <c r="B6" s="11" t="str">
        <f>IFERROR(__xludf.DUMMYFUNCTION("""COMPUTED_VALUE"""),"Artículo A1")</f>
        <v>Artículo A1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>
      <c r="A7" s="11" t="str">
        <f>IFERROR(__xludf.DUMMYFUNCTION("""COMPUTED_VALUE"""),"Proy13")</f>
        <v>Proy13</v>
      </c>
      <c r="B7" s="11" t="str">
        <f>IFERROR(__xludf.DUMMYFUNCTION("""COMPUTED_VALUE"""),"Artículo A1")</f>
        <v>Artículo A1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>
      <c r="A8" s="11" t="str">
        <f>IFERROR(__xludf.DUMMYFUNCTION("""COMPUTED_VALUE"""),"Proy13")</f>
        <v>Proy13</v>
      </c>
      <c r="B8" s="11" t="str">
        <f>IFERROR(__xludf.DUMMYFUNCTION("""COMPUTED_VALUE"""),"Artículo A2")</f>
        <v>Artículo A2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>
      <c r="A9" s="11" t="str">
        <f>IFERROR(__xludf.DUMMYFUNCTION("""COMPUTED_VALUE"""),"Proy8")</f>
        <v>Proy8</v>
      </c>
      <c r="B9" s="11" t="str">
        <f>IFERROR(__xludf.DUMMYFUNCTION("""COMPUTED_VALUE"""),"Artículo A1")</f>
        <v>Artículo A1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>
      <c r="A10" s="11" t="str">
        <f>IFERROR(__xludf.DUMMYFUNCTION("""COMPUTED_VALUE"""),"Proy8")</f>
        <v>Proy8</v>
      </c>
      <c r="B10" s="11" t="str">
        <f>IFERROR(__xludf.DUMMYFUNCTION("""COMPUTED_VALUE"""),"Artículo A1")</f>
        <v>Artículo A1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>
      <c r="A11" s="11" t="str">
        <f>IFERROR(__xludf.DUMMYFUNCTION("""COMPUTED_VALUE"""),"Proy15")</f>
        <v>Proy15</v>
      </c>
      <c r="B11" s="11" t="str">
        <f>IFERROR(__xludf.DUMMYFUNCTION("""COMPUTED_VALUE"""),"Capítulo sin clasificar")</f>
        <v>Capítulo sin clasificar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>
      <c r="A12" s="11" t="str">
        <f>IFERROR(__xludf.DUMMYFUNCTION("""COMPUTED_VALUE"""),"Proy13")</f>
        <v>Proy13</v>
      </c>
      <c r="B12" s="11" t="str">
        <f>IFERROR(__xludf.DUMMYFUNCTION("""COMPUTED_VALUE"""),"Artículo A2")</f>
        <v>Artículo A2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>
      <c r="A13" s="11" t="str">
        <f>IFERROR(__xludf.DUMMYFUNCTION("""COMPUTED_VALUE"""),"Proy4")</f>
        <v>Proy4</v>
      </c>
      <c r="B13" s="11" t="str">
        <f>IFERROR(__xludf.DUMMYFUNCTION("""COMPUTED_VALUE"""),"Artículo A1")</f>
        <v>Artículo A1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>
      <c r="A14" s="11" t="str">
        <f>IFERROR(__xludf.DUMMYFUNCTION("""COMPUTED_VALUE"""),"Proy1")</f>
        <v>Proy1</v>
      </c>
      <c r="B14" s="11" t="str">
        <f>IFERROR(__xludf.DUMMYFUNCTION("""COMPUTED_VALUE"""),"Artículo A1")</f>
        <v>Artículo A1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>
      <c r="A15" s="11" t="str">
        <f>IFERROR(__xludf.DUMMYFUNCTION("""COMPUTED_VALUE"""),"Proy15")</f>
        <v>Proy15</v>
      </c>
      <c r="B15" s="11" t="str">
        <f>IFERROR(__xludf.DUMMYFUNCTION("""COMPUTED_VALUE"""),"Artículo B")</f>
        <v>Artículo B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>
      <c r="A16" s="11" t="str">
        <f>IFERROR(__xludf.DUMMYFUNCTION("""COMPUTED_VALUE"""),"Proy8")</f>
        <v>Proy8</v>
      </c>
      <c r="B16" s="11" t="str">
        <f>IFERROR(__xludf.DUMMYFUNCTION("""COMPUTED_VALUE"""),"Artículo A1")</f>
        <v>Artículo A1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>
      <c r="A17" s="11" t="str">
        <f>IFERROR(__xludf.DUMMYFUNCTION("""COMPUTED_VALUE"""),"Proy12")</f>
        <v>Proy12</v>
      </c>
      <c r="B17" s="11" t="str">
        <f>IFERROR(__xludf.DUMMYFUNCTION("""COMPUTED_VALUE"""),"Artículo A1")</f>
        <v>Artículo A1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>
      <c r="A18" s="11" t="str">
        <f>IFERROR(__xludf.DUMMYFUNCTION("""COMPUTED_VALUE"""),"Proy15")</f>
        <v>Proy15</v>
      </c>
      <c r="B18" s="11" t="str">
        <f>IFERROR(__xludf.DUMMYFUNCTION("""COMPUTED_VALUE"""),"Artículo B")</f>
        <v>Artículo B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>
      <c r="A19" s="11" t="str">
        <f>IFERROR(__xludf.DUMMYFUNCTION("""COMPUTED_VALUE"""),"Proy13")</f>
        <v>Proy13</v>
      </c>
      <c r="B19" s="11" t="str">
        <f>IFERROR(__xludf.DUMMYFUNCTION("""COMPUTED_VALUE"""),"Artículo A1")</f>
        <v>Artículo A1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>
      <c r="A20" s="11" t="str">
        <f>IFERROR(__xludf.DUMMYFUNCTION("""COMPUTED_VALUE"""),"Proy12")</f>
        <v>Proy12</v>
      </c>
      <c r="B20" s="11" t="str">
        <f>IFERROR(__xludf.DUMMYFUNCTION("""COMPUTED_VALUE"""),"Artículo A1")</f>
        <v>Artículo A1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>
      <c r="A21" s="11" t="str">
        <f>IFERROR(__xludf.DUMMYFUNCTION("""COMPUTED_VALUE"""),"Proy2")</f>
        <v>Proy2</v>
      </c>
      <c r="B21" s="11" t="str">
        <f>IFERROR(__xludf.DUMMYFUNCTION("""COMPUTED_VALUE"""),"Artículo B")</f>
        <v>Artículo B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>
      <c r="A22" s="11" t="str">
        <f>IFERROR(__xludf.DUMMYFUNCTION("""COMPUTED_VALUE"""),"Proy12")</f>
        <v>Proy12</v>
      </c>
      <c r="B22" s="11" t="str">
        <f>IFERROR(__xludf.DUMMYFUNCTION("""COMPUTED_VALUE"""),"Artículo A1")</f>
        <v>Artículo A1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>
      <c r="A23" s="11" t="str">
        <f>IFERROR(__xludf.DUMMYFUNCTION("""COMPUTED_VALUE"""),"Proy12")</f>
        <v>Proy12</v>
      </c>
      <c r="B23" s="11" t="str">
        <f>IFERROR(__xludf.DUMMYFUNCTION("""COMPUTED_VALUE"""),"Artículo A1")</f>
        <v>Artículo A1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>
      <c r="A24" s="11" t="str">
        <f>IFERROR(__xludf.DUMMYFUNCTION("""COMPUTED_VALUE"""),"Proy12")</f>
        <v>Proy12</v>
      </c>
      <c r="B24" s="11" t="str">
        <f>IFERROR(__xludf.DUMMYFUNCTION("""COMPUTED_VALUE"""),"Artículo A1")</f>
        <v>Artículo A1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>
      <c r="A25" s="11" t="str">
        <f>IFERROR(__xludf.DUMMYFUNCTION("""COMPUTED_VALUE"""),"Proy13")</f>
        <v>Proy13</v>
      </c>
      <c r="B25" s="11" t="str">
        <f>IFERROR(__xludf.DUMMYFUNCTION("""COMPUTED_VALUE"""),"Artículo A1")</f>
        <v>Artículo A1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>
      <c r="A26" s="11" t="str">
        <f>IFERROR(__xludf.DUMMYFUNCTION("""COMPUTED_VALUE"""),"Proy13")</f>
        <v>Proy13</v>
      </c>
      <c r="B26" s="11" t="str">
        <f>IFERROR(__xludf.DUMMYFUNCTION("""COMPUTED_VALUE"""),"Artículo A1")</f>
        <v>Artículo A1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>
      <c r="A27" s="11" t="str">
        <f>IFERROR(__xludf.DUMMYFUNCTION("""COMPUTED_VALUE"""),"Proy15")</f>
        <v>Proy15</v>
      </c>
      <c r="B27" s="11" t="str">
        <f>IFERROR(__xludf.DUMMYFUNCTION("""COMPUTED_VALUE"""),"Artículo B")</f>
        <v>Artículo B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>
      <c r="A28" s="11" t="str">
        <f>IFERROR(__xludf.DUMMYFUNCTION("""COMPUTED_VALUE"""),"Proy1")</f>
        <v>Proy1</v>
      </c>
      <c r="B28" s="11" t="str">
        <f>IFERROR(__xludf.DUMMYFUNCTION("""COMPUTED_VALUE"""),"Artículo B")</f>
        <v>Artículo B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>
      <c r="A29" s="11" t="str">
        <f>IFERROR(__xludf.DUMMYFUNCTION("""COMPUTED_VALUE"""),"Proy13")</f>
        <v>Proy13</v>
      </c>
      <c r="B29" s="11" t="str">
        <f>IFERROR(__xludf.DUMMYFUNCTION("""COMPUTED_VALUE"""),"Artículo A1")</f>
        <v>Artículo A1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>
      <c r="A30" s="11" t="str">
        <f>IFERROR(__xludf.DUMMYFUNCTION("""COMPUTED_VALUE"""),"Proy1")</f>
        <v>Proy1</v>
      </c>
      <c r="B30" s="11" t="str">
        <f>IFERROR(__xludf.DUMMYFUNCTION("""COMPUTED_VALUE"""),"Artículo A2")</f>
        <v>Artículo A2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>
      <c r="A31" s="11" t="str">
        <f>IFERROR(__xludf.DUMMYFUNCTION("""COMPUTED_VALUE"""),"Proy2")</f>
        <v>Proy2</v>
      </c>
      <c r="B31" s="11" t="str">
        <f>IFERROR(__xludf.DUMMYFUNCTION("""COMPUTED_VALUE"""),"Artículo A1")</f>
        <v>Artículo A1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>
      <c r="A32" s="11" t="str">
        <f>IFERROR(__xludf.DUMMYFUNCTION("""COMPUTED_VALUE"""),"Proy2")</f>
        <v>Proy2</v>
      </c>
      <c r="B32" s="11" t="str">
        <f>IFERROR(__xludf.DUMMYFUNCTION("""COMPUTED_VALUE"""),"Capítulo de libro A1")</f>
        <v>Capítulo de libro A1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>
      <c r="A33" s="11" t="str">
        <f>IFERROR(__xludf.DUMMYFUNCTION("""COMPUTED_VALUE"""),"Proy2")</f>
        <v>Proy2</v>
      </c>
      <c r="B33" s="11" t="str">
        <f>IFERROR(__xludf.DUMMYFUNCTION("""COMPUTED_VALUE"""),"Artículo A1")</f>
        <v>Artículo A1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>
      <c r="A34" s="11" t="str">
        <f>IFERROR(__xludf.DUMMYFUNCTION("""COMPUTED_VALUE"""),"Proy4")</f>
        <v>Proy4</v>
      </c>
      <c r="B34" s="11" t="str">
        <f>IFERROR(__xludf.DUMMYFUNCTION("""COMPUTED_VALUE"""),"Artículo A1")</f>
        <v>Artículo A1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>
      <c r="A35" s="11" t="str">
        <f>IFERROR(__xludf.DUMMYFUNCTION("""COMPUTED_VALUE"""),"Proy3")</f>
        <v>Proy3</v>
      </c>
      <c r="B35" s="11" t="str">
        <f>IFERROR(__xludf.DUMMYFUNCTION("""COMPUTED_VALUE"""),"Artículo C")</f>
        <v>Artículo C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>
      <c r="A36" s="11" t="str">
        <f>IFERROR(__xludf.DUMMYFUNCTION("""COMPUTED_VALUE"""),"Proy10")</f>
        <v>Proy10</v>
      </c>
      <c r="B36" s="11" t="str">
        <f>IFERROR(__xludf.DUMMYFUNCTION("""COMPUTED_VALUE"""),"Artículo A1")</f>
        <v>Artículo A1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>
      <c r="A37" s="11" t="str">
        <f>IFERROR(__xludf.DUMMYFUNCTION("""COMPUTED_VALUE"""),"Proy15")</f>
        <v>Proy15</v>
      </c>
      <c r="B37" s="11" t="str">
        <f>IFERROR(__xludf.DUMMYFUNCTION("""COMPUTED_VALUE"""),"Artículo A1")</f>
        <v>Artículo A1</v>
      </c>
      <c r="C37" s="11" t="str">
        <f>IFERROR(__xludf.DUMMYFUNCTION("""COMPUTED_VALUE"""),"Giovanni Andrés Quintana-Pedraza")</f>
        <v>Giovanni Andrés Quintana-Pedraza</v>
      </c>
      <c r="D37" s="11" t="str">
        <f>IFERROR(__xludf.DUMMYFUNCTION("""COMPUTED_VALUE"""),"Sara Cristina Vieira-Agudelo ")</f>
        <v>Sara Cristina Vieira-Agudelo </v>
      </c>
      <c r="E37" s="11" t="str">
        <f>IFERROR(__xludf.DUMMYFUNCTION("""COMPUTED_VALUE"""),"Nicolás Muñoz-Galeano ")</f>
        <v>Nicolás Muñoz-Galeano 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>
      <c r="A38" s="11" t="str">
        <f>IFERROR(__xludf.DUMMYFUNCTION("""COMPUTED_VALUE"""),"Proy13")</f>
        <v>Proy13</v>
      </c>
      <c r="B38" s="11" t="str">
        <f>IFERROR(__xludf.DUMMYFUNCTION("""COMPUTED_VALUE"""),"Artículo A1")</f>
        <v>Artículo A1</v>
      </c>
      <c r="C38" s="11" t="str">
        <f>IFERROR(__xludf.DUMMYFUNCTION("""COMPUTED_VALUE"""),"David E. Betancur-Herrera")</f>
        <v>David E. Betancur-Herrera</v>
      </c>
      <c r="D38" s="11" t="str">
        <f>IFERROR(__xludf.DUMMYFUNCTION("""COMPUTED_VALUE"""),"Nicolás Muñoz-Galeano")</f>
        <v>Nicolás Muñoz-Galeano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>
      <c r="A39" s="11" t="str">
        <f>IFERROR(__xludf.DUMMYFUNCTION("""COMPUTED_VALUE"""),"Proy2")</f>
        <v>Proy2</v>
      </c>
      <c r="B39" s="11" t="str">
        <f>IFERROR(__xludf.DUMMYFUNCTION("""COMPUTED_VALUE"""),"Artículo A1")</f>
        <v>Artículo A1</v>
      </c>
      <c r="C39" s="11" t="str">
        <f>IFERROR(__xludf.DUMMYFUNCTION("""COMPUTED_VALUE"""),"Andrés F Gualdrón-Reyes ")</f>
        <v>Andrés F Gualdrón-Reyes </v>
      </c>
      <c r="D39" s="11" t="str">
        <f>IFERROR(__xludf.DUMMYFUNCTION("""COMPUTED_VALUE"""),"Jhonatan Rodríguez-Pereira")</f>
        <v>Jhonatan Rodríguez-Pereira</v>
      </c>
      <c r="E39" s="11" t="str">
        <f>IFERROR(__xludf.DUMMYFUNCTION("""COMPUTED_VALUE"""),"Eliseo Amado-González ")</f>
        <v>Eliseo Amado-González </v>
      </c>
      <c r="F39" s="11" t="str">
        <f>IFERROR(__xludf.DUMMYFUNCTION("""COMPUTED_VALUE"""),"Jorge Rueda-P")</f>
        <v>Jorge Rueda-P</v>
      </c>
      <c r="G39" s="11" t="str">
        <f>IFERROR(__xludf.DUMMYFUNCTION("""COMPUTED_VALUE"""),"Rogelio Ospina")</f>
        <v>Rogelio Ospina</v>
      </c>
      <c r="H39" s="11" t="str">
        <f>IFERROR(__xludf.DUMMYFUNCTION("""COMPUTED_VALUE"""),"Sofia Masi")</f>
        <v>Sofia Masi</v>
      </c>
      <c r="I39" s="11" t="str">
        <f>IFERROR(__xludf.DUMMYFUNCTION("""COMPUTED_VALUE"""),"Seog Joon Yoon")</f>
        <v>Seog Joon Yoon</v>
      </c>
      <c r="J39" s="11" t="str">
        <f>IFERROR(__xludf.DUMMYFUNCTION("""COMPUTED_VALUE"""),"Juan Tirado")</f>
        <v>Juan Tirado</v>
      </c>
      <c r="K39" s="11" t="str">
        <f>IFERROR(__xludf.DUMMYFUNCTION("""COMPUTED_VALUE"""),"Said Agouram")</f>
        <v>Said Agouram</v>
      </c>
      <c r="L39" s="11" t="str">
        <f>IFERROR(__xludf.DUMMYFUNCTION("""COMPUTED_VALUE"""),"Vicente Muñoz-Sanjosé")</f>
        <v>Vicente Muñoz-Sanjosé</v>
      </c>
      <c r="M39" s="11" t="str">
        <f>IFERROR(__xludf.DUMMYFUNCTION("""COMPUTED_VALUE"""),"Sixto Giménez")</f>
        <v>Sixto Giménez</v>
      </c>
      <c r="N39" s="11" t="str">
        <f>IFERROR(__xludf.DUMMYFUNCTION("""COMPUTED_VALUE"""),"Iván Mora-Seró")</f>
        <v>Iván Mora-Seró</v>
      </c>
      <c r="O39" s="11"/>
    </row>
    <row r="40">
      <c r="A40" s="11" t="str">
        <f>IFERROR(__xludf.DUMMYFUNCTION("""COMPUTED_VALUE"""),"Proy13")</f>
        <v>Proy13</v>
      </c>
      <c r="B40" s="11" t="str">
        <f>IFERROR(__xludf.DUMMYFUNCTION("""COMPUTED_VALUE"""),"Capítulo de libro A1")</f>
        <v>Capítulo de libro A1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>
      <c r="A41" s="11" t="str">
        <f>IFERROR(__xludf.DUMMYFUNCTION("""COMPUTED_VALUE"""),"Proy13")</f>
        <v>Proy13</v>
      </c>
      <c r="B41" s="11" t="str">
        <f>IFERROR(__xludf.DUMMYFUNCTION("""COMPUTED_VALUE"""),"Artículo A1")</f>
        <v>Artículo A1</v>
      </c>
      <c r="C41" s="11" t="str">
        <f>IFERROR(__xludf.DUMMYFUNCTION("""COMPUTED_VALUE"""),"Walter M. Villa-Acevedo ")</f>
        <v>Walter M. Villa-Acevedo </v>
      </c>
      <c r="D41" s="11" t="str">
        <f>IFERROR(__xludf.DUMMYFUNCTION("""COMPUTED_VALUE"""),"Jesús M. López Lezama")</f>
        <v>Jesús M. López Lezama</v>
      </c>
      <c r="E41" s="11" t="str">
        <f>IFERROR(__xludf.DUMMYFUNCTION("""COMPUTED_VALUE"""),"Delia G. Colomé")</f>
        <v>Delia G. Colomé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>
      <c r="A42" s="11" t="str">
        <f>IFERROR(__xludf.DUMMYFUNCTION("""COMPUTED_VALUE"""),"Proy13")</f>
        <v>Proy13</v>
      </c>
      <c r="B42" s="11" t="str">
        <f>IFERROR(__xludf.DUMMYFUNCTION("""COMPUTED_VALUE"""),"Artículo A1")</f>
        <v>Artículo A1</v>
      </c>
      <c r="C42" s="11" t="str">
        <f>IFERROR(__xludf.DUMMYFUNCTION("""COMPUTED_VALUE"""),"Sergio Danilo Saldarriaga-Zuluaga ")</f>
        <v>Sergio Danilo Saldarriaga-Zuluaga </v>
      </c>
      <c r="D42" s="11" t="str">
        <f>IFERROR(__xludf.DUMMYFUNCTION("""COMPUTED_VALUE"""),"Jesús María López-Lezama")</f>
        <v>Jesús María López-Lezama</v>
      </c>
      <c r="E42" s="11" t="str">
        <f>IFERROR(__xludf.DUMMYFUNCTION("""COMPUTED_VALUE"""),"Nicolás Muñoz-Galeano")</f>
        <v>Nicolás Muñoz-Galeano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>
      <c r="A43" s="11" t="str">
        <f>IFERROR(__xludf.DUMMYFUNCTION("""COMPUTED_VALUE"""),"Proy4")</f>
        <v>Proy4</v>
      </c>
      <c r="B43" s="11" t="str">
        <f>IFERROR(__xludf.DUMMYFUNCTION("""COMPUTED_VALUE"""),"Artículo A1")</f>
        <v>Artículo A1</v>
      </c>
      <c r="C43" s="11" t="str">
        <f>IFERROR(__xludf.DUMMYFUNCTION("""COMPUTED_VALUE"""),"F.A.Vásquez")</f>
        <v>F.A.Vásquez</v>
      </c>
      <c r="D43" s="11" t="str">
        <f>IFERROR(__xludf.DUMMYFUNCTION("""COMPUTED_VALUE"""),"J.E.Thomas")</f>
        <v>J.E.Thomas</v>
      </c>
      <c r="E43" s="11" t="str">
        <f>IFERROR(__xludf.DUMMYFUNCTION("""COMPUTED_VALUE"""),"J.A.Calderón")</f>
        <v>J.A.Calderón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>
      <c r="A44" s="11" t="str">
        <f>IFERROR(__xludf.DUMMYFUNCTION("""COMPUTED_VALUE"""),"Proy13")</f>
        <v>Proy13</v>
      </c>
      <c r="B44" s="11" t="str">
        <f>IFERROR(__xludf.DUMMYFUNCTION("""COMPUTED_VALUE"""),"Artículo A1")</f>
        <v>Artículo A1</v>
      </c>
      <c r="C44" s="11" t="str">
        <f>IFERROR(__xludf.DUMMYFUNCTION("""COMPUTED_VALUE"""),"David E.Betancur-Herrera")</f>
        <v>David E.Betancur-Herrera</v>
      </c>
      <c r="D44" s="11" t="str">
        <f>IFERROR(__xludf.DUMMYFUNCTION("""COMPUTED_VALUE"""),"NicolasMuñoz-Galeano")</f>
        <v>NicolasMuñoz-Galeano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>
      <c r="A45" s="11" t="str">
        <f>IFERROR(__xludf.DUMMYFUNCTION("""COMPUTED_VALUE"""),"Proy12")</f>
        <v>Proy12</v>
      </c>
      <c r="B45" s="11" t="str">
        <f>IFERROR(__xludf.DUMMYFUNCTION("""COMPUTED_VALUE"""),"Artículo A1")</f>
        <v>Artículo A1</v>
      </c>
      <c r="C45" s="11" t="str">
        <f>IFERROR(__xludf.DUMMYFUNCTION("""COMPUTED_VALUE"""),"Marlon Cadrazco")</f>
        <v>Marlon Cadrazco</v>
      </c>
      <c r="D45" s="11" t="str">
        <f>IFERROR(__xludf.DUMMYFUNCTION("""COMPUTED_VALUE"""),"Alexander Santamaría")</f>
        <v>Alexander Santamaría</v>
      </c>
      <c r="E45" s="11" t="str">
        <f>IFERROR(__xludf.DUMMYFUNCTION("""COMPUTED_VALUE"""),"I. Cristina Jaramillo")</f>
        <v>I. Cristina Jaramillo</v>
      </c>
      <c r="F45" s="11" t="str">
        <f>IFERROR(__xludf.DUMMYFUNCTION("""COMPUTED_VALUE"""),"Kamaljeet Kaur")</f>
        <v>Kamaljeet Kaur</v>
      </c>
      <c r="G45" s="11" t="str">
        <f>IFERROR(__xludf.DUMMYFUNCTION("""COMPUTED_VALUE"""),"K. E. Kelly")</f>
        <v>K. E. Kelly</v>
      </c>
      <c r="H45" s="11" t="str">
        <f>IFERROR(__xludf.DUMMYFUNCTION("""COMPUTED_VALUE"""),"John R. Agudelo")</f>
        <v>John R. Agudelo</v>
      </c>
      <c r="I45" s="11"/>
      <c r="J45" s="11"/>
      <c r="K45" s="11"/>
      <c r="L45" s="11"/>
      <c r="M45" s="11"/>
      <c r="N45" s="11"/>
      <c r="O45" s="11"/>
    </row>
    <row r="46">
      <c r="A46" s="11" t="str">
        <f>IFERROR(__xludf.DUMMYFUNCTION("""COMPUTED_VALUE"""),"Proy8")</f>
        <v>Proy8</v>
      </c>
      <c r="B46" s="11" t="str">
        <f>IFERROR(__xludf.DUMMYFUNCTION("""COMPUTED_VALUE"""),"Artículo B")</f>
        <v>Artículo B</v>
      </c>
      <c r="C46" s="11" t="str">
        <f>IFERROR(__xludf.DUMMYFUNCTION("""COMPUTED_VALUE"""),"Karen Ospino")</f>
        <v>Karen Ospino</v>
      </c>
      <c r="D46" s="11" t="str">
        <f>IFERROR(__xludf.DUMMYFUNCTION("""COMPUTED_VALUE"""),"Elkin Gómez")</f>
        <v>Elkin Gómez</v>
      </c>
      <c r="E46" s="11" t="str">
        <f>IFERROR(__xludf.DUMMYFUNCTION("""COMPUTED_VALUE"""),"Luis Rios")</f>
        <v>Luis Rios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>
      <c r="A47" s="11" t="str">
        <f>IFERROR(__xludf.DUMMYFUNCTION("""COMPUTED_VALUE"""),"Proy10")</f>
        <v>Proy10</v>
      </c>
      <c r="B47" s="11" t="str">
        <f>IFERROR(__xludf.DUMMYFUNCTION("""COMPUTED_VALUE"""),"Artículo A1")</f>
        <v>Artículo A1</v>
      </c>
      <c r="C47" s="11" t="str">
        <f>IFERROR(__xludf.DUMMYFUNCTION("""COMPUTED_VALUE"""),"Yefferson López ")</f>
        <v>Yefferson López </v>
      </c>
      <c r="D47" s="11" t="str">
        <f>IFERROR(__xludf.DUMMYFUNCTION("""COMPUTED_VALUE"""),"Alex M. García ")</f>
        <v>Alex M. García </v>
      </c>
      <c r="E47" s="11" t="str">
        <f>IFERROR(__xludf.DUMMYFUNCTION("""COMPUTED_VALUE"""),"Andrés A. Amell ")</f>
        <v>Andrés A. Amell 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>
      <c r="A48" s="11" t="str">
        <f>IFERROR(__xludf.DUMMYFUNCTION("""COMPUTED_VALUE"""),"Proy13")</f>
        <v>Proy13</v>
      </c>
      <c r="B48" s="11" t="str">
        <f>IFERROR(__xludf.DUMMYFUNCTION("""COMPUTED_VALUE"""),"Capítulo de libro A1")</f>
        <v>Capítulo de libro A1</v>
      </c>
      <c r="C48" s="11" t="str">
        <f>IFERROR(__xludf.DUMMYFUNCTION("""COMPUTED_VALUE"""),"Oswaldo A. Arraez Cancelliere")</f>
        <v>Oswaldo A. Arraez Cancelliere</v>
      </c>
      <c r="D48" s="11" t="str">
        <f>IFERROR(__xludf.DUMMYFUNCTION("""COMPUTED_VALUE"""),"Nicolás Muñoz Galeano")</f>
        <v>Nicolás Muñoz Galeano</v>
      </c>
      <c r="E48" s="11" t="str">
        <f>IFERROR(__xludf.DUMMYFUNCTION("""COMPUTED_VALUE"""),"Jesús M. López Lezama")</f>
        <v>Jesús M. López Lezama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>
      <c r="A49" s="11" t="str">
        <f>IFERROR(__xludf.DUMMYFUNCTION("""COMPUTED_VALUE"""),"Proy14")</f>
        <v>Proy14</v>
      </c>
      <c r="B49" s="11" t="str">
        <f>IFERROR(__xludf.DUMMYFUNCTION("""COMPUTED_VALUE"""),"Artículo A2")</f>
        <v>Artículo A2</v>
      </c>
      <c r="C49" s="11" t="str">
        <f>IFERROR(__xludf.DUMMYFUNCTION("""COMPUTED_VALUE"""),"Ricardo Echeverri Martinez")</f>
        <v>Ricardo Echeverri Martinez</v>
      </c>
      <c r="D49" s="11" t="str">
        <f>IFERROR(__xludf.DUMMYFUNCTION("""COMPUTED_VALUE"""),"Eduardo Caicedo Bravo")</f>
        <v>Eduardo Caicedo Bravo</v>
      </c>
      <c r="E49" s="11" t="str">
        <f>IFERROR(__xludf.DUMMYFUNCTION("""COMPUTED_VALUE"""),"Wilfredo Alfonso Morales")</f>
        <v>Wilfredo Alfonso Morales</v>
      </c>
      <c r="F49" s="11" t="str">
        <f>IFERROR(__xludf.DUMMYFUNCTION("""COMPUTED_VALUE"""),"Juan David García Racines")</f>
        <v>Juan David García Racines</v>
      </c>
      <c r="G49" s="11"/>
      <c r="H49" s="11"/>
      <c r="I49" s="11"/>
      <c r="J49" s="11"/>
      <c r="K49" s="11"/>
      <c r="L49" s="11"/>
      <c r="M49" s="11"/>
      <c r="N49" s="11"/>
      <c r="O49" s="11"/>
    </row>
    <row r="50">
      <c r="A50" s="11" t="str">
        <f>IFERROR(__xludf.DUMMYFUNCTION("""COMPUTED_VALUE"""),"Proy14")</f>
        <v>Proy14</v>
      </c>
      <c r="B50" s="11" t="str">
        <f>IFERROR(__xludf.DUMMYFUNCTION("""COMPUTED_VALUE"""),"Artículo A2")</f>
        <v>Artículo A2</v>
      </c>
      <c r="C50" s="11" t="str">
        <f>IFERROR(__xludf.DUMMYFUNCTION("""COMPUTED_VALUE"""),"Ricardo Echeverri Martinez")</f>
        <v>Ricardo Echeverri Martinez</v>
      </c>
      <c r="D50" s="11" t="str">
        <f>IFERROR(__xludf.DUMMYFUNCTION("""COMPUTED_VALUE"""),"BenjamÌn Eddie Zayas PÈrez")</f>
        <v>BenjamÌn Eddie Zayas PÈrez</v>
      </c>
      <c r="E50" s="11" t="str">
        <f>IFERROR(__xludf.DUMMYFUNCTION("""COMPUTED_VALUE"""),"Alfredo Espinosa Reza")</f>
        <v>Alfredo Espinosa Reza</v>
      </c>
      <c r="F50" s="11" t="str">
        <f>IFERROR(__xludf.DUMMYFUNCTION("""COMPUTED_VALUE"""),"Antonio Rodriguez")</f>
        <v>Antonio Rodriguez</v>
      </c>
      <c r="G50" s="11" t="str">
        <f>IFERROR(__xludf.DUMMYFUNCTION("""COMPUTED_VALUE"""),"Eduardo Caicedo Bravo")</f>
        <v>Eduardo Caicedo Bravo</v>
      </c>
      <c r="H50" s="11" t="str">
        <f>IFERROR(__xludf.DUMMYFUNCTION("""COMPUTED_VALUE"""),"Wilfredo Alfonso Morales")</f>
        <v>Wilfredo Alfonso Morales</v>
      </c>
      <c r="I50" s="11"/>
      <c r="J50" s="11"/>
      <c r="K50" s="11"/>
      <c r="L50" s="11"/>
      <c r="M50" s="11"/>
      <c r="N50" s="11"/>
      <c r="O50" s="11"/>
    </row>
    <row r="51">
      <c r="A51" s="11" t="str">
        <f>IFERROR(__xludf.DUMMYFUNCTION("""COMPUTED_VALUE"""),"Proy10")</f>
        <v>Proy10</v>
      </c>
      <c r="B51" s="11" t="str">
        <f>IFERROR(__xludf.DUMMYFUNCTION("""COMPUTED_VALUE"""),"Artículo A1")</f>
        <v>Artículo A1</v>
      </c>
      <c r="C51" s="11" t="str">
        <f>IFERROR(__xludf.DUMMYFUNCTION("""COMPUTED_VALUE"""),"Cristian C. Mejía")</f>
        <v>Cristian C. Mejía</v>
      </c>
      <c r="D51" s="11" t="str">
        <f>IFERROR(__xludf.DUMMYFUNCTION("""COMPUTED_VALUE"""),"
Alex M. Garcia Vergara")</f>
        <v>
Alex M. Garcia Vergara</v>
      </c>
      <c r="E51" s="11" t="str">
        <f>IFERROR(__xludf.DUMMYFUNCTION("""COMPUTED_VALUE"""),"Julian Obando ")</f>
        <v>Julian Obando </v>
      </c>
      <c r="F51" s="11" t="str">
        <f>IFERROR(__xludf.DUMMYFUNCTION("""COMPUTED_VALUE"""),"Andrés A. Amell")</f>
        <v>Andrés A. Amell</v>
      </c>
      <c r="G51" s="11"/>
      <c r="H51" s="11"/>
      <c r="I51" s="11"/>
      <c r="J51" s="11"/>
      <c r="K51" s="11"/>
      <c r="L51" s="11"/>
      <c r="M51" s="11"/>
      <c r="N51" s="11"/>
      <c r="O51" s="11"/>
    </row>
    <row r="52">
      <c r="A52" s="11" t="str">
        <f>IFERROR(__xludf.DUMMYFUNCTION("""COMPUTED_VALUE"""),"Proy10")</f>
        <v>Proy10</v>
      </c>
      <c r="B52" s="11" t="str">
        <f>IFERROR(__xludf.DUMMYFUNCTION("""COMPUTED_VALUE"""),"Artículo A1")</f>
        <v>Artículo A1</v>
      </c>
      <c r="C52" s="11" t="str">
        <f>IFERROR(__xludf.DUMMYFUNCTION("""COMPUTED_VALUE"""),"Alex M. García")</f>
        <v>Alex M. García</v>
      </c>
      <c r="D52" s="11" t="str">
        <f>IFERROR(__xludf.DUMMYFUNCTION("""COMPUTED_VALUE"""),"M. Alejandro Rendon")</f>
        <v>M. Alejandro Rendon</v>
      </c>
      <c r="E52" s="11" t="str">
        <f>IFERROR(__xludf.DUMMYFUNCTION("""COMPUTED_VALUE"""),"Andrés A. Amell")</f>
        <v>Andrés A. Amell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>
      <c r="A53" s="11" t="str">
        <f>IFERROR(__xludf.DUMMYFUNCTION("""COMPUTED_VALUE"""),"Proy8")</f>
        <v>Proy8</v>
      </c>
      <c r="B53" s="11" t="str">
        <f>IFERROR(__xludf.DUMMYFUNCTION("""COMPUTED_VALUE"""),"Artículo A1")</f>
        <v>Artículo A1</v>
      </c>
      <c r="C53" s="11" t="str">
        <f>IFERROR(__xludf.DUMMYFUNCTION("""COMPUTED_VALUE"""),"Fernando Cardeño")</f>
        <v>Fernando Cardeño</v>
      </c>
      <c r="D53" s="11" t="str">
        <f>IFERROR(__xludf.DUMMYFUNCTION("""COMPUTED_VALUE"""),"Magín Lapuerta")</f>
        <v>Magín Lapuerta</v>
      </c>
      <c r="E53" s="11" t="str">
        <f>IFERROR(__xludf.DUMMYFUNCTION("""COMPUTED_VALUE"""),"Luis Rios")</f>
        <v>Luis Rios</v>
      </c>
      <c r="F53" s="11" t="str">
        <f>IFERROR(__xludf.DUMMYFUNCTION("""COMPUTED_VALUE"""),"John R. Agudelo")</f>
        <v>John R. Agudelo</v>
      </c>
      <c r="G53" s="11"/>
      <c r="H53" s="11"/>
      <c r="I53" s="11"/>
      <c r="J53" s="11"/>
      <c r="K53" s="11"/>
      <c r="L53" s="11"/>
      <c r="M53" s="11"/>
      <c r="N53" s="11"/>
      <c r="O53" s="11"/>
    </row>
    <row r="54">
      <c r="A54" s="11" t="str">
        <f>IFERROR(__xludf.DUMMYFUNCTION("""COMPUTED_VALUE"""),"Proy1")</f>
        <v>Proy1</v>
      </c>
      <c r="B54" s="11" t="str">
        <f>IFERROR(__xludf.DUMMYFUNCTION("""COMPUTED_VALUE"""),"Artículo A1")</f>
        <v>Artículo A1</v>
      </c>
      <c r="C54" s="11" t="str">
        <f>IFERROR(__xludf.DUMMYFUNCTION("""COMPUTED_VALUE"""),"Edwin Gallego")</f>
        <v>Edwin Gallego</v>
      </c>
      <c r="D54" s="11" t="str">
        <f>IFERROR(__xludf.DUMMYFUNCTION("""COMPUTED_VALUE"""),"Ainhoa Rubio Clemente")</f>
        <v>Ainhoa Rubio Clemente</v>
      </c>
      <c r="E54" s="11" t="str">
        <f>IFERROR(__xludf.DUMMYFUNCTION("""COMPUTED_VALUE"""),"Juan Pineda")</f>
        <v>Juan Pineda</v>
      </c>
      <c r="F54" s="11" t="str">
        <f>IFERROR(__xludf.DUMMYFUNCTION("""COMPUTED_VALUE"""),"Laura Velásquez")</f>
        <v>Laura Velásquez</v>
      </c>
      <c r="G54" s="11" t="str">
        <f>IFERROR(__xludf.DUMMYFUNCTION("""COMPUTED_VALUE"""),"Edwin Lenin Chica Arrieta")</f>
        <v>Edwin Lenin Chica Arrieta</v>
      </c>
      <c r="H54" s="11"/>
      <c r="I54" s="11"/>
      <c r="J54" s="11"/>
      <c r="K54" s="11"/>
      <c r="L54" s="11"/>
      <c r="M54" s="11"/>
      <c r="N54" s="11"/>
      <c r="O54" s="11"/>
    </row>
    <row r="55">
      <c r="A55" s="11" t="str">
        <f>IFERROR(__xludf.DUMMYFUNCTION("""COMPUTED_VALUE"""),"Proy13")</f>
        <v>Proy13</v>
      </c>
      <c r="B55" s="11" t="str">
        <f>IFERROR(__xludf.DUMMYFUNCTION("""COMPUTED_VALUE"""),"Artículo A1")</f>
        <v>Artículo A1</v>
      </c>
      <c r="C55" s="11" t="str">
        <f>IFERROR(__xludf.DUMMYFUNCTION("""COMPUTED_VALUE"""),"Santiago Alzate")</f>
        <v>Santiago Alzate</v>
      </c>
      <c r="D55" s="11" t="str">
        <f>IFERROR(__xludf.DUMMYFUNCTION("""COMPUTED_VALUE"""),"Bonie Restrepo-Cuestas ")</f>
        <v>Bonie Restrepo-Cuestas </v>
      </c>
      <c r="E55" s="11" t="str">
        <f>IFERROR(__xludf.DUMMYFUNCTION("""COMPUTED_VALUE"""),"Álvaro Jaramillo-Duque ")</f>
        <v>Álvaro Jaramillo-Duque 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>
      <c r="A56" s="11" t="str">
        <f>IFERROR(__xludf.DUMMYFUNCTION("""COMPUTED_VALUE"""),"Proy2")</f>
        <v>Proy2</v>
      </c>
      <c r="B56" s="11" t="str">
        <f>IFERROR(__xludf.DUMMYFUNCTION("""COMPUTED_VALUE"""),"Artículo A1")</f>
        <v>Artículo A1</v>
      </c>
      <c r="C56" s="11" t="str">
        <f>IFERROR(__xludf.DUMMYFUNCTION("""COMPUTED_VALUE"""),"Juan Tirado")</f>
        <v>Juan Tirado</v>
      </c>
      <c r="D56" s="11" t="str">
        <f>IFERROR(__xludf.DUMMYFUNCTION("""COMPUTED_VALUE"""),"Manuel Vázquez-Montoya")</f>
        <v>Manuel Vázquez-Montoya</v>
      </c>
      <c r="E56" s="11" t="str">
        <f>IFERROR(__xludf.DUMMYFUNCTION("""COMPUTED_VALUE"""),"Cristina    Roldán-Carmona")</f>
        <v>Cristina    Roldán-Carmona</v>
      </c>
      <c r="F56" s="11" t="str">
        <f>IFERROR(__xludf.DUMMYFUNCTION("""COMPUTED_VALUE"""),"Maryline 
Ralaiarisoa")</f>
        <v>Maryline 
Ralaiarisoa</v>
      </c>
      <c r="G56" s="11" t="str">
        <f>IFERROR(__xludf.DUMMYFUNCTION("""COMPUTED_VALUE"""),"Norbert Koch")</f>
        <v>Norbert Koch</v>
      </c>
      <c r="H56" s="11" t="str">
        <f>IFERROR(__xludf.DUMMYFUNCTION("""COMPUTED_VALUE"""),"Mohammad Khaja Nazeeruddin")</f>
        <v>Mohammad Khaja Nazeeruddin</v>
      </c>
      <c r="I56" s="11" t="str">
        <f>IFERROR(__xludf.DUMMYFUNCTION("""COMPUTED_VALUE"""),"Franklin Jaramillo")</f>
        <v>Franklin Jaramillo</v>
      </c>
      <c r="J56" s="11"/>
      <c r="K56" s="11"/>
      <c r="L56" s="11"/>
      <c r="M56" s="11"/>
      <c r="N56" s="11"/>
      <c r="O56" s="11"/>
    </row>
    <row r="57">
      <c r="A57" s="11" t="str">
        <f>IFERROR(__xludf.DUMMYFUNCTION("""COMPUTED_VALUE"""),"Proy13")</f>
        <v>Proy13</v>
      </c>
      <c r="B57" s="11" t="str">
        <f>IFERROR(__xludf.DUMMYFUNCTION("""COMPUTED_VALUE"""),"Artículo A1")</f>
        <v>Artículo A1</v>
      </c>
      <c r="C57" s="11" t="str">
        <f>IFERROR(__xludf.DUMMYFUNCTION("""COMPUTED_VALUE"""),"José de Jesús Jaramillo Serna")</f>
        <v>José de Jesús Jaramillo Serna</v>
      </c>
      <c r="D57" s="11" t="str">
        <f>IFERROR(__xludf.DUMMYFUNCTION("""COMPUTED_VALUE"""),"Jesús M. López-Lezama")</f>
        <v>Jesús M. López-Lezama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>
      <c r="A58" s="11" t="str">
        <f>IFERROR(__xludf.DUMMYFUNCTION("""COMPUTED_VALUE"""),"Proy13")</f>
        <v>Proy13</v>
      </c>
      <c r="B58" s="11" t="str">
        <f>IFERROR(__xludf.DUMMYFUNCTION("""COMPUTED_VALUE"""),"Artículo A1")</f>
        <v>Artículo A1</v>
      </c>
      <c r="C58" s="11" t="str">
        <f>IFERROR(__xludf.DUMMYFUNCTION("""COMPUTED_VALUE"""),"Julián Urrego-Ortiz ")</f>
        <v>Julián Urrego-Ortiz </v>
      </c>
      <c r="D58" s="11" t="str">
        <f>IFERROR(__xludf.DUMMYFUNCTION("""COMPUTED_VALUE"""),"J. Alejandro Martínez")</f>
        <v>J. Alejandro Martínez</v>
      </c>
      <c r="E58" s="11" t="str">
        <f>IFERROR(__xludf.DUMMYFUNCTION("""COMPUTED_VALUE"""),"Paola A. Arias ")</f>
        <v>Paola A. Arias </v>
      </c>
      <c r="F58" s="11" t="str">
        <f>IFERROR(__xludf.DUMMYFUNCTION("""COMPUTED_VALUE"""),"Álvaro Jaramillo-Duque ")</f>
        <v>Álvaro Jaramillo-Duque </v>
      </c>
      <c r="G58" s="11"/>
      <c r="H58" s="11"/>
      <c r="I58" s="11"/>
      <c r="J58" s="11"/>
      <c r="K58" s="11"/>
      <c r="L58" s="11"/>
      <c r="M58" s="11"/>
      <c r="N58" s="11"/>
      <c r="O58" s="11"/>
    </row>
    <row r="59">
      <c r="A59" s="11" t="str">
        <f>IFERROR(__xludf.DUMMYFUNCTION("""COMPUTED_VALUE"""),"Proy2")</f>
        <v>Proy2</v>
      </c>
      <c r="B59" s="11" t="str">
        <f>IFERROR(__xludf.DUMMYFUNCTION("""COMPUTED_VALUE"""),"Artículo A1")</f>
        <v>Artículo A1</v>
      </c>
      <c r="C59" s="11" t="str">
        <f>IFERROR(__xludf.DUMMYFUNCTION("""COMPUTED_VALUE"""),"Esteban Velilla")</f>
        <v>Esteban Velilla</v>
      </c>
      <c r="D59" s="11" t="str">
        <f>IFERROR(__xludf.DUMMYFUNCTION("""COMPUTED_VALUE"""),"Juan B. Cano")</f>
        <v>Juan B. Cano</v>
      </c>
      <c r="E59" s="11" t="str">
        <f>IFERROR(__xludf.DUMMYFUNCTION("""COMPUTED_VALUE"""),"Franklin Jaramillo")</f>
        <v>Franklin Jaramillo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>
      <c r="A60" s="11" t="str">
        <f>IFERROR(__xludf.DUMMYFUNCTION("""COMPUTED_VALUE"""),"Proy1")</f>
        <v>Proy1</v>
      </c>
      <c r="B60" s="11" t="str">
        <f>IFERROR(__xludf.DUMMYFUNCTION("""COMPUTED_VALUE"""),"Capítulo de libro A1")</f>
        <v>Capítulo de libro A1</v>
      </c>
      <c r="C60" s="11" t="str">
        <f>IFERROR(__xludf.DUMMYFUNCTION("""COMPUTED_VALUE"""),"Edwin Lenin Chica Arrieta")</f>
        <v>Edwin Lenin Chica Arrieta</v>
      </c>
      <c r="D60" s="11" t="str">
        <f>IFERROR(__xludf.DUMMYFUNCTION("""COMPUTED_VALUE"""),"Ainhoa Rubio Clemente")</f>
        <v>Ainhoa Rubio Clemente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>
      <c r="A61" s="11" t="str">
        <f>IFERROR(__xludf.DUMMYFUNCTION("""COMPUTED_VALUE"""),"Proy1")</f>
        <v>Proy1</v>
      </c>
      <c r="B61" s="11" t="str">
        <f>IFERROR(__xludf.DUMMYFUNCTION("""COMPUTED_VALUE"""),"Artículo A1")</f>
        <v>Artículo A1</v>
      </c>
      <c r="C61" s="11" t="str">
        <f>IFERROR(__xludf.DUMMYFUNCTION("""COMPUTED_VALUE"""),"Jonathan Aguilar ")</f>
        <v>Jonathan Aguilar </v>
      </c>
      <c r="D61" s="11" t="str">
        <f>IFERROR(__xludf.DUMMYFUNCTION("""COMPUTED_VALUE"""),"Ainhoa Rubio Clemente")</f>
        <v>Ainhoa Rubio Clemente</v>
      </c>
      <c r="E61" s="11" t="str">
        <f>IFERROR(__xludf.DUMMYFUNCTION("""COMPUTED_VALUE"""),"Laura Velasquez")</f>
        <v>Laura Velasquez</v>
      </c>
      <c r="F61" s="11" t="str">
        <f>IFERROR(__xludf.DUMMYFUNCTION("""COMPUTED_VALUE"""),"Edwin Chica")</f>
        <v>Edwin Chica</v>
      </c>
      <c r="G61" s="11"/>
      <c r="H61" s="11"/>
      <c r="I61" s="11"/>
      <c r="J61" s="11"/>
      <c r="K61" s="11"/>
      <c r="L61" s="11"/>
      <c r="M61" s="11"/>
      <c r="N61" s="11"/>
      <c r="O61" s="11"/>
    </row>
    <row r="62">
      <c r="A62" s="11" t="str">
        <f>IFERROR(__xludf.DUMMYFUNCTION("""COMPUTED_VALUE"""),"Proy14")</f>
        <v>Proy14</v>
      </c>
      <c r="B62" s="11" t="str">
        <f>IFERROR(__xludf.DUMMYFUNCTION("""COMPUTED_VALUE"""),"Artículo A1")</f>
        <v>Artículo A1</v>
      </c>
      <c r="C62" s="11" t="str">
        <f>IFERROR(__xludf.DUMMYFUNCTION("""COMPUTED_VALUE"""),"Dany Mauricio López-Santiago")</f>
        <v>Dany Mauricio López-Santiago</v>
      </c>
      <c r="D62" s="11" t="str">
        <f>IFERROR(__xludf.DUMMYFUNCTION("""COMPUTED_VALUE"""),"Eduardo Francisco Caicedo")</f>
        <v>Eduardo Francisco Caicedo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>
      <c r="A63" s="11" t="str">
        <f>IFERROR(__xludf.DUMMYFUNCTION("""COMPUTED_VALUE"""),"Proy1")</f>
        <v>Proy1</v>
      </c>
      <c r="B63" s="11" t="str">
        <f>IFERROR(__xludf.DUMMYFUNCTION("""COMPUTED_VALUE"""),"Artículo A2")</f>
        <v>Artículo A2</v>
      </c>
      <c r="C63" s="11" t="str">
        <f>IFERROR(__xludf.DUMMYFUNCTION("""COMPUTED_VALUE"""),"Ramirez D")</f>
        <v>Ramirez D</v>
      </c>
      <c r="D63" s="11" t="str">
        <f>IFERROR(__xludf.DUMMYFUNCTION("""COMPUTED_VALUE"""),"Ainhoa Rubio Clemente")</f>
        <v>Ainhoa Rubio Clemente</v>
      </c>
      <c r="E63" s="11" t="str">
        <f>IFERROR(__xludf.DUMMYFUNCTION("""COMPUTED_VALUE"""),"Edwin Lenin Chica ")</f>
        <v>Edwin Lenin Chica 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>
      <c r="A64" s="11" t="str">
        <f>IFERROR(__xludf.DUMMYFUNCTION("""COMPUTED_VALUE"""),"Proy12")</f>
        <v>Proy12</v>
      </c>
      <c r="B64" s="11" t="str">
        <f>IFERROR(__xludf.DUMMYFUNCTION("""COMPUTED_VALUE"""),"Artículo A1")</f>
        <v>Artículo A1</v>
      </c>
      <c r="C64" s="11" t="str">
        <f>IFERROR(__xludf.DUMMYFUNCTION("""COMPUTED_VALUE"""),"Arnaldo Álvarez")</f>
        <v>Arnaldo Álvarez</v>
      </c>
      <c r="D64" s="11" t="str">
        <f>IFERROR(__xludf.DUMMYFUNCTION("""COMPUTED_VALUE"""),"Magín Lapuerta")</f>
        <v>Magín Lapuerta</v>
      </c>
      <c r="E64" s="11" t="str">
        <f>IFERROR(__xludf.DUMMYFUNCTION("""COMPUTED_VALUE"""),"John R. Agudelo")</f>
        <v>John R. Agudelo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>
      <c r="A65" s="11" t="str">
        <f>IFERROR(__xludf.DUMMYFUNCTION("""COMPUTED_VALUE"""),"Proy13")</f>
        <v>Proy13</v>
      </c>
      <c r="B65" s="11" t="str">
        <f>IFERROR(__xludf.DUMMYFUNCTION("""COMPUTED_VALUE"""),"Artículo A1")</f>
        <v>Artículo A1</v>
      </c>
      <c r="C65" s="11" t="str">
        <f>IFERROR(__xludf.DUMMYFUNCTION("""COMPUTED_VALUE"""),"José de Jesús Jaramillo Serna ")</f>
        <v>José de Jesús Jaramillo Serna </v>
      </c>
      <c r="D65" s="11" t="str">
        <f>IFERROR(__xludf.DUMMYFUNCTION("""COMPUTED_VALUE"""),"Jesús M. López-Lezama ")</f>
        <v>Jesús M. López-Lezama 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>
      <c r="A66" s="11" t="str">
        <f>IFERROR(__xludf.DUMMYFUNCTION("""COMPUTED_VALUE"""),"Proy4")</f>
        <v>Proy4</v>
      </c>
      <c r="B66" s="11" t="str">
        <f>IFERROR(__xludf.DUMMYFUNCTION("""COMPUTED_VALUE"""),"Artículo A1")</f>
        <v>Artículo A1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>
      <c r="A67" s="11" t="str">
        <f>IFERROR(__xludf.DUMMYFUNCTION("""COMPUTED_VALUE"""),"Proy4")</f>
        <v>Proy4</v>
      </c>
      <c r="B67" s="11" t="str">
        <f>IFERROR(__xludf.DUMMYFUNCTION("""COMPUTED_VALUE"""),"Artículo A1")</f>
        <v>Artículo A1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>
      <c r="A68" s="11" t="str">
        <f>IFERROR(__xludf.DUMMYFUNCTION("""COMPUTED_VALUE"""),"Proy10")</f>
        <v>Proy10</v>
      </c>
      <c r="B68" s="11" t="str">
        <f>IFERROR(__xludf.DUMMYFUNCTION("""COMPUTED_VALUE"""),"Artículo A1")</f>
        <v>Artículo A1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86"/>
    <col customWidth="1" min="4" max="5" width="27.14"/>
  </cols>
  <sheetData>
    <row r="1">
      <c r="A1" s="12" t="s">
        <v>239</v>
      </c>
    </row>
    <row r="2">
      <c r="A2" s="13"/>
    </row>
    <row r="3">
      <c r="A3" s="13"/>
    </row>
    <row r="4">
      <c r="A4" s="14" t="str">
        <f>IFERROR(__xludf.DUMMYFUNCTION("QUERY(NuevoC!A:CX, A1)"),"select *    where B = 'Nuevo_Conocimiento' order by AX desc    PROYECTO")</f>
        <v>select *    where B = 'Nuevo_Conocimiento' order by AX desc    PROYECTO</v>
      </c>
      <c r="B4" s="11" t="str">
        <f>IFERROR(__xludf.DUMMYFUNCTION("""COMPUTED_VALUE"""),"    SUBPRODUCTO")</f>
        <v>    SUBPRODUCTO</v>
      </c>
      <c r="C4" s="11" t="str">
        <f>IFERROR(__xludf.DUMMYFUNCTION("""COMPUTED_VALUE"""),"    Inst Autor 1")</f>
        <v>    Inst Autor 1</v>
      </c>
      <c r="D4" s="11" t="str">
        <f>IFERROR(__xludf.DUMMYFUNCTION("""COMPUTED_VALUE"""),"    Inst Autor 2")</f>
        <v>    Inst Autor 2</v>
      </c>
      <c r="E4" s="11" t="str">
        <f>IFERROR(__xludf.DUMMYFUNCTION("""COMPUTED_VALUE"""),"    Inst Autor 3")</f>
        <v>    Inst Autor 3</v>
      </c>
      <c r="F4" s="11" t="str">
        <f>IFERROR(__xludf.DUMMYFUNCTION("""COMPUTED_VALUE"""),"    Inst Autor 4")</f>
        <v>    Inst Autor 4</v>
      </c>
      <c r="G4" s="11" t="str">
        <f>IFERROR(__xludf.DUMMYFUNCTION("""COMPUTED_VALUE"""),"    Inst Autor 5")</f>
        <v>    Inst Autor 5</v>
      </c>
      <c r="H4" s="11" t="str">
        <f>IFERROR(__xludf.DUMMYFUNCTION("""COMPUTED_VALUE"""),"    Inst Autor 6")</f>
        <v>    Inst Autor 6</v>
      </c>
      <c r="I4" s="11" t="str">
        <f>IFERROR(__xludf.DUMMYFUNCTION("""COMPUTED_VALUE"""),"    Inst Autor 7")</f>
        <v>    Inst Autor 7</v>
      </c>
      <c r="J4" s="11" t="str">
        <f>IFERROR(__xludf.DUMMYFUNCTION("""COMPUTED_VALUE"""),"    Inst Autor 8")</f>
        <v>    Inst Autor 8</v>
      </c>
      <c r="K4" s="11" t="str">
        <f>IFERROR(__xludf.DUMMYFUNCTION("""COMPUTED_VALUE"""),"    Inst Autor 9")</f>
        <v>    Inst Autor 9</v>
      </c>
      <c r="L4" s="11" t="str">
        <f>IFERROR(__xludf.DUMMYFUNCTION("""COMPUTED_VALUE"""),"    Inst Autor 10")</f>
        <v>    Inst Autor 10</v>
      </c>
      <c r="M4" s="11" t="str">
        <f>IFERROR(__xludf.DUMMYFUNCTION("""COMPUTED_VALUE"""),"    Inst Autor 11")</f>
        <v>    Inst Autor 11</v>
      </c>
      <c r="N4" s="11" t="str">
        <f>IFERROR(__xludf.DUMMYFUNCTION("""COMPUTED_VALUE"""),"    Inst Autor 12")</f>
        <v>    Inst Autor 12</v>
      </c>
      <c r="O4" s="11" t="str">
        <f>IFERROR(__xludf.DUMMYFUNCTION("""COMPUTED_VALUE"""),"    Grupo Autor 13")</f>
        <v>    Grupo Autor 13</v>
      </c>
      <c r="P4" s="11" t="str">
        <f>IFERROR(__xludf.DUMMYFUNCTION("""COMPUTED_VALUE"""),"    Inst Autor 14")</f>
        <v>    Inst Autor 14</v>
      </c>
    </row>
    <row r="5">
      <c r="A5" s="11" t="str">
        <f>IFERROR(__xludf.DUMMYFUNCTION("""COMPUTED_VALUE"""),"Proy8")</f>
        <v>Proy8</v>
      </c>
      <c r="B5" s="11" t="str">
        <f>IFERROR(__xludf.DUMMYFUNCTION("""COMPUTED_VALUE"""),"Artículo A1")</f>
        <v>Artículo A1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>
      <c r="A6" s="11" t="str">
        <f>IFERROR(__xludf.DUMMYFUNCTION("""COMPUTED_VALUE"""),"Proy8")</f>
        <v>Proy8</v>
      </c>
      <c r="B6" s="11" t="str">
        <f>IFERROR(__xludf.DUMMYFUNCTION("""COMPUTED_VALUE"""),"Artículo A1")</f>
        <v>Artículo A1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>
      <c r="A7" s="11" t="str">
        <f>IFERROR(__xludf.DUMMYFUNCTION("""COMPUTED_VALUE"""),"Proy13")</f>
        <v>Proy13</v>
      </c>
      <c r="B7" s="11" t="str">
        <f>IFERROR(__xludf.DUMMYFUNCTION("""COMPUTED_VALUE"""),"Artículo A1")</f>
        <v>Artículo A1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>
      <c r="A8" s="11" t="str">
        <f>IFERROR(__xludf.DUMMYFUNCTION("""COMPUTED_VALUE"""),"Proy13")</f>
        <v>Proy13</v>
      </c>
      <c r="B8" s="11" t="str">
        <f>IFERROR(__xludf.DUMMYFUNCTION("""COMPUTED_VALUE"""),"Artículo A2")</f>
        <v>Artículo A2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>
      <c r="A9" s="11" t="str">
        <f>IFERROR(__xludf.DUMMYFUNCTION("""COMPUTED_VALUE"""),"Proy8")</f>
        <v>Proy8</v>
      </c>
      <c r="B9" s="11" t="str">
        <f>IFERROR(__xludf.DUMMYFUNCTION("""COMPUTED_VALUE"""),"Artículo A1")</f>
        <v>Artículo A1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>
      <c r="A10" s="11" t="str">
        <f>IFERROR(__xludf.DUMMYFUNCTION("""COMPUTED_VALUE"""),"Proy8")</f>
        <v>Proy8</v>
      </c>
      <c r="B10" s="11" t="str">
        <f>IFERROR(__xludf.DUMMYFUNCTION("""COMPUTED_VALUE"""),"Artículo A1")</f>
        <v>Artículo A1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>
      <c r="A11" s="11" t="str">
        <f>IFERROR(__xludf.DUMMYFUNCTION("""COMPUTED_VALUE"""),"Proy15")</f>
        <v>Proy15</v>
      </c>
      <c r="B11" s="11" t="str">
        <f>IFERROR(__xludf.DUMMYFUNCTION("""COMPUTED_VALUE"""),"Capítulo sin clasificar")</f>
        <v>Capítulo sin clasificar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>
      <c r="A12" s="11" t="str">
        <f>IFERROR(__xludf.DUMMYFUNCTION("""COMPUTED_VALUE"""),"Proy13")</f>
        <v>Proy13</v>
      </c>
      <c r="B12" s="11" t="str">
        <f>IFERROR(__xludf.DUMMYFUNCTION("""COMPUTED_VALUE"""),"Artículo A2")</f>
        <v>Artículo A2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>
      <c r="A13" s="11" t="str">
        <f>IFERROR(__xludf.DUMMYFUNCTION("""COMPUTED_VALUE"""),"Proy4")</f>
        <v>Proy4</v>
      </c>
      <c r="B13" s="11" t="str">
        <f>IFERROR(__xludf.DUMMYFUNCTION("""COMPUTED_VALUE"""),"Artículo A1")</f>
        <v>Artículo A1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>
      <c r="A14" s="11" t="str">
        <f>IFERROR(__xludf.DUMMYFUNCTION("""COMPUTED_VALUE"""),"Proy1")</f>
        <v>Proy1</v>
      </c>
      <c r="B14" s="11" t="str">
        <f>IFERROR(__xludf.DUMMYFUNCTION("""COMPUTED_VALUE"""),"Artículo A1")</f>
        <v>Artículo A1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>
      <c r="A15" s="11" t="str">
        <f>IFERROR(__xludf.DUMMYFUNCTION("""COMPUTED_VALUE"""),"Proy15")</f>
        <v>Proy15</v>
      </c>
      <c r="B15" s="11" t="str">
        <f>IFERROR(__xludf.DUMMYFUNCTION("""COMPUTED_VALUE"""),"Artículo B")</f>
        <v>Artículo B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>
      <c r="A16" s="11" t="str">
        <f>IFERROR(__xludf.DUMMYFUNCTION("""COMPUTED_VALUE"""),"Proy8")</f>
        <v>Proy8</v>
      </c>
      <c r="B16" s="11" t="str">
        <f>IFERROR(__xludf.DUMMYFUNCTION("""COMPUTED_VALUE"""),"Artículo A1")</f>
        <v>Artículo A1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11" t="str">
        <f>IFERROR(__xludf.DUMMYFUNCTION("""COMPUTED_VALUE"""),"Proy12")</f>
        <v>Proy12</v>
      </c>
      <c r="B17" s="11" t="str">
        <f>IFERROR(__xludf.DUMMYFUNCTION("""COMPUTED_VALUE"""),"Artículo A1")</f>
        <v>Artículo A1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>
      <c r="A18" s="11" t="str">
        <f>IFERROR(__xludf.DUMMYFUNCTION("""COMPUTED_VALUE"""),"Proy15")</f>
        <v>Proy15</v>
      </c>
      <c r="B18" s="11" t="str">
        <f>IFERROR(__xludf.DUMMYFUNCTION("""COMPUTED_VALUE"""),"Artículo B")</f>
        <v>Artículo B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>
      <c r="A19" s="11" t="str">
        <f>IFERROR(__xludf.DUMMYFUNCTION("""COMPUTED_VALUE"""),"Proy13")</f>
        <v>Proy13</v>
      </c>
      <c r="B19" s="11" t="str">
        <f>IFERROR(__xludf.DUMMYFUNCTION("""COMPUTED_VALUE"""),"Artículo A1")</f>
        <v>Artículo A1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>
      <c r="A20" s="11" t="str">
        <f>IFERROR(__xludf.DUMMYFUNCTION("""COMPUTED_VALUE"""),"Proy12")</f>
        <v>Proy12</v>
      </c>
      <c r="B20" s="11" t="str">
        <f>IFERROR(__xludf.DUMMYFUNCTION("""COMPUTED_VALUE"""),"Artículo A1")</f>
        <v>Artículo A1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>
      <c r="A21" s="11" t="str">
        <f>IFERROR(__xludf.DUMMYFUNCTION("""COMPUTED_VALUE"""),"Proy2")</f>
        <v>Proy2</v>
      </c>
      <c r="B21" s="11" t="str">
        <f>IFERROR(__xludf.DUMMYFUNCTION("""COMPUTED_VALUE"""),"Artículo B")</f>
        <v>Artículo B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>
      <c r="A22" s="11" t="str">
        <f>IFERROR(__xludf.DUMMYFUNCTION("""COMPUTED_VALUE"""),"Proy12")</f>
        <v>Proy12</v>
      </c>
      <c r="B22" s="11" t="str">
        <f>IFERROR(__xludf.DUMMYFUNCTION("""COMPUTED_VALUE"""),"Artículo A1")</f>
        <v>Artículo A1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1" t="str">
        <f>IFERROR(__xludf.DUMMYFUNCTION("""COMPUTED_VALUE"""),"Proy12")</f>
        <v>Proy12</v>
      </c>
      <c r="B23" s="11" t="str">
        <f>IFERROR(__xludf.DUMMYFUNCTION("""COMPUTED_VALUE"""),"Artículo A1")</f>
        <v>Artículo A1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 t="str">
        <f>IFERROR(__xludf.DUMMYFUNCTION("""COMPUTED_VALUE"""),"Proy12")</f>
        <v>Proy12</v>
      </c>
      <c r="B24" s="11" t="str">
        <f>IFERROR(__xludf.DUMMYFUNCTION("""COMPUTED_VALUE"""),"Artículo A1")</f>
        <v>Artículo A1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>
      <c r="A25" s="11" t="str">
        <f>IFERROR(__xludf.DUMMYFUNCTION("""COMPUTED_VALUE"""),"Proy13")</f>
        <v>Proy13</v>
      </c>
      <c r="B25" s="11" t="str">
        <f>IFERROR(__xludf.DUMMYFUNCTION("""COMPUTED_VALUE"""),"Artículo A1")</f>
        <v>Artículo A1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>
      <c r="A26" s="11" t="str">
        <f>IFERROR(__xludf.DUMMYFUNCTION("""COMPUTED_VALUE"""),"Proy13")</f>
        <v>Proy13</v>
      </c>
      <c r="B26" s="11" t="str">
        <f>IFERROR(__xludf.DUMMYFUNCTION("""COMPUTED_VALUE"""),"Artículo A1")</f>
        <v>Artículo A1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>
      <c r="A27" s="11" t="str">
        <f>IFERROR(__xludf.DUMMYFUNCTION("""COMPUTED_VALUE"""),"Proy15")</f>
        <v>Proy15</v>
      </c>
      <c r="B27" s="11" t="str">
        <f>IFERROR(__xludf.DUMMYFUNCTION("""COMPUTED_VALUE"""),"Artículo B")</f>
        <v>Artículo B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>
      <c r="A28" s="11" t="str">
        <f>IFERROR(__xludf.DUMMYFUNCTION("""COMPUTED_VALUE"""),"Proy1")</f>
        <v>Proy1</v>
      </c>
      <c r="B28" s="11" t="str">
        <f>IFERROR(__xludf.DUMMYFUNCTION("""COMPUTED_VALUE"""),"Artículo B")</f>
        <v>Artículo B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1" t="str">
        <f>IFERROR(__xludf.DUMMYFUNCTION("""COMPUTED_VALUE"""),"Proy13")</f>
        <v>Proy13</v>
      </c>
      <c r="B29" s="11" t="str">
        <f>IFERROR(__xludf.DUMMYFUNCTION("""COMPUTED_VALUE"""),"Artículo A1")</f>
        <v>Artículo A1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 t="str">
        <f>IFERROR(__xludf.DUMMYFUNCTION("""COMPUTED_VALUE"""),"Proy1")</f>
        <v>Proy1</v>
      </c>
      <c r="B30" s="11" t="str">
        <f>IFERROR(__xludf.DUMMYFUNCTION("""COMPUTED_VALUE"""),"Artículo A2")</f>
        <v>Artículo A2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>
      <c r="A31" s="11" t="str">
        <f>IFERROR(__xludf.DUMMYFUNCTION("""COMPUTED_VALUE"""),"Proy2")</f>
        <v>Proy2</v>
      </c>
      <c r="B31" s="11" t="str">
        <f>IFERROR(__xludf.DUMMYFUNCTION("""COMPUTED_VALUE"""),"Artículo A1")</f>
        <v>Artículo A1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>
      <c r="A32" s="11" t="str">
        <f>IFERROR(__xludf.DUMMYFUNCTION("""COMPUTED_VALUE"""),"Proy2")</f>
        <v>Proy2</v>
      </c>
      <c r="B32" s="11" t="str">
        <f>IFERROR(__xludf.DUMMYFUNCTION("""COMPUTED_VALUE"""),"Capítulo de libro A1")</f>
        <v>Capítulo de libro A1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>
      <c r="A33" s="11" t="str">
        <f>IFERROR(__xludf.DUMMYFUNCTION("""COMPUTED_VALUE"""),"Proy2")</f>
        <v>Proy2</v>
      </c>
      <c r="B33" s="11" t="str">
        <f>IFERROR(__xludf.DUMMYFUNCTION("""COMPUTED_VALUE"""),"Artículo A1")</f>
        <v>Artículo A1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>
      <c r="A34" s="11" t="str">
        <f>IFERROR(__xludf.DUMMYFUNCTION("""COMPUTED_VALUE"""),"Proy4")</f>
        <v>Proy4</v>
      </c>
      <c r="B34" s="11" t="str">
        <f>IFERROR(__xludf.DUMMYFUNCTION("""COMPUTED_VALUE"""),"Artículo A1")</f>
        <v>Artículo A1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>
      <c r="A35" s="11" t="str">
        <f>IFERROR(__xludf.DUMMYFUNCTION("""COMPUTED_VALUE"""),"Proy3")</f>
        <v>Proy3</v>
      </c>
      <c r="B35" s="11" t="str">
        <f>IFERROR(__xludf.DUMMYFUNCTION("""COMPUTED_VALUE"""),"Artículo C")</f>
        <v>Artículo C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1" t="str">
        <f>IFERROR(__xludf.DUMMYFUNCTION("""COMPUTED_VALUE"""),"Proy10")</f>
        <v>Proy10</v>
      </c>
      <c r="B36" s="11" t="str">
        <f>IFERROR(__xludf.DUMMYFUNCTION("""COMPUTED_VALUE"""),"Artículo A1")</f>
        <v>Artículo A1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>
      <c r="A37" s="11" t="str">
        <f>IFERROR(__xludf.DUMMYFUNCTION("""COMPUTED_VALUE"""),"Proy15")</f>
        <v>Proy15</v>
      </c>
      <c r="B37" s="11" t="str">
        <f>IFERROR(__xludf.DUMMYFUNCTION("""COMPUTED_VALUE"""),"Artículo A1")</f>
        <v>Artículo A1</v>
      </c>
      <c r="C37" s="11" t="str">
        <f>IFERROR(__xludf.DUMMYFUNCTION("""COMPUTED_VALUE"""),"Universidad de Antioquia")</f>
        <v>Universidad de Antioquia</v>
      </c>
      <c r="D37" s="11" t="str">
        <f>IFERROR(__xludf.DUMMYFUNCTION("""COMPUTED_VALUE"""),"Universidad de Antioquia")</f>
        <v>Universidad de Antioquia</v>
      </c>
      <c r="E37" s="11" t="str">
        <f>IFERROR(__xludf.DUMMYFUNCTION("""COMPUTED_VALUE"""),"Universidad de Antioquia")</f>
        <v>Universidad de Antioquia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1" t="str">
        <f>IFERROR(__xludf.DUMMYFUNCTION("""COMPUTED_VALUE"""),"Proy13")</f>
        <v>Proy13</v>
      </c>
      <c r="B38" s="11" t="str">
        <f>IFERROR(__xludf.DUMMYFUNCTION("""COMPUTED_VALUE"""),"Artículo A1")</f>
        <v>Artículo A1</v>
      </c>
      <c r="C38" s="11" t="str">
        <f>IFERROR(__xludf.DUMMYFUNCTION("""COMPUTED_VALUE"""),"Universidad de Antioquia")</f>
        <v>Universidad de Antioquia</v>
      </c>
      <c r="D38" s="11" t="str">
        <f>IFERROR(__xludf.DUMMYFUNCTION("""COMPUTED_VALUE"""),"Universidad de Antioquia")</f>
        <v>Universidad de Antioquia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 t="str">
        <f>IFERROR(__xludf.DUMMYFUNCTION("""COMPUTED_VALUE"""),"Proy2")</f>
        <v>Proy2</v>
      </c>
      <c r="B39" s="11" t="str">
        <f>IFERROR(__xludf.DUMMYFUNCTION("""COMPUTED_VALUE"""),"Artículo A1")</f>
        <v>Artículo A1</v>
      </c>
      <c r="C39" s="11" t="str">
        <f>IFERROR(__xludf.DUMMYFUNCTION("""COMPUTED_VALUE"""),"Universidad de Pamplona")</f>
        <v>Universidad de Pamplona</v>
      </c>
      <c r="D39" s="11" t="str">
        <f>IFERROR(__xludf.DUMMYFUNCTION("""COMPUTED_VALUE"""),"Universidad Industrial de Santander")</f>
        <v>Universidad Industrial de Santander</v>
      </c>
      <c r="E39" s="11" t="str">
        <f>IFERROR(__xludf.DUMMYFUNCTION("""COMPUTED_VALUE"""),"Universidad de Pamplona")</f>
        <v>Universidad de Pamplona</v>
      </c>
      <c r="F39" s="11" t="str">
        <f>IFERROR(__xludf.DUMMYFUNCTION("""COMPUTED_VALUE"""),"Universidad de Pamplona")</f>
        <v>Universidad de Pamplona</v>
      </c>
      <c r="G39" s="11" t="str">
        <f>IFERROR(__xludf.DUMMYFUNCTION("""COMPUTED_VALUE"""),"Universidad Industrial de Santander")</f>
        <v>Universidad Industrial de Santander</v>
      </c>
      <c r="H39" s="11" t="str">
        <f>IFERROR(__xludf.DUMMYFUNCTION("""COMPUTED_VALUE"""),"Universitat Jaume I")</f>
        <v>Universitat Jaume I</v>
      </c>
      <c r="I39" s="11" t="str">
        <f>IFERROR(__xludf.DUMMYFUNCTION("""COMPUTED_VALUE"""),"Yeungnam University")</f>
        <v>Yeungnam University</v>
      </c>
      <c r="J39" s="11" t="str">
        <f>IFERROR(__xludf.DUMMYFUNCTION("""COMPUTED_VALUE"""),"Universidad de Antioquia")</f>
        <v>Universidad de Antioquia</v>
      </c>
      <c r="K39" s="11" t="str">
        <f>IFERROR(__xludf.DUMMYFUNCTION("""COMPUTED_VALUE"""),"Universidad de Antioquia")</f>
        <v>Universidad de Antioquia</v>
      </c>
      <c r="L39" s="11" t="str">
        <f>IFERROR(__xludf.DUMMYFUNCTION("""COMPUTED_VALUE"""),"University of Valencia")</f>
        <v>University of Valencia</v>
      </c>
      <c r="M39" s="11" t="str">
        <f>IFERROR(__xludf.DUMMYFUNCTION("""COMPUTED_VALUE"""),"University of Valencia")</f>
        <v>University of Valencia</v>
      </c>
      <c r="N39" s="11" t="str">
        <f>IFERROR(__xludf.DUMMYFUNCTION("""COMPUTED_VALUE"""),"Unitat Mixta d'Investigació UV-UJI")</f>
        <v>Unitat Mixta d'Investigació UV-UJI</v>
      </c>
      <c r="O39" s="11" t="str">
        <f>IFERROR(__xludf.DUMMYFUNCTION("""COMPUTED_VALUE"""),"Materials for Renewable Energy (MAER)")</f>
        <v>Materials for Renewable Energy (MAER)</v>
      </c>
      <c r="P39" s="11"/>
    </row>
    <row r="40">
      <c r="A40" s="11" t="str">
        <f>IFERROR(__xludf.DUMMYFUNCTION("""COMPUTED_VALUE"""),"Proy13")</f>
        <v>Proy13</v>
      </c>
      <c r="B40" s="11" t="str">
        <f>IFERROR(__xludf.DUMMYFUNCTION("""COMPUTED_VALUE"""),"Capítulo de libro A1")</f>
        <v>Capítulo de libro A1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>
      <c r="A41" s="11" t="str">
        <f>IFERROR(__xludf.DUMMYFUNCTION("""COMPUTED_VALUE"""),"Proy13")</f>
        <v>Proy13</v>
      </c>
      <c r="B41" s="11" t="str">
        <f>IFERROR(__xludf.DUMMYFUNCTION("""COMPUTED_VALUE"""),"Artículo A1")</f>
        <v>Artículo A1</v>
      </c>
      <c r="C41" s="11" t="str">
        <f>IFERROR(__xludf.DUMMYFUNCTION("""COMPUTED_VALUE"""),"Universidad de Antioquia")</f>
        <v>Universidad de Antioquia</v>
      </c>
      <c r="D41" s="11" t="str">
        <f>IFERROR(__xludf.DUMMYFUNCTION("""COMPUTED_VALUE"""),"Universidad de Antioquia")</f>
        <v>Universidad de Antioquia</v>
      </c>
      <c r="E41" s="11" t="str">
        <f>IFERROR(__xludf.DUMMYFUNCTION("""COMPUTED_VALUE"""),"Universidad Nacional de San Juan")</f>
        <v>Universidad Nacional de San Juan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1" t="str">
        <f>IFERROR(__xludf.DUMMYFUNCTION("""COMPUTED_VALUE"""),"Proy13")</f>
        <v>Proy13</v>
      </c>
      <c r="B42" s="11" t="str">
        <f>IFERROR(__xludf.DUMMYFUNCTION("""COMPUTED_VALUE"""),"Artículo A1")</f>
        <v>Artículo A1</v>
      </c>
      <c r="C42" s="11" t="str">
        <f>IFERROR(__xludf.DUMMYFUNCTION("""COMPUTED_VALUE"""),"Institución Universitaria Pascual Bravo")</f>
        <v>Institución Universitaria Pascual Bravo</v>
      </c>
      <c r="D42" s="11" t="str">
        <f>IFERROR(__xludf.DUMMYFUNCTION("""COMPUTED_VALUE"""),"Universidad de Antioquia")</f>
        <v>Universidad de Antioquia</v>
      </c>
      <c r="E42" s="11" t="str">
        <f>IFERROR(__xludf.DUMMYFUNCTION("""COMPUTED_VALUE"""),"Universidad de Antioquia")</f>
        <v>Universidad de Antioquia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>
      <c r="A43" s="11" t="str">
        <f>IFERROR(__xludf.DUMMYFUNCTION("""COMPUTED_VALUE"""),"Proy4")</f>
        <v>Proy4</v>
      </c>
      <c r="B43" s="11" t="str">
        <f>IFERROR(__xludf.DUMMYFUNCTION("""COMPUTED_VALUE"""),"Artículo A1")</f>
        <v>Artículo A1</v>
      </c>
      <c r="C43" s="11" t="str">
        <f>IFERROR(__xludf.DUMMYFUNCTION("""COMPUTED_VALUE"""),"Universidad de Antioquia")</f>
        <v>Universidad de Antioquia</v>
      </c>
      <c r="D43" s="11" t="str">
        <f>IFERROR(__xludf.DUMMYFUNCTION("""COMPUTED_VALUE"""),"YPF Tecnología S.A")</f>
        <v>YPF Tecnología S.A</v>
      </c>
      <c r="E43" s="11" t="str">
        <f>IFERROR(__xludf.DUMMYFUNCTION("""COMPUTED_VALUE"""),"Universidad de Antioquia")</f>
        <v>Universidad de Antioquia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1" t="str">
        <f>IFERROR(__xludf.DUMMYFUNCTION("""COMPUTED_VALUE"""),"Proy13")</f>
        <v>Proy13</v>
      </c>
      <c r="B44" s="11" t="str">
        <f>IFERROR(__xludf.DUMMYFUNCTION("""COMPUTED_VALUE"""),"Artículo A1")</f>
        <v>Artículo A1</v>
      </c>
      <c r="C44" s="11" t="str">
        <f>IFERROR(__xludf.DUMMYFUNCTION("""COMPUTED_VALUE"""),"Universidad de Antioquia")</f>
        <v>Universidad de Antioquia</v>
      </c>
      <c r="D44" s="11" t="str">
        <f>IFERROR(__xludf.DUMMYFUNCTION("""COMPUTED_VALUE"""),"Universidad de Antioquia")</f>
        <v>Universidad de Antioquia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>
      <c r="A45" s="11" t="str">
        <f>IFERROR(__xludf.DUMMYFUNCTION("""COMPUTED_VALUE"""),"Proy12")</f>
        <v>Proy12</v>
      </c>
      <c r="B45" s="11" t="str">
        <f>IFERROR(__xludf.DUMMYFUNCTION("""COMPUTED_VALUE"""),"Artículo A1")</f>
        <v>Artículo A1</v>
      </c>
      <c r="C45" s="11" t="str">
        <f>IFERROR(__xludf.DUMMYFUNCTION("""COMPUTED_VALUE"""),"Universidad de Antioquia")</f>
        <v>Universidad de Antioquia</v>
      </c>
      <c r="D45" s="11" t="str">
        <f>IFERROR(__xludf.DUMMYFUNCTION("""COMPUTED_VALUE"""),"Universidad de Antioquia")</f>
        <v>Universidad de Antioquia</v>
      </c>
      <c r="E45" s="11" t="str">
        <f>IFERROR(__xludf.DUMMYFUNCTION("""COMPUTED_VALUE"""),"University of Utah")</f>
        <v>University of Utah</v>
      </c>
      <c r="F45" s="11" t="str">
        <f>IFERROR(__xludf.DUMMYFUNCTION("""COMPUTED_VALUE"""),"University of Utah")</f>
        <v>University of Utah</v>
      </c>
      <c r="G45" s="11" t="str">
        <f>IFERROR(__xludf.DUMMYFUNCTION("""COMPUTED_VALUE"""),"University of Utah")</f>
        <v>University of Utah</v>
      </c>
      <c r="H45" s="11" t="str">
        <f>IFERROR(__xludf.DUMMYFUNCTION("""COMPUTED_VALUE"""),"Universidad de Antioquia")</f>
        <v>Universidad de Antioquia</v>
      </c>
      <c r="I45" s="11"/>
      <c r="J45" s="11"/>
      <c r="K45" s="11"/>
      <c r="L45" s="11"/>
      <c r="M45" s="11"/>
      <c r="N45" s="11"/>
      <c r="O45" s="11"/>
      <c r="P45" s="11"/>
    </row>
    <row r="46">
      <c r="A46" s="11" t="str">
        <f>IFERROR(__xludf.DUMMYFUNCTION("""COMPUTED_VALUE"""),"Proy8")</f>
        <v>Proy8</v>
      </c>
      <c r="B46" s="11" t="str">
        <f>IFERROR(__xludf.DUMMYFUNCTION("""COMPUTED_VALUE"""),"Artículo B")</f>
        <v>Artículo B</v>
      </c>
      <c r="C46" s="11" t="str">
        <f>IFERROR(__xludf.DUMMYFUNCTION("""COMPUTED_VALUE"""),"Universidad de Antioquia")</f>
        <v>Universidad de Antioquia</v>
      </c>
      <c r="D46" s="11" t="str">
        <f>IFERROR(__xludf.DUMMYFUNCTION("""COMPUTED_VALUE"""),"Universidad de Antioquia")</f>
        <v>Universidad de Antioquia</v>
      </c>
      <c r="E46" s="11" t="str">
        <f>IFERROR(__xludf.DUMMYFUNCTION("""COMPUTED_VALUE"""),"Universidad de Antioquia")</f>
        <v>Universidad de Antioquia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>
      <c r="A47" s="11" t="str">
        <f>IFERROR(__xludf.DUMMYFUNCTION("""COMPUTED_VALUE"""),"Proy10")</f>
        <v>Proy10</v>
      </c>
      <c r="B47" s="11" t="str">
        <f>IFERROR(__xludf.DUMMYFUNCTION("""COMPUTED_VALUE"""),"Artículo A1")</f>
        <v>Artículo A1</v>
      </c>
      <c r="C47" s="11" t="str">
        <f>IFERROR(__xludf.DUMMYFUNCTION("""COMPUTED_VALUE"""),"Universidad de Antioquia")</f>
        <v>Universidad de Antioquia</v>
      </c>
      <c r="D47" s="11" t="str">
        <f>IFERROR(__xludf.DUMMYFUNCTION("""COMPUTED_VALUE"""),"Universidad de Antioquia")</f>
        <v>Universidad de Antioquia</v>
      </c>
      <c r="E47" s="11" t="str">
        <f>IFERROR(__xludf.DUMMYFUNCTION("""COMPUTED_VALUE"""),"Universidad de Antioquia")</f>
        <v>Universidad de Antioquia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>
      <c r="A48" s="11" t="str">
        <f>IFERROR(__xludf.DUMMYFUNCTION("""COMPUTED_VALUE"""),"Proy13")</f>
        <v>Proy13</v>
      </c>
      <c r="B48" s="11" t="str">
        <f>IFERROR(__xludf.DUMMYFUNCTION("""COMPUTED_VALUE"""),"Capítulo de libro A1")</f>
        <v>Capítulo de libro A1</v>
      </c>
      <c r="C48" s="11" t="str">
        <f>IFERROR(__xludf.DUMMYFUNCTION("""COMPUTED_VALUE"""),"Universidad de Antioquia")</f>
        <v>Universidad de Antioquia</v>
      </c>
      <c r="D48" s="11" t="str">
        <f>IFERROR(__xludf.DUMMYFUNCTION("""COMPUTED_VALUE"""),"Universidad de Antioquia")</f>
        <v>Universidad de Antioquia</v>
      </c>
      <c r="E48" s="11" t="str">
        <f>IFERROR(__xludf.DUMMYFUNCTION("""COMPUTED_VALUE"""),"Universidad de Antioquia")</f>
        <v>Universidad de Antioquia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>
      <c r="A49" s="11" t="str">
        <f>IFERROR(__xludf.DUMMYFUNCTION("""COMPUTED_VALUE"""),"Proy14")</f>
        <v>Proy14</v>
      </c>
      <c r="B49" s="11" t="str">
        <f>IFERROR(__xludf.DUMMYFUNCTION("""COMPUTED_VALUE"""),"Artículo A2")</f>
        <v>Artículo A2</v>
      </c>
      <c r="C49" s="11" t="str">
        <f>IFERROR(__xludf.DUMMYFUNCTION("""COMPUTED_VALUE"""),"Universidad del Valle")</f>
        <v>Universidad del Valle</v>
      </c>
      <c r="D49" s="11" t="str">
        <f>IFERROR(__xludf.DUMMYFUNCTION("""COMPUTED_VALUE"""),"Universidad del Valle")</f>
        <v>Universidad del Valle</v>
      </c>
      <c r="E49" s="11" t="str">
        <f>IFERROR(__xludf.DUMMYFUNCTION("""COMPUTED_VALUE"""),"Universidad del Valle")</f>
        <v>Universidad del Valle</v>
      </c>
      <c r="F49" s="11" t="str">
        <f>IFERROR(__xludf.DUMMYFUNCTION("""COMPUTED_VALUE"""),"Universidad del Valle")</f>
        <v>Universidad del Valle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>
      <c r="A50" s="11" t="str">
        <f>IFERROR(__xludf.DUMMYFUNCTION("""COMPUTED_VALUE"""),"Proy14")</f>
        <v>Proy14</v>
      </c>
      <c r="B50" s="11" t="str">
        <f>IFERROR(__xludf.DUMMYFUNCTION("""COMPUTED_VALUE"""),"Artículo A2")</f>
        <v>Artículo A2</v>
      </c>
      <c r="C50" s="11" t="str">
        <f>IFERROR(__xludf.DUMMYFUNCTION("""COMPUTED_VALUE"""),"Universidad del Valle")</f>
        <v>Universidad del Valle</v>
      </c>
      <c r="D50" s="11" t="str">
        <f>IFERROR(__xludf.DUMMYFUNCTION("""COMPUTED_VALUE"""),"Instituto Nacional de Electricidad y Energias Limpias")</f>
        <v>Instituto Nacional de Electricidad y Energias Limpias</v>
      </c>
      <c r="E50" s="11" t="str">
        <f>IFERROR(__xludf.DUMMYFUNCTION("""COMPUTED_VALUE"""),"Instituto Nacional de Electricidad y Energias Limpias")</f>
        <v>Instituto Nacional de Electricidad y Energias Limpias</v>
      </c>
      <c r="F50" s="11" t="str">
        <f>IFERROR(__xludf.DUMMYFUNCTION("""COMPUTED_VALUE"""),"Universidad Autónoma del Estado de Morelos")</f>
        <v>Universidad Autónoma del Estado de Morelos</v>
      </c>
      <c r="G50" s="11" t="str">
        <f>IFERROR(__xludf.DUMMYFUNCTION("""COMPUTED_VALUE"""),"Universidad del Valle")</f>
        <v>Universidad del Valle</v>
      </c>
      <c r="H50" s="11" t="str">
        <f>IFERROR(__xludf.DUMMYFUNCTION("""COMPUTED_VALUE"""),"Universidad del Valle")</f>
        <v>Universidad del Valle</v>
      </c>
      <c r="I50" s="11"/>
      <c r="J50" s="11"/>
      <c r="K50" s="11"/>
      <c r="L50" s="11"/>
      <c r="M50" s="11"/>
      <c r="N50" s="11"/>
      <c r="O50" s="11"/>
      <c r="P50" s="11"/>
    </row>
    <row r="51">
      <c r="A51" s="11" t="str">
        <f>IFERROR(__xludf.DUMMYFUNCTION("""COMPUTED_VALUE"""),"Proy10")</f>
        <v>Proy10</v>
      </c>
      <c r="B51" s="11" t="str">
        <f>IFERROR(__xludf.DUMMYFUNCTION("""COMPUTED_VALUE"""),"Artículo A1")</f>
        <v>Artículo A1</v>
      </c>
      <c r="C51" s="11" t="str">
        <f>IFERROR(__xludf.DUMMYFUNCTION("""COMPUTED_VALUE"""),"Universidad de Antioquia")</f>
        <v>Universidad de Antioquia</v>
      </c>
      <c r="D51" s="11" t="str">
        <f>IFERROR(__xludf.DUMMYFUNCTION("""COMPUTED_VALUE"""),"Universidad de Antioquia")</f>
        <v>Universidad de Antioquia</v>
      </c>
      <c r="E51" s="11" t="str">
        <f>IFERROR(__xludf.DUMMYFUNCTION("""COMPUTED_VALUE"""),"Universidad de Antioquia")</f>
        <v>Universidad de Antioquia</v>
      </c>
      <c r="F51" s="11" t="str">
        <f>IFERROR(__xludf.DUMMYFUNCTION("""COMPUTED_VALUE"""),"Universidad de Antioquia")</f>
        <v>Universidad de Antioquia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>
      <c r="A52" s="11" t="str">
        <f>IFERROR(__xludf.DUMMYFUNCTION("""COMPUTED_VALUE"""),"Proy10")</f>
        <v>Proy10</v>
      </c>
      <c r="B52" s="11" t="str">
        <f>IFERROR(__xludf.DUMMYFUNCTION("""COMPUTED_VALUE"""),"Artículo A1")</f>
        <v>Artículo A1</v>
      </c>
      <c r="C52" s="11" t="str">
        <f>IFERROR(__xludf.DUMMYFUNCTION("""COMPUTED_VALUE"""),"Universidad de Antioquia")</f>
        <v>Universidad de Antioquia</v>
      </c>
      <c r="D52" s="11" t="str">
        <f>IFERROR(__xludf.DUMMYFUNCTION("""COMPUTED_VALUE"""),"Universidad de Antioquia")</f>
        <v>Universidad de Antioquia</v>
      </c>
      <c r="E52" s="11" t="str">
        <f>IFERROR(__xludf.DUMMYFUNCTION("""COMPUTED_VALUE"""),"Universidad de Antioquia")</f>
        <v>Universidad de Antioquia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>
      <c r="A53" s="11" t="str">
        <f>IFERROR(__xludf.DUMMYFUNCTION("""COMPUTED_VALUE"""),"Proy8")</f>
        <v>Proy8</v>
      </c>
      <c r="B53" s="11" t="str">
        <f>IFERROR(__xludf.DUMMYFUNCTION("""COMPUTED_VALUE"""),"Artículo A1")</f>
        <v>Artículo A1</v>
      </c>
      <c r="C53" s="11" t="str">
        <f>IFERROR(__xludf.DUMMYFUNCTION("""COMPUTED_VALUE"""),"Universidad de Antioquia")</f>
        <v>Universidad de Antioquia</v>
      </c>
      <c r="D53" s="11" t="str">
        <f>IFERROR(__xludf.DUMMYFUNCTION("""COMPUTED_VALUE"""),"Universidad de Castilla-La Mancha")</f>
        <v>Universidad de Castilla-La Mancha</v>
      </c>
      <c r="E53" s="11" t="str">
        <f>IFERROR(__xludf.DUMMYFUNCTION("""COMPUTED_VALUE"""),"Universidad de Antioquia")</f>
        <v>Universidad de Antioquia</v>
      </c>
      <c r="F53" s="11" t="str">
        <f>IFERROR(__xludf.DUMMYFUNCTION("""COMPUTED_VALUE"""),"Universidad de Antioquia")</f>
        <v>Universidad de Antioquia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>
      <c r="A54" s="11" t="str">
        <f>IFERROR(__xludf.DUMMYFUNCTION("""COMPUTED_VALUE"""),"Proy1")</f>
        <v>Proy1</v>
      </c>
      <c r="B54" s="11" t="str">
        <f>IFERROR(__xludf.DUMMYFUNCTION("""COMPUTED_VALUE"""),"Artículo A1")</f>
        <v>Artículo A1</v>
      </c>
      <c r="C54" s="11" t="str">
        <f>IFERROR(__xludf.DUMMYFUNCTION("""COMPUTED_VALUE"""),"Universidad de Antioquia")</f>
        <v>Universidad de Antioquia</v>
      </c>
      <c r="D54" s="11" t="str">
        <f>IFERROR(__xludf.DUMMYFUNCTION("""COMPUTED_VALUE"""),"Departamento de Ingeniería Mecánica")</f>
        <v>Departamento de Ingeniería Mecánica</v>
      </c>
      <c r="E54" s="11" t="str">
        <f>IFERROR(__xludf.DUMMYFUNCTION("""COMPUTED_VALUE"""),"Universidad de Antioquia")</f>
        <v>Universidad de Antioquia</v>
      </c>
      <c r="F54" s="11" t="str">
        <f>IFERROR(__xludf.DUMMYFUNCTION("""COMPUTED_VALUE"""),"Universidad de Antioquia")</f>
        <v>Universidad de Antioquia</v>
      </c>
      <c r="G54" s="11" t="str">
        <f>IFERROR(__xludf.DUMMYFUNCTION("""COMPUTED_VALUE"""),"Universidad de Antioquia")</f>
        <v>Universidad de Antioquia</v>
      </c>
      <c r="H54" s="11"/>
      <c r="I54" s="11"/>
      <c r="J54" s="11"/>
      <c r="K54" s="11"/>
      <c r="L54" s="11"/>
      <c r="M54" s="11"/>
      <c r="N54" s="11"/>
      <c r="O54" s="11"/>
      <c r="P54" s="11"/>
    </row>
    <row r="55">
      <c r="A55" s="11" t="str">
        <f>IFERROR(__xludf.DUMMYFUNCTION("""COMPUTED_VALUE"""),"Proy13")</f>
        <v>Proy13</v>
      </c>
      <c r="B55" s="11" t="str">
        <f>IFERROR(__xludf.DUMMYFUNCTION("""COMPUTED_VALUE"""),"Artículo A1")</f>
        <v>Artículo A1</v>
      </c>
      <c r="C55" s="11" t="str">
        <f>IFERROR(__xludf.DUMMYFUNCTION("""COMPUTED_VALUE"""),"Institucion Universitaria Pascual Bravo")</f>
        <v>Institucion Universitaria Pascual Bravo</v>
      </c>
      <c r="D55" s="11" t="str">
        <f>IFERROR(__xludf.DUMMYFUNCTION("""COMPUTED_VALUE"""),"Instituto Tecnológico Metropolitano")</f>
        <v>Instituto Tecnológico Metropolitano</v>
      </c>
      <c r="E55" s="11" t="str">
        <f>IFERROR(__xludf.DUMMYFUNCTION("""COMPUTED_VALUE"""),"Universidad de Antioquia")</f>
        <v>Universidad de Antioquia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>
      <c r="A56" s="11" t="str">
        <f>IFERROR(__xludf.DUMMYFUNCTION("""COMPUTED_VALUE"""),"Proy2")</f>
        <v>Proy2</v>
      </c>
      <c r="B56" s="11" t="str">
        <f>IFERROR(__xludf.DUMMYFUNCTION("""COMPUTED_VALUE"""),"Artículo A1")</f>
        <v>Artículo A1</v>
      </c>
      <c r="C56" s="11" t="str">
        <f>IFERROR(__xludf.DUMMYFUNCTION("""COMPUTED_VALUE"""),"Universidad de Antioquia")</f>
        <v>Universidad de Antioquia</v>
      </c>
      <c r="D56" s="11" t="str">
        <f>IFERROR(__xludf.DUMMYFUNCTION("""COMPUTED_VALUE"""),"Universidad de Antioquia")</f>
        <v>Universidad de Antioquia</v>
      </c>
      <c r="E56" s="11" t="str">
        <f>IFERROR(__xludf.DUMMYFUNCTION("""COMPUTED_VALUE"""),"EPFL")</f>
        <v>EPFL</v>
      </c>
      <c r="F56" s="11" t="str">
        <f>IFERROR(__xludf.DUMMYFUNCTION("""COMPUTED_VALUE"""),"Humboldt Universitat")</f>
        <v>Humboldt Universitat</v>
      </c>
      <c r="G56" s="11" t="str">
        <f>IFERROR(__xludf.DUMMYFUNCTION("""COMPUTED_VALUE"""),"Humboldt Universitat")</f>
        <v>Humboldt Universitat</v>
      </c>
      <c r="H56" s="11" t="str">
        <f>IFERROR(__xludf.DUMMYFUNCTION("""COMPUTED_VALUE"""),"EPFL")</f>
        <v>EPFL</v>
      </c>
      <c r="I56" s="11" t="str">
        <f>IFERROR(__xludf.DUMMYFUNCTION("""COMPUTED_VALUE"""),"Universidad de Antioquia")</f>
        <v>Universidad de Antioquia</v>
      </c>
      <c r="J56" s="11"/>
      <c r="K56" s="11"/>
      <c r="L56" s="11"/>
      <c r="M56" s="11"/>
      <c r="N56" s="11"/>
      <c r="O56" s="11"/>
      <c r="P56" s="11"/>
    </row>
    <row r="57">
      <c r="A57" s="11" t="str">
        <f>IFERROR(__xludf.DUMMYFUNCTION("""COMPUTED_VALUE"""),"Proy13")</f>
        <v>Proy13</v>
      </c>
      <c r="B57" s="11" t="str">
        <f>IFERROR(__xludf.DUMMYFUNCTION("""COMPUTED_VALUE"""),"Artículo A1")</f>
        <v>Artículo A1</v>
      </c>
      <c r="C57" s="11" t="str">
        <f>IFERROR(__xludf.DUMMYFUNCTION("""COMPUTED_VALUE"""),"Universidad de Antioquia")</f>
        <v>Universidad de Antioquia</v>
      </c>
      <c r="D57" s="11" t="str">
        <f>IFERROR(__xludf.DUMMYFUNCTION("""COMPUTED_VALUE"""),"Universidad de Antioquia")</f>
        <v>Universidad de Antioquia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>
      <c r="A58" s="11" t="str">
        <f>IFERROR(__xludf.DUMMYFUNCTION("""COMPUTED_VALUE"""),"Proy13")</f>
        <v>Proy13</v>
      </c>
      <c r="B58" s="11" t="str">
        <f>IFERROR(__xludf.DUMMYFUNCTION("""COMPUTED_VALUE"""),"Artículo A1")</f>
        <v>Artículo A1</v>
      </c>
      <c r="C58" s="11" t="str">
        <f>IFERROR(__xludf.DUMMYFUNCTION("""COMPUTED_VALUE"""),"Universidad de Antioquia")</f>
        <v>Universidad de Antioquia</v>
      </c>
      <c r="D58" s="11" t="str">
        <f>IFERROR(__xludf.DUMMYFUNCTION("""COMPUTED_VALUE"""),"Universidad de Antioquia")</f>
        <v>Universidad de Antioquia</v>
      </c>
      <c r="E58" s="11" t="str">
        <f>IFERROR(__xludf.DUMMYFUNCTION("""COMPUTED_VALUE"""),"Universidad de Antioquia")</f>
        <v>Universidad de Antioquia</v>
      </c>
      <c r="F58" s="11" t="str">
        <f>IFERROR(__xludf.DUMMYFUNCTION("""COMPUTED_VALUE"""),"Universidad de Antioquia")</f>
        <v>Universidad de Antioquia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>
      <c r="A59" s="11" t="str">
        <f>IFERROR(__xludf.DUMMYFUNCTION("""COMPUTED_VALUE"""),"Proy2")</f>
        <v>Proy2</v>
      </c>
      <c r="B59" s="11" t="str">
        <f>IFERROR(__xludf.DUMMYFUNCTION("""COMPUTED_VALUE"""),"Artículo A1")</f>
        <v>Artículo A1</v>
      </c>
      <c r="C59" s="11" t="str">
        <f>IFERROR(__xludf.DUMMYFUNCTION("""COMPUTED_VALUE"""),"Universidad de Antioquia")</f>
        <v>Universidad de Antioquia</v>
      </c>
      <c r="D59" s="11" t="str">
        <f>IFERROR(__xludf.DUMMYFUNCTION("""COMPUTED_VALUE"""),"Universidad de Antioquia")</f>
        <v>Universidad de Antioquia</v>
      </c>
      <c r="E59" s="11" t="str">
        <f>IFERROR(__xludf.DUMMYFUNCTION("""COMPUTED_VALUE"""),"Universidad de Antioquia")</f>
        <v>Universidad de Antioquia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>
      <c r="A60" s="11" t="str">
        <f>IFERROR(__xludf.DUMMYFUNCTION("""COMPUTED_VALUE"""),"Proy1")</f>
        <v>Proy1</v>
      </c>
      <c r="B60" s="11" t="str">
        <f>IFERROR(__xludf.DUMMYFUNCTION("""COMPUTED_VALUE"""),"Capítulo de libro A1")</f>
        <v>Capítulo de libro A1</v>
      </c>
      <c r="C60" s="11" t="str">
        <f>IFERROR(__xludf.DUMMYFUNCTION("""COMPUTED_VALUE"""),"Universidad de Antioquia")</f>
        <v>Universidad de Antioquia</v>
      </c>
      <c r="D60" s="11" t="str">
        <f>IFERROR(__xludf.DUMMYFUNCTION("""COMPUTED_VALUE"""),"Universidad de Antioquia")</f>
        <v>Universidad de Antioquia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>
      <c r="A61" s="11" t="str">
        <f>IFERROR(__xludf.DUMMYFUNCTION("""COMPUTED_VALUE"""),"Proy1")</f>
        <v>Proy1</v>
      </c>
      <c r="B61" s="11" t="str">
        <f>IFERROR(__xludf.DUMMYFUNCTION("""COMPUTED_VALUE"""),"Artículo A1")</f>
        <v>Artículo A1</v>
      </c>
      <c r="C61" s="11" t="str">
        <f>IFERROR(__xludf.DUMMYFUNCTION("""COMPUTED_VALUE"""),"Universidad de Antioquia")</f>
        <v>Universidad de Antioquia</v>
      </c>
      <c r="D61" s="11" t="str">
        <f>IFERROR(__xludf.DUMMYFUNCTION("""COMPUTED_VALUE"""),"Institución Universitaria TdeA")</f>
        <v>Institución Universitaria TdeA</v>
      </c>
      <c r="E61" s="11" t="str">
        <f>IFERROR(__xludf.DUMMYFUNCTION("""COMPUTED_VALUE"""),"Universidad de Antioquia")</f>
        <v>Universidad de Antioquia</v>
      </c>
      <c r="F61" s="11" t="str">
        <f>IFERROR(__xludf.DUMMYFUNCTION("""COMPUTED_VALUE"""),"Universidad de Antioquia")</f>
        <v>Universidad de Antioquia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>
      <c r="A62" s="11" t="str">
        <f>IFERROR(__xludf.DUMMYFUNCTION("""COMPUTED_VALUE"""),"Proy14")</f>
        <v>Proy14</v>
      </c>
      <c r="B62" s="11" t="str">
        <f>IFERROR(__xludf.DUMMYFUNCTION("""COMPUTED_VALUE"""),"Artículo A1")</f>
        <v>Artículo A1</v>
      </c>
      <c r="C62" s="11" t="str">
        <f>IFERROR(__xludf.DUMMYFUNCTION("""COMPUTED_VALUE"""),"Universidad del Valle")</f>
        <v>Universidad del Valle</v>
      </c>
      <c r="D62" s="11" t="str">
        <f>IFERROR(__xludf.DUMMYFUNCTION("""COMPUTED_VALUE"""),"Universidad del Valle")</f>
        <v>Universidad del Valle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>
      <c r="A63" s="11" t="str">
        <f>IFERROR(__xludf.DUMMYFUNCTION("""COMPUTED_VALUE"""),"Proy1")</f>
        <v>Proy1</v>
      </c>
      <c r="B63" s="11" t="str">
        <f>IFERROR(__xludf.DUMMYFUNCTION("""COMPUTED_VALUE"""),"Artículo A2")</f>
        <v>Artículo A2</v>
      </c>
      <c r="C63" s="11" t="str">
        <f>IFERROR(__xludf.DUMMYFUNCTION("""COMPUTED_VALUE"""),"Universidad de Antioquia")</f>
        <v>Universidad de Antioquia</v>
      </c>
      <c r="D63" s="11" t="str">
        <f>IFERROR(__xludf.DUMMYFUNCTION("""COMPUTED_VALUE"""),"Universidad de Antioquia")</f>
        <v>Universidad de Antioquia</v>
      </c>
      <c r="E63" s="11" t="str">
        <f>IFERROR(__xludf.DUMMYFUNCTION("""COMPUTED_VALUE"""),"Universidad de Antioquia")</f>
        <v>Universidad de Antioquia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>
      <c r="A64" s="11" t="str">
        <f>IFERROR(__xludf.DUMMYFUNCTION("""COMPUTED_VALUE"""),"Proy12")</f>
        <v>Proy12</v>
      </c>
      <c r="B64" s="11" t="str">
        <f>IFERROR(__xludf.DUMMYFUNCTION("""COMPUTED_VALUE"""),"Artículo A1")</f>
        <v>Artículo A1</v>
      </c>
      <c r="C64" s="11" t="str">
        <f>IFERROR(__xludf.DUMMYFUNCTION("""COMPUTED_VALUE"""),"Universidad de Antioquia")</f>
        <v>Universidad de Antioquia</v>
      </c>
      <c r="D64" s="11" t="str">
        <f>IFERROR(__xludf.DUMMYFUNCTION("""COMPUTED_VALUE"""),"Universidad de Castilla-La mancha")</f>
        <v>Universidad de Castilla-La mancha</v>
      </c>
      <c r="E64" s="11" t="str">
        <f>IFERROR(__xludf.DUMMYFUNCTION("""COMPUTED_VALUE"""),"Universidad de Antioquia")</f>
        <v>Universidad de Antioquia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>
      <c r="A65" s="11" t="str">
        <f>IFERROR(__xludf.DUMMYFUNCTION("""COMPUTED_VALUE"""),"Proy13")</f>
        <v>Proy13</v>
      </c>
      <c r="B65" s="11" t="str">
        <f>IFERROR(__xludf.DUMMYFUNCTION("""COMPUTED_VALUE"""),"Artículo A1")</f>
        <v>Artículo A1</v>
      </c>
      <c r="C65" s="11" t="str">
        <f>IFERROR(__xludf.DUMMYFUNCTION("""COMPUTED_VALUE"""),"Universidad de Antioquia")</f>
        <v>Universidad de Antioquia</v>
      </c>
      <c r="D65" s="11" t="str">
        <f>IFERROR(__xludf.DUMMYFUNCTION("""COMPUTED_VALUE"""),"Universidad de Antioquia")</f>
        <v>Universidad de Antioquia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>
      <c r="A66" s="11" t="str">
        <f>IFERROR(__xludf.DUMMYFUNCTION("""COMPUTED_VALUE"""),"Proy4")</f>
        <v>Proy4</v>
      </c>
      <c r="B66" s="11" t="str">
        <f>IFERROR(__xludf.DUMMYFUNCTION("""COMPUTED_VALUE"""),"Artículo A1")</f>
        <v>Artículo A1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>
      <c r="A67" s="11" t="str">
        <f>IFERROR(__xludf.DUMMYFUNCTION("""COMPUTED_VALUE"""),"Proy4")</f>
        <v>Proy4</v>
      </c>
      <c r="B67" s="11" t="str">
        <f>IFERROR(__xludf.DUMMYFUNCTION("""COMPUTED_VALUE"""),"Artículo A1")</f>
        <v>Artículo A1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>
      <c r="A68" s="11" t="str">
        <f>IFERROR(__xludf.DUMMYFUNCTION("""COMPUTED_VALUE"""),"Proy10")</f>
        <v>Proy10</v>
      </c>
      <c r="B68" s="11" t="str">
        <f>IFERROR(__xludf.DUMMYFUNCTION("""COMPUTED_VALUE"""),"Artículo A1")</f>
        <v>Artículo A1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7.29"/>
    <col customWidth="1" min="14" max="15" width="17.14"/>
  </cols>
  <sheetData>
    <row r="1">
      <c r="A1" s="12" t="s">
        <v>240</v>
      </c>
    </row>
    <row r="2">
      <c r="A2" s="13"/>
    </row>
    <row r="3">
      <c r="A3" s="13"/>
    </row>
    <row r="4">
      <c r="A4" s="14" t="str">
        <f>IFERROR(__xludf.DUMMYFUNCTION("QUERY(NuevoC!A:CX, A1)"),"select *    where B = 'Nuevo_Conocimiento' order by AX desc    PROYECTO")</f>
        <v>select *    where B = 'Nuevo_Conocimiento' order by AX desc    PROYECTO</v>
      </c>
      <c r="B4" s="11" t="str">
        <f>IFERROR(__xludf.DUMMYFUNCTION("""COMPUTED_VALUE"""),"    SUBPRODUCTO")</f>
        <v>    SUBPRODUCTO</v>
      </c>
      <c r="C4" s="11" t="str">
        <f>IFERROR(__xludf.DUMMYFUNCTION("""COMPUTED_VALUE"""),"    Grupo Autor 1")</f>
        <v>    Grupo Autor 1</v>
      </c>
      <c r="D4" s="11" t="str">
        <f>IFERROR(__xludf.DUMMYFUNCTION("""COMPUTED_VALUE"""),"    Grupo Autor 2")</f>
        <v>    Grupo Autor 2</v>
      </c>
      <c r="E4" s="11" t="str">
        <f>IFERROR(__xludf.DUMMYFUNCTION("""COMPUTED_VALUE"""),"    Grupo Autor 3")</f>
        <v>    Grupo Autor 3</v>
      </c>
      <c r="F4" s="11" t="str">
        <f>IFERROR(__xludf.DUMMYFUNCTION("""COMPUTED_VALUE"""),"    Grupo Autor 4")</f>
        <v>    Grupo Autor 4</v>
      </c>
      <c r="G4" s="11" t="str">
        <f>IFERROR(__xludf.DUMMYFUNCTION("""COMPUTED_VALUE"""),"    Grupo Autor 5")</f>
        <v>    Grupo Autor 5</v>
      </c>
      <c r="H4" s="11" t="str">
        <f>IFERROR(__xludf.DUMMYFUNCTION("""COMPUTED_VALUE"""),"    Grupo Autor 6")</f>
        <v>    Grupo Autor 6</v>
      </c>
      <c r="I4" s="11" t="str">
        <f>IFERROR(__xludf.DUMMYFUNCTION("""COMPUTED_VALUE"""),"    Grupo Autor 7")</f>
        <v>    Grupo Autor 7</v>
      </c>
      <c r="J4" s="11" t="str">
        <f>IFERROR(__xludf.DUMMYFUNCTION("""COMPUTED_VALUE"""),"    Grupo Autor 8")</f>
        <v>    Grupo Autor 8</v>
      </c>
      <c r="K4" s="11" t="str">
        <f>IFERROR(__xludf.DUMMYFUNCTION("""COMPUTED_VALUE"""),"    Grupo Autor 9")</f>
        <v>    Grupo Autor 9</v>
      </c>
      <c r="L4" s="11" t="str">
        <f>IFERROR(__xludf.DUMMYFUNCTION("""COMPUTED_VALUE"""),"    Grupo Autor 10")</f>
        <v>    Grupo Autor 10</v>
      </c>
      <c r="M4" s="11" t="str">
        <f>IFERROR(__xludf.DUMMYFUNCTION("""COMPUTED_VALUE"""),"    Grupo Autor 11")</f>
        <v>    Grupo Autor 11</v>
      </c>
      <c r="N4" s="11" t="str">
        <f>IFERROR(__xludf.DUMMYFUNCTION("""COMPUTED_VALUE"""),"    Grupo Autor 12")</f>
        <v>    Grupo Autor 12</v>
      </c>
      <c r="O4" s="11" t="str">
        <f>IFERROR(__xludf.DUMMYFUNCTION("""COMPUTED_VALUE"""),"    Grupo Autor 13")</f>
        <v>    Grupo Autor 13</v>
      </c>
      <c r="P4" s="11" t="str">
        <f>IFERROR(__xludf.DUMMYFUNCTION("""COMPUTED_VALUE"""),"    Grupo Autor 14")</f>
        <v>    Grupo Autor 14</v>
      </c>
    </row>
    <row r="5">
      <c r="A5" s="11" t="str">
        <f>IFERROR(__xludf.DUMMYFUNCTION("""COMPUTED_VALUE"""),"Proy8")</f>
        <v>Proy8</v>
      </c>
      <c r="B5" s="11" t="str">
        <f>IFERROR(__xludf.DUMMYFUNCTION("""COMPUTED_VALUE"""),"Artículo A1")</f>
        <v>Artículo A1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>
      <c r="A6" s="11" t="str">
        <f>IFERROR(__xludf.DUMMYFUNCTION("""COMPUTED_VALUE"""),"Proy8")</f>
        <v>Proy8</v>
      </c>
      <c r="B6" s="11" t="str">
        <f>IFERROR(__xludf.DUMMYFUNCTION("""COMPUTED_VALUE"""),"Artículo A1")</f>
        <v>Artículo A1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>
      <c r="A7" s="11" t="str">
        <f>IFERROR(__xludf.DUMMYFUNCTION("""COMPUTED_VALUE"""),"Proy13")</f>
        <v>Proy13</v>
      </c>
      <c r="B7" s="11" t="str">
        <f>IFERROR(__xludf.DUMMYFUNCTION("""COMPUTED_VALUE"""),"Artículo A1")</f>
        <v>Artículo A1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>
      <c r="A8" s="11" t="str">
        <f>IFERROR(__xludf.DUMMYFUNCTION("""COMPUTED_VALUE"""),"Proy13")</f>
        <v>Proy13</v>
      </c>
      <c r="B8" s="11" t="str">
        <f>IFERROR(__xludf.DUMMYFUNCTION("""COMPUTED_VALUE"""),"Artículo A2")</f>
        <v>Artículo A2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>
      <c r="A9" s="11" t="str">
        <f>IFERROR(__xludf.DUMMYFUNCTION("""COMPUTED_VALUE"""),"Proy8")</f>
        <v>Proy8</v>
      </c>
      <c r="B9" s="11" t="str">
        <f>IFERROR(__xludf.DUMMYFUNCTION("""COMPUTED_VALUE"""),"Artículo A1")</f>
        <v>Artículo A1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>
      <c r="A10" s="11" t="str">
        <f>IFERROR(__xludf.DUMMYFUNCTION("""COMPUTED_VALUE"""),"Proy8")</f>
        <v>Proy8</v>
      </c>
      <c r="B10" s="11" t="str">
        <f>IFERROR(__xludf.DUMMYFUNCTION("""COMPUTED_VALUE"""),"Artículo A1")</f>
        <v>Artículo A1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>
      <c r="A11" s="11" t="str">
        <f>IFERROR(__xludf.DUMMYFUNCTION("""COMPUTED_VALUE"""),"Proy15")</f>
        <v>Proy15</v>
      </c>
      <c r="B11" s="11" t="str">
        <f>IFERROR(__xludf.DUMMYFUNCTION("""COMPUTED_VALUE"""),"Capítulo sin clasificar")</f>
        <v>Capítulo sin clasificar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>
      <c r="A12" s="11" t="str">
        <f>IFERROR(__xludf.DUMMYFUNCTION("""COMPUTED_VALUE"""),"Proy13")</f>
        <v>Proy13</v>
      </c>
      <c r="B12" s="11" t="str">
        <f>IFERROR(__xludf.DUMMYFUNCTION("""COMPUTED_VALUE"""),"Artículo A2")</f>
        <v>Artículo A2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>
      <c r="A13" s="11" t="str">
        <f>IFERROR(__xludf.DUMMYFUNCTION("""COMPUTED_VALUE"""),"Proy4")</f>
        <v>Proy4</v>
      </c>
      <c r="B13" s="11" t="str">
        <f>IFERROR(__xludf.DUMMYFUNCTION("""COMPUTED_VALUE"""),"Artículo A1")</f>
        <v>Artículo A1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>
      <c r="A14" s="11" t="str">
        <f>IFERROR(__xludf.DUMMYFUNCTION("""COMPUTED_VALUE"""),"Proy1")</f>
        <v>Proy1</v>
      </c>
      <c r="B14" s="11" t="str">
        <f>IFERROR(__xludf.DUMMYFUNCTION("""COMPUTED_VALUE"""),"Artículo A1")</f>
        <v>Artículo A1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>
      <c r="A15" s="11" t="str">
        <f>IFERROR(__xludf.DUMMYFUNCTION("""COMPUTED_VALUE"""),"Proy15")</f>
        <v>Proy15</v>
      </c>
      <c r="B15" s="11" t="str">
        <f>IFERROR(__xludf.DUMMYFUNCTION("""COMPUTED_VALUE"""),"Artículo B")</f>
        <v>Artículo B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>
      <c r="A16" s="11" t="str">
        <f>IFERROR(__xludf.DUMMYFUNCTION("""COMPUTED_VALUE"""),"Proy8")</f>
        <v>Proy8</v>
      </c>
      <c r="B16" s="11" t="str">
        <f>IFERROR(__xludf.DUMMYFUNCTION("""COMPUTED_VALUE"""),"Artículo A1")</f>
        <v>Artículo A1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11" t="str">
        <f>IFERROR(__xludf.DUMMYFUNCTION("""COMPUTED_VALUE"""),"Proy12")</f>
        <v>Proy12</v>
      </c>
      <c r="B17" s="11" t="str">
        <f>IFERROR(__xludf.DUMMYFUNCTION("""COMPUTED_VALUE"""),"Artículo A1")</f>
        <v>Artículo A1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>
      <c r="A18" s="11" t="str">
        <f>IFERROR(__xludf.DUMMYFUNCTION("""COMPUTED_VALUE"""),"Proy15")</f>
        <v>Proy15</v>
      </c>
      <c r="B18" s="11" t="str">
        <f>IFERROR(__xludf.DUMMYFUNCTION("""COMPUTED_VALUE"""),"Artículo B")</f>
        <v>Artículo B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>
      <c r="A19" s="11" t="str">
        <f>IFERROR(__xludf.DUMMYFUNCTION("""COMPUTED_VALUE"""),"Proy13")</f>
        <v>Proy13</v>
      </c>
      <c r="B19" s="11" t="str">
        <f>IFERROR(__xludf.DUMMYFUNCTION("""COMPUTED_VALUE"""),"Artículo A1")</f>
        <v>Artículo A1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>
      <c r="A20" s="11" t="str">
        <f>IFERROR(__xludf.DUMMYFUNCTION("""COMPUTED_VALUE"""),"Proy12")</f>
        <v>Proy12</v>
      </c>
      <c r="B20" s="11" t="str">
        <f>IFERROR(__xludf.DUMMYFUNCTION("""COMPUTED_VALUE"""),"Artículo A1")</f>
        <v>Artículo A1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>
      <c r="A21" s="11" t="str">
        <f>IFERROR(__xludf.DUMMYFUNCTION("""COMPUTED_VALUE"""),"Proy2")</f>
        <v>Proy2</v>
      </c>
      <c r="B21" s="11" t="str">
        <f>IFERROR(__xludf.DUMMYFUNCTION("""COMPUTED_VALUE"""),"Artículo B")</f>
        <v>Artículo B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>
      <c r="A22" s="11" t="str">
        <f>IFERROR(__xludf.DUMMYFUNCTION("""COMPUTED_VALUE"""),"Proy12")</f>
        <v>Proy12</v>
      </c>
      <c r="B22" s="11" t="str">
        <f>IFERROR(__xludf.DUMMYFUNCTION("""COMPUTED_VALUE"""),"Artículo A1")</f>
        <v>Artículo A1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1" t="str">
        <f>IFERROR(__xludf.DUMMYFUNCTION("""COMPUTED_VALUE"""),"Proy12")</f>
        <v>Proy12</v>
      </c>
      <c r="B23" s="11" t="str">
        <f>IFERROR(__xludf.DUMMYFUNCTION("""COMPUTED_VALUE"""),"Artículo A1")</f>
        <v>Artículo A1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 t="str">
        <f>IFERROR(__xludf.DUMMYFUNCTION("""COMPUTED_VALUE"""),"Proy12")</f>
        <v>Proy12</v>
      </c>
      <c r="B24" s="11" t="str">
        <f>IFERROR(__xludf.DUMMYFUNCTION("""COMPUTED_VALUE"""),"Artículo A1")</f>
        <v>Artículo A1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>
      <c r="A25" s="11" t="str">
        <f>IFERROR(__xludf.DUMMYFUNCTION("""COMPUTED_VALUE"""),"Proy13")</f>
        <v>Proy13</v>
      </c>
      <c r="B25" s="11" t="str">
        <f>IFERROR(__xludf.DUMMYFUNCTION("""COMPUTED_VALUE"""),"Artículo A1")</f>
        <v>Artículo A1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>
      <c r="A26" s="11" t="str">
        <f>IFERROR(__xludf.DUMMYFUNCTION("""COMPUTED_VALUE"""),"Proy13")</f>
        <v>Proy13</v>
      </c>
      <c r="B26" s="11" t="str">
        <f>IFERROR(__xludf.DUMMYFUNCTION("""COMPUTED_VALUE"""),"Artículo A1")</f>
        <v>Artículo A1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>
      <c r="A27" s="11" t="str">
        <f>IFERROR(__xludf.DUMMYFUNCTION("""COMPUTED_VALUE"""),"Proy15")</f>
        <v>Proy15</v>
      </c>
      <c r="B27" s="11" t="str">
        <f>IFERROR(__xludf.DUMMYFUNCTION("""COMPUTED_VALUE"""),"Artículo B")</f>
        <v>Artículo B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>
      <c r="A28" s="11" t="str">
        <f>IFERROR(__xludf.DUMMYFUNCTION("""COMPUTED_VALUE"""),"Proy1")</f>
        <v>Proy1</v>
      </c>
      <c r="B28" s="11" t="str">
        <f>IFERROR(__xludf.DUMMYFUNCTION("""COMPUTED_VALUE"""),"Artículo B")</f>
        <v>Artículo B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1" t="str">
        <f>IFERROR(__xludf.DUMMYFUNCTION("""COMPUTED_VALUE"""),"Proy13")</f>
        <v>Proy13</v>
      </c>
      <c r="B29" s="11" t="str">
        <f>IFERROR(__xludf.DUMMYFUNCTION("""COMPUTED_VALUE"""),"Artículo A1")</f>
        <v>Artículo A1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 t="str">
        <f>IFERROR(__xludf.DUMMYFUNCTION("""COMPUTED_VALUE"""),"Proy1")</f>
        <v>Proy1</v>
      </c>
      <c r="B30" s="11" t="str">
        <f>IFERROR(__xludf.DUMMYFUNCTION("""COMPUTED_VALUE"""),"Artículo A2")</f>
        <v>Artículo A2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>
      <c r="A31" s="11" t="str">
        <f>IFERROR(__xludf.DUMMYFUNCTION("""COMPUTED_VALUE"""),"Proy2")</f>
        <v>Proy2</v>
      </c>
      <c r="B31" s="11" t="str">
        <f>IFERROR(__xludf.DUMMYFUNCTION("""COMPUTED_VALUE"""),"Artículo A1")</f>
        <v>Artículo A1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>
      <c r="A32" s="11" t="str">
        <f>IFERROR(__xludf.DUMMYFUNCTION("""COMPUTED_VALUE"""),"Proy2")</f>
        <v>Proy2</v>
      </c>
      <c r="B32" s="11" t="str">
        <f>IFERROR(__xludf.DUMMYFUNCTION("""COMPUTED_VALUE"""),"Capítulo de libro A1")</f>
        <v>Capítulo de libro A1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>
      <c r="A33" s="11" t="str">
        <f>IFERROR(__xludf.DUMMYFUNCTION("""COMPUTED_VALUE"""),"Proy2")</f>
        <v>Proy2</v>
      </c>
      <c r="B33" s="11" t="str">
        <f>IFERROR(__xludf.DUMMYFUNCTION("""COMPUTED_VALUE"""),"Artículo A1")</f>
        <v>Artículo A1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>
      <c r="A34" s="11" t="str">
        <f>IFERROR(__xludf.DUMMYFUNCTION("""COMPUTED_VALUE"""),"Proy4")</f>
        <v>Proy4</v>
      </c>
      <c r="B34" s="11" t="str">
        <f>IFERROR(__xludf.DUMMYFUNCTION("""COMPUTED_VALUE"""),"Artículo A1")</f>
        <v>Artículo A1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>
      <c r="A35" s="11" t="str">
        <f>IFERROR(__xludf.DUMMYFUNCTION("""COMPUTED_VALUE"""),"Proy3")</f>
        <v>Proy3</v>
      </c>
      <c r="B35" s="11" t="str">
        <f>IFERROR(__xludf.DUMMYFUNCTION("""COMPUTED_VALUE"""),"Artículo C")</f>
        <v>Artículo C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1" t="str">
        <f>IFERROR(__xludf.DUMMYFUNCTION("""COMPUTED_VALUE"""),"Proy10")</f>
        <v>Proy10</v>
      </c>
      <c r="B36" s="11" t="str">
        <f>IFERROR(__xludf.DUMMYFUNCTION("""COMPUTED_VALUE"""),"Artículo A1")</f>
        <v>Artículo A1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>
      <c r="A37" s="11" t="str">
        <f>IFERROR(__xludf.DUMMYFUNCTION("""COMPUTED_VALUE"""),"Proy15")</f>
        <v>Proy15</v>
      </c>
      <c r="B37" s="11" t="str">
        <f>IFERROR(__xludf.DUMMYFUNCTION("""COMPUTED_VALUE"""),"Artículo A1")</f>
        <v>Artículo A1</v>
      </c>
      <c r="C37" s="11" t="str">
        <f>IFERROR(__xludf.DUMMYFUNCTION("""COMPUTED_VALUE"""),"GIGA")</f>
        <v>GIGA</v>
      </c>
      <c r="D37" s="11" t="str">
        <f>IFERROR(__xludf.DUMMYFUNCTION("""COMPUTED_VALUE"""),"GIGA")</f>
        <v>GIGA</v>
      </c>
      <c r="E37" s="11" t="str">
        <f>IFERROR(__xludf.DUMMYFUNCTION("""COMPUTED_VALUE"""),"GIMEL")</f>
        <v>GIMEL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1" t="str">
        <f>IFERROR(__xludf.DUMMYFUNCTION("""COMPUTED_VALUE"""),"Proy13")</f>
        <v>Proy13</v>
      </c>
      <c r="B38" s="11" t="str">
        <f>IFERROR(__xludf.DUMMYFUNCTION("""COMPUTED_VALUE"""),"Artículo A1")</f>
        <v>Artículo A1</v>
      </c>
      <c r="C38" s="11" t="str">
        <f>IFERROR(__xludf.DUMMYFUNCTION("""COMPUTED_VALUE"""),"GIMEL")</f>
        <v>GIMEL</v>
      </c>
      <c r="D38" s="11" t="str">
        <f>IFERROR(__xludf.DUMMYFUNCTION("""COMPUTED_VALUE"""),"GIMEL")</f>
        <v>GIMEL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 t="str">
        <f>IFERROR(__xludf.DUMMYFUNCTION("""COMPUTED_VALUE"""),"Proy2")</f>
        <v>Proy2</v>
      </c>
      <c r="B39" s="11" t="str">
        <f>IFERROR(__xludf.DUMMYFUNCTION("""COMPUTED_VALUE"""),"Artículo A1")</f>
        <v>Artículo A1</v>
      </c>
      <c r="C39" s="11" t="str">
        <f>IFERROR(__xludf.DUMMYFUNCTION("""COMPUTED_VALUE"""),"Lab-IBEAR")</f>
        <v>Lab-IBEAR</v>
      </c>
      <c r="D39" s="11" t="str">
        <f>IFERROR(__xludf.DUMMYFUNCTION("""COMPUTED_VALUE"""),"INAM")</f>
        <v>INAM</v>
      </c>
      <c r="E39" s="11" t="str">
        <f>IFERROR(__xludf.DUMMYFUNCTION("""COMPUTED_VALUE"""),"Lab-IBEAR")</f>
        <v>Lab-IBEAR</v>
      </c>
      <c r="F39" s="11" t="str">
        <f>IFERROR(__xludf.DUMMYFUNCTION("""COMPUTED_VALUE"""),"Grupo de Óptica Moderna")</f>
        <v>Grupo de Óptica Moderna</v>
      </c>
      <c r="G39" s="11" t="str">
        <f>IFERROR(__xludf.DUMMYFUNCTION("""COMPUTED_VALUE"""),"CMN")</f>
        <v>CMN</v>
      </c>
      <c r="H39" s="11" t="str">
        <f>IFERROR(__xludf.DUMMYFUNCTION("""COMPUTED_VALUE""")," Institute of Advanced Materials (INAM)")</f>
        <v> Institute of Advanced Materials (INAM)</v>
      </c>
      <c r="I39" s="11"/>
      <c r="J39" s="11" t="str">
        <f>IFERROR(__xludf.DUMMYFUNCTION("""COMPUTED_VALUE"""),"CIDEMAT")</f>
        <v>CIDEMAT</v>
      </c>
      <c r="K39" s="11" t="str">
        <f>IFERROR(__xludf.DUMMYFUNCTION("""COMPUTED_VALUE"""),"CIDEMAT")</f>
        <v>CIDEMAT</v>
      </c>
      <c r="L39" s="11" t="str">
        <f>IFERROR(__xludf.DUMMYFUNCTION("""COMPUTED_VALUE"""),"Department of Applied Physics and Electromagnetism")</f>
        <v>Department of Applied Physics and Electromagnetism</v>
      </c>
      <c r="M39" s="11" t="str">
        <f>IFERROR(__xludf.DUMMYFUNCTION("""COMPUTED_VALUE"""),"Materials for Renewable Energy (MAER)")</f>
        <v>Materials for Renewable Energy (MAER)</v>
      </c>
      <c r="N39" s="11" t="str">
        <f>IFERROR(__xludf.DUMMYFUNCTION("""COMPUTED_VALUE"""),"Materials for Renewable Energy (MAER)")</f>
        <v>Materials for Renewable Energy (MAER)</v>
      </c>
      <c r="O39" s="11" t="str">
        <f>IFERROR(__xludf.DUMMYFUNCTION("""COMPUTED_VALUE"""),"Materials for Renewable Energy (MAER)")</f>
        <v>Materials for Renewable Energy (MAER)</v>
      </c>
      <c r="P39" s="11"/>
    </row>
    <row r="40">
      <c r="A40" s="11" t="str">
        <f>IFERROR(__xludf.DUMMYFUNCTION("""COMPUTED_VALUE"""),"Proy13")</f>
        <v>Proy13</v>
      </c>
      <c r="B40" s="11" t="str">
        <f>IFERROR(__xludf.DUMMYFUNCTION("""COMPUTED_VALUE"""),"Capítulo de libro A1")</f>
        <v>Capítulo de libro A1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>
      <c r="A41" s="11" t="str">
        <f>IFERROR(__xludf.DUMMYFUNCTION("""COMPUTED_VALUE"""),"Proy13")</f>
        <v>Proy13</v>
      </c>
      <c r="B41" s="11" t="str">
        <f>IFERROR(__xludf.DUMMYFUNCTION("""COMPUTED_VALUE"""),"Artículo A1")</f>
        <v>Artículo A1</v>
      </c>
      <c r="C41" s="11" t="str">
        <f>IFERROR(__xludf.DUMMYFUNCTION("""COMPUTED_VALUE"""),"Departamento de Ingeniería Eléctrica")</f>
        <v>Departamento de Ingeniería Eléctrica</v>
      </c>
      <c r="D41" s="11" t="str">
        <f>IFERROR(__xludf.DUMMYFUNCTION("""COMPUTED_VALUE"""),"Departamento de Ingeniería Eléctrica")</f>
        <v>Departamento de Ingeniería Eléctrica</v>
      </c>
      <c r="E41" s="11" t="str">
        <f>IFERROR(__xludf.DUMMYFUNCTION("""COMPUTED_VALUE"""),"
Instituto de Energía Eléctrica")</f>
        <v>
Instituto de Energía Eléctrica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1" t="str">
        <f>IFERROR(__xludf.DUMMYFUNCTION("""COMPUTED_VALUE"""),"Proy13")</f>
        <v>Proy13</v>
      </c>
      <c r="B42" s="11" t="str">
        <f>IFERROR(__xludf.DUMMYFUNCTION("""COMPUTED_VALUE"""),"Artículo A1")</f>
        <v>Artículo A1</v>
      </c>
      <c r="C42" s="11" t="str">
        <f>IFERROR(__xludf.DUMMYFUNCTION("""COMPUTED_VALUE"""),"Departamento de Eléctrica")</f>
        <v>Departamento de Eléctrica</v>
      </c>
      <c r="D42" s="11" t="str">
        <f>IFERROR(__xludf.DUMMYFUNCTION("""COMPUTED_VALUE"""),"GIMEL")</f>
        <v>GIMEL</v>
      </c>
      <c r="E42" s="11" t="str">
        <f>IFERROR(__xludf.DUMMYFUNCTION("""COMPUTED_VALUE"""),"GIMEL")</f>
        <v>GIMEL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>
      <c r="A43" s="11" t="str">
        <f>IFERROR(__xludf.DUMMYFUNCTION("""COMPUTED_VALUE"""),"Proy4")</f>
        <v>Proy4</v>
      </c>
      <c r="B43" s="11" t="str">
        <f>IFERROR(__xludf.DUMMYFUNCTION("""COMPUTED_VALUE"""),"Artículo A1")</f>
        <v>Artículo A1</v>
      </c>
      <c r="C43" s="11" t="str">
        <f>IFERROR(__xludf.DUMMYFUNCTION("""COMPUTED_VALUE"""),"CIDEMAT")</f>
        <v>CIDEMAT</v>
      </c>
      <c r="D43" s="11"/>
      <c r="E43" s="11" t="str">
        <f>IFERROR(__xludf.DUMMYFUNCTION("""COMPUTED_VALUE"""),"CIDEMAT")</f>
        <v>CIDEMAT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1" t="str">
        <f>IFERROR(__xludf.DUMMYFUNCTION("""COMPUTED_VALUE"""),"Proy13")</f>
        <v>Proy13</v>
      </c>
      <c r="B44" s="11" t="str">
        <f>IFERROR(__xludf.DUMMYFUNCTION("""COMPUTED_VALUE"""),"Artículo A1")</f>
        <v>Artículo A1</v>
      </c>
      <c r="C44" s="11" t="str">
        <f>IFERROR(__xludf.DUMMYFUNCTION("""COMPUTED_VALUE"""),"GIMEL")</f>
        <v>GIMEL</v>
      </c>
      <c r="D44" s="11" t="str">
        <f>IFERROR(__xludf.DUMMYFUNCTION("""COMPUTED_VALUE"""),"GIMEL")</f>
        <v>GIMEL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>
      <c r="A45" s="11" t="str">
        <f>IFERROR(__xludf.DUMMYFUNCTION("""COMPUTED_VALUE"""),"Proy12")</f>
        <v>Proy12</v>
      </c>
      <c r="B45" s="11" t="str">
        <f>IFERROR(__xludf.DUMMYFUNCTION("""COMPUTED_VALUE"""),"Artículo A1")</f>
        <v>Artículo A1</v>
      </c>
      <c r="C45" s="11" t="str">
        <f>IFERROR(__xludf.DUMMYFUNCTION("""COMPUTED_VALUE"""),"Facultad de Ingeniería")</f>
        <v>Facultad de Ingeniería</v>
      </c>
      <c r="D45" s="11" t="str">
        <f>IFERROR(__xludf.DUMMYFUNCTION("""COMPUTED_VALUE"""),"Facultad de Ingeniería")</f>
        <v>Facultad de Ingeniería</v>
      </c>
      <c r="E45" s="11"/>
      <c r="F45" s="11"/>
      <c r="G45" s="11"/>
      <c r="H45" s="11" t="str">
        <f>IFERROR(__xludf.DUMMYFUNCTION("""COMPUTED_VALUE"""),"Facultad de Ingeniería")</f>
        <v>Facultad de Ingeniería</v>
      </c>
      <c r="I45" s="11"/>
      <c r="J45" s="11"/>
      <c r="K45" s="11"/>
      <c r="L45" s="11"/>
      <c r="M45" s="11"/>
      <c r="N45" s="11"/>
      <c r="O45" s="11"/>
      <c r="P45" s="11"/>
    </row>
    <row r="46">
      <c r="A46" s="11" t="str">
        <f>IFERROR(__xludf.DUMMYFUNCTION("""COMPUTED_VALUE"""),"Proy8")</f>
        <v>Proy8</v>
      </c>
      <c r="B46" s="11" t="str">
        <f>IFERROR(__xludf.DUMMYFUNCTION("""COMPUTED_VALUE"""),"Artículo B")</f>
        <v>Artículo B</v>
      </c>
      <c r="C46" s="11" t="str">
        <f>IFERROR(__xludf.DUMMYFUNCTION("""COMPUTED_VALUE"""),"Facultad de Ingeniería")</f>
        <v>Facultad de Ingeniería</v>
      </c>
      <c r="D46" s="11" t="str">
        <f>IFERROR(__xludf.DUMMYFUNCTION("""COMPUTED_VALUE"""),"Facultad de Ingeniería")</f>
        <v>Facultad de Ingeniería</v>
      </c>
      <c r="E46" s="11" t="str">
        <f>IFERROR(__xludf.DUMMYFUNCTION("""COMPUTED_VALUE"""),"Facultad de Ingeniería")</f>
        <v>Facultad de Ingeniería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>
      <c r="A47" s="11" t="str">
        <f>IFERROR(__xludf.DUMMYFUNCTION("""COMPUTED_VALUE"""),"Proy10")</f>
        <v>Proy10</v>
      </c>
      <c r="B47" s="11" t="str">
        <f>IFERROR(__xludf.DUMMYFUNCTION("""COMPUTED_VALUE"""),"Artículo A1")</f>
        <v>Artículo A1</v>
      </c>
      <c r="C47" s="11" t="str">
        <f>IFERROR(__xludf.DUMMYFUNCTION("""COMPUTED_VALUE"""),"GASURE")</f>
        <v>GASURE</v>
      </c>
      <c r="D47" s="11" t="str">
        <f>IFERROR(__xludf.DUMMYFUNCTION("""COMPUTED_VALUE"""),"GASURE")</f>
        <v>GASURE</v>
      </c>
      <c r="E47" s="11" t="str">
        <f>IFERROR(__xludf.DUMMYFUNCTION("""COMPUTED_VALUE"""),"GASURE")</f>
        <v>GASURE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>
      <c r="A48" s="11" t="str">
        <f>IFERROR(__xludf.DUMMYFUNCTION("""COMPUTED_VALUE"""),"Proy13")</f>
        <v>Proy13</v>
      </c>
      <c r="B48" s="11" t="str">
        <f>IFERROR(__xludf.DUMMYFUNCTION("""COMPUTED_VALUE"""),"Capítulo de libro A1")</f>
        <v>Capítulo de libro A1</v>
      </c>
      <c r="C48" s="11" t="str">
        <f>IFERROR(__xludf.DUMMYFUNCTION("""COMPUTED_VALUE"""),"GIMEL")</f>
        <v>GIMEL</v>
      </c>
      <c r="D48" s="11" t="str">
        <f>IFERROR(__xludf.DUMMYFUNCTION("""COMPUTED_VALUE"""),"GIMEL")</f>
        <v>GIMEL</v>
      </c>
      <c r="E48" s="11" t="str">
        <f>IFERROR(__xludf.DUMMYFUNCTION("""COMPUTED_VALUE"""),"GIMEL")</f>
        <v>GIMEL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>
      <c r="A49" s="11" t="str">
        <f>IFERROR(__xludf.DUMMYFUNCTION("""COMPUTED_VALUE"""),"Proy14")</f>
        <v>Proy14</v>
      </c>
      <c r="B49" s="11" t="str">
        <f>IFERROR(__xludf.DUMMYFUNCTION("""COMPUTED_VALUE"""),"Artículo A2")</f>
        <v>Artículo A2</v>
      </c>
      <c r="C49" s="11" t="str">
        <f>IFERROR(__xludf.DUMMYFUNCTION("""COMPUTED_VALUE"""),"Escuela de Ingeniería Eléctrica y Electrónica")</f>
        <v>Escuela de Ingeniería Eléctrica y Electrónica</v>
      </c>
      <c r="D49" s="11" t="str">
        <f>IFERROR(__xludf.DUMMYFUNCTION("""COMPUTED_VALUE"""),"Escuela de Ingeniería Eléctrica y Electrónica")</f>
        <v>Escuela de Ingeniería Eléctrica y Electrónica</v>
      </c>
      <c r="E49" s="11" t="str">
        <f>IFERROR(__xludf.DUMMYFUNCTION("""COMPUTED_VALUE"""),"Escuela de Ingeniería Eléctrica y Electrónica")</f>
        <v>Escuela de Ingeniería Eléctrica y Electrónica</v>
      </c>
      <c r="F49" s="11" t="str">
        <f>IFERROR(__xludf.DUMMYFUNCTION("""COMPUTED_VALUE"""),"Escuela de Ingeniería Eléctrica y Electrónica")</f>
        <v>Escuela de Ingeniería Eléctrica y Electrónica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>
      <c r="A50" s="11" t="str">
        <f>IFERROR(__xludf.DUMMYFUNCTION("""COMPUTED_VALUE"""),"Proy14")</f>
        <v>Proy14</v>
      </c>
      <c r="B50" s="11" t="str">
        <f>IFERROR(__xludf.DUMMYFUNCTION("""COMPUTED_VALUE"""),"Artículo A2")</f>
        <v>Artículo A2</v>
      </c>
      <c r="C50" s="11" t="str">
        <f>IFERROR(__xludf.DUMMYFUNCTION("""COMPUTED_VALUE"""),"Escuela de Ingeniería Eléctrica y Electrónica")</f>
        <v>Escuela de Ingeniería Eléctrica y Electrónica</v>
      </c>
      <c r="D50" s="11"/>
      <c r="E50" s="11"/>
      <c r="F50" s="11"/>
      <c r="G50" s="11" t="str">
        <f>IFERROR(__xludf.DUMMYFUNCTION("""COMPUTED_VALUE"""),"Escuela de Ingeniería Eléctrica y Electrónica")</f>
        <v>Escuela de Ingeniería Eléctrica y Electrónica</v>
      </c>
      <c r="H50" s="11" t="str">
        <f>IFERROR(__xludf.DUMMYFUNCTION("""COMPUTED_VALUE"""),"Escuela de Ingeniería Eléctrica y Electrónica")</f>
        <v>Escuela de Ingeniería Eléctrica y Electrónica</v>
      </c>
      <c r="I50" s="11"/>
      <c r="J50" s="11"/>
      <c r="K50" s="11"/>
      <c r="L50" s="11"/>
      <c r="M50" s="11"/>
      <c r="N50" s="11"/>
      <c r="O50" s="11"/>
      <c r="P50" s="11"/>
    </row>
    <row r="51">
      <c r="A51" s="11" t="str">
        <f>IFERROR(__xludf.DUMMYFUNCTION("""COMPUTED_VALUE"""),"Proy10")</f>
        <v>Proy10</v>
      </c>
      <c r="B51" s="11" t="str">
        <f>IFERROR(__xludf.DUMMYFUNCTION("""COMPUTED_VALUE"""),"Artículo A1")</f>
        <v>Artículo A1</v>
      </c>
      <c r="C51" s="11" t="str">
        <f>IFERROR(__xludf.DUMMYFUNCTION("""COMPUTED_VALUE"""),"GASURE")</f>
        <v>GASURE</v>
      </c>
      <c r="D51" s="11" t="str">
        <f>IFERROR(__xludf.DUMMYFUNCTION("""COMPUTED_VALUE"""),"GASURE")</f>
        <v>GASURE</v>
      </c>
      <c r="E51" s="11" t="str">
        <f>IFERROR(__xludf.DUMMYFUNCTION("""COMPUTED_VALUE"""),"GASURE")</f>
        <v>GASURE</v>
      </c>
      <c r="F51" s="11" t="str">
        <f>IFERROR(__xludf.DUMMYFUNCTION("""COMPUTED_VALUE"""),"GASURE")</f>
        <v>GASURE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>
      <c r="A52" s="11" t="str">
        <f>IFERROR(__xludf.DUMMYFUNCTION("""COMPUTED_VALUE"""),"Proy10")</f>
        <v>Proy10</v>
      </c>
      <c r="B52" s="11" t="str">
        <f>IFERROR(__xludf.DUMMYFUNCTION("""COMPUTED_VALUE"""),"Artículo A1")</f>
        <v>Artículo A1</v>
      </c>
      <c r="C52" s="11" t="str">
        <f>IFERROR(__xludf.DUMMYFUNCTION("""COMPUTED_VALUE"""),"GASURE")</f>
        <v>GASURE</v>
      </c>
      <c r="D52" s="11" t="str">
        <f>IFERROR(__xludf.DUMMYFUNCTION("""COMPUTED_VALUE"""),"GASURE")</f>
        <v>GASURE</v>
      </c>
      <c r="E52" s="11" t="str">
        <f>IFERROR(__xludf.DUMMYFUNCTION("""COMPUTED_VALUE"""),"GASURE")</f>
        <v>GASURE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>
      <c r="A53" s="11" t="str">
        <f>IFERROR(__xludf.DUMMYFUNCTION("""COMPUTED_VALUE"""),"Proy8")</f>
        <v>Proy8</v>
      </c>
      <c r="B53" s="11" t="str">
        <f>IFERROR(__xludf.DUMMYFUNCTION("""COMPUTED_VALUE"""),"Artículo A1")</f>
        <v>Artículo A1</v>
      </c>
      <c r="C53" s="11" t="str">
        <f>IFERROR(__xludf.DUMMYFUNCTION("""COMPUTED_VALUE"""),"Facultad de Ingeniería")</f>
        <v>Facultad de Ingeniería</v>
      </c>
      <c r="D53" s="11"/>
      <c r="E53" s="11" t="str">
        <f>IFERROR(__xludf.DUMMYFUNCTION("""COMPUTED_VALUE"""),"GIMEL")</f>
        <v>GIMEL</v>
      </c>
      <c r="F53" s="11" t="str">
        <f>IFERROR(__xludf.DUMMYFUNCTION("""COMPUTED_VALUE"""),"GIMEL")</f>
        <v>GIMEL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>
      <c r="A54" s="11" t="str">
        <f>IFERROR(__xludf.DUMMYFUNCTION("""COMPUTED_VALUE"""),"Proy1")</f>
        <v>Proy1</v>
      </c>
      <c r="B54" s="11" t="str">
        <f>IFERROR(__xludf.DUMMYFUNCTION("""COMPUTED_VALUE"""),"Artículo A1")</f>
        <v>Artículo A1</v>
      </c>
      <c r="C54" s="11" t="str">
        <f>IFERROR(__xludf.DUMMYFUNCTION("""COMPUTED_VALUE"""),"Departamento de Ingeniería Mecánica")</f>
        <v>Departamento de Ingeniería Mecánica</v>
      </c>
      <c r="D54" s="11"/>
      <c r="E54" s="11" t="str">
        <f>IFERROR(__xludf.DUMMYFUNCTION("""COMPUTED_VALUE"""),"Departamento de Ingeniería Mecánica")</f>
        <v>Departamento de Ingeniería Mecánica</v>
      </c>
      <c r="F54" s="11" t="str">
        <f>IFERROR(__xludf.DUMMYFUNCTION("""COMPUTED_VALUE"""),"Departamento de Ingeniería Mecánica")</f>
        <v>Departamento de Ingeniería Mecánica</v>
      </c>
      <c r="G54" s="11" t="str">
        <f>IFERROR(__xludf.DUMMYFUNCTION("""COMPUTED_VALUE"""),"Departamento de Ingeniería Mecánica")</f>
        <v>Departamento de Ingeniería Mecánica</v>
      </c>
      <c r="H54" s="11"/>
      <c r="I54" s="11"/>
      <c r="J54" s="11"/>
      <c r="K54" s="11"/>
      <c r="L54" s="11"/>
      <c r="M54" s="11"/>
      <c r="N54" s="11"/>
      <c r="O54" s="11"/>
      <c r="P54" s="11"/>
    </row>
    <row r="55">
      <c r="A55" s="11" t="str">
        <f>IFERROR(__xludf.DUMMYFUNCTION("""COMPUTED_VALUE"""),"Proy13")</f>
        <v>Proy13</v>
      </c>
      <c r="B55" s="11" t="str">
        <f>IFERROR(__xludf.DUMMYFUNCTION("""COMPUTED_VALUE"""),"Artículo A1")</f>
        <v>Artículo A1</v>
      </c>
      <c r="C55" s="11"/>
      <c r="D55" s="11" t="str">
        <f>IFERROR(__xludf.DUMMYFUNCTION("""COMPUTED_VALUE"""),"MATyER")</f>
        <v>MATyER</v>
      </c>
      <c r="E55" s="11" t="str">
        <f>IFERROR(__xludf.DUMMYFUNCTION("""COMPUTED_VALUE"""),"GIMEL")</f>
        <v>GIMEL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>
      <c r="A56" s="11" t="str">
        <f>IFERROR(__xludf.DUMMYFUNCTION("""COMPUTED_VALUE"""),"Proy2")</f>
        <v>Proy2</v>
      </c>
      <c r="B56" s="11" t="str">
        <f>IFERROR(__xludf.DUMMYFUNCTION("""COMPUTED_VALUE"""),"Artículo A1")</f>
        <v>Artículo A1</v>
      </c>
      <c r="C56" s="11" t="str">
        <f>IFERROR(__xludf.DUMMYFUNCTION("""COMPUTED_VALUE"""),"CIDEMAT")</f>
        <v>CIDEMAT</v>
      </c>
      <c r="D56" s="11" t="str">
        <f>IFERROR(__xludf.DUMMYFUNCTION("""COMPUTED_VALUE"""),"CIDEMAT")</f>
        <v>CIDEMAT</v>
      </c>
      <c r="E56" s="11" t="str">
        <f>IFERROR(__xludf.DUMMYFUNCTION("""COMPUTED_VALUE"""),"Molecular Engineering of Functional Materials")</f>
        <v>Molecular Engineering of Functional Materials</v>
      </c>
      <c r="F56" s="11" t="str">
        <f>IFERROR(__xludf.DUMMYFUNCTION("""COMPUTED_VALUE"""),"Institut fur Physik")</f>
        <v>Institut fur Physik</v>
      </c>
      <c r="G56" s="11" t="str">
        <f>IFERROR(__xludf.DUMMYFUNCTION("""COMPUTED_VALUE"""),"Institut fur Physik")</f>
        <v>Institut fur Physik</v>
      </c>
      <c r="H56" s="11" t="str">
        <f>IFERROR(__xludf.DUMMYFUNCTION("""COMPUTED_VALUE"""),"Molecular Engineering of Functional Materials")</f>
        <v>Molecular Engineering of Functional Materials</v>
      </c>
      <c r="I56" s="11" t="str">
        <f>IFERROR(__xludf.DUMMYFUNCTION("""COMPUTED_VALUE"""),"CIDEMAT")</f>
        <v>CIDEMAT</v>
      </c>
      <c r="J56" s="11"/>
      <c r="K56" s="11"/>
      <c r="L56" s="11"/>
      <c r="M56" s="11"/>
      <c r="N56" s="11"/>
      <c r="O56" s="11"/>
      <c r="P56" s="11"/>
    </row>
    <row r="57">
      <c r="A57" s="11" t="str">
        <f>IFERROR(__xludf.DUMMYFUNCTION("""COMPUTED_VALUE"""),"Proy13")</f>
        <v>Proy13</v>
      </c>
      <c r="B57" s="11" t="str">
        <f>IFERROR(__xludf.DUMMYFUNCTION("""COMPUTED_VALUE"""),"Artículo A1")</f>
        <v>Artículo A1</v>
      </c>
      <c r="C57" s="11" t="str">
        <f>IFERROR(__xludf.DUMMYFUNCTION("""COMPUTED_VALUE"""),"GIMEL")</f>
        <v>GIMEL</v>
      </c>
      <c r="D57" s="11" t="str">
        <f>IFERROR(__xludf.DUMMYFUNCTION("""COMPUTED_VALUE"""),"GIMEL")</f>
        <v>GIMEL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>
      <c r="A58" s="11" t="str">
        <f>IFERROR(__xludf.DUMMYFUNCTION("""COMPUTED_VALUE"""),"Proy13")</f>
        <v>Proy13</v>
      </c>
      <c r="B58" s="11" t="str">
        <f>IFERROR(__xludf.DUMMYFUNCTION("""COMPUTED_VALUE"""),"Artículo A1")</f>
        <v>Artículo A1</v>
      </c>
      <c r="C58" s="11" t="str">
        <f>IFERROR(__xludf.DUMMYFUNCTION("""COMPUTED_VALUE"""),"GIGA")</f>
        <v>GIGA</v>
      </c>
      <c r="D58" s="11" t="str">
        <f>IFERROR(__xludf.DUMMYFUNCTION("""COMPUTED_VALUE"""),"GIGA")</f>
        <v>GIGA</v>
      </c>
      <c r="E58" s="11" t="str">
        <f>IFERROR(__xludf.DUMMYFUNCTION("""COMPUTED_VALUE"""),"GIGA")</f>
        <v>GIGA</v>
      </c>
      <c r="F58" s="11" t="str">
        <f>IFERROR(__xludf.DUMMYFUNCTION("""COMPUTED_VALUE"""),"GIMEL")</f>
        <v>GIMEL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>
      <c r="A59" s="11" t="str">
        <f>IFERROR(__xludf.DUMMYFUNCTION("""COMPUTED_VALUE"""),"Proy2")</f>
        <v>Proy2</v>
      </c>
      <c r="B59" s="11" t="str">
        <f>IFERROR(__xludf.DUMMYFUNCTION("""COMPUTED_VALUE"""),"Artículo A1")</f>
        <v>Artículo A1</v>
      </c>
      <c r="C59" s="11" t="str">
        <f>IFERROR(__xludf.DUMMYFUNCTION("""COMPUTED_VALUE"""),"CIDEMAT")</f>
        <v>CIDEMAT</v>
      </c>
      <c r="D59" s="11" t="str">
        <f>IFERROR(__xludf.DUMMYFUNCTION("""COMPUTED_VALUE"""),"GIMEL")</f>
        <v>GIMEL</v>
      </c>
      <c r="E59" s="11" t="str">
        <f>IFERROR(__xludf.DUMMYFUNCTION("""COMPUTED_VALUE"""),"CIDEMAT")</f>
        <v>CIDEMAT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>
      <c r="A60" s="11" t="str">
        <f>IFERROR(__xludf.DUMMYFUNCTION("""COMPUTED_VALUE"""),"Proy1")</f>
        <v>Proy1</v>
      </c>
      <c r="B60" s="11" t="str">
        <f>IFERROR(__xludf.DUMMYFUNCTION("""COMPUTED_VALUE"""),"Capítulo de libro A1")</f>
        <v>Capítulo de libro A1</v>
      </c>
      <c r="C60" s="11" t="str">
        <f>IFERROR(__xludf.DUMMYFUNCTION("""COMPUTED_VALUE"""),"Departamento de Ingeniería Mecánica")</f>
        <v>Departamento de Ingeniería Mecánica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>
      <c r="A61" s="11" t="str">
        <f>IFERROR(__xludf.DUMMYFUNCTION("""COMPUTED_VALUE"""),"Proy1")</f>
        <v>Proy1</v>
      </c>
      <c r="B61" s="11" t="str">
        <f>IFERROR(__xludf.DUMMYFUNCTION("""COMPUTED_VALUE"""),"Artículo A1")</f>
        <v>Artículo A1</v>
      </c>
      <c r="C61" s="11" t="str">
        <f>IFERROR(__xludf.DUMMYFUNCTION("""COMPUTED_VALUE"""),"Departamento de Ingeniería Mecánica")</f>
        <v>Departamento de Ingeniería Mecánica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>
      <c r="A62" s="11" t="str">
        <f>IFERROR(__xludf.DUMMYFUNCTION("""COMPUTED_VALUE"""),"Proy14")</f>
        <v>Proy14</v>
      </c>
      <c r="B62" s="11" t="str">
        <f>IFERROR(__xludf.DUMMYFUNCTION("""COMPUTED_VALUE"""),"Artículo A1")</f>
        <v>Artículo A1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>
      <c r="A63" s="11" t="str">
        <f>IFERROR(__xludf.DUMMYFUNCTION("""COMPUTED_VALUE"""),"Proy1")</f>
        <v>Proy1</v>
      </c>
      <c r="B63" s="11" t="str">
        <f>IFERROR(__xludf.DUMMYFUNCTION("""COMPUTED_VALUE"""),"Artículo A2")</f>
        <v>Artículo A2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>
      <c r="A64" s="11" t="str">
        <f>IFERROR(__xludf.DUMMYFUNCTION("""COMPUTED_VALUE"""),"Proy12")</f>
        <v>Proy12</v>
      </c>
      <c r="B64" s="11" t="str">
        <f>IFERROR(__xludf.DUMMYFUNCTION("""COMPUTED_VALUE"""),"Artículo A1")</f>
        <v>Artículo A1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>
      <c r="A65" s="11" t="str">
        <f>IFERROR(__xludf.DUMMYFUNCTION("""COMPUTED_VALUE"""),"Proy13")</f>
        <v>Proy13</v>
      </c>
      <c r="B65" s="11" t="str">
        <f>IFERROR(__xludf.DUMMYFUNCTION("""COMPUTED_VALUE"""),"Artículo A1")</f>
        <v>Artículo A1</v>
      </c>
      <c r="C65" s="11" t="str">
        <f>IFERROR(__xludf.DUMMYFUNCTION("""COMPUTED_VALUE"""),"GIMEL")</f>
        <v>GIMEL</v>
      </c>
      <c r="D65" s="11" t="str">
        <f>IFERROR(__xludf.DUMMYFUNCTION("""COMPUTED_VALUE"""),"GIMEL")</f>
        <v>GIMEL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>
      <c r="A66" s="11" t="str">
        <f>IFERROR(__xludf.DUMMYFUNCTION("""COMPUTED_VALUE"""),"Proy4")</f>
        <v>Proy4</v>
      </c>
      <c r="B66" s="11" t="str">
        <f>IFERROR(__xludf.DUMMYFUNCTION("""COMPUTED_VALUE"""),"Artículo A1")</f>
        <v>Artículo A1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>
      <c r="A67" s="11" t="str">
        <f>IFERROR(__xludf.DUMMYFUNCTION("""COMPUTED_VALUE"""),"Proy4")</f>
        <v>Proy4</v>
      </c>
      <c r="B67" s="11" t="str">
        <f>IFERROR(__xludf.DUMMYFUNCTION("""COMPUTED_VALUE"""),"Artículo A1")</f>
        <v>Artículo A1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>
      <c r="A68" s="11" t="str">
        <f>IFERROR(__xludf.DUMMYFUNCTION("""COMPUTED_VALUE"""),"Proy10")</f>
        <v>Proy10</v>
      </c>
      <c r="B68" s="11" t="str">
        <f>IFERROR(__xludf.DUMMYFUNCTION("""COMPUTED_VALUE"""),"Artículo A1")</f>
        <v>Artículo A1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4" max="45" width="14.43"/>
    <col customWidth="1" min="51" max="51" width="57.14"/>
  </cols>
  <sheetData>
    <row r="1">
      <c r="A1" s="12" t="s">
        <v>241</v>
      </c>
      <c r="Q1" s="6" t="s">
        <v>237</v>
      </c>
      <c r="AY1" s="4"/>
    </row>
    <row r="2">
      <c r="A2" s="13"/>
      <c r="AY2" s="4"/>
    </row>
    <row r="3">
      <c r="A3" s="13"/>
      <c r="AY3" s="4"/>
    </row>
    <row r="4">
      <c r="A4" s="14" t="str">
        <f>IFERROR(__xludf.DUMMYFUNCTION("QUERY(Impro!A:CR, A1)")," PROYECTO")</f>
        <v> PROYECTO</v>
      </c>
      <c r="B4" s="11" t="str">
        <f>IFERROR(__xludf.DUMMYFUNCTION("""COMPUTED_VALUE""")," TIPO DE PRODUCTO")</f>
        <v> TIPO DE PRODUCTO</v>
      </c>
      <c r="C4" s="11" t="str">
        <f>IFERROR(__xludf.DUMMYFUNCTION("""COMPUTED_VALUE""")," SUBPRODUCTO")</f>
        <v> SUBPRODUCTO</v>
      </c>
      <c r="D4" s="11" t="str">
        <f>IFERROR(__xludf.DUMMYFUNCTION("""COMPUTED_VALUE""")," ")</f>
        <v> </v>
      </c>
      <c r="E4" s="11" t="str">
        <f>IFERROR(__xludf.DUMMYFUNCTION("""COMPUTED_VALUE""")," ")</f>
        <v> </v>
      </c>
      <c r="F4" s="11" t="str">
        <f>IFERROR(__xludf.DUMMYFUNCTION("""COMPUTED_VALUE""")," ")</f>
        <v> </v>
      </c>
      <c r="G4" s="11" t="str">
        <f>IFERROR(__xludf.DUMMYFUNCTION("""COMPUTED_VALUE""")," ")</f>
        <v> </v>
      </c>
      <c r="H4" s="11" t="str">
        <f>IFERROR(__xludf.DUMMYFUNCTION("""COMPUTED_VALUE""")," ")</f>
        <v> </v>
      </c>
      <c r="I4" s="11" t="str">
        <f>IFERROR(__xludf.DUMMYFUNCTION("""COMPUTED_VALUE""")," ")</f>
        <v> </v>
      </c>
      <c r="J4" s="11" t="str">
        <f>IFERROR(__xludf.DUMMYFUNCTION("""COMPUTED_VALUE""")," ")</f>
        <v> </v>
      </c>
      <c r="K4" s="11" t="str">
        <f>IFERROR(__xludf.DUMMYFUNCTION("""COMPUTED_VALUE""")," ")</f>
        <v> </v>
      </c>
      <c r="L4" s="11" t="str">
        <f>IFERROR(__xludf.DUMMYFUNCTION("""COMPUTED_VALUE""")," ")</f>
        <v> </v>
      </c>
      <c r="M4" s="11" t="str">
        <f>IFERROR(__xludf.DUMMYFUNCTION("""COMPUTED_VALUE""")," ")</f>
        <v> </v>
      </c>
      <c r="N4" s="11" t="str">
        <f>IFERROR(__xludf.DUMMYFUNCTION("""COMPUTED_VALUE""")," ")</f>
        <v> </v>
      </c>
      <c r="O4" s="11" t="str">
        <f>IFERROR(__xludf.DUMMYFUNCTION("""COMPUTED_VALUE""")," ")</f>
        <v> </v>
      </c>
      <c r="P4" s="11" t="str">
        <f>IFERROR(__xludf.DUMMYFUNCTION("""COMPUTED_VALUE""")," ")</f>
        <v> </v>
      </c>
      <c r="Q4" s="11" t="str">
        <f>IFERROR(__xludf.DUMMYFUNCTION("""COMPUTED_VALUE""")," ")</f>
        <v> </v>
      </c>
      <c r="R4" s="11" t="str">
        <f>IFERROR(__xludf.DUMMYFUNCTION("""COMPUTED_VALUE""")," ")</f>
        <v> </v>
      </c>
      <c r="S4" s="11" t="str">
        <f>IFERROR(__xludf.DUMMYFUNCTION("""COMPUTED_VALUE""")," ")</f>
        <v> </v>
      </c>
      <c r="T4" s="11" t="str">
        <f>IFERROR(__xludf.DUMMYFUNCTION("""COMPUTED_VALUE""")," ")</f>
        <v> </v>
      </c>
      <c r="U4" s="11" t="str">
        <f>IFERROR(__xludf.DUMMYFUNCTION("""COMPUTED_VALUE"""),"INTERNACIONALIZACIÓN COLABORACIÓN")</f>
        <v>INTERNACIONALIZACIÓN COLABORACIÓN</v>
      </c>
      <c r="V4" s="11" t="str">
        <f>IFERROR(__xludf.DUMMYFUNCTION("""COMPUTED_VALUE""")," DESCRIPCIÓN")</f>
        <v> DESCRIPCIÓN</v>
      </c>
      <c r="W4" s="11" t="str">
        <f>IFERROR(__xludf.DUMMYFUNCTION("""COMPUTED_VALUE"""),"COOPERACIÓN INSTITUCIONES COLABORACÓN INTERNA")</f>
        <v>COOPERACIÓN INSTITUCIONES COLABORACÓN INTERNA</v>
      </c>
      <c r="X4" s="11" t="str">
        <f>IFERROR(__xludf.DUMMYFUNCTION("""COMPUTED_VALUE""")," ALIADOS  SÉNECA")</f>
        <v> ALIADOS  SÉNECA</v>
      </c>
      <c r="Y4" s="11" t="str">
        <f>IFERROR(__xludf.DUMMYFUNCTION("""COMPUTED_VALUE""")," ")</f>
        <v> </v>
      </c>
      <c r="Z4" s="11" t="str">
        <f>IFERROR(__xludf.DUMMYFUNCTION("""COMPUTED_VALUE""")," ")</f>
        <v> </v>
      </c>
      <c r="AA4" s="11" t="str">
        <f>IFERROR(__xludf.DUMMYFUNCTION("""COMPUTED_VALUE""")," ")</f>
        <v> </v>
      </c>
      <c r="AB4" s="11" t="str">
        <f>IFERROR(__xludf.DUMMYFUNCTION("""COMPUTED_VALUE""")," ")</f>
        <v> </v>
      </c>
      <c r="AC4" s="11" t="str">
        <f>IFERROR(__xludf.DUMMYFUNCTION("""COMPUTED_VALUE""")," ")</f>
        <v> </v>
      </c>
      <c r="AD4" s="11" t="str">
        <f>IFERROR(__xludf.DUMMYFUNCTION("""COMPUTED_VALUE""")," ")</f>
        <v> </v>
      </c>
      <c r="AE4" s="11" t="str">
        <f>IFERROR(__xludf.DUMMYFUNCTION("""COMPUTED_VALUE""")," ")</f>
        <v> </v>
      </c>
      <c r="AF4" s="11" t="str">
        <f>IFERROR(__xludf.DUMMYFUNCTION("""COMPUTED_VALUE""")," ")</f>
        <v> </v>
      </c>
      <c r="AG4" s="11" t="str">
        <f>IFERROR(__xludf.DUMMYFUNCTION("""COMPUTED_VALUE""")," ")</f>
        <v> </v>
      </c>
      <c r="AH4" s="11" t="str">
        <f>IFERROR(__xludf.DUMMYFUNCTION("""COMPUTED_VALUE""")," ")</f>
        <v> </v>
      </c>
      <c r="AI4" s="11" t="str">
        <f>IFERROR(__xludf.DUMMYFUNCTION("""COMPUTED_VALUE""")," ")</f>
        <v> </v>
      </c>
      <c r="AJ4" s="11" t="str">
        <f>IFERROR(__xludf.DUMMYFUNCTION("""COMPUTED_VALUE""")," OTRAS INSTITUCIONES")</f>
        <v> OTRAS INSTITUCIONES</v>
      </c>
      <c r="AK4" s="11" t="str">
        <f>IFERROR(__xludf.DUMMYFUNCTION("""COMPUTED_VALUE"""),"RELACIÓN CON OTRO PROYECTO TIPO DE RELACIÓN")</f>
        <v>RELACIÓN CON OTRO PROYECTO TIPO DE RELACIÓN</v>
      </c>
      <c r="AL4" s="11" t="str">
        <f>IFERROR(__xludf.DUMMYFUNCTION("""COMPUTED_VALUE""")," PROYECTO")</f>
        <v> PROYECTO</v>
      </c>
      <c r="AM4" s="11" t="str">
        <f>IFERROR(__xludf.DUMMYFUNCTION("""COMPUTED_VALUE""")," TIPO DE COMPROMISO")</f>
        <v> TIPO DE COMPROMISO</v>
      </c>
      <c r="AN4" s="11" t="str">
        <f>IFERROR(__xludf.DUMMYFUNCTION("""COMPUTED_VALUE"""),"COLABORACIÓN Número de autores")</f>
        <v>COLABORACIÓN Número de autores</v>
      </c>
      <c r="AO4" s="11" t="str">
        <f>IFERROR(__xludf.DUMMYFUNCTION("""COMPUTED_VALUE""")," Número de autores Séneca")</f>
        <v> Número de autores Séneca</v>
      </c>
      <c r="AP4" s="11" t="str">
        <f>IFERROR(__xludf.DUMMYFUNCTION("""COMPUTED_VALUE""")," Número de grupos involucrados ")</f>
        <v> Número de grupos involucrados </v>
      </c>
      <c r="AQ4" s="11" t="str">
        <f>IFERROR(__xludf.DUMMYFUNCTION("""COMPUTED_VALUE""")," Número de grupos Séneca involucrados")</f>
        <v> Número de grupos Séneca involucrados</v>
      </c>
      <c r="AR4" s="11" t="str">
        <f>IFERROR(__xludf.DUMMYFUNCTION("""COMPUTED_VALUE""")," Número de Instituciones ")</f>
        <v> Número de Instituciones </v>
      </c>
      <c r="AS4" s="11" t="str">
        <f>IFERROR(__xludf.DUMMYFUNCTION("""COMPUTED_VALUE""")," Número de Instituciones Séneca")</f>
        <v> Número de Instituciones Séneca</v>
      </c>
      <c r="AT4" s="11" t="str">
        <f>IFERROR(__xludf.DUMMYFUNCTION("""COMPUTED_VALUE""")," DESCRIPCIÓN PRODUCTO")</f>
        <v> DESCRIPCIÓN PRODUCTO</v>
      </c>
      <c r="AU4" s="11" t="str">
        <f>IFERROR(__xludf.DUMMYFUNCTION("""COMPUTED_VALUE""")," ENLACE")</f>
        <v> ENLACE</v>
      </c>
      <c r="AV4" s="11" t="str">
        <f>IFERROR(__xludf.DUMMYFUNCTION("""COMPUTED_VALUE""")," Caso SSOFI")</f>
        <v> Caso SSOFI</v>
      </c>
      <c r="AW4" s="11" t="str">
        <f>IFERROR(__xludf.DUMMYFUNCTION("""COMPUTED_VALUE""")," Estudiantes")</f>
        <v> Estudiantes</v>
      </c>
      <c r="AX4" s="11" t="str">
        <f>IFERROR(__xludf.DUMMYFUNCTION("""COMPUTED_VALUE""")," Informe de reporte")</f>
        <v> Informe de reporte</v>
      </c>
      <c r="AY4" s="4" t="str">
        <f>IFERROR(__xludf.DUMMYFUNCTION("""COMPUTED_VALUE""")," Título ")</f>
        <v> Título </v>
      </c>
      <c r="AZ4" s="11" t="str">
        <f>IFERROR(__xludf.DUMMYFUNCTION("""COMPUTED_VALUE""")," Validado Colciencias")</f>
        <v> Validado Colciencias</v>
      </c>
      <c r="BA4" s="11" t="str">
        <f>IFERROR(__xludf.DUMMYFUNCTION("""COMPUTED_VALUE""")," Autor 1 ")</f>
        <v> Autor 1 </v>
      </c>
      <c r="BB4" s="11" t="str">
        <f>IFERROR(__xludf.DUMMYFUNCTION("""COMPUTED_VALUE""")," Inst Autor 1")</f>
        <v> Inst Autor 1</v>
      </c>
      <c r="BC4" s="11" t="str">
        <f>IFERROR(__xludf.DUMMYFUNCTION("""COMPUTED_VALUE""")," Grupo Autor 1")</f>
        <v> Grupo Autor 1</v>
      </c>
      <c r="BD4" s="11" t="str">
        <f>IFERROR(__xludf.DUMMYFUNCTION("""COMPUTED_VALUE""")," Autor 2 ")</f>
        <v> Autor 2 </v>
      </c>
      <c r="BE4" s="11" t="str">
        <f>IFERROR(__xludf.DUMMYFUNCTION("""COMPUTED_VALUE""")," Inst Autor 2")</f>
        <v> Inst Autor 2</v>
      </c>
      <c r="BF4" s="11" t="str">
        <f>IFERROR(__xludf.DUMMYFUNCTION("""COMPUTED_VALUE""")," Grupo Autor 2")</f>
        <v> Grupo Autor 2</v>
      </c>
      <c r="BG4" s="11" t="str">
        <f>IFERROR(__xludf.DUMMYFUNCTION("""COMPUTED_VALUE""")," Autor 3")</f>
        <v> Autor 3</v>
      </c>
      <c r="BH4" s="11" t="str">
        <f>IFERROR(__xludf.DUMMYFUNCTION("""COMPUTED_VALUE""")," Inst Autor 3")</f>
        <v> Inst Autor 3</v>
      </c>
      <c r="BI4" s="11" t="str">
        <f>IFERROR(__xludf.DUMMYFUNCTION("""COMPUTED_VALUE""")," Grupo Autor 3")</f>
        <v> Grupo Autor 3</v>
      </c>
      <c r="BJ4" s="11" t="str">
        <f>IFERROR(__xludf.DUMMYFUNCTION("""COMPUTED_VALUE""")," Autor 4")</f>
        <v> Autor 4</v>
      </c>
      <c r="BK4" s="11" t="str">
        <f>IFERROR(__xludf.DUMMYFUNCTION("""COMPUTED_VALUE""")," Inst Autor 4")</f>
        <v> Inst Autor 4</v>
      </c>
      <c r="BL4" s="11" t="str">
        <f>IFERROR(__xludf.DUMMYFUNCTION("""COMPUTED_VALUE""")," Grupo Autor 4")</f>
        <v> Grupo Autor 4</v>
      </c>
      <c r="BM4" s="11" t="str">
        <f>IFERROR(__xludf.DUMMYFUNCTION("""COMPUTED_VALUE""")," Autor 5")</f>
        <v> Autor 5</v>
      </c>
      <c r="BN4" s="11" t="str">
        <f>IFERROR(__xludf.DUMMYFUNCTION("""COMPUTED_VALUE""")," Inst Autor 5")</f>
        <v> Inst Autor 5</v>
      </c>
      <c r="BO4" s="11" t="str">
        <f>IFERROR(__xludf.DUMMYFUNCTION("""COMPUTED_VALUE""")," Grupo Autor 5")</f>
        <v> Grupo Autor 5</v>
      </c>
      <c r="BP4" s="11" t="str">
        <f>IFERROR(__xludf.DUMMYFUNCTION("""COMPUTED_VALUE""")," Autor 6")</f>
        <v> Autor 6</v>
      </c>
      <c r="BQ4" s="11" t="str">
        <f>IFERROR(__xludf.DUMMYFUNCTION("""COMPUTED_VALUE""")," Inst Autor 6")</f>
        <v> Inst Autor 6</v>
      </c>
      <c r="BR4" s="11" t="str">
        <f>IFERROR(__xludf.DUMMYFUNCTION("""COMPUTED_VALUE""")," Grupo Autor 6")</f>
        <v> Grupo Autor 6</v>
      </c>
      <c r="BS4" s="11" t="str">
        <f>IFERROR(__xludf.DUMMYFUNCTION("""COMPUTED_VALUE""")," Autor 7")</f>
        <v> Autor 7</v>
      </c>
      <c r="BT4" s="11" t="str">
        <f>IFERROR(__xludf.DUMMYFUNCTION("""COMPUTED_VALUE""")," Inst Autor 7")</f>
        <v> Inst Autor 7</v>
      </c>
      <c r="BU4" s="11" t="str">
        <f>IFERROR(__xludf.DUMMYFUNCTION("""COMPUTED_VALUE""")," Grupo Autor 7")</f>
        <v> Grupo Autor 7</v>
      </c>
      <c r="BV4" s="11" t="str">
        <f>IFERROR(__xludf.DUMMYFUNCTION("""COMPUTED_VALUE""")," Autor 8")</f>
        <v> Autor 8</v>
      </c>
      <c r="BW4" s="11" t="str">
        <f>IFERROR(__xludf.DUMMYFUNCTION("""COMPUTED_VALUE""")," Inst Autor 8")</f>
        <v> Inst Autor 8</v>
      </c>
      <c r="BX4" s="11" t="str">
        <f>IFERROR(__xludf.DUMMYFUNCTION("""COMPUTED_VALUE""")," Grupo Autor 8")</f>
        <v> Grupo Autor 8</v>
      </c>
      <c r="BY4" s="11" t="str">
        <f>IFERROR(__xludf.DUMMYFUNCTION("""COMPUTED_VALUE""")," Autor 9")</f>
        <v> Autor 9</v>
      </c>
      <c r="BZ4" s="11" t="str">
        <f>IFERROR(__xludf.DUMMYFUNCTION("""COMPUTED_VALUE""")," Inst Autor 9")</f>
        <v> Inst Autor 9</v>
      </c>
      <c r="CA4" s="11" t="str">
        <f>IFERROR(__xludf.DUMMYFUNCTION("""COMPUTED_VALUE""")," Grupo Autor 9")</f>
        <v> Grupo Autor 9</v>
      </c>
      <c r="CB4" s="11" t="str">
        <f>IFERROR(__xludf.DUMMYFUNCTION("""COMPUTED_VALUE""")," Autor 10")</f>
        <v> Autor 10</v>
      </c>
      <c r="CC4" s="11" t="str">
        <f>IFERROR(__xludf.DUMMYFUNCTION("""COMPUTED_VALUE""")," Inst Autor 10")</f>
        <v> Inst Autor 10</v>
      </c>
      <c r="CD4" s="11" t="str">
        <f>IFERROR(__xludf.DUMMYFUNCTION("""COMPUTED_VALUE""")," Grupo Autor 10")</f>
        <v> Grupo Autor 10</v>
      </c>
      <c r="CE4" s="11" t="str">
        <f>IFERROR(__xludf.DUMMYFUNCTION("""COMPUTED_VALUE""")," Autor 11")</f>
        <v> Autor 11</v>
      </c>
      <c r="CF4" s="11" t="str">
        <f>IFERROR(__xludf.DUMMYFUNCTION("""COMPUTED_VALUE""")," Inst Autor 11")</f>
        <v> Inst Autor 11</v>
      </c>
      <c r="CG4" s="11" t="str">
        <f>IFERROR(__xludf.DUMMYFUNCTION("""COMPUTED_VALUE""")," Grupo Autor 11")</f>
        <v> Grupo Autor 11</v>
      </c>
      <c r="CH4" s="11" t="str">
        <f>IFERROR(__xludf.DUMMYFUNCTION("""COMPUTED_VALUE""")," Autor 12")</f>
        <v> Autor 12</v>
      </c>
      <c r="CI4" s="11" t="str">
        <f>IFERROR(__xludf.DUMMYFUNCTION("""COMPUTED_VALUE""")," Inst Autor 12")</f>
        <v> Inst Autor 12</v>
      </c>
      <c r="CJ4" s="11" t="str">
        <f>IFERROR(__xludf.DUMMYFUNCTION("""COMPUTED_VALUE""")," Grupo Autor 12")</f>
        <v> Grupo Autor 12</v>
      </c>
      <c r="CK4" s="11" t="str">
        <f>IFERROR(__xludf.DUMMYFUNCTION("""COMPUTED_VALUE""")," Autor 13")</f>
        <v> Autor 13</v>
      </c>
      <c r="CL4" s="11" t="str">
        <f>IFERROR(__xludf.DUMMYFUNCTION("""COMPUTED_VALUE""")," Inst Autor 13")</f>
        <v> Inst Autor 13</v>
      </c>
      <c r="CM4" s="11" t="str">
        <f>IFERROR(__xludf.DUMMYFUNCTION("""COMPUTED_VALUE""")," Grupo Autor 13")</f>
        <v> Grupo Autor 13</v>
      </c>
      <c r="CN4" s="11" t="str">
        <f>IFERROR(__xludf.DUMMYFUNCTION("""COMPUTED_VALUE""")," Autor 14")</f>
        <v> Autor 14</v>
      </c>
      <c r="CO4" s="11" t="str">
        <f>IFERROR(__xludf.DUMMYFUNCTION("""COMPUTED_VALUE""")," Inst Autor 14")</f>
        <v> Inst Autor 14</v>
      </c>
      <c r="CP4" s="11" t="str">
        <f>IFERROR(__xludf.DUMMYFUNCTION("""COMPUTED_VALUE""")," Grupo Autor 14")</f>
        <v> Grupo Autor 14</v>
      </c>
      <c r="CQ4" s="11" t="str">
        <f>IFERROR(__xludf.DUMMYFUNCTION("""COMPUTED_VALUE""")," Publicación")</f>
        <v> Publicación</v>
      </c>
      <c r="CR4" s="11" t="str">
        <f>IFERROR(__xludf.DUMMYFUNCTION("""COMPUTED_VALUE""")," Factor impacto")</f>
        <v> Factor impacto</v>
      </c>
    </row>
    <row r="5">
      <c r="A5" s="11" t="str">
        <f>IFERROR(__xludf.DUMMYFUNCTION("""COMPUTED_VALUE"""),"Proy4")</f>
        <v>Proy4</v>
      </c>
      <c r="B5" s="11" t="str">
        <f>IFERROR(__xludf.DUMMYFUNCTION("""COMPUTED_VALUE"""),"Apropiación")</f>
        <v>Apropiación</v>
      </c>
      <c r="C5" s="11" t="str">
        <f>IFERROR(__xludf.DUMMYFUNCTION("""COMPUTED_VALUE"""),"Ponencia")</f>
        <v>Ponencia</v>
      </c>
      <c r="D5" s="11" t="str">
        <f>IFERROR(__xludf.DUMMYFUNCTION("""COMPUTED_VALUE"""),"Ponencia")</f>
        <v>Ponencia</v>
      </c>
      <c r="E5" s="11" t="str">
        <f>IFERROR(__xludf.DUMMYFUNCTION("""COMPUTED_VALUE"""),"Evento científico")</f>
        <v>Evento científico</v>
      </c>
      <c r="F5" s="11" t="str">
        <f>IFERROR(__xludf.DUMMYFUNCTION("""COMPUTED_VALUE"""),"Cartilla")</f>
        <v>Cartilla</v>
      </c>
      <c r="G5" s="11" t="str">
        <f>IFERROR(__xludf.DUMMYFUNCTION("""COMPUTED_VALUE"""),"Curso de capacitación, seminario o taller")</f>
        <v>Curso de capacitación, seminario o taller</v>
      </c>
      <c r="H5" s="11" t="str">
        <f>IFERROR(__xludf.DUMMYFUNCTION("""COMPUTED_VALUE"""),"Socialización de resultados a actores del sector")</f>
        <v>Socialización de resultados a actores del sector</v>
      </c>
      <c r="I5" s="11" t="str">
        <f>IFERROR(__xludf.DUMMYFUNCTION("""COMPUTED_VALUE"""),"Articulación de redes de conocimiento")</f>
        <v>Articulación de redes de conocimiento</v>
      </c>
      <c r="J5" s="11" t="str">
        <f>IFERROR(__xludf.DUMMYFUNCTION("""COMPUTED_VALUE"""),"Circulación de conocimiento especializado - boletines")</f>
        <v>Circulación de conocimiento especializado - boletines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 t="str">
        <f>IFERROR(__xludf.DUMMYFUNCTION("""COMPUTED_VALUE"""),"Ninguna")</f>
        <v>Ninguna</v>
      </c>
      <c r="V5" s="11"/>
      <c r="W5" s="11" t="str">
        <f>IFERROR(__xludf.DUMMYFUNCTION("""COMPUTED_VALUE"""),"Proyecto")</f>
        <v>Proyecto</v>
      </c>
      <c r="X5" s="11" t="str">
        <f>IFERROR(__xludf.DUMMYFUNCTION("""COMPUTED_VALUE"""),"UdeA")</f>
        <v>UdeA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 t="str">
        <f>IFERROR(__xludf.DUMMYFUNCTION("""COMPUTED_VALUE"""),"Ninguna")</f>
        <v>Ninguna</v>
      </c>
      <c r="AL5" s="11"/>
      <c r="AM5" s="11" t="str">
        <f>IFERROR(__xludf.DUMMYFUNCTION("""COMPUTED_VALUE"""),"Obligatorio")</f>
        <v>Obligatorio</v>
      </c>
      <c r="AN5" s="11"/>
      <c r="AO5" s="11"/>
      <c r="AP5" s="11"/>
      <c r="AQ5" s="11"/>
      <c r="AR5" s="11"/>
      <c r="AS5" s="11"/>
      <c r="AT5" s="11" t="str">
        <f>IFERROR(__xludf.DUMMYFUNCTION("""COMPUTED_VALUE""")," IV Congreso Colombiano de Electroquímica")</f>
        <v> IV Congreso Colombiano de Electroquímica</v>
      </c>
      <c r="AU5" s="15" t="str">
        <f>IFERROR(__xludf.DUMMYFUNCTION("""COMPUTED_VALUE"""),"https://drive.google.com/file/d/1P5cW_USpF2eVUlbQ_VhQZ50c5C1Xq248/view?usp=sharing")</f>
        <v>https://drive.google.com/file/d/1P5cW_USpF2eVUlbQ_VhQZ50c5C1Xq248/view?usp=sharing</v>
      </c>
      <c r="AV5" s="11"/>
      <c r="AW5" s="11"/>
      <c r="AX5" s="11">
        <f>IFERROR(__xludf.DUMMYFUNCTION("""COMPUTED_VALUE"""),6.0)</f>
        <v>6</v>
      </c>
      <c r="AY5" s="4" t="str">
        <f>IFERROR(__xludf.DUMMYFUNCTION("""COMPUTED_VALUE"""),"Estudio de la geometría y el régimen de flujo en el desempeño de un electrolizador alcalino")</f>
        <v>Estudio de la geometría y el régimen de flujo en el desempeño de un electrolizador alcalino</v>
      </c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</row>
    <row r="6">
      <c r="A6" s="11" t="str">
        <f>IFERROR(__xludf.DUMMYFUNCTION("""COMPUTED_VALUE"""),"Proy4")</f>
        <v>Proy4</v>
      </c>
      <c r="B6" s="11" t="str">
        <f>IFERROR(__xludf.DUMMYFUNCTION("""COMPUTED_VALUE"""),"Apropiación")</f>
        <v>Apropiación</v>
      </c>
      <c r="C6" s="11" t="str">
        <f>IFERROR(__xludf.DUMMYFUNCTION("""COMPUTED_VALUE"""),"Ponencia")</f>
        <v>Ponencia</v>
      </c>
      <c r="D6" s="11" t="str">
        <f>IFERROR(__xludf.DUMMYFUNCTION("""COMPUTED_VALUE"""),"Ponencia")</f>
        <v>Ponencia</v>
      </c>
      <c r="E6" s="11" t="str">
        <f>IFERROR(__xludf.DUMMYFUNCTION("""COMPUTED_VALUE"""),"Evento científico")</f>
        <v>Evento científico</v>
      </c>
      <c r="F6" s="11" t="str">
        <f>IFERROR(__xludf.DUMMYFUNCTION("""COMPUTED_VALUE"""),"Cartilla")</f>
        <v>Cartilla</v>
      </c>
      <c r="G6" s="11" t="str">
        <f>IFERROR(__xludf.DUMMYFUNCTION("""COMPUTED_VALUE"""),"Curso de capacitación, seminario o taller")</f>
        <v>Curso de capacitación, seminario o taller</v>
      </c>
      <c r="H6" s="11" t="str">
        <f>IFERROR(__xludf.DUMMYFUNCTION("""COMPUTED_VALUE"""),"Socialización de resultados a actores del sector")</f>
        <v>Socialización de resultados a actores del sector</v>
      </c>
      <c r="I6" s="11" t="str">
        <f>IFERROR(__xludf.DUMMYFUNCTION("""COMPUTED_VALUE"""),"Articulación de redes de conocimiento")</f>
        <v>Articulación de redes de conocimiento</v>
      </c>
      <c r="J6" s="11" t="str">
        <f>IFERROR(__xludf.DUMMYFUNCTION("""COMPUTED_VALUE"""),"Circulación de conocimiento especializado - boletines")</f>
        <v>Circulación de conocimiento especializado - boletines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 t="str">
        <f>IFERROR(__xludf.DUMMYFUNCTION("""COMPUTED_VALUE"""),"Ninguna")</f>
        <v>Ninguna</v>
      </c>
      <c r="V6" s="11"/>
      <c r="W6" s="11" t="str">
        <f>IFERROR(__xludf.DUMMYFUNCTION("""COMPUTED_VALUE"""),"Proyecto")</f>
        <v>Proyecto</v>
      </c>
      <c r="X6" s="11" t="str">
        <f>IFERROR(__xludf.DUMMYFUNCTION("""COMPUTED_VALUE"""),"UdeA, UTCH")</f>
        <v>UdeA, UTCH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 t="str">
        <f>IFERROR(__xludf.DUMMYFUNCTION("""COMPUTED_VALUE"""),"Ninguna")</f>
        <v>Ninguna</v>
      </c>
      <c r="AL6" s="11"/>
      <c r="AM6" s="11" t="str">
        <f>IFERROR(__xludf.DUMMYFUNCTION("""COMPUTED_VALUE"""),"Obligatorio")</f>
        <v>Obligatorio</v>
      </c>
      <c r="AN6" s="11"/>
      <c r="AO6" s="11"/>
      <c r="AP6" s="11"/>
      <c r="AQ6" s="11"/>
      <c r="AR6" s="11"/>
      <c r="AS6" s="11"/>
      <c r="AT6" s="11" t="str">
        <f>IFERROR(__xludf.DUMMYFUNCTION("""COMPUTED_VALUE""")," IV Congreso Colombiano de Electroquímica")</f>
        <v> IV Congreso Colombiano de Electroquímica</v>
      </c>
      <c r="AU6" s="15" t="str">
        <f>IFERROR(__xludf.DUMMYFUNCTION("""COMPUTED_VALUE"""),"https://drive.google.com/file/d/1dWVGBLGFxQKVA_0Zs6bu9YndwaU-Y021/view?usp=sharing")</f>
        <v>https://drive.google.com/file/d/1dWVGBLGFxQKVA_0Zs6bu9YndwaU-Y021/view?usp=sharing</v>
      </c>
      <c r="AV6" s="11"/>
      <c r="AW6" s="11"/>
      <c r="AX6" s="11">
        <f>IFERROR(__xludf.DUMMYFUNCTION("""COMPUTED_VALUE"""),6.0)</f>
        <v>6</v>
      </c>
      <c r="AY6" s="4" t="str">
        <f>IFERROR(__xludf.DUMMYFUNCTION("""COMPUTED_VALUE"""),"Óxidos metálicos mixtos para baterías de iones de litio de alto voltaje: una evaluación de propiedades electroquímicas y estructurales")</f>
        <v>Óxidos metálicos mixtos para baterías de iones de litio de alto voltaje: una evaluación de propiedades electroquímicas y estructurales</v>
      </c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</row>
    <row r="7">
      <c r="A7" s="11" t="str">
        <f>IFERROR(__xludf.DUMMYFUNCTION("""COMPUTED_VALUE"""),"Proy4")</f>
        <v>Proy4</v>
      </c>
      <c r="B7" s="11" t="str">
        <f>IFERROR(__xludf.DUMMYFUNCTION("""COMPUTED_VALUE"""),"Apropiación")</f>
        <v>Apropiación</v>
      </c>
      <c r="C7" s="11" t="str">
        <f>IFERROR(__xludf.DUMMYFUNCTION("""COMPUTED_VALUE"""),"Ponencia")</f>
        <v>Ponencia</v>
      </c>
      <c r="D7" s="11" t="str">
        <f>IFERROR(__xludf.DUMMYFUNCTION("""COMPUTED_VALUE"""),"Ponencia")</f>
        <v>Ponencia</v>
      </c>
      <c r="E7" s="11" t="str">
        <f>IFERROR(__xludf.DUMMYFUNCTION("""COMPUTED_VALUE"""),"Evento científico")</f>
        <v>Evento científico</v>
      </c>
      <c r="F7" s="11" t="str">
        <f>IFERROR(__xludf.DUMMYFUNCTION("""COMPUTED_VALUE"""),"Cartilla")</f>
        <v>Cartilla</v>
      </c>
      <c r="G7" s="11" t="str">
        <f>IFERROR(__xludf.DUMMYFUNCTION("""COMPUTED_VALUE"""),"Curso de capacitación, seminario o taller")</f>
        <v>Curso de capacitación, seminario o taller</v>
      </c>
      <c r="H7" s="11" t="str">
        <f>IFERROR(__xludf.DUMMYFUNCTION("""COMPUTED_VALUE"""),"Socialización de resultados a actores del sector")</f>
        <v>Socialización de resultados a actores del sector</v>
      </c>
      <c r="I7" s="11" t="str">
        <f>IFERROR(__xludf.DUMMYFUNCTION("""COMPUTED_VALUE"""),"Articulación de redes de conocimiento")</f>
        <v>Articulación de redes de conocimiento</v>
      </c>
      <c r="J7" s="11" t="str">
        <f>IFERROR(__xludf.DUMMYFUNCTION("""COMPUTED_VALUE"""),"Circulación de conocimiento especializado - boletines")</f>
        <v>Circulación de conocimiento especializado - boletines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 t="str">
        <f>IFERROR(__xludf.DUMMYFUNCTION("""COMPUTED_VALUE"""),"Ninguna")</f>
        <v>Ninguna</v>
      </c>
      <c r="V7" s="11"/>
      <c r="W7" s="11" t="str">
        <f>IFERROR(__xludf.DUMMYFUNCTION("""COMPUTED_VALUE"""),"Proyecto")</f>
        <v>Proyecto</v>
      </c>
      <c r="X7" s="11" t="str">
        <f>IFERROR(__xludf.DUMMYFUNCTION("""COMPUTED_VALUE"""),"UdeA")</f>
        <v>UdeA</v>
      </c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 t="str">
        <f>IFERROR(__xludf.DUMMYFUNCTION("""COMPUTED_VALUE"""),"Ninguna")</f>
        <v>Ninguna</v>
      </c>
      <c r="AL7" s="11"/>
      <c r="AM7" s="11" t="str">
        <f>IFERROR(__xludf.DUMMYFUNCTION("""COMPUTED_VALUE"""),"Obligatorio")</f>
        <v>Obligatorio</v>
      </c>
      <c r="AN7" s="11"/>
      <c r="AO7" s="11"/>
      <c r="AP7" s="11"/>
      <c r="AQ7" s="11"/>
      <c r="AR7" s="11"/>
      <c r="AS7" s="11"/>
      <c r="AT7" s="11" t="str">
        <f>IFERROR(__xludf.DUMMYFUNCTION("""COMPUTED_VALUE""")," IV Congreso Colombiano de Electroquímica")</f>
        <v> IV Congreso Colombiano de Electroquímica</v>
      </c>
      <c r="AU7" s="15" t="str">
        <f>IFERROR(__xludf.DUMMYFUNCTION("""COMPUTED_VALUE"""),"https://drive.google.com/file/d/1D-k-Dnlpac4YabeiaygYsSxuXO7YnB4R/view?usp=sharing")</f>
        <v>https://drive.google.com/file/d/1D-k-Dnlpac4YabeiaygYsSxuXO7YnB4R/view?usp=sharing</v>
      </c>
      <c r="AV7" s="11"/>
      <c r="AW7" s="11"/>
      <c r="AX7" s="11">
        <f>IFERROR(__xludf.DUMMYFUNCTION("""COMPUTED_VALUE"""),6.0)</f>
        <v>6</v>
      </c>
      <c r="AY7" s="4" t="str">
        <f>IFERROR(__xludf.DUMMYFUNCTION("""COMPUTED_VALUE"""),"Electrodo novedoso a base del compuesto híbrido CH3NH3NiCl3 para baterías de ion litio")</f>
        <v>Electrodo novedoso a base del compuesto híbrido CH3NH3NiCl3 para baterías de ion litio</v>
      </c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</row>
    <row r="8">
      <c r="A8" s="11" t="str">
        <f>IFERROR(__xludf.DUMMYFUNCTION("""COMPUTED_VALUE"""),"Proy4")</f>
        <v>Proy4</v>
      </c>
      <c r="B8" s="11" t="str">
        <f>IFERROR(__xludf.DUMMYFUNCTION("""COMPUTED_VALUE"""),"Apropiación")</f>
        <v>Apropiación</v>
      </c>
      <c r="C8" s="11" t="str">
        <f>IFERROR(__xludf.DUMMYFUNCTION("""COMPUTED_VALUE"""),"Ponencia")</f>
        <v>Ponencia</v>
      </c>
      <c r="D8" s="11" t="str">
        <f>IFERROR(__xludf.DUMMYFUNCTION("""COMPUTED_VALUE"""),"Ponencia")</f>
        <v>Ponencia</v>
      </c>
      <c r="E8" s="11" t="str">
        <f>IFERROR(__xludf.DUMMYFUNCTION("""COMPUTED_VALUE"""),"Evento científico")</f>
        <v>Evento científico</v>
      </c>
      <c r="F8" s="11" t="str">
        <f>IFERROR(__xludf.DUMMYFUNCTION("""COMPUTED_VALUE"""),"Cartilla")</f>
        <v>Cartilla</v>
      </c>
      <c r="G8" s="11" t="str">
        <f>IFERROR(__xludf.DUMMYFUNCTION("""COMPUTED_VALUE"""),"Curso de capacitación, seminario o taller")</f>
        <v>Curso de capacitación, seminario o taller</v>
      </c>
      <c r="H8" s="11" t="str">
        <f>IFERROR(__xludf.DUMMYFUNCTION("""COMPUTED_VALUE"""),"Socialización de resultados a actores del sector")</f>
        <v>Socialización de resultados a actores del sector</v>
      </c>
      <c r="I8" s="11" t="str">
        <f>IFERROR(__xludf.DUMMYFUNCTION("""COMPUTED_VALUE"""),"Articulación de redes de conocimiento")</f>
        <v>Articulación de redes de conocimiento</v>
      </c>
      <c r="J8" s="11" t="str">
        <f>IFERROR(__xludf.DUMMYFUNCTION("""COMPUTED_VALUE"""),"Circulación de conocimiento especializado - boletines")</f>
        <v>Circulación de conocimiento especializado - boletines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 t="str">
        <f>IFERROR(__xludf.DUMMYFUNCTION("""COMPUTED_VALUE"""),"Ninguna")</f>
        <v>Ninguna</v>
      </c>
      <c r="V8" s="11"/>
      <c r="W8" s="11" t="str">
        <f>IFERROR(__xludf.DUMMYFUNCTION("""COMPUTED_VALUE"""),"Proyecto")</f>
        <v>Proyecto</v>
      </c>
      <c r="X8" s="11" t="str">
        <f>IFERROR(__xludf.DUMMYFUNCTION("""COMPUTED_VALUE"""),"UdeA")</f>
        <v>UdeA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 t="str">
        <f>IFERROR(__xludf.DUMMYFUNCTION("""COMPUTED_VALUE"""),"Ninguna")</f>
        <v>Ninguna</v>
      </c>
      <c r="AL8" s="11"/>
      <c r="AM8" s="11" t="str">
        <f>IFERROR(__xludf.DUMMYFUNCTION("""COMPUTED_VALUE"""),"Obligatorio")</f>
        <v>Obligatorio</v>
      </c>
      <c r="AN8" s="11"/>
      <c r="AO8" s="11"/>
      <c r="AP8" s="11"/>
      <c r="AQ8" s="11"/>
      <c r="AR8" s="11"/>
      <c r="AS8" s="11"/>
      <c r="AT8" s="11" t="str">
        <f>IFERROR(__xludf.DUMMYFUNCTION("""COMPUTED_VALUE""")," IV Congreso Colombiano de Electroquímica")</f>
        <v> IV Congreso Colombiano de Electroquímica</v>
      </c>
      <c r="AU8" s="15" t="str">
        <f>IFERROR(__xludf.DUMMYFUNCTION("""COMPUTED_VALUE"""),"https://drive.google.com/file/d/1iEHze9EqUU76-LL9RCGaq0vLTGoF5N0h/view?usp=sharing")</f>
        <v>https://drive.google.com/file/d/1iEHze9EqUU76-LL9RCGaq0vLTGoF5N0h/view?usp=sharing</v>
      </c>
      <c r="AV8" s="11"/>
      <c r="AW8" s="11"/>
      <c r="AX8" s="11">
        <f>IFERROR(__xludf.DUMMYFUNCTION("""COMPUTED_VALUE"""),6.0)</f>
        <v>6</v>
      </c>
      <c r="AY8" s="4" t="str">
        <f>IFERROR(__xludf.DUMMYFUNCTION("""COMPUTED_VALUE"""),"Evaluación electroquímica de la espinela LiMn1,8Ti2O4 N-grafeno como potencial cátodo para baterías de ion-Li")</f>
        <v>Evaluación electroquímica de la espinela LiMn1,8Ti2O4 N-grafeno como potencial cátodo para baterías de ion-Li</v>
      </c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</row>
    <row r="9">
      <c r="A9" s="11" t="str">
        <f>IFERROR(__xludf.DUMMYFUNCTION("""COMPUTED_VALUE"""),"Proy4")</f>
        <v>Proy4</v>
      </c>
      <c r="B9" s="11" t="str">
        <f>IFERROR(__xludf.DUMMYFUNCTION("""COMPUTED_VALUE"""),"Apropiación")</f>
        <v>Apropiación</v>
      </c>
      <c r="C9" s="11" t="str">
        <f>IFERROR(__xludf.DUMMYFUNCTION("""COMPUTED_VALUE"""),"Ponencia")</f>
        <v>Ponencia</v>
      </c>
      <c r="D9" s="11" t="str">
        <f>IFERROR(__xludf.DUMMYFUNCTION("""COMPUTED_VALUE"""),"Ponencia")</f>
        <v>Ponencia</v>
      </c>
      <c r="E9" s="11" t="str">
        <f>IFERROR(__xludf.DUMMYFUNCTION("""COMPUTED_VALUE"""),"Evento científico")</f>
        <v>Evento científico</v>
      </c>
      <c r="F9" s="11" t="str">
        <f>IFERROR(__xludf.DUMMYFUNCTION("""COMPUTED_VALUE"""),"Cartilla")</f>
        <v>Cartilla</v>
      </c>
      <c r="G9" s="11" t="str">
        <f>IFERROR(__xludf.DUMMYFUNCTION("""COMPUTED_VALUE"""),"Curso de capacitación, seminario o taller")</f>
        <v>Curso de capacitación, seminario o taller</v>
      </c>
      <c r="H9" s="11" t="str">
        <f>IFERROR(__xludf.DUMMYFUNCTION("""COMPUTED_VALUE"""),"Socialización de resultados a actores del sector")</f>
        <v>Socialización de resultados a actores del sector</v>
      </c>
      <c r="I9" s="11" t="str">
        <f>IFERROR(__xludf.DUMMYFUNCTION("""COMPUTED_VALUE"""),"Articulación de redes de conocimiento")</f>
        <v>Articulación de redes de conocimiento</v>
      </c>
      <c r="J9" s="11" t="str">
        <f>IFERROR(__xludf.DUMMYFUNCTION("""COMPUTED_VALUE"""),"Circulación de conocimiento especializado - boletines")</f>
        <v>Circulación de conocimiento especializado - boletines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 t="str">
        <f>IFERROR(__xludf.DUMMYFUNCTION("""COMPUTED_VALUE"""),"Ninguna")</f>
        <v>Ninguna</v>
      </c>
      <c r="V9" s="11"/>
      <c r="W9" s="11" t="str">
        <f>IFERROR(__xludf.DUMMYFUNCTION("""COMPUTED_VALUE"""),"Proyecto")</f>
        <v>Proyecto</v>
      </c>
      <c r="X9" s="11" t="str">
        <f>IFERROR(__xludf.DUMMYFUNCTION("""COMPUTED_VALUE"""),"UdeA")</f>
        <v>UdeA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 t="str">
        <f>IFERROR(__xludf.DUMMYFUNCTION("""COMPUTED_VALUE"""),"Ninguna")</f>
        <v>Ninguna</v>
      </c>
      <c r="AL9" s="11"/>
      <c r="AM9" s="11" t="str">
        <f>IFERROR(__xludf.DUMMYFUNCTION("""COMPUTED_VALUE"""),"Obligatorio")</f>
        <v>Obligatorio</v>
      </c>
      <c r="AN9" s="11"/>
      <c r="AO9" s="11"/>
      <c r="AP9" s="11"/>
      <c r="AQ9" s="11"/>
      <c r="AR9" s="11"/>
      <c r="AS9" s="11"/>
      <c r="AT9" s="11" t="str">
        <f>IFERROR(__xludf.DUMMYFUNCTION("""COMPUTED_VALUE"""),"Online nanoGe Fall Meeting 20")</f>
        <v>Online nanoGe Fall Meeting 20</v>
      </c>
      <c r="AU9" s="15" t="str">
        <f>IFERROR(__xludf.DUMMYFUNCTION("""COMPUTED_VALUE"""),"https://drive.google.com/file/d/1s52HsM97EQuzwb_Ju-PfXk98PszVoRC1/view?usp=sharing")</f>
        <v>https://drive.google.com/file/d/1s52HsM97EQuzwb_Ju-PfXk98PszVoRC1/view?usp=sharing</v>
      </c>
      <c r="AV9" s="11"/>
      <c r="AW9" s="11"/>
      <c r="AX9" s="11">
        <f>IFERROR(__xludf.DUMMYFUNCTION("""COMPUTED_VALUE"""),6.0)</f>
        <v>6</v>
      </c>
      <c r="AY9" s="4" t="str">
        <f>IFERROR(__xludf.DUMMYFUNCTION("""COMPUTED_VALUE"""),"Measuring accurately and reproducibly interfacial charge transfer efficiencies in photo-electrodes - an experimental approach")</f>
        <v>Measuring accurately and reproducibly interfacial charge transfer efficiencies in photo-electrodes - an experimental approach</v>
      </c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</row>
    <row r="10">
      <c r="A10" s="11" t="str">
        <f>IFERROR(__xludf.DUMMYFUNCTION("""COMPUTED_VALUE"""),"Proy4")</f>
        <v>Proy4</v>
      </c>
      <c r="B10" s="11" t="str">
        <f>IFERROR(__xludf.DUMMYFUNCTION("""COMPUTED_VALUE"""),"Apropiación")</f>
        <v>Apropiación</v>
      </c>
      <c r="C10" s="11" t="str">
        <f>IFERROR(__xludf.DUMMYFUNCTION("""COMPUTED_VALUE"""),"Ponencia")</f>
        <v>Ponencia</v>
      </c>
      <c r="D10" s="11" t="str">
        <f>IFERROR(__xludf.DUMMYFUNCTION("""COMPUTED_VALUE"""),"Ponencia")</f>
        <v>Ponencia</v>
      </c>
      <c r="E10" s="11" t="str">
        <f>IFERROR(__xludf.DUMMYFUNCTION("""COMPUTED_VALUE"""),"Evento científico")</f>
        <v>Evento científico</v>
      </c>
      <c r="F10" s="11" t="str">
        <f>IFERROR(__xludf.DUMMYFUNCTION("""COMPUTED_VALUE"""),"Cartilla")</f>
        <v>Cartilla</v>
      </c>
      <c r="G10" s="11" t="str">
        <f>IFERROR(__xludf.DUMMYFUNCTION("""COMPUTED_VALUE"""),"Curso de capacitación, seminario o taller")</f>
        <v>Curso de capacitación, seminario o taller</v>
      </c>
      <c r="H10" s="11" t="str">
        <f>IFERROR(__xludf.DUMMYFUNCTION("""COMPUTED_VALUE"""),"Socialización de resultados a actores del sector")</f>
        <v>Socialización de resultados a actores del sector</v>
      </c>
      <c r="I10" s="11" t="str">
        <f>IFERROR(__xludf.DUMMYFUNCTION("""COMPUTED_VALUE"""),"Articulación de redes de conocimiento")</f>
        <v>Articulación de redes de conocimiento</v>
      </c>
      <c r="J10" s="11" t="str">
        <f>IFERROR(__xludf.DUMMYFUNCTION("""COMPUTED_VALUE"""),"Circulación de conocimiento especializado - boletines")</f>
        <v>Circulación de conocimiento especializado - boletines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 t="str">
        <f>IFERROR(__xludf.DUMMYFUNCTION("""COMPUTED_VALUE"""),"Ninguna")</f>
        <v>Ninguna</v>
      </c>
      <c r="V10" s="11"/>
      <c r="W10" s="11" t="str">
        <f>IFERROR(__xludf.DUMMYFUNCTION("""COMPUTED_VALUE"""),"Proyecto")</f>
        <v>Proyecto</v>
      </c>
      <c r="X10" s="11" t="str">
        <f>IFERROR(__xludf.DUMMYFUNCTION("""COMPUTED_VALUE"""),"UdeA")</f>
        <v>UdeA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 t="str">
        <f>IFERROR(__xludf.DUMMYFUNCTION("""COMPUTED_VALUE"""),"Ninguna")</f>
        <v>Ninguna</v>
      </c>
      <c r="AL10" s="11"/>
      <c r="AM10" s="11" t="str">
        <f>IFERROR(__xludf.DUMMYFUNCTION("""COMPUTED_VALUE"""),"Obligatorio")</f>
        <v>Obligatorio</v>
      </c>
      <c r="AN10" s="11"/>
      <c r="AO10" s="11"/>
      <c r="AP10" s="11"/>
      <c r="AQ10" s="11"/>
      <c r="AR10" s="11"/>
      <c r="AS10" s="11"/>
      <c r="AT10" s="11" t="str">
        <f>IFERROR(__xludf.DUMMYFUNCTION("""COMPUTED_VALUE"""),"71st Annual Meeting of the International Society of Electrochemistry")</f>
        <v>71st Annual Meeting of the International Society of Electrochemistry</v>
      </c>
      <c r="AU10" s="15" t="str">
        <f>IFERROR(__xludf.DUMMYFUNCTION("""COMPUTED_VALUE"""),"https://drive.google.com/file/d/1UwI9kbEKxOhSKja0QdkVRtM1yEKauK4r/view?usp=sharing")</f>
        <v>https://drive.google.com/file/d/1UwI9kbEKxOhSKja0QdkVRtM1yEKauK4r/view?usp=sharing</v>
      </c>
      <c r="AV10" s="11"/>
      <c r="AW10" s="11"/>
      <c r="AX10" s="11">
        <f>IFERROR(__xludf.DUMMYFUNCTION("""COMPUTED_VALUE"""),6.0)</f>
        <v>6</v>
      </c>
      <c r="AY10" s="4" t="str">
        <f>IFERROR(__xludf.DUMMYFUNCTION("""COMPUTED_VALUE"""),"Unravelling the Capacity Fading Enigma of Spinel LixMn2-yTiyO4 by using Distribution of Relaxation Times (DRT)")</f>
        <v>Unravelling the Capacity Fading Enigma of Spinel LixMn2-yTiyO4 by using Distribution of Relaxation Times (DRT)</v>
      </c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</row>
    <row r="11">
      <c r="A11" s="11" t="str">
        <f>IFERROR(__xludf.DUMMYFUNCTION("""COMPUTED_VALUE"""),"Proy8")</f>
        <v>Proy8</v>
      </c>
      <c r="B11" s="11" t="str">
        <f>IFERROR(__xludf.DUMMYFUNCTION("""COMPUTED_VALUE"""),"Apropiación")</f>
        <v>Apropiación</v>
      </c>
      <c r="C11" s="11" t="str">
        <f>IFERROR(__xludf.DUMMYFUNCTION("""COMPUTED_VALUE"""),"Ponencia")</f>
        <v>Ponencia</v>
      </c>
      <c r="D11" s="11" t="str">
        <f>IFERROR(__xludf.DUMMYFUNCTION("""COMPUTED_VALUE"""),"Ponencia")</f>
        <v>Ponencia</v>
      </c>
      <c r="E11" s="11" t="str">
        <f>IFERROR(__xludf.DUMMYFUNCTION("""COMPUTED_VALUE"""),"Evento científico")</f>
        <v>Evento científico</v>
      </c>
      <c r="F11" s="11" t="str">
        <f>IFERROR(__xludf.DUMMYFUNCTION("""COMPUTED_VALUE"""),"Cartilla")</f>
        <v>Cartilla</v>
      </c>
      <c r="G11" s="11" t="str">
        <f>IFERROR(__xludf.DUMMYFUNCTION("""COMPUTED_VALUE"""),"Curso de capacitación, seminario o taller")</f>
        <v>Curso de capacitación, seminario o taller</v>
      </c>
      <c r="H11" s="11" t="str">
        <f>IFERROR(__xludf.DUMMYFUNCTION("""COMPUTED_VALUE"""),"Socialización de resultados a actores del sector")</f>
        <v>Socialización de resultados a actores del sector</v>
      </c>
      <c r="I11" s="11" t="str">
        <f>IFERROR(__xludf.DUMMYFUNCTION("""COMPUTED_VALUE"""),"Articulación de redes de conocimiento")</f>
        <v>Articulación de redes de conocimiento</v>
      </c>
      <c r="J11" s="11" t="str">
        <f>IFERROR(__xludf.DUMMYFUNCTION("""COMPUTED_VALUE"""),"Circulación de conocimiento especializado - boletines")</f>
        <v>Circulación de conocimiento especializado - boletines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 t="str">
        <f>IFERROR(__xludf.DUMMYFUNCTION("""COMPUTED_VALUE"""),"Ninguna")</f>
        <v>Ninguna</v>
      </c>
      <c r="V11" s="11"/>
      <c r="W11" s="11" t="str">
        <f>IFERROR(__xludf.DUMMYFUNCTION("""COMPUTED_VALUE"""),"Proyecto")</f>
        <v>Proyecto</v>
      </c>
      <c r="X11" s="11" t="str">
        <f>IFERROR(__xludf.DUMMYFUNCTION("""COMPUTED_VALUE"""),"UdeA")</f>
        <v>UdeA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 t="str">
        <f>IFERROR(__xludf.DUMMYFUNCTION("""COMPUTED_VALUE"""),"Ninguna")</f>
        <v>Ninguna</v>
      </c>
      <c r="AL11" s="11"/>
      <c r="AM11" s="11" t="str">
        <f>IFERROR(__xludf.DUMMYFUNCTION("""COMPUTED_VALUE"""),"Obligatorio")</f>
        <v>Obligatorio</v>
      </c>
      <c r="AN11" s="11">
        <f>IFERROR(__xludf.DUMMYFUNCTION("""COMPUTED_VALUE"""),3.0)</f>
        <v>3</v>
      </c>
      <c r="AO11" s="11">
        <f>IFERROR(__xludf.DUMMYFUNCTION("""COMPUTED_VALUE"""),1.0)</f>
        <v>1</v>
      </c>
      <c r="AP11" s="11">
        <f>IFERROR(__xludf.DUMMYFUNCTION("""COMPUTED_VALUE"""),1.0)</f>
        <v>1</v>
      </c>
      <c r="AQ11" s="11">
        <f>IFERROR(__xludf.DUMMYFUNCTION("""COMPUTED_VALUE"""),1.0)</f>
        <v>1</v>
      </c>
      <c r="AR11" s="11">
        <f>IFERROR(__xludf.DUMMYFUNCTION("""COMPUTED_VALUE"""),1.0)</f>
        <v>1</v>
      </c>
      <c r="AS11" s="11">
        <f>IFERROR(__xludf.DUMMYFUNCTION("""COMPUTED_VALUE"""),1.0)</f>
        <v>1</v>
      </c>
      <c r="AT11" s="11" t="str">
        <f>IFERROR(__xludf.DUMMYFUNCTION("""COMPUTED_VALUE"""),"X Congreso Internacional de Materiales")</f>
        <v>X Congreso Internacional de Materiales</v>
      </c>
      <c r="AU11" s="15" t="str">
        <f>IFERROR(__xludf.DUMMYFUNCTION("""COMPUTED_VALUE"""),"https://drive.google.com/file/d/1dFs9eyga-vNFzViLmFBd3quK9mvlx5ZX/view?usp=sharing")</f>
        <v>https://drive.google.com/file/d/1dFs9eyga-vNFzViLmFBd3quK9mvlx5ZX/view?usp=sharing</v>
      </c>
      <c r="AV11" s="11"/>
      <c r="AW11" s="11"/>
      <c r="AX11" s="11">
        <f>IFERROR(__xludf.DUMMYFUNCTION("""COMPUTED_VALUE"""),5.0)</f>
        <v>5</v>
      </c>
      <c r="AY11" s="4" t="str">
        <f>IFERROR(__xludf.DUMMYFUNCTION("""COMPUTED_VALUE"""),"EVALUACIÓN Y CARACTERIZACIÓN DE UN CATALIZADOR
COMERCIAL PARA LA REDUCCIÓN DE ÓXIDOS DE
CARBONO")</f>
        <v>EVALUACIÓN Y CARACTERIZACIÓN DE UN CATALIZADOR
COMERCIAL PARA LA REDUCCIÓN DE ÓXIDOS DE
CARBONO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</row>
    <row r="12">
      <c r="A12" s="11" t="str">
        <f>IFERROR(__xludf.DUMMYFUNCTION("""COMPUTED_VALUE"""),"Proy1")</f>
        <v>Proy1</v>
      </c>
      <c r="B12" s="11" t="str">
        <f>IFERROR(__xludf.DUMMYFUNCTION("""COMPUTED_VALUE"""),"Apropiación")</f>
        <v>Apropiación</v>
      </c>
      <c r="C12" s="11" t="str">
        <f>IFERROR(__xludf.DUMMYFUNCTION("""COMPUTED_VALUE"""),"Ponencia")</f>
        <v>Ponencia</v>
      </c>
      <c r="D12" s="11" t="str">
        <f>IFERROR(__xludf.DUMMYFUNCTION("""COMPUTED_VALUE"""),"Ponencia")</f>
        <v>Ponencia</v>
      </c>
      <c r="E12" s="11" t="str">
        <f>IFERROR(__xludf.DUMMYFUNCTION("""COMPUTED_VALUE"""),"Evento científico")</f>
        <v>Evento científico</v>
      </c>
      <c r="F12" s="11" t="str">
        <f>IFERROR(__xludf.DUMMYFUNCTION("""COMPUTED_VALUE"""),"Cartilla")</f>
        <v>Cartilla</v>
      </c>
      <c r="G12" s="11" t="str">
        <f>IFERROR(__xludf.DUMMYFUNCTION("""COMPUTED_VALUE"""),"Curso de capacitación, seminario o taller")</f>
        <v>Curso de capacitación, seminario o taller</v>
      </c>
      <c r="H12" s="11" t="str">
        <f>IFERROR(__xludf.DUMMYFUNCTION("""COMPUTED_VALUE"""),"Socialización de resultados a actores del sector")</f>
        <v>Socialización de resultados a actores del sector</v>
      </c>
      <c r="I12" s="11" t="str">
        <f>IFERROR(__xludf.DUMMYFUNCTION("""COMPUTED_VALUE"""),"Articulación de redes de conocimiento")</f>
        <v>Articulación de redes de conocimiento</v>
      </c>
      <c r="J12" s="11" t="str">
        <f>IFERROR(__xludf.DUMMYFUNCTION("""COMPUTED_VALUE"""),"Circulación de conocimiento especializado - boletines")</f>
        <v>Circulación de conocimiento especializado - boletines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 t="str">
        <f>IFERROR(__xludf.DUMMYFUNCTION("""COMPUTED_VALUE"""),"Ninguna")</f>
        <v>Ninguna</v>
      </c>
      <c r="V12" s="11"/>
      <c r="W12" s="11" t="str">
        <f>IFERROR(__xludf.DUMMYFUNCTION("""COMPUTED_VALUE"""),"Proyecto")</f>
        <v>Proyecto</v>
      </c>
      <c r="X12" s="11" t="str">
        <f>IFERROR(__xludf.DUMMYFUNCTION("""COMPUTED_VALUE"""),"UdeA")</f>
        <v>UdeA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 t="str">
        <f>IFERROR(__xludf.DUMMYFUNCTION("""COMPUTED_VALUE"""),"Tecnológico de Antioquia")</f>
        <v>Tecnológico de Antioquia</v>
      </c>
      <c r="AK12" s="11" t="str">
        <f>IFERROR(__xludf.DUMMYFUNCTION("""COMPUTED_VALUE"""),"Ninguna")</f>
        <v>Ninguna</v>
      </c>
      <c r="AL12" s="11"/>
      <c r="AM12" s="11" t="str">
        <f>IFERROR(__xludf.DUMMYFUNCTION("""COMPUTED_VALUE"""),"Adicional")</f>
        <v>Adicional</v>
      </c>
      <c r="AN12" s="11">
        <f>IFERROR(__xludf.DUMMYFUNCTION("""COMPUTED_VALUE"""),3.0)</f>
        <v>3</v>
      </c>
      <c r="AO12" s="11">
        <f>IFERROR(__xludf.DUMMYFUNCTION("""COMPUTED_VALUE"""),1.0)</f>
        <v>1</v>
      </c>
      <c r="AP12" s="11">
        <f>IFERROR(__xludf.DUMMYFUNCTION("""COMPUTED_VALUE"""),2.0)</f>
        <v>2</v>
      </c>
      <c r="AQ12" s="11">
        <f>IFERROR(__xludf.DUMMYFUNCTION("""COMPUTED_VALUE"""),1.0)</f>
        <v>1</v>
      </c>
      <c r="AR12" s="11">
        <f>IFERROR(__xludf.DUMMYFUNCTION("""COMPUTED_VALUE"""),2.0)</f>
        <v>2</v>
      </c>
      <c r="AS12" s="11">
        <f>IFERROR(__xludf.DUMMYFUNCTION("""COMPUTED_VALUE"""),1.0)</f>
        <v>1</v>
      </c>
      <c r="AT12" s="11" t="str">
        <f>IFERROR(__xludf.DUMMYFUNCTION("""COMPUTED_VALUE"""),"International Conference on Renewable Energies
and Power Quality (ICREPQ’20)")</f>
        <v>International Conference on Renewable Energies
and Power Quality (ICREPQ’20)</v>
      </c>
      <c r="AU12" s="15" t="str">
        <f>IFERROR(__xludf.DUMMYFUNCTION("""COMPUTED_VALUE"""),"https://drive.google.com/file/d/1Q1dovmTc0aLDD_mNbY8vCPtTWvvyDpzO/view?usp=sharing")</f>
        <v>https://drive.google.com/file/d/1Q1dovmTc0aLDD_mNbY8vCPtTWvvyDpzO/view?usp=sharing</v>
      </c>
      <c r="AV12" s="11"/>
      <c r="AW12" s="11"/>
      <c r="AX12" s="11">
        <f>IFERROR(__xludf.DUMMYFUNCTION("""COMPUTED_VALUE"""),5.0)</f>
        <v>5</v>
      </c>
      <c r="AY12" s="4" t="str">
        <f>IFERROR(__xludf.DUMMYFUNCTION("""COMPUTED_VALUE"""),"Surrogate modelling for high-lift multi-element hydrofoil shape optimization of a
hydrokinetic turbine blade")</f>
        <v>Surrogate modelling for high-lift multi-element hydrofoil shape optimization of a
hydrokinetic turbine blade</v>
      </c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</row>
    <row r="13">
      <c r="A13" s="11" t="str">
        <f>IFERROR(__xludf.DUMMYFUNCTION("""COMPUTED_VALUE"""),"Proy1")</f>
        <v>Proy1</v>
      </c>
      <c r="B13" s="11" t="str">
        <f>IFERROR(__xludf.DUMMYFUNCTION("""COMPUTED_VALUE"""),"Apropiación")</f>
        <v>Apropiación</v>
      </c>
      <c r="C13" s="11" t="str">
        <f>IFERROR(__xludf.DUMMYFUNCTION("""COMPUTED_VALUE"""),"Ponencia")</f>
        <v>Ponencia</v>
      </c>
      <c r="D13" s="11" t="str">
        <f>IFERROR(__xludf.DUMMYFUNCTION("""COMPUTED_VALUE"""),"Ponencia")</f>
        <v>Ponencia</v>
      </c>
      <c r="E13" s="11" t="str">
        <f>IFERROR(__xludf.DUMMYFUNCTION("""COMPUTED_VALUE"""),"Evento científico")</f>
        <v>Evento científico</v>
      </c>
      <c r="F13" s="11" t="str">
        <f>IFERROR(__xludf.DUMMYFUNCTION("""COMPUTED_VALUE"""),"Cartilla")</f>
        <v>Cartilla</v>
      </c>
      <c r="G13" s="11" t="str">
        <f>IFERROR(__xludf.DUMMYFUNCTION("""COMPUTED_VALUE"""),"Curso de capacitación, seminario o taller")</f>
        <v>Curso de capacitación, seminario o taller</v>
      </c>
      <c r="H13" s="11" t="str">
        <f>IFERROR(__xludf.DUMMYFUNCTION("""COMPUTED_VALUE"""),"Socialización de resultados a actores del sector")</f>
        <v>Socialización de resultados a actores del sector</v>
      </c>
      <c r="I13" s="11" t="str">
        <f>IFERROR(__xludf.DUMMYFUNCTION("""COMPUTED_VALUE"""),"Articulación de redes de conocimiento")</f>
        <v>Articulación de redes de conocimiento</v>
      </c>
      <c r="J13" s="11" t="str">
        <f>IFERROR(__xludf.DUMMYFUNCTION("""COMPUTED_VALUE"""),"Circulación de conocimiento especializado - boletines")</f>
        <v>Circulación de conocimiento especializado - boletines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 t="str">
        <f>IFERROR(__xludf.DUMMYFUNCTION("""COMPUTED_VALUE"""),"Ninguna")</f>
        <v>Ninguna</v>
      </c>
      <c r="V13" s="11"/>
      <c r="W13" s="11" t="str">
        <f>IFERROR(__xludf.DUMMYFUNCTION("""COMPUTED_VALUE"""),"Proyecto")</f>
        <v>Proyecto</v>
      </c>
      <c r="X13" s="11" t="str">
        <f>IFERROR(__xludf.DUMMYFUNCTION("""COMPUTED_VALUE"""),"UdeA")</f>
        <v>UdeA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 t="str">
        <f>IFERROR(__xludf.DUMMYFUNCTION("""COMPUTED_VALUE"""),"Tecnológico de Antioquia")</f>
        <v>Tecnológico de Antioquia</v>
      </c>
      <c r="AK13" s="11" t="str">
        <f>IFERROR(__xludf.DUMMYFUNCTION("""COMPUTED_VALUE"""),"Ninguna")</f>
        <v>Ninguna</v>
      </c>
      <c r="AL13" s="11"/>
      <c r="AM13" s="11" t="str">
        <f>IFERROR(__xludf.DUMMYFUNCTION("""COMPUTED_VALUE"""),"Adicional")</f>
        <v>Adicional</v>
      </c>
      <c r="AN13" s="11">
        <f>IFERROR(__xludf.DUMMYFUNCTION("""COMPUTED_VALUE"""),3.0)</f>
        <v>3</v>
      </c>
      <c r="AO13" s="11">
        <f>IFERROR(__xludf.DUMMYFUNCTION("""COMPUTED_VALUE"""),1.0)</f>
        <v>1</v>
      </c>
      <c r="AP13" s="11">
        <f>IFERROR(__xludf.DUMMYFUNCTION("""COMPUTED_VALUE"""),2.0)</f>
        <v>2</v>
      </c>
      <c r="AQ13" s="11">
        <f>IFERROR(__xludf.DUMMYFUNCTION("""COMPUTED_VALUE"""),1.0)</f>
        <v>1</v>
      </c>
      <c r="AR13" s="11">
        <f>IFERROR(__xludf.DUMMYFUNCTION("""COMPUTED_VALUE"""),2.0)</f>
        <v>2</v>
      </c>
      <c r="AS13" s="11">
        <f>IFERROR(__xludf.DUMMYFUNCTION("""COMPUTED_VALUE"""),1.0)</f>
        <v>1</v>
      </c>
      <c r="AT13" s="11" t="str">
        <f>IFERROR(__xludf.DUMMYFUNCTION("""COMPUTED_VALUE"""),"International Conference on Renewable Energies
and Power Quality (ICREPQ’20)")</f>
        <v>International Conference on Renewable Energies
and Power Quality (ICREPQ’20)</v>
      </c>
      <c r="AU13" s="15" t="str">
        <f>IFERROR(__xludf.DUMMYFUNCTION("""COMPUTED_VALUE"""),"https://drive.google.com/file/d/1jrWYMN3fAGiIntWQO5F_9nJRAQWuB-Pm/view?usp=sharing")</f>
        <v>https://drive.google.com/file/d/1jrWYMN3fAGiIntWQO5F_9nJRAQWuB-Pm/view?usp=sharing</v>
      </c>
      <c r="AV13" s="11"/>
      <c r="AW13" s="11"/>
      <c r="AX13" s="11">
        <f>IFERROR(__xludf.DUMMYFUNCTION("""COMPUTED_VALUE"""),5.0)</f>
        <v>5</v>
      </c>
      <c r="AY13" s="4" t="str">
        <f>IFERROR(__xludf.DUMMYFUNCTION("""COMPUTED_VALUE"""),"Numerical analysis of the inlet channel and basin geometries for vortex generation in a gravitational water vortex power plant")</f>
        <v>Numerical analysis of the inlet channel and basin geometries for vortex generation in a gravitational water vortex power plant</v>
      </c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</row>
    <row r="14">
      <c r="A14" s="11" t="str">
        <f>IFERROR(__xludf.DUMMYFUNCTION("""COMPUTED_VALUE"""),"Proy7")</f>
        <v>Proy7</v>
      </c>
      <c r="B14" s="11" t="str">
        <f>IFERROR(__xludf.DUMMYFUNCTION("""COMPUTED_VALUE"""),"Apropiación")</f>
        <v>Apropiación</v>
      </c>
      <c r="C14" s="11" t="str">
        <f>IFERROR(__xludf.DUMMYFUNCTION("""COMPUTED_VALUE"""),"Ponencia")</f>
        <v>Ponencia</v>
      </c>
      <c r="D14" s="11" t="str">
        <f>IFERROR(__xludf.DUMMYFUNCTION("""COMPUTED_VALUE"""),"Ponencia")</f>
        <v>Ponencia</v>
      </c>
      <c r="E14" s="11" t="str">
        <f>IFERROR(__xludf.DUMMYFUNCTION("""COMPUTED_VALUE"""),"Evento científico")</f>
        <v>Evento científico</v>
      </c>
      <c r="F14" s="11" t="str">
        <f>IFERROR(__xludf.DUMMYFUNCTION("""COMPUTED_VALUE"""),"Cartilla")</f>
        <v>Cartilla</v>
      </c>
      <c r="G14" s="11" t="str">
        <f>IFERROR(__xludf.DUMMYFUNCTION("""COMPUTED_VALUE"""),"Curso de capacitación, seminario o taller")</f>
        <v>Curso de capacitación, seminario o taller</v>
      </c>
      <c r="H14" s="11" t="str">
        <f>IFERROR(__xludf.DUMMYFUNCTION("""COMPUTED_VALUE"""),"Socialización de resultados a actores del sector")</f>
        <v>Socialización de resultados a actores del sector</v>
      </c>
      <c r="I14" s="11" t="str">
        <f>IFERROR(__xludf.DUMMYFUNCTION("""COMPUTED_VALUE"""),"Articulación de redes de conocimiento")</f>
        <v>Articulación de redes de conocimiento</v>
      </c>
      <c r="J14" s="11" t="str">
        <f>IFERROR(__xludf.DUMMYFUNCTION("""COMPUTED_VALUE"""),"Circulación de conocimiento especializado - boletines")</f>
        <v>Circulación de conocimiento especializado - boletines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 t="str">
        <f>IFERROR(__xludf.DUMMYFUNCTION("""COMPUTED_VALUE"""),"Ninguna")</f>
        <v>Ninguna</v>
      </c>
      <c r="V14" s="11"/>
      <c r="W14" s="11" t="str">
        <f>IFERROR(__xludf.DUMMYFUNCTION("""COMPUTED_VALUE"""),"Proyecto")</f>
        <v>Proyecto</v>
      </c>
      <c r="X14" s="11" t="str">
        <f>IFERROR(__xludf.DUMMYFUNCTION("""COMPUTED_VALUE"""),"UdeA")</f>
        <v>UdeA</v>
      </c>
      <c r="Y14" s="11" t="str">
        <f>IFERROR(__xludf.DUMMYFUNCTION("""COMPUTED_VALUE"""),"UniCórdoba")</f>
        <v>UniCórdoba</v>
      </c>
      <c r="Z14" s="11" t="str">
        <f>IFERROR(__xludf.DUMMYFUNCTION("""COMPUTED_VALUE"""),"Frigosinú")</f>
        <v>Frigosinú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 t="str">
        <f>IFERROR(__xludf.DUMMYFUNCTION("""COMPUTED_VALUE"""),"Ninguna")</f>
        <v>Ninguna</v>
      </c>
      <c r="AL14" s="11"/>
      <c r="AM14" s="11" t="str">
        <f>IFERROR(__xludf.DUMMYFUNCTION("""COMPUTED_VALUE"""),"Obligatorio")</f>
        <v>Obligatorio</v>
      </c>
      <c r="AN14" s="11">
        <f>IFERROR(__xludf.DUMMYFUNCTION("""COMPUTED_VALUE"""),6.0)</f>
        <v>6</v>
      </c>
      <c r="AO14" s="11">
        <f>IFERROR(__xludf.DUMMYFUNCTION("""COMPUTED_VALUE"""),4.0)</f>
        <v>4</v>
      </c>
      <c r="AP14" s="11">
        <f>IFERROR(__xludf.DUMMYFUNCTION("""COMPUTED_VALUE"""),3.0)</f>
        <v>3</v>
      </c>
      <c r="AQ14" s="11">
        <f>IFERROR(__xludf.DUMMYFUNCTION("""COMPUTED_VALUE"""),3.0)</f>
        <v>3</v>
      </c>
      <c r="AR14" s="11">
        <f>IFERROR(__xludf.DUMMYFUNCTION("""COMPUTED_VALUE"""),3.0)</f>
        <v>3</v>
      </c>
      <c r="AS14" s="11">
        <f>IFERROR(__xludf.DUMMYFUNCTION("""COMPUTED_VALUE"""),3.0)</f>
        <v>3</v>
      </c>
      <c r="AT14" s="11" t="str">
        <f>IFERROR(__xludf.DUMMYFUNCTION("""COMPUTED_VALUE"""),"Primer Congreso Internacional ODS")</f>
        <v>Primer Congreso Internacional ODS</v>
      </c>
      <c r="AU14" s="15" t="str">
        <f>IFERROR(__xludf.DUMMYFUNCTION("""COMPUTED_VALUE"""),"https://drive.google.com/file/d/1YfVukD3Lqojl6AnvkJd1bmeaWZBd4KlK/view?usp=sharing")</f>
        <v>https://drive.google.com/file/d/1YfVukD3Lqojl6AnvkJd1bmeaWZBd4KlK/view?usp=sharing</v>
      </c>
      <c r="AV14" s="11"/>
      <c r="AW14" s="11"/>
      <c r="AX14" s="11">
        <f>IFERROR(__xludf.DUMMYFUNCTION("""COMPUTED_VALUE"""),5.0)</f>
        <v>5</v>
      </c>
      <c r="AY14" s="4" t="str">
        <f>IFERROR(__xludf.DUMMYFUNCTION("""COMPUTED_VALUE"""),"POTENCIAL ENERGÉTICO DEL CONTENIDO RUMINAL")</f>
        <v>POTENCIAL ENERGÉTICO DEL CONTENIDO RUMINAL</v>
      </c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</row>
    <row r="15">
      <c r="A15" s="16" t="str">
        <f>IFERROR(__xludf.DUMMYFUNCTION("""COMPUTED_VALUE"""),"Proy9")</f>
        <v>Proy9</v>
      </c>
      <c r="B15" s="16" t="str">
        <f>IFERROR(__xludf.DUMMYFUNCTION("""COMPUTED_VALUE"""),"Apropiación")</f>
        <v>Apropiación</v>
      </c>
      <c r="C15" s="16" t="str">
        <f>IFERROR(__xludf.DUMMYFUNCTION("""COMPUTED_VALUE"""),"Ponencia")</f>
        <v>Ponencia</v>
      </c>
      <c r="D15" s="16" t="str">
        <f>IFERROR(__xludf.DUMMYFUNCTION("""COMPUTED_VALUE"""),"Ponencia")</f>
        <v>Ponencia</v>
      </c>
      <c r="E15" s="16" t="str">
        <f>IFERROR(__xludf.DUMMYFUNCTION("""COMPUTED_VALUE"""),"Evento científico")</f>
        <v>Evento científico</v>
      </c>
      <c r="F15" s="16" t="str">
        <f>IFERROR(__xludf.DUMMYFUNCTION("""COMPUTED_VALUE"""),"Cartilla")</f>
        <v>Cartilla</v>
      </c>
      <c r="G15" s="16" t="str">
        <f>IFERROR(__xludf.DUMMYFUNCTION("""COMPUTED_VALUE"""),"Curso de capacitación, seminario o taller")</f>
        <v>Curso de capacitación, seminario o taller</v>
      </c>
      <c r="H15" s="16" t="str">
        <f>IFERROR(__xludf.DUMMYFUNCTION("""COMPUTED_VALUE"""),"Socialización de resultados a actores del sector")</f>
        <v>Socialización de resultados a actores del sector</v>
      </c>
      <c r="I15" s="16" t="str">
        <f>IFERROR(__xludf.DUMMYFUNCTION("""COMPUTED_VALUE"""),"Articulación de redes de conocimiento")</f>
        <v>Articulación de redes de conocimiento</v>
      </c>
      <c r="J15" s="16" t="str">
        <f>IFERROR(__xludf.DUMMYFUNCTION("""COMPUTED_VALUE"""),"Circulación de conocimiento especializado - boletines")</f>
        <v>Circulación de conocimiento especializado - boletines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 t="str">
        <f>IFERROR(__xludf.DUMMYFUNCTION("""COMPUTED_VALUE"""),"Ninguna")</f>
        <v>Ninguna</v>
      </c>
      <c r="V15" s="16"/>
      <c r="W15" s="16" t="str">
        <f>IFERROR(__xludf.DUMMYFUNCTION("""COMPUTED_VALUE"""),"Proyecto")</f>
        <v>Proyecto</v>
      </c>
      <c r="X15" s="16" t="str">
        <f>IFERROR(__xludf.DUMMYFUNCTION("""COMPUTED_VALUE"""),"UdeA")</f>
        <v>UdeA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 t="str">
        <f>IFERROR(__xludf.DUMMYFUNCTION("""COMPUTED_VALUE"""),"Ninguna")</f>
        <v>Ninguna</v>
      </c>
      <c r="AL15" s="16"/>
      <c r="AM15" s="16" t="str">
        <f>IFERROR(__xludf.DUMMYFUNCTION("""COMPUTED_VALUE"""),"Adicional")</f>
        <v>Adicional</v>
      </c>
      <c r="AN15" s="16">
        <f>IFERROR(__xludf.DUMMYFUNCTION("""COMPUTED_VALUE"""),3.0)</f>
        <v>3</v>
      </c>
      <c r="AO15" s="16">
        <f>IFERROR(__xludf.DUMMYFUNCTION("""COMPUTED_VALUE"""),1.0)</f>
        <v>1</v>
      </c>
      <c r="AP15" s="16">
        <f>IFERROR(__xludf.DUMMYFUNCTION("""COMPUTED_VALUE"""),1.0)</f>
        <v>1</v>
      </c>
      <c r="AQ15" s="16">
        <f>IFERROR(__xludf.DUMMYFUNCTION("""COMPUTED_VALUE"""),1.0)</f>
        <v>1</v>
      </c>
      <c r="AR15" s="16">
        <f>IFERROR(__xludf.DUMMYFUNCTION("""COMPUTED_VALUE"""),1.0)</f>
        <v>1</v>
      </c>
      <c r="AS15" s="16">
        <f>IFERROR(__xludf.DUMMYFUNCTION("""COMPUTED_VALUE"""),1.0)</f>
        <v>1</v>
      </c>
      <c r="AT15" s="16" t="str">
        <f>IFERROR(__xludf.DUMMYFUNCTION("""COMPUTED_VALUE"""),"Primer Congreso Internacional ODS")</f>
        <v>Primer Congreso Internacional ODS</v>
      </c>
      <c r="AU15" s="17" t="str">
        <f>IFERROR(__xludf.DUMMYFUNCTION("""COMPUTED_VALUE"""),"https://drive.google.com/file/d/19BGGgQrX-raiE5ADpiFC9RssM17xYG-V/view?usp=sharing")</f>
        <v>https://drive.google.com/file/d/19BGGgQrX-raiE5ADpiFC9RssM17xYG-V/view?usp=sharing</v>
      </c>
      <c r="AV15" s="16"/>
      <c r="AW15" s="16"/>
      <c r="AX15" s="16">
        <f>IFERROR(__xludf.DUMMYFUNCTION("""COMPUTED_VALUE"""),5.0)</f>
        <v>5</v>
      </c>
      <c r="AY15" s="18" t="str">
        <f>IFERROR(__xludf.DUMMYFUNCTION("""COMPUTED_VALUE"""),"Determinación del potencial eólico del Golfo de Urabá")</f>
        <v>Determinación del potencial eólico del Golfo de Urabá</v>
      </c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>
      <c r="A16" s="11" t="str">
        <f>IFERROR(__xludf.DUMMYFUNCTION("""COMPUTED_VALUE"""),"Proy1")</f>
        <v>Proy1</v>
      </c>
      <c r="B16" s="11" t="str">
        <f>IFERROR(__xludf.DUMMYFUNCTION("""COMPUTED_VALUE"""),"Apropiación")</f>
        <v>Apropiación</v>
      </c>
      <c r="C16" s="11" t="str">
        <f>IFERROR(__xludf.DUMMYFUNCTION("""COMPUTED_VALUE"""),"Ponencia")</f>
        <v>Ponencia</v>
      </c>
      <c r="D16" s="11" t="str">
        <f>IFERROR(__xludf.DUMMYFUNCTION("""COMPUTED_VALUE"""),"Ponencia")</f>
        <v>Ponencia</v>
      </c>
      <c r="E16" s="11" t="str">
        <f>IFERROR(__xludf.DUMMYFUNCTION("""COMPUTED_VALUE"""),"Evento científico")</f>
        <v>Evento científico</v>
      </c>
      <c r="F16" s="11" t="str">
        <f>IFERROR(__xludf.DUMMYFUNCTION("""COMPUTED_VALUE"""),"Cartilla")</f>
        <v>Cartilla</v>
      </c>
      <c r="G16" s="11" t="str">
        <f>IFERROR(__xludf.DUMMYFUNCTION("""COMPUTED_VALUE"""),"Curso de capacitación, seminario o taller")</f>
        <v>Curso de capacitación, seminario o taller</v>
      </c>
      <c r="H16" s="11" t="str">
        <f>IFERROR(__xludf.DUMMYFUNCTION("""COMPUTED_VALUE"""),"Socialización de resultados a actores del sector")</f>
        <v>Socialización de resultados a actores del sector</v>
      </c>
      <c r="I16" s="11" t="str">
        <f>IFERROR(__xludf.DUMMYFUNCTION("""COMPUTED_VALUE"""),"Articulación de redes de conocimiento")</f>
        <v>Articulación de redes de conocimiento</v>
      </c>
      <c r="J16" s="11" t="str">
        <f>IFERROR(__xludf.DUMMYFUNCTION("""COMPUTED_VALUE"""),"Circulación de conocimiento especializado - boletines")</f>
        <v>Circulación de conocimiento especializado - boletines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 t="str">
        <f>IFERROR(__xludf.DUMMYFUNCTION("""COMPUTED_VALUE"""),"Ninguna")</f>
        <v>Ninguna</v>
      </c>
      <c r="V16" s="11"/>
      <c r="W16" s="11" t="str">
        <f>IFERROR(__xludf.DUMMYFUNCTION("""COMPUTED_VALUE"""),"Proyecto")</f>
        <v>Proyecto</v>
      </c>
      <c r="X16" s="11" t="str">
        <f>IFERROR(__xludf.DUMMYFUNCTION("""COMPUTED_VALUE"""),"UdeA")</f>
        <v>UdeA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 t="str">
        <f>IFERROR(__xludf.DUMMYFUNCTION("""COMPUTED_VALUE"""),"Pascual Bravo")</f>
        <v>Pascual Bravo</v>
      </c>
      <c r="AK16" s="11" t="str">
        <f>IFERROR(__xludf.DUMMYFUNCTION("""COMPUTED_VALUE"""),"Ninguna")</f>
        <v>Ninguna</v>
      </c>
      <c r="AL16" s="11"/>
      <c r="AM16" s="11" t="str">
        <f>IFERROR(__xludf.DUMMYFUNCTION("""COMPUTED_VALUE"""),"Adicional")</f>
        <v>Adicional</v>
      </c>
      <c r="AN16" s="11">
        <f>IFERROR(__xludf.DUMMYFUNCTION("""COMPUTED_VALUE"""),3.0)</f>
        <v>3</v>
      </c>
      <c r="AO16" s="11">
        <f>IFERROR(__xludf.DUMMYFUNCTION("""COMPUTED_VALUE"""),1.0)</f>
        <v>1</v>
      </c>
      <c r="AP16" s="11">
        <f>IFERROR(__xludf.DUMMYFUNCTION("""COMPUTED_VALUE"""),2.0)</f>
        <v>2</v>
      </c>
      <c r="AQ16" s="11">
        <f>IFERROR(__xludf.DUMMYFUNCTION("""COMPUTED_VALUE"""),1.0)</f>
        <v>1</v>
      </c>
      <c r="AR16" s="11">
        <f>IFERROR(__xludf.DUMMYFUNCTION("""COMPUTED_VALUE"""),2.0)</f>
        <v>2</v>
      </c>
      <c r="AS16" s="11">
        <f>IFERROR(__xludf.DUMMYFUNCTION("""COMPUTED_VALUE"""),1.0)</f>
        <v>1</v>
      </c>
      <c r="AT16" s="11" t="str">
        <f>IFERROR(__xludf.DUMMYFUNCTION("""COMPUTED_VALUE"""),"Primer Congreso Internacional ODS")</f>
        <v>Primer Congreso Internacional ODS</v>
      </c>
      <c r="AU16" s="15" t="str">
        <f>IFERROR(__xludf.DUMMYFUNCTION("""COMPUTED_VALUE"""),"https://drive.google.com/file/d/1xChBuDZjwXdXP1J3nErOTp5Z7C0_WiHv/view?usp=sharing")</f>
        <v>https://drive.google.com/file/d/1xChBuDZjwXdXP1J3nErOTp5Z7C0_WiHv/view?usp=sharing</v>
      </c>
      <c r="AV16" s="11"/>
      <c r="AW16" s="11"/>
      <c r="AX16" s="11">
        <f>IFERROR(__xludf.DUMMYFUNCTION("""COMPUTED_VALUE"""),5.0)</f>
        <v>5</v>
      </c>
      <c r="AY16" s="4" t="str">
        <f>IFERROR(__xludf.DUMMYFUNCTION("""COMPUTED_VALUE"""),"AVANCES EN EL DESARROLLO DE TURBINAS HIDRÁULICAS DE VÓRTICE GRAVITACIONAL PARA LA GENERACIÓN DE ENERGÍA ELÉCTRICA A PEQUEÑA ESCALA")</f>
        <v>AVANCES EN EL DESARROLLO DE TURBINAS HIDRÁULICAS DE VÓRTICE GRAVITACIONAL PARA LA GENERACIÓN DE ENERGÍA ELÉCTRICA A PEQUEÑA ESCALA</v>
      </c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</row>
    <row r="17">
      <c r="A17" s="11" t="str">
        <f>IFERROR(__xludf.DUMMYFUNCTION("""COMPUTED_VALUE"""),"Proy1")</f>
        <v>Proy1</v>
      </c>
      <c r="B17" s="11" t="str">
        <f>IFERROR(__xludf.DUMMYFUNCTION("""COMPUTED_VALUE"""),"Apropiación")</f>
        <v>Apropiación</v>
      </c>
      <c r="C17" s="11" t="str">
        <f>IFERROR(__xludf.DUMMYFUNCTION("""COMPUTED_VALUE"""),"Ponencia")</f>
        <v>Ponencia</v>
      </c>
      <c r="D17" s="11" t="str">
        <f>IFERROR(__xludf.DUMMYFUNCTION("""COMPUTED_VALUE"""),"Ponencia")</f>
        <v>Ponencia</v>
      </c>
      <c r="E17" s="11" t="str">
        <f>IFERROR(__xludf.DUMMYFUNCTION("""COMPUTED_VALUE"""),"Evento científico")</f>
        <v>Evento científico</v>
      </c>
      <c r="F17" s="11" t="str">
        <f>IFERROR(__xludf.DUMMYFUNCTION("""COMPUTED_VALUE"""),"Cartilla")</f>
        <v>Cartilla</v>
      </c>
      <c r="G17" s="11" t="str">
        <f>IFERROR(__xludf.DUMMYFUNCTION("""COMPUTED_VALUE"""),"Curso de capacitación, seminario o taller")</f>
        <v>Curso de capacitación, seminario o taller</v>
      </c>
      <c r="H17" s="11" t="str">
        <f>IFERROR(__xludf.DUMMYFUNCTION("""COMPUTED_VALUE"""),"Socialización de resultados a actores del sector")</f>
        <v>Socialización de resultados a actores del sector</v>
      </c>
      <c r="I17" s="11" t="str">
        <f>IFERROR(__xludf.DUMMYFUNCTION("""COMPUTED_VALUE"""),"Articulación de redes de conocimiento")</f>
        <v>Articulación de redes de conocimiento</v>
      </c>
      <c r="J17" s="11" t="str">
        <f>IFERROR(__xludf.DUMMYFUNCTION("""COMPUTED_VALUE"""),"Circulación de conocimiento especializado - boletines")</f>
        <v>Circulación de conocimiento especializado - boletines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 t="str">
        <f>IFERROR(__xludf.DUMMYFUNCTION("""COMPUTED_VALUE"""),"Ninguna")</f>
        <v>Ninguna</v>
      </c>
      <c r="V17" s="11"/>
      <c r="W17" s="11" t="str">
        <f>IFERROR(__xludf.DUMMYFUNCTION("""COMPUTED_VALUE"""),"Proyecto")</f>
        <v>Proyecto</v>
      </c>
      <c r="X17" s="11" t="str">
        <f>IFERROR(__xludf.DUMMYFUNCTION("""COMPUTED_VALUE"""),"UdeA")</f>
        <v>UdeA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 t="str">
        <f>IFERROR(__xludf.DUMMYFUNCTION("""COMPUTED_VALUE"""),"Ninguna")</f>
        <v>Ninguna</v>
      </c>
      <c r="AL17" s="11"/>
      <c r="AM17" s="11" t="str">
        <f>IFERROR(__xludf.DUMMYFUNCTION("""COMPUTED_VALUE"""),"Adicional")</f>
        <v>Adicional</v>
      </c>
      <c r="AN17" s="11">
        <f>IFERROR(__xludf.DUMMYFUNCTION("""COMPUTED_VALUE"""),3.0)</f>
        <v>3</v>
      </c>
      <c r="AO17" s="11">
        <f>IFERROR(__xludf.DUMMYFUNCTION("""COMPUTED_VALUE"""),2.0)</f>
        <v>2</v>
      </c>
      <c r="AP17" s="11">
        <f>IFERROR(__xludf.DUMMYFUNCTION("""COMPUTED_VALUE"""),1.0)</f>
        <v>1</v>
      </c>
      <c r="AQ17" s="11">
        <f>IFERROR(__xludf.DUMMYFUNCTION("""COMPUTED_VALUE"""),1.0)</f>
        <v>1</v>
      </c>
      <c r="AR17" s="11">
        <f>IFERROR(__xludf.DUMMYFUNCTION("""COMPUTED_VALUE"""),1.0)</f>
        <v>1</v>
      </c>
      <c r="AS17" s="11">
        <f>IFERROR(__xludf.DUMMYFUNCTION("""COMPUTED_VALUE"""),1.0)</f>
        <v>1</v>
      </c>
      <c r="AT17" s="11" t="str">
        <f>IFERROR(__xludf.DUMMYFUNCTION("""COMPUTED_VALUE"""),"ICREN 2020")</f>
        <v>ICREN 2020</v>
      </c>
      <c r="AU17" s="15" t="str">
        <f>IFERROR(__xludf.DUMMYFUNCTION("""COMPUTED_VALUE"""),"https://drive.google.com/file/d/1pPeqD6r2TiR_hfJ7TdhtFt69haabSsEL/view?usp=sharing")</f>
        <v>https://drive.google.com/file/d/1pPeqD6r2TiR_hfJ7TdhtFt69haabSsEL/view?usp=sharing</v>
      </c>
      <c r="AV17" s="11"/>
      <c r="AW17" s="11"/>
      <c r="AX17" s="11">
        <f>IFERROR(__xludf.DUMMYFUNCTION("""COMPUTED_VALUE"""),5.0)</f>
        <v>5</v>
      </c>
      <c r="AY17" s="4" t="str">
        <f>IFERROR(__xludf.DUMMYFUNCTION("""COMPUTED_VALUE"""),"Comparison of simulation methodologies for the design of hydraulic turbines. International conference on Renewable Energy")</f>
        <v>Comparison of simulation methodologies for the design of hydraulic turbines. International conference on Renewable Energy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</row>
    <row r="18">
      <c r="A18" s="11" t="str">
        <f>IFERROR(__xludf.DUMMYFUNCTION("""COMPUTED_VALUE"""),"Proy3")</f>
        <v>Proy3</v>
      </c>
      <c r="B18" s="11" t="str">
        <f>IFERROR(__xludf.DUMMYFUNCTION("""COMPUTED_VALUE"""),"Apropiación")</f>
        <v>Apropiación</v>
      </c>
      <c r="C18" s="11" t="str">
        <f>IFERROR(__xludf.DUMMYFUNCTION("""COMPUTED_VALUE"""),"Ponencia")</f>
        <v>Ponencia</v>
      </c>
      <c r="D18" s="11" t="str">
        <f>IFERROR(__xludf.DUMMYFUNCTION("""COMPUTED_VALUE"""),"Ponencia")</f>
        <v>Ponencia</v>
      </c>
      <c r="E18" s="11" t="str">
        <f>IFERROR(__xludf.DUMMYFUNCTION("""COMPUTED_VALUE"""),"Evento científico")</f>
        <v>Evento científico</v>
      </c>
      <c r="F18" s="11" t="str">
        <f>IFERROR(__xludf.DUMMYFUNCTION("""COMPUTED_VALUE"""),"Cartilla")</f>
        <v>Cartilla</v>
      </c>
      <c r="G18" s="11" t="str">
        <f>IFERROR(__xludf.DUMMYFUNCTION("""COMPUTED_VALUE"""),"Curso de capacitación, seminario o taller")</f>
        <v>Curso de capacitación, seminario o taller</v>
      </c>
      <c r="H18" s="11" t="str">
        <f>IFERROR(__xludf.DUMMYFUNCTION("""COMPUTED_VALUE"""),"Socialización de resultados a actores del sector")</f>
        <v>Socialización de resultados a actores del sector</v>
      </c>
      <c r="I18" s="11" t="str">
        <f>IFERROR(__xludf.DUMMYFUNCTION("""COMPUTED_VALUE"""),"Articulación de redes de conocimiento")</f>
        <v>Articulación de redes de conocimiento</v>
      </c>
      <c r="J18" s="11" t="str">
        <f>IFERROR(__xludf.DUMMYFUNCTION("""COMPUTED_VALUE"""),"Circulación de conocimiento especializado - boletines")</f>
        <v>Circulación de conocimiento especializado - boletines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 t="str">
        <f>IFERROR(__xludf.DUMMYFUNCTION("""COMPUTED_VALUE"""),"Ninguna")</f>
        <v>Ninguna</v>
      </c>
      <c r="V18" s="11"/>
      <c r="W18" s="11" t="str">
        <f>IFERROR(__xludf.DUMMYFUNCTION("""COMPUTED_VALUE"""),"Proyecto")</f>
        <v>Proyecto</v>
      </c>
      <c r="X18" s="11" t="str">
        <f>IFERROR(__xludf.DUMMYFUNCTION("""COMPUTED_VALUE"""),"UdeA")</f>
        <v>UdeA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 t="str">
        <f>IFERROR(__xludf.DUMMYFUNCTION("""COMPUTED_VALUE"""),"Ninguna")</f>
        <v>Ninguna</v>
      </c>
      <c r="AL18" s="11"/>
      <c r="AM18" s="11" t="str">
        <f>IFERROR(__xludf.DUMMYFUNCTION("""COMPUTED_VALUE"""),"Adicional")</f>
        <v>Adicional</v>
      </c>
      <c r="AN18" s="11">
        <f>IFERROR(__xludf.DUMMYFUNCTION("""COMPUTED_VALUE"""),3.0)</f>
        <v>3</v>
      </c>
      <c r="AO18" s="11">
        <f>IFERROR(__xludf.DUMMYFUNCTION("""COMPUTED_VALUE"""),2.0)</f>
        <v>2</v>
      </c>
      <c r="AP18" s="11">
        <f>IFERROR(__xludf.DUMMYFUNCTION("""COMPUTED_VALUE"""),1.0)</f>
        <v>1</v>
      </c>
      <c r="AQ18" s="11">
        <f>IFERROR(__xludf.DUMMYFUNCTION("""COMPUTED_VALUE"""),1.0)</f>
        <v>1</v>
      </c>
      <c r="AR18" s="11">
        <f>IFERROR(__xludf.DUMMYFUNCTION("""COMPUTED_VALUE"""),1.0)</f>
        <v>1</v>
      </c>
      <c r="AS18" s="11">
        <f>IFERROR(__xludf.DUMMYFUNCTION("""COMPUTED_VALUE"""),1.0)</f>
        <v>1</v>
      </c>
      <c r="AT18" s="11" t="str">
        <f>IFERROR(__xludf.DUMMYFUNCTION("""COMPUTED_VALUE"""),"Primer Congreso Internacional ODS")</f>
        <v>Primer Congreso Internacional ODS</v>
      </c>
      <c r="AU18" s="15" t="str">
        <f>IFERROR(__xludf.DUMMYFUNCTION("""COMPUTED_VALUE"""),"https://drive.google.com/file/d/1icavu2SocQEu9uWXc7Hg727psu3FLX_x/view?usp=sharing")</f>
        <v>https://drive.google.com/file/d/1icavu2SocQEu9uWXc7Hg727psu3FLX_x/view?usp=sharing</v>
      </c>
      <c r="AV18" s="11"/>
      <c r="AW18" s="11"/>
      <c r="AX18" s="11">
        <f>IFERROR(__xludf.DUMMYFUNCTION("""COMPUTED_VALUE"""),5.0)</f>
        <v>5</v>
      </c>
      <c r="AY18" s="4" t="str">
        <f>IFERROR(__xludf.DUMMYFUNCTION("""COMPUTED_VALUE"""),"DISEÑO Y SIMULACIÓN DE UNA TURBINA EÓLICA DE EJE VERTICAL BIOINSPIRADA")</f>
        <v>DISEÑO Y SIMULACIÓN DE UNA TURBINA EÓLICA DE EJE VERTICAL BIOINSPIRADA</v>
      </c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</row>
    <row r="19">
      <c r="A19" s="11" t="str">
        <f>IFERROR(__xludf.DUMMYFUNCTION("""COMPUTED_VALUE"""),"Proy4")</f>
        <v>Proy4</v>
      </c>
      <c r="B19" s="11" t="str">
        <f>IFERROR(__xludf.DUMMYFUNCTION("""COMPUTED_VALUE"""),"Apropiación")</f>
        <v>Apropiación</v>
      </c>
      <c r="C19" s="11" t="str">
        <f>IFERROR(__xludf.DUMMYFUNCTION("""COMPUTED_VALUE"""),"Ponencia")</f>
        <v>Ponencia</v>
      </c>
      <c r="D19" s="11" t="str">
        <f>IFERROR(__xludf.DUMMYFUNCTION("""COMPUTED_VALUE"""),"Ponencia")</f>
        <v>Ponencia</v>
      </c>
      <c r="E19" s="11" t="str">
        <f>IFERROR(__xludf.DUMMYFUNCTION("""COMPUTED_VALUE"""),"Evento científico")</f>
        <v>Evento científico</v>
      </c>
      <c r="F19" s="11" t="str">
        <f>IFERROR(__xludf.DUMMYFUNCTION("""COMPUTED_VALUE"""),"Cartilla")</f>
        <v>Cartilla</v>
      </c>
      <c r="G19" s="11" t="str">
        <f>IFERROR(__xludf.DUMMYFUNCTION("""COMPUTED_VALUE"""),"Curso de capacitación, seminario o taller")</f>
        <v>Curso de capacitación, seminario o taller</v>
      </c>
      <c r="H19" s="11" t="str">
        <f>IFERROR(__xludf.DUMMYFUNCTION("""COMPUTED_VALUE"""),"Socialización de resultados a actores del sector")</f>
        <v>Socialización de resultados a actores del sector</v>
      </c>
      <c r="I19" s="11" t="str">
        <f>IFERROR(__xludf.DUMMYFUNCTION("""COMPUTED_VALUE"""),"Articulación de redes de conocimiento")</f>
        <v>Articulación de redes de conocimiento</v>
      </c>
      <c r="J19" s="11" t="str">
        <f>IFERROR(__xludf.DUMMYFUNCTION("""COMPUTED_VALUE"""),"Circulación de conocimiento especializado - boletines")</f>
        <v>Circulación de conocimiento especializado - boletines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 t="str">
        <f>IFERROR(__xludf.DUMMYFUNCTION("""COMPUTED_VALUE"""),"Ninguna")</f>
        <v>Ninguna</v>
      </c>
      <c r="V19" s="11"/>
      <c r="W19" s="11" t="str">
        <f>IFERROR(__xludf.DUMMYFUNCTION("""COMPUTED_VALUE"""),"Proyecto")</f>
        <v>Proyecto</v>
      </c>
      <c r="X19" s="11" t="str">
        <f>IFERROR(__xludf.DUMMYFUNCTION("""COMPUTED_VALUE"""),"UdeA")</f>
        <v>UdeA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 t="str">
        <f>IFERROR(__xludf.DUMMYFUNCTION("""COMPUTED_VALUE"""),"Ninguna")</f>
        <v>Ninguna</v>
      </c>
      <c r="AL19" s="11"/>
      <c r="AM19" s="11" t="str">
        <f>IFERROR(__xludf.DUMMYFUNCTION("""COMPUTED_VALUE"""),"Obligatorio")</f>
        <v>Obligatorio</v>
      </c>
      <c r="AN19" s="11"/>
      <c r="AO19" s="11"/>
      <c r="AP19" s="11"/>
      <c r="AQ19" s="11"/>
      <c r="AR19" s="11"/>
      <c r="AS19" s="11"/>
      <c r="AT19" s="11" t="str">
        <f>IFERROR(__xludf.DUMMYFUNCTION("""COMPUTED_VALUE"""),"Congreso Colombiano de Electroquímica")</f>
        <v>Congreso Colombiano de Electroquímica</v>
      </c>
      <c r="AU19" s="15" t="str">
        <f>IFERROR(__xludf.DUMMYFUNCTION("""COMPUTED_VALUE"""),"https://drive.google.com/file/d/1VWofz2IRyMb6JJN1cUbEeEVTMnQNGuEr/view?usp=sharing")</f>
        <v>https://drive.google.com/file/d/1VWofz2IRyMb6JJN1cUbEeEVTMnQNGuEr/view?usp=sharing</v>
      </c>
      <c r="AV19" s="11"/>
      <c r="AW19" s="11"/>
      <c r="AX19" s="11">
        <f>IFERROR(__xludf.DUMMYFUNCTION("""COMPUTED_VALUE"""),5.0)</f>
        <v>5</v>
      </c>
      <c r="AY19" s="4" t="str">
        <f>IFERROR(__xludf.DUMMYFUNCTION("""COMPUTED_VALUE"""),"Desempeño
de LiMn 1 x V x PO 4 obtenido por síntesis
asistida por microondas como cátodo para baterías
de Li ion")</f>
        <v>Desempeño
de LiMn 1 x V x PO 4 obtenido por síntesis
asistida por microondas como cátodo para baterías
de Li ion</v>
      </c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</row>
    <row r="20">
      <c r="A20" s="11" t="str">
        <f>IFERROR(__xludf.DUMMYFUNCTION("""COMPUTED_VALUE"""),"Proy4")</f>
        <v>Proy4</v>
      </c>
      <c r="B20" s="11" t="str">
        <f>IFERROR(__xludf.DUMMYFUNCTION("""COMPUTED_VALUE"""),"Apropiación")</f>
        <v>Apropiación</v>
      </c>
      <c r="C20" s="11" t="str">
        <f>IFERROR(__xludf.DUMMYFUNCTION("""COMPUTED_VALUE"""),"Ponencia")</f>
        <v>Ponencia</v>
      </c>
      <c r="D20" s="11" t="str">
        <f>IFERROR(__xludf.DUMMYFUNCTION("""COMPUTED_VALUE"""),"Ponencia")</f>
        <v>Ponencia</v>
      </c>
      <c r="E20" s="11" t="str">
        <f>IFERROR(__xludf.DUMMYFUNCTION("""COMPUTED_VALUE"""),"Evento científico")</f>
        <v>Evento científico</v>
      </c>
      <c r="F20" s="11" t="str">
        <f>IFERROR(__xludf.DUMMYFUNCTION("""COMPUTED_VALUE"""),"Cartilla")</f>
        <v>Cartilla</v>
      </c>
      <c r="G20" s="11" t="str">
        <f>IFERROR(__xludf.DUMMYFUNCTION("""COMPUTED_VALUE"""),"Curso de capacitación, seminario o taller")</f>
        <v>Curso de capacitación, seminario o taller</v>
      </c>
      <c r="H20" s="11" t="str">
        <f>IFERROR(__xludf.DUMMYFUNCTION("""COMPUTED_VALUE"""),"Socialización de resultados a actores del sector")</f>
        <v>Socialización de resultados a actores del sector</v>
      </c>
      <c r="I20" s="11" t="str">
        <f>IFERROR(__xludf.DUMMYFUNCTION("""COMPUTED_VALUE"""),"Articulación de redes de conocimiento")</f>
        <v>Articulación de redes de conocimiento</v>
      </c>
      <c r="J20" s="11" t="str">
        <f>IFERROR(__xludf.DUMMYFUNCTION("""COMPUTED_VALUE"""),"Circulación de conocimiento especializado - boletines")</f>
        <v>Circulación de conocimiento especializado - boletines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 t="str">
        <f>IFERROR(__xludf.DUMMYFUNCTION("""COMPUTED_VALUE"""),"Ninguna")</f>
        <v>Ninguna</v>
      </c>
      <c r="V20" s="11"/>
      <c r="W20" s="11" t="str">
        <f>IFERROR(__xludf.DUMMYFUNCTION("""COMPUTED_VALUE"""),"Proyecto")</f>
        <v>Proyecto</v>
      </c>
      <c r="X20" s="11" t="str">
        <f>IFERROR(__xludf.DUMMYFUNCTION("""COMPUTED_VALUE"""),"UdeA")</f>
        <v>UdeA</v>
      </c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 t="str">
        <f>IFERROR(__xludf.DUMMYFUNCTION("""COMPUTED_VALUE"""),"Ninguna")</f>
        <v>Ninguna</v>
      </c>
      <c r="AL20" s="11"/>
      <c r="AM20" s="11" t="str">
        <f>IFERROR(__xludf.DUMMYFUNCTION("""COMPUTED_VALUE"""),"Obligatorio")</f>
        <v>Obligatorio</v>
      </c>
      <c r="AN20" s="11">
        <f>IFERROR(__xludf.DUMMYFUNCTION("""COMPUTED_VALUE"""),3.0)</f>
        <v>3</v>
      </c>
      <c r="AO20" s="11">
        <f>IFERROR(__xludf.DUMMYFUNCTION("""COMPUTED_VALUE"""),1.0)</f>
        <v>1</v>
      </c>
      <c r="AP20" s="11">
        <f>IFERROR(__xludf.DUMMYFUNCTION("""COMPUTED_VALUE"""),1.0)</f>
        <v>1</v>
      </c>
      <c r="AQ20" s="11">
        <f>IFERROR(__xludf.DUMMYFUNCTION("""COMPUTED_VALUE"""),1.0)</f>
        <v>1</v>
      </c>
      <c r="AR20" s="11">
        <f>IFERROR(__xludf.DUMMYFUNCTION("""COMPUTED_VALUE"""),1.0)</f>
        <v>1</v>
      </c>
      <c r="AS20" s="11">
        <f>IFERROR(__xludf.DUMMYFUNCTION("""COMPUTED_VALUE"""),1.0)</f>
        <v>1</v>
      </c>
      <c r="AT20" s="11" t="str">
        <f>IFERROR(__xludf.DUMMYFUNCTION("""COMPUTED_VALUE"""),"Congreso Colombiano de Electroquímica")</f>
        <v>Congreso Colombiano de Electroquímica</v>
      </c>
      <c r="AU20" s="15" t="str">
        <f>IFERROR(__xludf.DUMMYFUNCTION("""COMPUTED_VALUE"""),"https://drive.google.com/file/d/1kMYpaVVDV_vtOspspyE7VHNjlo6pzWIv/view?usp=sharing")</f>
        <v>https://drive.google.com/file/d/1kMYpaVVDV_vtOspspyE7VHNjlo6pzWIv/view?usp=sharing</v>
      </c>
      <c r="AV20" s="11"/>
      <c r="AW20" s="11"/>
      <c r="AX20" s="11">
        <f>IFERROR(__xludf.DUMMYFUNCTION("""COMPUTED_VALUE"""),5.0)</f>
        <v>5</v>
      </c>
      <c r="AY20" s="4" t="str">
        <f>IFERROR(__xludf.DUMMYFUNCTION("""COMPUTED_VALUE"""),"DESARROLLO DE RECUBRIMIENTOS CATALÍTICOS
NANOESTRUCTURADOS")</f>
        <v>DESARROLLO DE RECUBRIMIENTOS CATALÍTICOS
NANOESTRUCTURADOS</v>
      </c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>
      <c r="A21" s="11" t="str">
        <f>IFERROR(__xludf.DUMMYFUNCTION("""COMPUTED_VALUE"""),"Proy6")</f>
        <v>Proy6</v>
      </c>
      <c r="B21" s="11" t="str">
        <f>IFERROR(__xludf.DUMMYFUNCTION("""COMPUTED_VALUE"""),"Apropiación")</f>
        <v>Apropiación</v>
      </c>
      <c r="C21" s="11" t="str">
        <f>IFERROR(__xludf.DUMMYFUNCTION("""COMPUTED_VALUE"""),"Ponencia")</f>
        <v>Ponencia</v>
      </c>
      <c r="D21" s="11" t="str">
        <f>IFERROR(__xludf.DUMMYFUNCTION("""COMPUTED_VALUE"""),"Ponencia")</f>
        <v>Ponencia</v>
      </c>
      <c r="E21" s="11" t="str">
        <f>IFERROR(__xludf.DUMMYFUNCTION("""COMPUTED_VALUE"""),"Evento científico")</f>
        <v>Evento científico</v>
      </c>
      <c r="F21" s="11" t="str">
        <f>IFERROR(__xludf.DUMMYFUNCTION("""COMPUTED_VALUE"""),"Cartilla")</f>
        <v>Cartilla</v>
      </c>
      <c r="G21" s="11" t="str">
        <f>IFERROR(__xludf.DUMMYFUNCTION("""COMPUTED_VALUE"""),"Curso de capacitación, seminario o taller")</f>
        <v>Curso de capacitación, seminario o taller</v>
      </c>
      <c r="H21" s="11" t="str">
        <f>IFERROR(__xludf.DUMMYFUNCTION("""COMPUTED_VALUE"""),"Socialización de resultados a actores del sector")</f>
        <v>Socialización de resultados a actores del sector</v>
      </c>
      <c r="I21" s="11" t="str">
        <f>IFERROR(__xludf.DUMMYFUNCTION("""COMPUTED_VALUE"""),"Articulación de redes de conocimiento")</f>
        <v>Articulación de redes de conocimiento</v>
      </c>
      <c r="J21" s="11" t="str">
        <f>IFERROR(__xludf.DUMMYFUNCTION("""COMPUTED_VALUE"""),"Circulación de conocimiento especializado - boletines")</f>
        <v>Circulación de conocimiento especializado - boletines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 t="str">
        <f>IFERROR(__xludf.DUMMYFUNCTION("""COMPUTED_VALUE"""),"Ninguna")</f>
        <v>Ninguna</v>
      </c>
      <c r="V21" s="11"/>
      <c r="W21" s="11" t="str">
        <f>IFERROR(__xludf.DUMMYFUNCTION("""COMPUTED_VALUE"""),"Proyecto")</f>
        <v>Proyecto</v>
      </c>
      <c r="X21" s="11" t="str">
        <f>IFERROR(__xludf.DUMMYFUNCTION("""COMPUTED_VALUE"""),"UdeA")</f>
        <v>UdeA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 t="str">
        <f>IFERROR(__xludf.DUMMYFUNCTION("""COMPUTED_VALUE"""),"Ninguna")</f>
        <v>Ninguna</v>
      </c>
      <c r="AL21" s="11"/>
      <c r="AM21" s="11" t="str">
        <f>IFERROR(__xludf.DUMMYFUNCTION("""COMPUTED_VALUE"""),"Obligatorio")</f>
        <v>Obligatorio</v>
      </c>
      <c r="AN21" s="11">
        <f>IFERROR(__xludf.DUMMYFUNCTION("""COMPUTED_VALUE"""),1.0)</f>
        <v>1</v>
      </c>
      <c r="AO21" s="11">
        <f>IFERROR(__xludf.DUMMYFUNCTION("""COMPUTED_VALUE"""),1.0)</f>
        <v>1</v>
      </c>
      <c r="AP21" s="11">
        <f>IFERROR(__xludf.DUMMYFUNCTION("""COMPUTED_VALUE"""),1.0)</f>
        <v>1</v>
      </c>
      <c r="AQ21" s="11">
        <f>IFERROR(__xludf.DUMMYFUNCTION("""COMPUTED_VALUE"""),1.0)</f>
        <v>1</v>
      </c>
      <c r="AR21" s="11">
        <f>IFERROR(__xludf.DUMMYFUNCTION("""COMPUTED_VALUE"""),1.0)</f>
        <v>1</v>
      </c>
      <c r="AS21" s="11">
        <f>IFERROR(__xludf.DUMMYFUNCTION("""COMPUTED_VALUE"""),1.0)</f>
        <v>1</v>
      </c>
      <c r="AT21" s="11" t="str">
        <f>IFERROR(__xludf.DUMMYFUNCTION("""COMPUTED_VALUE"""),"Latin American Meetings on Anaerobic Digestion")</f>
        <v>Latin American Meetings on Anaerobic Digestion</v>
      </c>
      <c r="AU21" s="15" t="str">
        <f>IFERROR(__xludf.DUMMYFUNCTION("""COMPUTED_VALUE"""),"https://drive.google.com/file/d/1xEe3hNDP80ls0q0ldKcqFqHEZs8CI19I/view?usp=sharing")</f>
        <v>https://drive.google.com/file/d/1xEe3hNDP80ls0q0ldKcqFqHEZs8CI19I/view?usp=sharing</v>
      </c>
      <c r="AV21" s="11"/>
      <c r="AW21" s="11"/>
      <c r="AX21" s="11">
        <f>IFERROR(__xludf.DUMMYFUNCTION("""COMPUTED_VALUE"""),5.0)</f>
        <v>5</v>
      </c>
      <c r="AY21" s="4" t="str">
        <f>IFERROR(__xludf.DUMMYFUNCTION("""COMPUTED_VALUE"""),"Use of the daily dynamics in an ASBR to predict its long term behaviour through mathematical modelling")</f>
        <v>Use of the daily dynamics in an ASBR to predict its long term behaviour through mathematical modelling</v>
      </c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>
      <c r="A22" s="11" t="str">
        <f>IFERROR(__xludf.DUMMYFUNCTION("""COMPUTED_VALUE"""),"Proy6")</f>
        <v>Proy6</v>
      </c>
      <c r="B22" s="11" t="str">
        <f>IFERROR(__xludf.DUMMYFUNCTION("""COMPUTED_VALUE"""),"Apropiación")</f>
        <v>Apropiación</v>
      </c>
      <c r="C22" s="11" t="str">
        <f>IFERROR(__xludf.DUMMYFUNCTION("""COMPUTED_VALUE"""),"Ponencia")</f>
        <v>Ponencia</v>
      </c>
      <c r="D22" s="11" t="str">
        <f>IFERROR(__xludf.DUMMYFUNCTION("""COMPUTED_VALUE"""),"Ponencia")</f>
        <v>Ponencia</v>
      </c>
      <c r="E22" s="11" t="str">
        <f>IFERROR(__xludf.DUMMYFUNCTION("""COMPUTED_VALUE"""),"Evento científico")</f>
        <v>Evento científico</v>
      </c>
      <c r="F22" s="11" t="str">
        <f>IFERROR(__xludf.DUMMYFUNCTION("""COMPUTED_VALUE"""),"Cartilla")</f>
        <v>Cartilla</v>
      </c>
      <c r="G22" s="11" t="str">
        <f>IFERROR(__xludf.DUMMYFUNCTION("""COMPUTED_VALUE"""),"Curso de capacitación, seminario o taller")</f>
        <v>Curso de capacitación, seminario o taller</v>
      </c>
      <c r="H22" s="11" t="str">
        <f>IFERROR(__xludf.DUMMYFUNCTION("""COMPUTED_VALUE"""),"Socialización de resultados a actores del sector")</f>
        <v>Socialización de resultados a actores del sector</v>
      </c>
      <c r="I22" s="11" t="str">
        <f>IFERROR(__xludf.DUMMYFUNCTION("""COMPUTED_VALUE"""),"Articulación de redes de conocimiento")</f>
        <v>Articulación de redes de conocimiento</v>
      </c>
      <c r="J22" s="11" t="str">
        <f>IFERROR(__xludf.DUMMYFUNCTION("""COMPUTED_VALUE"""),"Circulación de conocimiento especializado - boletines")</f>
        <v>Circulación de conocimiento especializado - boletines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 t="str">
        <f>IFERROR(__xludf.DUMMYFUNCTION("""COMPUTED_VALUE"""),"Ninguna")</f>
        <v>Ninguna</v>
      </c>
      <c r="V22" s="11"/>
      <c r="W22" s="11" t="str">
        <f>IFERROR(__xludf.DUMMYFUNCTION("""COMPUTED_VALUE"""),"Proyecto")</f>
        <v>Proyecto</v>
      </c>
      <c r="X22" s="11" t="str">
        <f>IFERROR(__xludf.DUMMYFUNCTION("""COMPUTED_VALUE"""),"UdeA")</f>
        <v>UdeA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 t="str">
        <f>IFERROR(__xludf.DUMMYFUNCTION("""COMPUTED_VALUE"""),"Ninguna")</f>
        <v>Ninguna</v>
      </c>
      <c r="AL22" s="11"/>
      <c r="AM22" s="11" t="str">
        <f>IFERROR(__xludf.DUMMYFUNCTION("""COMPUTED_VALUE"""),"Obligatorio")</f>
        <v>Obligatorio</v>
      </c>
      <c r="AN22" s="11">
        <f>IFERROR(__xludf.DUMMYFUNCTION("""COMPUTED_VALUE"""),3.0)</f>
        <v>3</v>
      </c>
      <c r="AO22" s="11">
        <f>IFERROR(__xludf.DUMMYFUNCTION("""COMPUTED_VALUE"""),2.0)</f>
        <v>2</v>
      </c>
      <c r="AP22" s="11">
        <f>IFERROR(__xludf.DUMMYFUNCTION("""COMPUTED_VALUE"""),2.0)</f>
        <v>2</v>
      </c>
      <c r="AQ22" s="11">
        <f>IFERROR(__xludf.DUMMYFUNCTION("""COMPUTED_VALUE"""),2.0)</f>
        <v>2</v>
      </c>
      <c r="AR22" s="11">
        <f>IFERROR(__xludf.DUMMYFUNCTION("""COMPUTED_VALUE"""),1.0)</f>
        <v>1</v>
      </c>
      <c r="AS22" s="11">
        <f>IFERROR(__xludf.DUMMYFUNCTION("""COMPUTED_VALUE"""),1.0)</f>
        <v>1</v>
      </c>
      <c r="AT22" s="11" t="str">
        <f>IFERROR(__xludf.DUMMYFUNCTION("""COMPUTED_VALUE"""),"Latin American Meetings on Anaerobic Digestion")</f>
        <v>Latin American Meetings on Anaerobic Digestion</v>
      </c>
      <c r="AU22" s="15" t="str">
        <f>IFERROR(__xludf.DUMMYFUNCTION("""COMPUTED_VALUE"""),"https://drive.google.com/file/d/1wB2cPVH8TMP3Qp_Y3BfY1l60_qfTGmt7/view?usp=sharing")</f>
        <v>https://drive.google.com/file/d/1wB2cPVH8TMP3Qp_Y3BfY1l60_qfTGmt7/view?usp=sharing</v>
      </c>
      <c r="AV22" s="11"/>
      <c r="AW22" s="11"/>
      <c r="AX22" s="11">
        <f>IFERROR(__xludf.DUMMYFUNCTION("""COMPUTED_VALUE"""),5.0)</f>
        <v>5</v>
      </c>
      <c r="AY22" s="4" t="str">
        <f>IFERROR(__xludf.DUMMYFUNCTION("""COMPUTED_VALUE"""),"Potential co-substrates for biogas production from pome")</f>
        <v>Potential co-substrates for biogas production from pome</v>
      </c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</row>
    <row r="23">
      <c r="A23" s="11" t="str">
        <f>IFERROR(__xludf.DUMMYFUNCTION("""COMPUTED_VALUE"""),"Proy10")</f>
        <v>Proy10</v>
      </c>
      <c r="B23" s="11" t="str">
        <f>IFERROR(__xludf.DUMMYFUNCTION("""COMPUTED_VALUE"""),"Apropiación")</f>
        <v>Apropiación</v>
      </c>
      <c r="C23" s="11" t="str">
        <f>IFERROR(__xludf.DUMMYFUNCTION("""COMPUTED_VALUE"""),"Ponencia")</f>
        <v>Ponencia</v>
      </c>
      <c r="D23" s="11" t="str">
        <f>IFERROR(__xludf.DUMMYFUNCTION("""COMPUTED_VALUE"""),"Ponencia")</f>
        <v>Ponencia</v>
      </c>
      <c r="E23" s="11" t="str">
        <f>IFERROR(__xludf.DUMMYFUNCTION("""COMPUTED_VALUE"""),"Evento científico")</f>
        <v>Evento científico</v>
      </c>
      <c r="F23" s="11" t="str">
        <f>IFERROR(__xludf.DUMMYFUNCTION("""COMPUTED_VALUE"""),"Cartilla")</f>
        <v>Cartilla</v>
      </c>
      <c r="G23" s="11" t="str">
        <f>IFERROR(__xludf.DUMMYFUNCTION("""COMPUTED_VALUE"""),"Curso de capacitación, seminario o taller")</f>
        <v>Curso de capacitación, seminario o taller</v>
      </c>
      <c r="H23" s="11" t="str">
        <f>IFERROR(__xludf.DUMMYFUNCTION("""COMPUTED_VALUE"""),"Socialización de resultados a actores del sector")</f>
        <v>Socialización de resultados a actores del sector</v>
      </c>
      <c r="I23" s="11" t="str">
        <f>IFERROR(__xludf.DUMMYFUNCTION("""COMPUTED_VALUE"""),"Articulación de redes de conocimiento")</f>
        <v>Articulación de redes de conocimiento</v>
      </c>
      <c r="J23" s="11" t="str">
        <f>IFERROR(__xludf.DUMMYFUNCTION("""COMPUTED_VALUE"""),"Circulación de conocimiento especializado - boletines")</f>
        <v>Circulación de conocimiento especializado - boletines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 t="str">
        <f>IFERROR(__xludf.DUMMYFUNCTION("""COMPUTED_VALUE"""),"Ninguna")</f>
        <v>Ninguna</v>
      </c>
      <c r="V23" s="11"/>
      <c r="W23" s="11" t="str">
        <f>IFERROR(__xludf.DUMMYFUNCTION("""COMPUTED_VALUE"""),"Proyecto")</f>
        <v>Proyecto</v>
      </c>
      <c r="X23" s="11" t="str">
        <f>IFERROR(__xludf.DUMMYFUNCTION("""COMPUTED_VALUE"""),"UdeA")</f>
        <v>UdeA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 t="str">
        <f>IFERROR(__xludf.DUMMYFUNCTION("""COMPUTED_VALUE"""),"Ninguna")</f>
        <v>Ninguna</v>
      </c>
      <c r="AL23" s="11"/>
      <c r="AM23" s="11" t="str">
        <f>IFERROR(__xludf.DUMMYFUNCTION("""COMPUTED_VALUE"""),"Obligatorio")</f>
        <v>Obligatorio</v>
      </c>
      <c r="AN23" s="11">
        <f>IFERROR(__xludf.DUMMYFUNCTION("""COMPUTED_VALUE"""),5.0)</f>
        <v>5</v>
      </c>
      <c r="AO23" s="11">
        <f>IFERROR(__xludf.DUMMYFUNCTION("""COMPUTED_VALUE"""),1.0)</f>
        <v>1</v>
      </c>
      <c r="AP23" s="11">
        <f>IFERROR(__xludf.DUMMYFUNCTION("""COMPUTED_VALUE"""),1.0)</f>
        <v>1</v>
      </c>
      <c r="AQ23" s="11">
        <f>IFERROR(__xludf.DUMMYFUNCTION("""COMPUTED_VALUE"""),1.0)</f>
        <v>1</v>
      </c>
      <c r="AR23" s="11">
        <f>IFERROR(__xludf.DUMMYFUNCTION("""COMPUTED_VALUE"""),1.0)</f>
        <v>1</v>
      </c>
      <c r="AS23" s="11">
        <f>IFERROR(__xludf.DUMMYFUNCTION("""COMPUTED_VALUE"""),1.0)</f>
        <v>1</v>
      </c>
      <c r="AT23" s="11" t="str">
        <f>IFERROR(__xludf.DUMMYFUNCTION("""COMPUTED_VALUE"""),"I Congreso Internacional de Gestión Integral frente al Cambio Climático")</f>
        <v>I Congreso Internacional de Gestión Integral frente al Cambio Climático</v>
      </c>
      <c r="AU23" s="15" t="str">
        <f>IFERROR(__xludf.DUMMYFUNCTION("""COMPUTED_VALUE"""),"https://drive.google.com/file/d/1TCxtDo6qY58r07cgoK8RqgfYKmtknjVd/view?usp=sharing")</f>
        <v>https://drive.google.com/file/d/1TCxtDo6qY58r07cgoK8RqgfYKmtknjVd/view?usp=sharing</v>
      </c>
      <c r="AV23" s="11"/>
      <c r="AW23" s="11"/>
      <c r="AX23" s="11">
        <f>IFERROR(__xludf.DUMMYFUNCTION("""COMPUTED_VALUE"""),5.0)</f>
        <v>5</v>
      </c>
      <c r="AY23" s="4" t="str">
        <f>IFERROR(__xludf.DUMMYFUNCTION("""COMPUTED_VALUE"""),"Reducción del consumo de combustible en la producción de
fertilizantes mediante la optimización del contacto gas sólido en
secadores rotativos")</f>
        <v>Reducción del consumo de combustible en la producción de
fertilizantes mediante la optimización del contacto gas sólido en
secadores rotativos</v>
      </c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</row>
    <row r="24">
      <c r="A24" s="11" t="str">
        <f>IFERROR(__xludf.DUMMYFUNCTION("""COMPUTED_VALUE"""),"Proy7")</f>
        <v>Proy7</v>
      </c>
      <c r="B24" s="11" t="str">
        <f>IFERROR(__xludf.DUMMYFUNCTION("""COMPUTED_VALUE"""),"Apropiación")</f>
        <v>Apropiación</v>
      </c>
      <c r="C24" s="11" t="str">
        <f>IFERROR(__xludf.DUMMYFUNCTION("""COMPUTED_VALUE"""),"Evento científico")</f>
        <v>Evento científico</v>
      </c>
      <c r="D24" s="11" t="str">
        <f>IFERROR(__xludf.DUMMYFUNCTION("""COMPUTED_VALUE"""),"Ponencia")</f>
        <v>Ponencia</v>
      </c>
      <c r="E24" s="11" t="str">
        <f>IFERROR(__xludf.DUMMYFUNCTION("""COMPUTED_VALUE"""),"Evento científico")</f>
        <v>Evento científico</v>
      </c>
      <c r="F24" s="11" t="str">
        <f>IFERROR(__xludf.DUMMYFUNCTION("""COMPUTED_VALUE"""),"Cartilla")</f>
        <v>Cartilla</v>
      </c>
      <c r="G24" s="11" t="str">
        <f>IFERROR(__xludf.DUMMYFUNCTION("""COMPUTED_VALUE"""),"Curso de capacitación, seminario o taller")</f>
        <v>Curso de capacitación, seminario o taller</v>
      </c>
      <c r="H24" s="11" t="str">
        <f>IFERROR(__xludf.DUMMYFUNCTION("""COMPUTED_VALUE"""),"Socialización de resultados a actores del sector")</f>
        <v>Socialización de resultados a actores del sector</v>
      </c>
      <c r="I24" s="11" t="str">
        <f>IFERROR(__xludf.DUMMYFUNCTION("""COMPUTED_VALUE"""),"Articulación de redes de conocimiento")</f>
        <v>Articulación de redes de conocimiento</v>
      </c>
      <c r="J24" s="11" t="str">
        <f>IFERROR(__xludf.DUMMYFUNCTION("""COMPUTED_VALUE"""),"Circulación de conocimiento especializado - boletines")</f>
        <v>Circulación de conocimiento especializado - boletines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tr">
        <f>IFERROR(__xludf.DUMMYFUNCTION("""COMPUTED_VALUE"""),"Ninguna")</f>
        <v>Ninguna</v>
      </c>
      <c r="V24" s="11"/>
      <c r="W24" s="11" t="str">
        <f>IFERROR(__xludf.DUMMYFUNCTION("""COMPUTED_VALUE"""),"Proyecto")</f>
        <v>Proyecto</v>
      </c>
      <c r="X24" s="11" t="str">
        <f>IFERROR(__xludf.DUMMYFUNCTION("""COMPUTED_VALUE"""),"UniCórdoba, UdeA")</f>
        <v>UniCórdoba, UdeA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 t="str">
        <f>IFERROR(__xludf.DUMMYFUNCTION("""COMPUTED_VALUE"""),"Colaboración")</f>
        <v>Colaboración</v>
      </c>
      <c r="AL24" s="11"/>
      <c r="AM24" s="11" t="str">
        <f>IFERROR(__xludf.DUMMYFUNCTION("""COMPUTED_VALUE"""),"Obligatorio")</f>
        <v>Obligatorio</v>
      </c>
      <c r="AN24" s="11"/>
      <c r="AO24" s="11"/>
      <c r="AP24" s="11"/>
      <c r="AQ24" s="11"/>
      <c r="AR24" s="11"/>
      <c r="AS24" s="11"/>
      <c r="AT24" s="11" t="str">
        <f>IFERROR(__xludf.DUMMYFUNCTION("""COMPUTED_VALUE"""),"Segundo Encuentro SÉNECA")</f>
        <v>Segundo Encuentro SÉNECA</v>
      </c>
      <c r="AU24" s="11"/>
      <c r="AV24" s="11"/>
      <c r="AW24" s="11"/>
      <c r="AX24" s="11">
        <f>IFERROR(__xludf.DUMMYFUNCTION("""COMPUTED_VALUE"""),5.0)</f>
        <v>5</v>
      </c>
      <c r="AY24" s="4" t="str">
        <f>IFERROR(__xludf.DUMMYFUNCTION("""COMPUTED_VALUE"""),"Segundo Encuentro Séneca")</f>
        <v>Segundo Encuentro Séneca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</row>
    <row r="25">
      <c r="A25" s="11" t="str">
        <f>IFERROR(__xludf.DUMMYFUNCTION("""COMPUTED_VALUE"""),"Proy9")</f>
        <v>Proy9</v>
      </c>
      <c r="B25" s="11" t="str">
        <f>IFERROR(__xludf.DUMMYFUNCTION("""COMPUTED_VALUE"""),"Apropiación")</f>
        <v>Apropiación</v>
      </c>
      <c r="C25" s="11" t="str">
        <f>IFERROR(__xludf.DUMMYFUNCTION("""COMPUTED_VALUE"""),"Ponencia")</f>
        <v>Ponencia</v>
      </c>
      <c r="D25" s="11" t="str">
        <f>IFERROR(__xludf.DUMMYFUNCTION("""COMPUTED_VALUE"""),"Ponencia")</f>
        <v>Ponencia</v>
      </c>
      <c r="E25" s="11" t="str">
        <f>IFERROR(__xludf.DUMMYFUNCTION("""COMPUTED_VALUE"""),"Evento científico")</f>
        <v>Evento científico</v>
      </c>
      <c r="F25" s="11" t="str">
        <f>IFERROR(__xludf.DUMMYFUNCTION("""COMPUTED_VALUE"""),"Cartilla")</f>
        <v>Cartilla</v>
      </c>
      <c r="G25" s="11" t="str">
        <f>IFERROR(__xludf.DUMMYFUNCTION("""COMPUTED_VALUE"""),"Curso de capacitación, seminario o taller")</f>
        <v>Curso de capacitación, seminario o taller</v>
      </c>
      <c r="H25" s="11" t="str">
        <f>IFERROR(__xludf.DUMMYFUNCTION("""COMPUTED_VALUE"""),"Socialización de resultados a actores del sector")</f>
        <v>Socialización de resultados a actores del sector</v>
      </c>
      <c r="I25" s="11" t="str">
        <f>IFERROR(__xludf.DUMMYFUNCTION("""COMPUTED_VALUE"""),"Articulación de redes de conocimiento")</f>
        <v>Articulación de redes de conocimiento</v>
      </c>
      <c r="J25" s="11" t="str">
        <f>IFERROR(__xludf.DUMMYFUNCTION("""COMPUTED_VALUE"""),"Circulación de conocimiento especializado - boletines")</f>
        <v>Circulación de conocimiento especializado - boletines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 t="str">
        <f>IFERROR(__xludf.DUMMYFUNCTION("""COMPUTED_VALUE"""),"Ninguna")</f>
        <v>Ninguna</v>
      </c>
      <c r="V25" s="11"/>
      <c r="W25" s="11" t="str">
        <f>IFERROR(__xludf.DUMMYFUNCTION("""COMPUTED_VALUE"""),"Proyecto")</f>
        <v>Proyecto</v>
      </c>
      <c r="X25" s="11" t="str">
        <f>IFERROR(__xludf.DUMMYFUNCTION("""COMPUTED_VALUE"""),"UdeA")</f>
        <v>UdeA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 t="str">
        <f>IFERROR(__xludf.DUMMYFUNCTION("""COMPUTED_VALUE"""),"Ninguna")</f>
        <v>Ninguna</v>
      </c>
      <c r="AL25" s="11"/>
      <c r="AM25" s="11" t="str">
        <f>IFERROR(__xludf.DUMMYFUNCTION("""COMPUTED_VALUE"""),"Obligatorio")</f>
        <v>Obligatorio</v>
      </c>
      <c r="AN25" s="11">
        <f>IFERROR(__xludf.DUMMYFUNCTION("""COMPUTED_VALUE"""),1.0)</f>
        <v>1</v>
      </c>
      <c r="AO25" s="11">
        <f>IFERROR(__xludf.DUMMYFUNCTION("""COMPUTED_VALUE"""),1.0)</f>
        <v>1</v>
      </c>
      <c r="AP25" s="11">
        <f>IFERROR(__xludf.DUMMYFUNCTION("""COMPUTED_VALUE"""),1.0)</f>
        <v>1</v>
      </c>
      <c r="AQ25" s="11">
        <f>IFERROR(__xludf.DUMMYFUNCTION("""COMPUTED_VALUE"""),1.0)</f>
        <v>1</v>
      </c>
      <c r="AR25" s="11">
        <f>IFERROR(__xludf.DUMMYFUNCTION("""COMPUTED_VALUE"""),1.0)</f>
        <v>1</v>
      </c>
      <c r="AS25" s="11">
        <f>IFERROR(__xludf.DUMMYFUNCTION("""COMPUTED_VALUE"""),1.0)</f>
        <v>1</v>
      </c>
      <c r="AT25" s="11" t="str">
        <f>IFERROR(__xludf.DUMMYFUNCTION("""COMPUTED_VALUE"""),"I Congreso Internacional de Gestión Integral frente al Cambio Climático")</f>
        <v>I Congreso Internacional de Gestión Integral frente al Cambio Climático</v>
      </c>
      <c r="AU25" s="15" t="str">
        <f>IFERROR(__xludf.DUMMYFUNCTION("""COMPUTED_VALUE"""),"https://drive.google.com/file/d/1pJgFmnAU4XW1UxPuPy8-GF5OqMXW-PbG/view?usp=sharing")</f>
        <v>https://drive.google.com/file/d/1pJgFmnAU4XW1UxPuPy8-GF5OqMXW-PbG/view?usp=sharing</v>
      </c>
      <c r="AV25" s="11"/>
      <c r="AW25" s="11"/>
      <c r="AX25" s="11">
        <f>IFERROR(__xludf.DUMMYFUNCTION("""COMPUTED_VALUE"""),5.0)</f>
        <v>5</v>
      </c>
      <c r="AY25" s="4" t="str">
        <f>IFERROR(__xludf.DUMMYFUNCTION("""COMPUTED_VALUE"""),"Perspectivas de la tecnología Power to Gas en el contexto de los recursos energéticos del departamento de La Guajira")</f>
        <v>Perspectivas de la tecnología Power to Gas en el contexto de los recursos energéticos del departamento de La Guajira</v>
      </c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</row>
    <row r="26">
      <c r="A26" s="11" t="str">
        <f>IFERROR(__xludf.DUMMYFUNCTION("""COMPUTED_VALUE"""),"Proy10")</f>
        <v>Proy10</v>
      </c>
      <c r="B26" s="11" t="str">
        <f>IFERROR(__xludf.DUMMYFUNCTION("""COMPUTED_VALUE"""),"Apropiación")</f>
        <v>Apropiación</v>
      </c>
      <c r="C26" s="11" t="str">
        <f>IFERROR(__xludf.DUMMYFUNCTION("""COMPUTED_VALUE"""),"Ponencia")</f>
        <v>Ponencia</v>
      </c>
      <c r="D26" s="11" t="str">
        <f>IFERROR(__xludf.DUMMYFUNCTION("""COMPUTED_VALUE"""),"Ponencia")</f>
        <v>Ponencia</v>
      </c>
      <c r="E26" s="11" t="str">
        <f>IFERROR(__xludf.DUMMYFUNCTION("""COMPUTED_VALUE"""),"Evento científico")</f>
        <v>Evento científico</v>
      </c>
      <c r="F26" s="11" t="str">
        <f>IFERROR(__xludf.DUMMYFUNCTION("""COMPUTED_VALUE"""),"Cartilla")</f>
        <v>Cartilla</v>
      </c>
      <c r="G26" s="11" t="str">
        <f>IFERROR(__xludf.DUMMYFUNCTION("""COMPUTED_VALUE"""),"Curso de capacitación, seminario o taller")</f>
        <v>Curso de capacitación, seminario o taller</v>
      </c>
      <c r="H26" s="11" t="str">
        <f>IFERROR(__xludf.DUMMYFUNCTION("""COMPUTED_VALUE"""),"Socialización de resultados a actores del sector")</f>
        <v>Socialización de resultados a actores del sector</v>
      </c>
      <c r="I26" s="11" t="str">
        <f>IFERROR(__xludf.DUMMYFUNCTION("""COMPUTED_VALUE"""),"Articulación de redes de conocimiento")</f>
        <v>Articulación de redes de conocimiento</v>
      </c>
      <c r="J26" s="11" t="str">
        <f>IFERROR(__xludf.DUMMYFUNCTION("""COMPUTED_VALUE"""),"Circulación de conocimiento especializado - boletines")</f>
        <v>Circulación de conocimiento especializado - boletines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 t="str">
        <f>IFERROR(__xludf.DUMMYFUNCTION("""COMPUTED_VALUE"""),"Ninguna")</f>
        <v>Ninguna</v>
      </c>
      <c r="V26" s="11"/>
      <c r="W26" s="11" t="str">
        <f>IFERROR(__xludf.DUMMYFUNCTION("""COMPUTED_VALUE"""),"Proyecto")</f>
        <v>Proyecto</v>
      </c>
      <c r="X26" s="11" t="str">
        <f>IFERROR(__xludf.DUMMYFUNCTION("""COMPUTED_VALUE"""),"UdeA")</f>
        <v>UdeA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 t="str">
        <f>IFERROR(__xludf.DUMMYFUNCTION("""COMPUTED_VALUE"""),"Ninguna")</f>
        <v>Ninguna</v>
      </c>
      <c r="AL26" s="11"/>
      <c r="AM26" s="11" t="str">
        <f>IFERROR(__xludf.DUMMYFUNCTION("""COMPUTED_VALUE"""),"Obligatorio")</f>
        <v>Obligatorio</v>
      </c>
      <c r="AN26" s="11">
        <f>IFERROR(__xludf.DUMMYFUNCTION("""COMPUTED_VALUE"""),3.0)</f>
        <v>3</v>
      </c>
      <c r="AO26" s="11">
        <f>IFERROR(__xludf.DUMMYFUNCTION("""COMPUTED_VALUE"""),1.0)</f>
        <v>1</v>
      </c>
      <c r="AP26" s="11">
        <f>IFERROR(__xludf.DUMMYFUNCTION("""COMPUTED_VALUE"""),1.0)</f>
        <v>1</v>
      </c>
      <c r="AQ26" s="11">
        <f>IFERROR(__xludf.DUMMYFUNCTION("""COMPUTED_VALUE"""),1.0)</f>
        <v>1</v>
      </c>
      <c r="AR26" s="11">
        <f>IFERROR(__xludf.DUMMYFUNCTION("""COMPUTED_VALUE"""),1.0)</f>
        <v>1</v>
      </c>
      <c r="AS26" s="11">
        <f>IFERROR(__xludf.DUMMYFUNCTION("""COMPUTED_VALUE"""),1.0)</f>
        <v>1</v>
      </c>
      <c r="AT26" s="11" t="str">
        <f>IFERROR(__xludf.DUMMYFUNCTION("""COMPUTED_VALUE"""),"I Congreso Internacional de Gestión Integral frente al Cambio Climático")</f>
        <v>I Congreso Internacional de Gestión Integral frente al Cambio Climático</v>
      </c>
      <c r="AU26" s="15" t="str">
        <f>IFERROR(__xludf.DUMMYFUNCTION("""COMPUTED_VALUE"""),"https://drive.google.com/file/d/1TCxtDo6qY58r07cgoK8RqgfYKmtknjVd/view?usp=sharing")</f>
        <v>https://drive.google.com/file/d/1TCxtDo6qY58r07cgoK8RqgfYKmtknjVd/view?usp=sharing</v>
      </c>
      <c r="AV26" s="19"/>
      <c r="AW26" s="11"/>
      <c r="AX26" s="11">
        <f>IFERROR(__xludf.DUMMYFUNCTION("""COMPUTED_VALUE"""),5.0)</f>
        <v>5</v>
      </c>
      <c r="AY26" s="4" t="str">
        <f>IFERROR(__xludf.DUMMYFUNCTION("""COMPUTED_VALUE"""),"Estudio numérico de la combustión de mezclas gas naturalhidrógeno
bajo el régimen de combustión sin llama")</f>
        <v>Estudio numérico de la combustión de mezclas gas naturalhidrógeno
bajo el régimen de combustión sin llama</v>
      </c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</row>
    <row r="27">
      <c r="A27" s="11" t="str">
        <f>IFERROR(__xludf.DUMMYFUNCTION("""COMPUTED_VALUE"""),"Proy10")</f>
        <v>Proy10</v>
      </c>
      <c r="B27" s="11" t="str">
        <f>IFERROR(__xludf.DUMMYFUNCTION("""COMPUTED_VALUE"""),"Apropiación")</f>
        <v>Apropiación</v>
      </c>
      <c r="C27" s="11" t="str">
        <f>IFERROR(__xludf.DUMMYFUNCTION("""COMPUTED_VALUE"""),"Ponencia")</f>
        <v>Ponencia</v>
      </c>
      <c r="D27" s="11" t="str">
        <f>IFERROR(__xludf.DUMMYFUNCTION("""COMPUTED_VALUE"""),"Ponencia")</f>
        <v>Ponencia</v>
      </c>
      <c r="E27" s="11" t="str">
        <f>IFERROR(__xludf.DUMMYFUNCTION("""COMPUTED_VALUE"""),"Evento científico")</f>
        <v>Evento científico</v>
      </c>
      <c r="F27" s="11" t="str">
        <f>IFERROR(__xludf.DUMMYFUNCTION("""COMPUTED_VALUE"""),"Cartilla")</f>
        <v>Cartilla</v>
      </c>
      <c r="G27" s="11" t="str">
        <f>IFERROR(__xludf.DUMMYFUNCTION("""COMPUTED_VALUE"""),"Curso de capacitación, seminario o taller")</f>
        <v>Curso de capacitación, seminario o taller</v>
      </c>
      <c r="H27" s="11" t="str">
        <f>IFERROR(__xludf.DUMMYFUNCTION("""COMPUTED_VALUE"""),"Socialización de resultados a actores del sector")</f>
        <v>Socialización de resultados a actores del sector</v>
      </c>
      <c r="I27" s="11" t="str">
        <f>IFERROR(__xludf.DUMMYFUNCTION("""COMPUTED_VALUE"""),"Articulación de redes de conocimiento")</f>
        <v>Articulación de redes de conocimiento</v>
      </c>
      <c r="J27" s="11" t="str">
        <f>IFERROR(__xludf.DUMMYFUNCTION("""COMPUTED_VALUE"""),"Circulación de conocimiento especializado - boletines")</f>
        <v>Circulación de conocimiento especializado - boletines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 t="str">
        <f>IFERROR(__xludf.DUMMYFUNCTION("""COMPUTED_VALUE"""),"Ninguna")</f>
        <v>Ninguna</v>
      </c>
      <c r="V27" s="11"/>
      <c r="W27" s="11" t="str">
        <f>IFERROR(__xludf.DUMMYFUNCTION("""COMPUTED_VALUE"""),"Proyecto")</f>
        <v>Proyecto</v>
      </c>
      <c r="X27" s="11" t="str">
        <f>IFERROR(__xludf.DUMMYFUNCTION("""COMPUTED_VALUE"""),"UdeA")</f>
        <v>UdeA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 t="str">
        <f>IFERROR(__xludf.DUMMYFUNCTION("""COMPUTED_VALUE"""),"Ninguna")</f>
        <v>Ninguna</v>
      </c>
      <c r="AL27" s="11"/>
      <c r="AM27" s="11" t="str">
        <f>IFERROR(__xludf.DUMMYFUNCTION("""COMPUTED_VALUE"""),"Obligatorio")</f>
        <v>Obligatorio</v>
      </c>
      <c r="AN27" s="11">
        <f>IFERROR(__xludf.DUMMYFUNCTION("""COMPUTED_VALUE"""),4.0)</f>
        <v>4</v>
      </c>
      <c r="AO27" s="11">
        <f>IFERROR(__xludf.DUMMYFUNCTION("""COMPUTED_VALUE"""),1.0)</f>
        <v>1</v>
      </c>
      <c r="AP27" s="11">
        <f>IFERROR(__xludf.DUMMYFUNCTION("""COMPUTED_VALUE"""),1.0)</f>
        <v>1</v>
      </c>
      <c r="AQ27" s="11">
        <f>IFERROR(__xludf.DUMMYFUNCTION("""COMPUTED_VALUE"""),1.0)</f>
        <v>1</v>
      </c>
      <c r="AR27" s="11">
        <f>IFERROR(__xludf.DUMMYFUNCTION("""COMPUTED_VALUE"""),1.0)</f>
        <v>1</v>
      </c>
      <c r="AS27" s="11">
        <f>IFERROR(__xludf.DUMMYFUNCTION("""COMPUTED_VALUE"""),1.0)</f>
        <v>1</v>
      </c>
      <c r="AT27" s="11" t="str">
        <f>IFERROR(__xludf.DUMMYFUNCTION("""COMPUTED_VALUE"""),"I Congreso Internacional de Gestión Integral frente al Cambio Climático")</f>
        <v>I Congreso Internacional de Gestión Integral frente al Cambio Climático</v>
      </c>
      <c r="AU27" s="15" t="str">
        <f>IFERROR(__xludf.DUMMYFUNCTION("""COMPUTED_VALUE"""),"https://drive.google.com/file/d/1TCxtDo6qY58r07cgoK8RqgfYKmtknjVd/view?usp=sharing")</f>
        <v>https://drive.google.com/file/d/1TCxtDo6qY58r07cgoK8RqgfYKmtknjVd/view?usp=sharing</v>
      </c>
      <c r="AV27" s="19"/>
      <c r="AW27" s="11"/>
      <c r="AX27" s="11">
        <f>IFERROR(__xludf.DUMMYFUNCTION("""COMPUTED_VALUE"""),5.0)</f>
        <v>5</v>
      </c>
      <c r="AY27" s="4" t="str">
        <f>IFERROR(__xludf.DUMMYFUNCTION("""COMPUTED_VALUE"""),"Efecto de la adición de CO2 sobre la uniformidad del régimen de
combustión sin llama para evaluar su potencial de reducción de GEI
en procesos altamente contaminantes
C. Mejía")</f>
        <v>Efecto de la adición de CO2 sobre la uniformidad del régimen de
combustión sin llama para evaluar su potencial de reducción de GEI
en procesos altamente contaminantes
C. Mejía</v>
      </c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</row>
    <row r="28">
      <c r="A28" s="11" t="str">
        <f>IFERROR(__xludf.DUMMYFUNCTION("""COMPUTED_VALUE"""),"Proy13")</f>
        <v>Proy13</v>
      </c>
      <c r="B28" s="11" t="str">
        <f>IFERROR(__xludf.DUMMYFUNCTION("""COMPUTED_VALUE"""),"Apropiación")</f>
        <v>Apropiación</v>
      </c>
      <c r="C28" s="11" t="str">
        <f>IFERROR(__xludf.DUMMYFUNCTION("""COMPUTED_VALUE"""),"Ponencia")</f>
        <v>Ponencia</v>
      </c>
      <c r="D28" s="11" t="str">
        <f>IFERROR(__xludf.DUMMYFUNCTION("""COMPUTED_VALUE"""),"Ponencia")</f>
        <v>Ponencia</v>
      </c>
      <c r="E28" s="11" t="str">
        <f>IFERROR(__xludf.DUMMYFUNCTION("""COMPUTED_VALUE"""),"Evento científico")</f>
        <v>Evento científico</v>
      </c>
      <c r="F28" s="11" t="str">
        <f>IFERROR(__xludf.DUMMYFUNCTION("""COMPUTED_VALUE"""),"Cartilla")</f>
        <v>Cartilla</v>
      </c>
      <c r="G28" s="11" t="str">
        <f>IFERROR(__xludf.DUMMYFUNCTION("""COMPUTED_VALUE"""),"Curso de capacitación, seminario o taller")</f>
        <v>Curso de capacitación, seminario o taller</v>
      </c>
      <c r="H28" s="11" t="str">
        <f>IFERROR(__xludf.DUMMYFUNCTION("""COMPUTED_VALUE"""),"Socialización de resultados a actores del sector")</f>
        <v>Socialización de resultados a actores del sector</v>
      </c>
      <c r="I28" s="11" t="str">
        <f>IFERROR(__xludf.DUMMYFUNCTION("""COMPUTED_VALUE"""),"Articulación de redes de conocimiento")</f>
        <v>Articulación de redes de conocimiento</v>
      </c>
      <c r="J28" s="11" t="str">
        <f>IFERROR(__xludf.DUMMYFUNCTION("""COMPUTED_VALUE"""),"Circulación de conocimiento especializado - boletines")</f>
        <v>Circulación de conocimiento especializado - boletines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 t="str">
        <f>IFERROR(__xludf.DUMMYFUNCTION("""COMPUTED_VALUE"""),"Ninguna")</f>
        <v>Ninguna</v>
      </c>
      <c r="V28" s="11"/>
      <c r="W28" s="11" t="str">
        <f>IFERROR(__xludf.DUMMYFUNCTION("""COMPUTED_VALUE"""),"Proyecto")</f>
        <v>Proyecto</v>
      </c>
      <c r="X28" s="11" t="str">
        <f>IFERROR(__xludf.DUMMYFUNCTION("""COMPUTED_VALUE"""),"UdeA")</f>
        <v>UdeA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 t="str">
        <f>IFERROR(__xludf.DUMMYFUNCTION("""COMPUTED_VALUE"""),"Ninguna")</f>
        <v>Ninguna</v>
      </c>
      <c r="AL28" s="11"/>
      <c r="AM28" s="11" t="str">
        <f>IFERROR(__xludf.DUMMYFUNCTION("""COMPUTED_VALUE"""),"Obligatorio")</f>
        <v>Obligatorio</v>
      </c>
      <c r="AN28" s="11">
        <f>IFERROR(__xludf.DUMMYFUNCTION("""COMPUTED_VALUE"""),4.0)</f>
        <v>4</v>
      </c>
      <c r="AO28" s="11">
        <f>IFERROR(__xludf.DUMMYFUNCTION("""COMPUTED_VALUE"""),4.0)</f>
        <v>4</v>
      </c>
      <c r="AP28" s="11">
        <f>IFERROR(__xludf.DUMMYFUNCTION("""COMPUTED_VALUE"""),1.0)</f>
        <v>1</v>
      </c>
      <c r="AQ28" s="11">
        <f>IFERROR(__xludf.DUMMYFUNCTION("""COMPUTED_VALUE"""),1.0)</f>
        <v>1</v>
      </c>
      <c r="AR28" s="11">
        <f>IFERROR(__xludf.DUMMYFUNCTION("""COMPUTED_VALUE"""),1.0)</f>
        <v>1</v>
      </c>
      <c r="AS28" s="11">
        <f>IFERROR(__xludf.DUMMYFUNCTION("""COMPUTED_VALUE"""),1.0)</f>
        <v>1</v>
      </c>
      <c r="AT28" s="11" t="str">
        <f>IFERROR(__xludf.DUMMYFUNCTION("""COMPUTED_VALUE"""),"2019 IEEE Workshop on Power Electronics and Power Quality Applications (PEPQA)")</f>
        <v>2019 IEEE Workshop on Power Electronics and Power Quality Applications (PEPQA)</v>
      </c>
      <c r="AU28" s="15" t="str">
        <f>IFERROR(__xludf.DUMMYFUNCTION("""COMPUTED_VALUE"""),"https://drive.google.com/file/d/1Ki9D-UD6FP1CHQzh0ayqs6T-7d94ay4q/view?usp=sharing")</f>
        <v>https://drive.google.com/file/d/1Ki9D-UD6FP1CHQzh0ayqs6T-7d94ay4q/view?usp=sharing</v>
      </c>
      <c r="AV28" s="19"/>
      <c r="AW28" s="11"/>
      <c r="AX28" s="11">
        <f>IFERROR(__xludf.DUMMYFUNCTION("""COMPUTED_VALUE"""),4.0)</f>
        <v>4</v>
      </c>
      <c r="AY28" s="4" t="str">
        <f>IFERROR(__xludf.DUMMYFUNCTION("""COMPUTED_VALUE"""),"Programmable Electronic AC Loads: a Review on
Hardware Topologies")</f>
        <v>Programmable Electronic AC Loads: a Review on
Hardware Topologies</v>
      </c>
      <c r="AZ28" s="11"/>
      <c r="BA28" s="11" t="str">
        <f>IFERROR(__xludf.DUMMYFUNCTION("""COMPUTED_VALUE"""),"Leon Felipe Serna Montoya,")</f>
        <v>Leon Felipe Serna Montoya,</v>
      </c>
      <c r="BB28" s="11" t="str">
        <f>IFERROR(__xludf.DUMMYFUNCTION("""COMPUTED_VALUE"""),"Universidad de Antioquia")</f>
        <v>Universidad de Antioquia</v>
      </c>
      <c r="BC28" s="11" t="str">
        <f>IFERROR(__xludf.DUMMYFUNCTION("""COMPUTED_VALUE"""),"GIMEL")</f>
        <v>GIMEL</v>
      </c>
      <c r="BD28" s="11" t="str">
        <f>IFERROR(__xludf.DUMMYFUNCTION("""COMPUTED_VALUE"""),"Juan Bernardo Cano Quintero,")</f>
        <v>Juan Bernardo Cano Quintero,</v>
      </c>
      <c r="BE28" s="11" t="str">
        <f>IFERROR(__xludf.DUMMYFUNCTION("""COMPUTED_VALUE"""),"Universidad de Antioquia")</f>
        <v>Universidad de Antioquia</v>
      </c>
      <c r="BF28" s="11" t="str">
        <f>IFERROR(__xludf.DUMMYFUNCTION("""COMPUTED_VALUE"""),"GIMEL")</f>
        <v>GIMEL</v>
      </c>
      <c r="BG28" s="11" t="str">
        <f>IFERROR(__xludf.DUMMYFUNCTION("""COMPUTED_VALUE"""),"Nicolas Munoz Galeano")</f>
        <v>Nicolas Munoz Galeano</v>
      </c>
      <c r="BH28" s="11" t="str">
        <f>IFERROR(__xludf.DUMMYFUNCTION("""COMPUTED_VALUE"""),"Universidad de Antioquia")</f>
        <v>Universidad de Antioquia</v>
      </c>
      <c r="BI28" s="11" t="str">
        <f>IFERROR(__xludf.DUMMYFUNCTION("""COMPUTED_VALUE"""),"GIMEL")</f>
        <v>GIMEL</v>
      </c>
      <c r="BJ28" s="11" t="str">
        <f>IFERROR(__xludf.DUMMYFUNCTION("""COMPUTED_VALUE"""),"Jesus Maria Lopez Lezama")</f>
        <v>Jesus Maria Lopez Lezama</v>
      </c>
      <c r="BK28" s="11" t="str">
        <f>IFERROR(__xludf.DUMMYFUNCTION("""COMPUTED_VALUE"""),"Universidad de Antioquia")</f>
        <v>Universidad de Antioquia</v>
      </c>
      <c r="BL28" s="11" t="str">
        <f>IFERROR(__xludf.DUMMYFUNCTION("""COMPUTED_VALUE"""),"GIMEL")</f>
        <v>GIMEL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</row>
    <row r="29">
      <c r="A29" s="11" t="str">
        <f>IFERROR(__xludf.DUMMYFUNCTION("""COMPUTED_VALUE"""),"Proy13")</f>
        <v>Proy13</v>
      </c>
      <c r="B29" s="11" t="str">
        <f>IFERROR(__xludf.DUMMYFUNCTION("""COMPUTED_VALUE"""),"Apropiación")</f>
        <v>Apropiación</v>
      </c>
      <c r="C29" s="11" t="str">
        <f>IFERROR(__xludf.DUMMYFUNCTION("""COMPUTED_VALUE"""),"Evento científico")</f>
        <v>Evento científico</v>
      </c>
      <c r="D29" s="11" t="str">
        <f>IFERROR(__xludf.DUMMYFUNCTION("""COMPUTED_VALUE"""),"Ponencia")</f>
        <v>Ponencia</v>
      </c>
      <c r="E29" s="11" t="str">
        <f>IFERROR(__xludf.DUMMYFUNCTION("""COMPUTED_VALUE"""),"Evento científico")</f>
        <v>Evento científico</v>
      </c>
      <c r="F29" s="11" t="str">
        <f>IFERROR(__xludf.DUMMYFUNCTION("""COMPUTED_VALUE"""),"Cartilla")</f>
        <v>Cartilla</v>
      </c>
      <c r="G29" s="11" t="str">
        <f>IFERROR(__xludf.DUMMYFUNCTION("""COMPUTED_VALUE"""),"Curso de capacitación, seminario o taller")</f>
        <v>Curso de capacitación, seminario o taller</v>
      </c>
      <c r="H29" s="11" t="str">
        <f>IFERROR(__xludf.DUMMYFUNCTION("""COMPUTED_VALUE"""),"Socialización de resultados a actores del sector")</f>
        <v>Socialización de resultados a actores del sector</v>
      </c>
      <c r="I29" s="11" t="str">
        <f>IFERROR(__xludf.DUMMYFUNCTION("""COMPUTED_VALUE"""),"Articulación de redes de conocimiento")</f>
        <v>Articulación de redes de conocimiento</v>
      </c>
      <c r="J29" s="11" t="str">
        <f>IFERROR(__xludf.DUMMYFUNCTION("""COMPUTED_VALUE"""),"Circulación de conocimiento especializado - boletines")</f>
        <v>Circulación de conocimiento especializado - boletines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 t="str">
        <f>IFERROR(__xludf.DUMMYFUNCTION("""COMPUTED_VALUE"""),"Ninguna")</f>
        <v>Ninguna</v>
      </c>
      <c r="V29" s="11"/>
      <c r="W29" s="11" t="str">
        <f>IFERROR(__xludf.DUMMYFUNCTION("""COMPUTED_VALUE"""),"Programa")</f>
        <v>Programa</v>
      </c>
      <c r="X29" s="11" t="str">
        <f>IFERROR(__xludf.DUMMYFUNCTION("""COMPUTED_VALUE"""),"Todos los aliados")</f>
        <v>Todos los aliados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 t="str">
        <f>IFERROR(__xludf.DUMMYFUNCTION("""COMPUTED_VALUE"""),"Colaboración")</f>
        <v>Colaboración</v>
      </c>
      <c r="AL29" s="11" t="str">
        <f>IFERROR(__xludf.DUMMYFUNCTION("""COMPUTED_VALUE"""),"Todos")</f>
        <v>Todos</v>
      </c>
      <c r="AM29" s="11" t="str">
        <f>IFERROR(__xludf.DUMMYFUNCTION("""COMPUTED_VALUE"""),"Obligatorio")</f>
        <v>Obligatorio</v>
      </c>
      <c r="AN29" s="11"/>
      <c r="AO29" s="11"/>
      <c r="AP29" s="11"/>
      <c r="AQ29" s="11"/>
      <c r="AR29" s="11"/>
      <c r="AS29" s="11"/>
      <c r="AT29" s="11" t="str">
        <f>IFERROR(__xludf.DUMMYFUNCTION("""COMPUTED_VALUE"""),"Primer encuentro Séneca - Octubre 2019")</f>
        <v>Primer encuentro Séneca - Octubre 2019</v>
      </c>
      <c r="AU29" s="15" t="str">
        <f>IFERROR(__xludf.DUMMYFUNCTION("""COMPUTED_VALUE"""),"https://drive.google.com/file/d/1YIP7MR78S91CXHuebDUvS7LqzZIlxtPP/view?usp=sharing")</f>
        <v>https://drive.google.com/file/d/1YIP7MR78S91CXHuebDUvS7LqzZIlxtPP/view?usp=sharing</v>
      </c>
      <c r="AV29" s="19"/>
      <c r="AW29" s="11"/>
      <c r="AX29" s="11">
        <f>IFERROR(__xludf.DUMMYFUNCTION("""COMPUTED_VALUE"""),4.0)</f>
        <v>4</v>
      </c>
      <c r="AY29" s="4" t="str">
        <f>IFERROR(__xludf.DUMMYFUNCTION("""COMPUTED_VALUE"""),"Memorias del Primer encuentro SÉNECA")</f>
        <v>Memorias del Primer encuentro SÉNECA</v>
      </c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</row>
    <row r="30">
      <c r="A30" s="11" t="str">
        <f>IFERROR(__xludf.DUMMYFUNCTION("""COMPUTED_VALUE"""),"Proy14")</f>
        <v>Proy14</v>
      </c>
      <c r="B30" s="11" t="str">
        <f>IFERROR(__xludf.DUMMYFUNCTION("""COMPUTED_VALUE"""),"Apropiación")</f>
        <v>Apropiación</v>
      </c>
      <c r="C30" s="11" t="str">
        <f>IFERROR(__xludf.DUMMYFUNCTION("""COMPUTED_VALUE"""),"Evento científico")</f>
        <v>Evento científico</v>
      </c>
      <c r="D30" s="11" t="str">
        <f>IFERROR(__xludf.DUMMYFUNCTION("""COMPUTED_VALUE"""),"Ponencia")</f>
        <v>Ponencia</v>
      </c>
      <c r="E30" s="11" t="str">
        <f>IFERROR(__xludf.DUMMYFUNCTION("""COMPUTED_VALUE"""),"Evento científico")</f>
        <v>Evento científico</v>
      </c>
      <c r="F30" s="11" t="str">
        <f>IFERROR(__xludf.DUMMYFUNCTION("""COMPUTED_VALUE"""),"Cartilla")</f>
        <v>Cartilla</v>
      </c>
      <c r="G30" s="11" t="str">
        <f>IFERROR(__xludf.DUMMYFUNCTION("""COMPUTED_VALUE"""),"Curso de capacitación, seminario o taller")</f>
        <v>Curso de capacitación, seminario o taller</v>
      </c>
      <c r="H30" s="11" t="str">
        <f>IFERROR(__xludf.DUMMYFUNCTION("""COMPUTED_VALUE"""),"Socialización de resultados a actores del sector")</f>
        <v>Socialización de resultados a actores del sector</v>
      </c>
      <c r="I30" s="11" t="str">
        <f>IFERROR(__xludf.DUMMYFUNCTION("""COMPUTED_VALUE"""),"Articulación de redes de conocimiento")</f>
        <v>Articulación de redes de conocimiento</v>
      </c>
      <c r="J30" s="11" t="str">
        <f>IFERROR(__xludf.DUMMYFUNCTION("""COMPUTED_VALUE"""),"Circulación de conocimiento especializado - boletines")</f>
        <v>Circulación de conocimiento especializado - boletines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tr">
        <f>IFERROR(__xludf.DUMMYFUNCTION("""COMPUTED_VALUE"""),"Ninguna")</f>
        <v>Ninguna</v>
      </c>
      <c r="V30" s="11"/>
      <c r="W30" s="11" t="str">
        <f>IFERROR(__xludf.DUMMYFUNCTION("""COMPUTED_VALUE"""),"Proyecto")</f>
        <v>Proyecto</v>
      </c>
      <c r="X30" s="11" t="str">
        <f>IFERROR(__xludf.DUMMYFUNCTION("""COMPUTED_VALUE"""),"UniValle")</f>
        <v>UniValle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 t="str">
        <f>IFERROR(__xludf.DUMMYFUNCTION("""COMPUTED_VALUE"""),"Ninguna")</f>
        <v>Ninguna</v>
      </c>
      <c r="AL30" s="11"/>
      <c r="AM30" s="11" t="str">
        <f>IFERROR(__xludf.DUMMYFUNCTION("""COMPUTED_VALUE"""),"Obligatorio")</f>
        <v>Obligatorio</v>
      </c>
      <c r="AN30" s="11"/>
      <c r="AO30" s="11"/>
      <c r="AP30" s="11"/>
      <c r="AQ30" s="11"/>
      <c r="AR30" s="11"/>
      <c r="AS30" s="11"/>
      <c r="AT30" s="11" t="str">
        <f>IFERROR(__xludf.DUMMYFUNCTION("""COMPUTED_VALUE"""),"Organización de eventos: Webinar: Diseño, Planeación y Operación óptima de una matriz energética
regional para la integración de energías limpias. Caso de estudio:
Península de Yucatán - México.")</f>
        <v>Organización de eventos: Webinar: Diseño, Planeación y Operación óptima de una matriz energética
regional para la integración de energías limpias. Caso de estudio:
Península de Yucatán - México.</v>
      </c>
      <c r="AU30" s="15" t="str">
        <f>IFERROR(__xludf.DUMMYFUNCTION("""COMPUTED_VALUE"""),"https://drive.google.com/file/d/1HASbeA6F2YWL5Z3y6pd6aPwxm47dFnZm/view?usp=sharing")</f>
        <v>https://drive.google.com/file/d/1HASbeA6F2YWL5Z3y6pd6aPwxm47dFnZm/view?usp=sharing</v>
      </c>
      <c r="AV30" s="19"/>
      <c r="AW30" s="11"/>
      <c r="AX30" s="11">
        <f>IFERROR(__xludf.DUMMYFUNCTION("""COMPUTED_VALUE"""),4.0)</f>
        <v>4</v>
      </c>
      <c r="AY30" s="4" t="str">
        <f>IFERROR(__xludf.DUMMYFUNCTION("""COMPUTED_VALUE"""),"Diseño, Planeación y Operación óptima de una matriz energética regional para la integración de energías limpias. Caso de estudio: Península de Yucatán - México. -  Ricardo Echeverri")</f>
        <v>Diseño, Planeación y Operación óptima de una matriz energética regional para la integración de energías limpias. Caso de estudio: Península de Yucatán - México. -  Ricardo Echeverri</v>
      </c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</row>
    <row r="31">
      <c r="A31" s="11" t="str">
        <f>IFERROR(__xludf.DUMMYFUNCTION("""COMPUTED_VALUE"""),"Proy12")</f>
        <v>Proy12</v>
      </c>
      <c r="B31" s="11" t="str">
        <f>IFERROR(__xludf.DUMMYFUNCTION("""COMPUTED_VALUE"""),"Apropiación")</f>
        <v>Apropiación</v>
      </c>
      <c r="C31" s="11" t="str">
        <f>IFERROR(__xludf.DUMMYFUNCTION("""COMPUTED_VALUE"""),"Ponencia")</f>
        <v>Ponencia</v>
      </c>
      <c r="D31" s="11" t="str">
        <f>IFERROR(__xludf.DUMMYFUNCTION("""COMPUTED_VALUE"""),"Ponencia")</f>
        <v>Ponencia</v>
      </c>
      <c r="E31" s="11" t="str">
        <f>IFERROR(__xludf.DUMMYFUNCTION("""COMPUTED_VALUE"""),"Evento científico")</f>
        <v>Evento científico</v>
      </c>
      <c r="F31" s="11" t="str">
        <f>IFERROR(__xludf.DUMMYFUNCTION("""COMPUTED_VALUE"""),"Cartilla")</f>
        <v>Cartilla</v>
      </c>
      <c r="G31" s="11" t="str">
        <f>IFERROR(__xludf.DUMMYFUNCTION("""COMPUTED_VALUE"""),"Curso de capacitación, seminario o taller")</f>
        <v>Curso de capacitación, seminario o taller</v>
      </c>
      <c r="H31" s="11" t="str">
        <f>IFERROR(__xludf.DUMMYFUNCTION("""COMPUTED_VALUE"""),"Socialización de resultados a actores del sector")</f>
        <v>Socialización de resultados a actores del sector</v>
      </c>
      <c r="I31" s="11" t="str">
        <f>IFERROR(__xludf.DUMMYFUNCTION("""COMPUTED_VALUE"""),"Articulación de redes de conocimiento")</f>
        <v>Articulación de redes de conocimiento</v>
      </c>
      <c r="J31" s="11" t="str">
        <f>IFERROR(__xludf.DUMMYFUNCTION("""COMPUTED_VALUE"""),"Circulación de conocimiento especializado - boletines")</f>
        <v>Circulación de conocimiento especializado - boletines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tr">
        <f>IFERROR(__xludf.DUMMYFUNCTION("""COMPUTED_VALUE"""),"Ninguna")</f>
        <v>Ninguna</v>
      </c>
      <c r="V31" s="11"/>
      <c r="W31" s="11" t="str">
        <f>IFERROR(__xludf.DUMMYFUNCTION("""COMPUTED_VALUE"""),"Proyecto")</f>
        <v>Proyecto</v>
      </c>
      <c r="X31" s="11" t="str">
        <f>IFERROR(__xludf.DUMMYFUNCTION("""COMPUTED_VALUE"""),"UdeA")</f>
        <v>UdeA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 t="str">
        <f>IFERROR(__xludf.DUMMYFUNCTION("""COMPUTED_VALUE"""),"Ninguna")</f>
        <v>Ninguna</v>
      </c>
      <c r="AL31" s="11"/>
      <c r="AM31" s="11" t="str">
        <f>IFERROR(__xludf.DUMMYFUNCTION("""COMPUTED_VALUE"""),"Obligatorio")</f>
        <v>Obligatorio</v>
      </c>
      <c r="AN31" s="11">
        <f>IFERROR(__xludf.DUMMYFUNCTION("""COMPUTED_VALUE"""),3.0)</f>
        <v>3</v>
      </c>
      <c r="AO31" s="11">
        <f>IFERROR(__xludf.DUMMYFUNCTION("""COMPUTED_VALUE"""),3.0)</f>
        <v>3</v>
      </c>
      <c r="AP31" s="11">
        <f>IFERROR(__xludf.DUMMYFUNCTION("""COMPUTED_VALUE"""),2.0)</f>
        <v>2</v>
      </c>
      <c r="AQ31" s="11">
        <f>IFERROR(__xludf.DUMMYFUNCTION("""COMPUTED_VALUE"""),2.0)</f>
        <v>2</v>
      </c>
      <c r="AR31" s="11">
        <f>IFERROR(__xludf.DUMMYFUNCTION("""COMPUTED_VALUE"""),1.0)</f>
        <v>1</v>
      </c>
      <c r="AS31" s="11">
        <f>IFERROR(__xludf.DUMMYFUNCTION("""COMPUTED_VALUE"""),1.0)</f>
        <v>1</v>
      </c>
      <c r="AT31" s="11" t="str">
        <f>IFERROR(__xludf.DUMMYFUNCTION("""COMPUTED_VALUE"""),"2019 Congreso Colombiano y Conferencia Internacional de Calidad de Aire y Salud Pública (CASP)")</f>
        <v>2019 Congreso Colombiano y Conferencia Internacional de Calidad de Aire y Salud Pública (CASP)</v>
      </c>
      <c r="AU31" s="15" t="str">
        <f>IFERROR(__xludf.DUMMYFUNCTION("""COMPUTED_VALUE"""),"https://drive.google.com/file/d/1KnT2zJWhDzeqsIfcavpgZyCT6c_g14Mm/view?usp=sharing")</f>
        <v>https://drive.google.com/file/d/1KnT2zJWhDzeqsIfcavpgZyCT6c_g14Mm/view?usp=sharing</v>
      </c>
      <c r="AV31" s="11"/>
      <c r="AW31" s="11"/>
      <c r="AX31" s="11">
        <f>IFERROR(__xludf.DUMMYFUNCTION("""COMPUTED_VALUE"""),4.0)</f>
        <v>4</v>
      </c>
      <c r="AY31" s="4" t="str">
        <f>IFERROR(__xludf.DUMMYFUNCTION("""COMPUTED_VALUE"""),"Evaluación de las emisiones de Hidrocarburos
Aromáticos Policíclicos (HAP) en fase partícula
provenientes de mezclas diésel/biodiésel de palma")</f>
        <v>Evaluación de las emisiones de Hidrocarburos
Aromáticos Policíclicos (HAP) en fase partícula
provenientes de mezclas diésel/biodiésel de palma</v>
      </c>
      <c r="AZ31" s="11"/>
      <c r="BA31" s="11" t="str">
        <f>IFERROR(__xludf.DUMMYFUNCTION("""COMPUTED_VALUE"""),"Silvana Arias Arias")</f>
        <v>Silvana Arias Arias</v>
      </c>
      <c r="BB31" s="11" t="str">
        <f>IFERROR(__xludf.DUMMYFUNCTION("""COMPUTED_VALUE"""),"Universidad de Antioquia")</f>
        <v>Universidad de Antioquia</v>
      </c>
      <c r="BC31" s="11" t="str">
        <f>IFERROR(__xludf.DUMMYFUNCTION("""COMPUTED_VALUE"""),"GAIA")</f>
        <v>GAIA</v>
      </c>
      <c r="BD31" s="11" t="str">
        <f>IFERROR(__xludf.DUMMYFUNCTION("""COMPUTED_VALUE"""),"John Ramiro Agudelo")</f>
        <v>John Ramiro Agudelo</v>
      </c>
      <c r="BE31" s="11" t="str">
        <f>IFERROR(__xludf.DUMMYFUNCTION("""COMPUTED_VALUE"""),"Universidad de Antioquia")</f>
        <v>Universidad de Antioquia</v>
      </c>
      <c r="BF31" s="11" t="str">
        <f>IFERROR(__xludf.DUMMYFUNCTION("""COMPUTED_VALUE"""),"GIMEL")</f>
        <v>GIMEL</v>
      </c>
      <c r="BG31" s="11" t="str">
        <f>IFERROR(__xludf.DUMMYFUNCTION("""COMPUTED_VALUE"""),"Francisco José Molina")</f>
        <v>Francisco José Molina</v>
      </c>
      <c r="BH31" s="11" t="str">
        <f>IFERROR(__xludf.DUMMYFUNCTION("""COMPUTED_VALUE"""),"Universidad de Antioquia")</f>
        <v>Universidad de Antioquia</v>
      </c>
      <c r="BI31" s="11" t="str">
        <f>IFERROR(__xludf.DUMMYFUNCTION("""COMPUTED_VALUE"""),"GAIA")</f>
        <v>GAIA</v>
      </c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</row>
    <row r="32">
      <c r="A32" s="11" t="str">
        <f>IFERROR(__xludf.DUMMYFUNCTION("""COMPUTED_VALUE"""),"Proy10")</f>
        <v>Proy10</v>
      </c>
      <c r="B32" s="11" t="str">
        <f>IFERROR(__xludf.DUMMYFUNCTION("""COMPUTED_VALUE"""),"Apropiación")</f>
        <v>Apropiación</v>
      </c>
      <c r="C32" s="11" t="str">
        <f>IFERROR(__xludf.DUMMYFUNCTION("""COMPUTED_VALUE"""),"Ponencia")</f>
        <v>Ponencia</v>
      </c>
      <c r="D32" s="11" t="str">
        <f>IFERROR(__xludf.DUMMYFUNCTION("""COMPUTED_VALUE"""),"Ponencia")</f>
        <v>Ponencia</v>
      </c>
      <c r="E32" s="11" t="str">
        <f>IFERROR(__xludf.DUMMYFUNCTION("""COMPUTED_VALUE"""),"Evento científico")</f>
        <v>Evento científico</v>
      </c>
      <c r="F32" s="11" t="str">
        <f>IFERROR(__xludf.DUMMYFUNCTION("""COMPUTED_VALUE"""),"Cartilla")</f>
        <v>Cartilla</v>
      </c>
      <c r="G32" s="11" t="str">
        <f>IFERROR(__xludf.DUMMYFUNCTION("""COMPUTED_VALUE"""),"Curso de capacitación, seminario o taller")</f>
        <v>Curso de capacitación, seminario o taller</v>
      </c>
      <c r="H32" s="11" t="str">
        <f>IFERROR(__xludf.DUMMYFUNCTION("""COMPUTED_VALUE"""),"Socialización de resultados a actores del sector")</f>
        <v>Socialización de resultados a actores del sector</v>
      </c>
      <c r="I32" s="11" t="str">
        <f>IFERROR(__xludf.DUMMYFUNCTION("""COMPUTED_VALUE"""),"Articulación de redes de conocimiento")</f>
        <v>Articulación de redes de conocimiento</v>
      </c>
      <c r="J32" s="11" t="str">
        <f>IFERROR(__xludf.DUMMYFUNCTION("""COMPUTED_VALUE"""),"Circulación de conocimiento especializado - boletines")</f>
        <v>Circulación de conocimiento especializado - boletines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tr">
        <f>IFERROR(__xludf.DUMMYFUNCTION("""COMPUTED_VALUE"""),"Ninguna")</f>
        <v>Ninguna</v>
      </c>
      <c r="V32" s="11"/>
      <c r="W32" s="11" t="str">
        <f>IFERROR(__xludf.DUMMYFUNCTION("""COMPUTED_VALUE"""),"Proyecto")</f>
        <v>Proyecto</v>
      </c>
      <c r="X32" s="11" t="str">
        <f>IFERROR(__xludf.DUMMYFUNCTION("""COMPUTED_VALUE"""),"UdeA")</f>
        <v>UdeA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 t="str">
        <f>IFERROR(__xludf.DUMMYFUNCTION("""COMPUTED_VALUE"""),"Ninguna")</f>
        <v>Ninguna</v>
      </c>
      <c r="AL32" s="11"/>
      <c r="AM32" s="11" t="str">
        <f>IFERROR(__xludf.DUMMYFUNCTION("""COMPUTED_VALUE"""),"Obligatorio")</f>
        <v>Obligatorio</v>
      </c>
      <c r="AN32" s="11">
        <f>IFERROR(__xludf.DUMMYFUNCTION("""COMPUTED_VALUE"""),4.0)</f>
        <v>4</v>
      </c>
      <c r="AO32" s="11">
        <f>IFERROR(__xludf.DUMMYFUNCTION("""COMPUTED_VALUE"""),4.0)</f>
        <v>4</v>
      </c>
      <c r="AP32" s="11">
        <f>IFERROR(__xludf.DUMMYFUNCTION("""COMPUTED_VALUE"""),1.0)</f>
        <v>1</v>
      </c>
      <c r="AQ32" s="11">
        <f>IFERROR(__xludf.DUMMYFUNCTION("""COMPUTED_VALUE"""),1.0)</f>
        <v>1</v>
      </c>
      <c r="AR32" s="11">
        <f>IFERROR(__xludf.DUMMYFUNCTION("""COMPUTED_VALUE"""),1.0)</f>
        <v>1</v>
      </c>
      <c r="AS32" s="11">
        <f>IFERROR(__xludf.DUMMYFUNCTION("""COMPUTED_VALUE"""),1.0)</f>
        <v>1</v>
      </c>
      <c r="AT32" s="11" t="str">
        <f>IFERROR(__xludf.DUMMYFUNCTION("""COMPUTED_VALUE"""),"CONGRESO INTERNACIONAL DE GESTIÓN INTEGRAL FRENTE AL CAMBIO CLIMÁTICO")</f>
        <v>CONGRESO INTERNACIONAL DE GESTIÓN INTEGRAL FRENTE AL CAMBIO CLIMÁTICO</v>
      </c>
      <c r="AU32" s="15" t="str">
        <f>IFERROR(__xludf.DUMMYFUNCTION("""COMPUTED_VALUE"""),"https://drive.google.com/file/d/1fb0qhaRRtIRW7-GNmxiah4t6sNxV_TZb/view?usp=sharing")</f>
        <v>https://drive.google.com/file/d/1fb0qhaRRtIRW7-GNmxiah4t6sNxV_TZb/view?usp=sharing</v>
      </c>
      <c r="AV32" s="11"/>
      <c r="AW32" s="11"/>
      <c r="AX32" s="11">
        <f>IFERROR(__xludf.DUMMYFUNCTION("""COMPUTED_VALUE"""),4.0)</f>
        <v>4</v>
      </c>
      <c r="AY32" s="4" t="str">
        <f>IFERROR(__xludf.DUMMYFUNCTION("""COMPUTED_VALUE"""),"REDUCCIÓN DE LAS EMISIONES DE CO, NOX Y MATERIAL PARTICULADO PARA COMBUSTIBLES LÍQUIDOS Y GASEOSOS MEDIANTE COMBUSTIÓN SIN LLAMA.")</f>
        <v>REDUCCIÓN DE LAS EMISIONES DE CO, NOX Y MATERIAL PARTICULADO PARA COMBUSTIBLES LÍQUIDOS Y GASEOSOS MEDIANTE COMBUSTIÓN SIN LLAMA.</v>
      </c>
      <c r="AZ32" s="11"/>
      <c r="BA32" s="11" t="str">
        <f>IFERROR(__xludf.DUMMYFUNCTION("""COMPUTED_VALUE"""),"J. Obando")</f>
        <v>J. Obando</v>
      </c>
      <c r="BB32" s="11" t="str">
        <f>IFERROR(__xludf.DUMMYFUNCTION("""COMPUTED_VALUE"""),"Universidad de Antioquia")</f>
        <v>Universidad de Antioquia</v>
      </c>
      <c r="BC32" s="11" t="str">
        <f>IFERROR(__xludf.DUMMYFUNCTION("""COMPUTED_VALUE"""),"GASURE")</f>
        <v>GASURE</v>
      </c>
      <c r="BD32" s="11" t="str">
        <f>IFERROR(__xludf.DUMMYFUNCTION("""COMPUTED_VALUE"""),"Y. López")</f>
        <v>Y. López</v>
      </c>
      <c r="BE32" s="11" t="str">
        <f>IFERROR(__xludf.DUMMYFUNCTION("""COMPUTED_VALUE"""),"Universidad de Antioquia")</f>
        <v>Universidad de Antioquia</v>
      </c>
      <c r="BF32" s="11" t="str">
        <f>IFERROR(__xludf.DUMMYFUNCTION("""COMPUTED_VALUE"""),"GASURE")</f>
        <v>GASURE</v>
      </c>
      <c r="BG32" s="11" t="str">
        <f>IFERROR(__xludf.DUMMYFUNCTION("""COMPUTED_VALUE"""),"C. Echeverri Uribe")</f>
        <v>C. Echeverri Uribe</v>
      </c>
      <c r="BH32" s="11" t="str">
        <f>IFERROR(__xludf.DUMMYFUNCTION("""COMPUTED_VALUE"""),"Universidad de Antioquia")</f>
        <v>Universidad de Antioquia</v>
      </c>
      <c r="BI32" s="11" t="str">
        <f>IFERROR(__xludf.DUMMYFUNCTION("""COMPUTED_VALUE"""),"GASURE")</f>
        <v>GASURE</v>
      </c>
      <c r="BJ32" s="11" t="str">
        <f>IFERROR(__xludf.DUMMYFUNCTION("""COMPUTED_VALUE"""),"Y. Cadavid")</f>
        <v>Y. Cadavid</v>
      </c>
      <c r="BK32" s="11" t="str">
        <f>IFERROR(__xludf.DUMMYFUNCTION("""COMPUTED_VALUE"""),"Universidad de Antioquia")</f>
        <v>Universidad de Antioquia</v>
      </c>
      <c r="BL32" s="11" t="str">
        <f>IFERROR(__xludf.DUMMYFUNCTION("""COMPUTED_VALUE"""),"GASURE")</f>
        <v>GASURE</v>
      </c>
      <c r="BM32" s="11" t="str">
        <f>IFERROR(__xludf.DUMMYFUNCTION("""COMPUTED_VALUE"""),"Andrés A. Amell")</f>
        <v>Andrés A. Amell</v>
      </c>
      <c r="BN32" s="11" t="str">
        <f>IFERROR(__xludf.DUMMYFUNCTION("""COMPUTED_VALUE"""),"Universidad de Antioquia")</f>
        <v>Universidad de Antioquia</v>
      </c>
      <c r="BO32" s="11" t="str">
        <f>IFERROR(__xludf.DUMMYFUNCTION("""COMPUTED_VALUE"""),"GASURE")</f>
        <v>GASURE</v>
      </c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</row>
    <row r="33">
      <c r="A33" s="11" t="str">
        <f>IFERROR(__xludf.DUMMYFUNCTION("""COMPUTED_VALUE"""),"Proy8")</f>
        <v>Proy8</v>
      </c>
      <c r="B33" s="11" t="str">
        <f>IFERROR(__xludf.DUMMYFUNCTION("""COMPUTED_VALUE"""),"Apropiación")</f>
        <v>Apropiación</v>
      </c>
      <c r="C33" s="11" t="str">
        <f>IFERROR(__xludf.DUMMYFUNCTION("""COMPUTED_VALUE"""),"Ponencia")</f>
        <v>Ponencia</v>
      </c>
      <c r="D33" s="11" t="str">
        <f>IFERROR(__xludf.DUMMYFUNCTION("""COMPUTED_VALUE"""),"Ponencia")</f>
        <v>Ponencia</v>
      </c>
      <c r="E33" s="11" t="str">
        <f>IFERROR(__xludf.DUMMYFUNCTION("""COMPUTED_VALUE"""),"Evento científico")</f>
        <v>Evento científico</v>
      </c>
      <c r="F33" s="11" t="str">
        <f>IFERROR(__xludf.DUMMYFUNCTION("""COMPUTED_VALUE"""),"Cartilla")</f>
        <v>Cartilla</v>
      </c>
      <c r="G33" s="11" t="str">
        <f>IFERROR(__xludf.DUMMYFUNCTION("""COMPUTED_VALUE"""),"Curso de capacitación, seminario o taller")</f>
        <v>Curso de capacitación, seminario o taller</v>
      </c>
      <c r="H33" s="11" t="str">
        <f>IFERROR(__xludf.DUMMYFUNCTION("""COMPUTED_VALUE"""),"Socialización de resultados a actores del sector")</f>
        <v>Socialización de resultados a actores del sector</v>
      </c>
      <c r="I33" s="11" t="str">
        <f>IFERROR(__xludf.DUMMYFUNCTION("""COMPUTED_VALUE"""),"Articulación de redes de conocimiento")</f>
        <v>Articulación de redes de conocimiento</v>
      </c>
      <c r="J33" s="11" t="str">
        <f>IFERROR(__xludf.DUMMYFUNCTION("""COMPUTED_VALUE"""),"Circulación de conocimiento especializado - boletines")</f>
        <v>Circulación de conocimiento especializado - boletines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tr">
        <f>IFERROR(__xludf.DUMMYFUNCTION("""COMPUTED_VALUE"""),"Ninguna")</f>
        <v>Ninguna</v>
      </c>
      <c r="V33" s="11"/>
      <c r="W33" s="11" t="str">
        <f>IFERROR(__xludf.DUMMYFUNCTION("""COMPUTED_VALUE"""),"Programa")</f>
        <v>Programa</v>
      </c>
      <c r="X33" s="11" t="str">
        <f>IFERROR(__xludf.DUMMYFUNCTION("""COMPUTED_VALUE"""),"UdeA")</f>
        <v>UdeA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 t="str">
        <f>IFERROR(__xludf.DUMMYFUNCTION("""COMPUTED_VALUE"""),"Colaboración")</f>
        <v>Colaboración</v>
      </c>
      <c r="AL33" s="11" t="str">
        <f>IFERROR(__xludf.DUMMYFUNCTION("""COMPUTED_VALUE"""),"P12")</f>
        <v>P12</v>
      </c>
      <c r="AM33" s="11" t="str">
        <f>IFERROR(__xludf.DUMMYFUNCTION("""COMPUTED_VALUE"""),"Obligatorio")</f>
        <v>Obligatorio</v>
      </c>
      <c r="AN33" s="11">
        <f>IFERROR(__xludf.DUMMYFUNCTION("""COMPUTED_VALUE"""),4.0)</f>
        <v>4</v>
      </c>
      <c r="AO33" s="11">
        <f>IFERROR(__xludf.DUMMYFUNCTION("""COMPUTED_VALUE"""),4.0)</f>
        <v>4</v>
      </c>
      <c r="AP33" s="11">
        <f>IFERROR(__xludf.DUMMYFUNCTION("""COMPUTED_VALUE"""),2.0)</f>
        <v>2</v>
      </c>
      <c r="AQ33" s="11">
        <f>IFERROR(__xludf.DUMMYFUNCTION("""COMPUTED_VALUE"""),2.0)</f>
        <v>2</v>
      </c>
      <c r="AR33" s="11">
        <f>IFERROR(__xludf.DUMMYFUNCTION("""COMPUTED_VALUE"""),1.0)</f>
        <v>1</v>
      </c>
      <c r="AS33" s="11">
        <f>IFERROR(__xludf.DUMMYFUNCTION("""COMPUTED_VALUE"""),1.0)</f>
        <v>1</v>
      </c>
      <c r="AT33" s="11" t="str">
        <f>IFERROR(__xludf.DUMMYFUNCTION("""COMPUTED_VALUE"""),"III Conferencia Internacional de Biocombustibles")</f>
        <v>III Conferencia Internacional de Biocombustibles</v>
      </c>
      <c r="AU33" s="15" t="str">
        <f>IFERROR(__xludf.DUMMYFUNCTION("""COMPUTED_VALUE"""),"https://drive.google.com/file/d/17kyJRNYTKXQPdl0nESIuUDGEeuz7e4Tp/view?usp=sharing")</f>
        <v>https://drive.google.com/file/d/17kyJRNYTKXQPdl0nESIuUDGEeuz7e4Tp/view?usp=sharing</v>
      </c>
      <c r="AV33" s="11"/>
      <c r="AW33" s="11"/>
      <c r="AX33" s="11">
        <f>IFERROR(__xludf.DUMMYFUNCTION("""COMPUTED_VALUE"""),4.0)</f>
        <v>4</v>
      </c>
      <c r="AY33" s="4" t="str">
        <f>IFERROR(__xludf.DUMMYFUNCTION("""COMPUTED_VALUE"""),"Propiedades relevantes y evaluación de la calidad de dos tipos de combustibles
diésel mezclados con biocombustibles derivados del aceite de palma")</f>
        <v>Propiedades relevantes y evaluación de la calidad de dos tipos de combustibles
diésel mezclados con biocombustibles derivados del aceite de palma</v>
      </c>
      <c r="AZ33" s="11"/>
      <c r="BA33" s="11" t="str">
        <f>IFERROR(__xludf.DUMMYFUNCTION("""COMPUTED_VALUE"""),"Fernando Cardeño")</f>
        <v>Fernando Cardeño</v>
      </c>
      <c r="BB33" s="11" t="str">
        <f>IFERROR(__xludf.DUMMYFUNCTION("""COMPUTED_VALUE"""),"Universidad de Antioquia")</f>
        <v>Universidad de Antioquia</v>
      </c>
      <c r="BC33" s="11" t="str">
        <f>IFERROR(__xludf.DUMMYFUNCTION("""COMPUTED_VALUE"""),"GIMEL")</f>
        <v>GIMEL</v>
      </c>
      <c r="BD33" s="11" t="str">
        <f>IFERROR(__xludf.DUMMYFUNCTION("""COMPUTED_VALUE"""),"James Marín")</f>
        <v>James Marín</v>
      </c>
      <c r="BE33" s="11" t="str">
        <f>IFERROR(__xludf.DUMMYFUNCTION("""COMPUTED_VALUE"""),"Universidad de Antioquia")</f>
        <v>Universidad de Antioquia</v>
      </c>
      <c r="BF33" s="11" t="str">
        <f>IFERROR(__xludf.DUMMYFUNCTION("""COMPUTED_VALUE"""),"GIMEL")</f>
        <v>GIMEL</v>
      </c>
      <c r="BG33" s="11" t="str">
        <f>IFERROR(__xludf.DUMMYFUNCTION("""COMPUTED_VALUE"""),"Luis Rios")</f>
        <v>Luis Rios</v>
      </c>
      <c r="BH33" s="11" t="str">
        <f>IFERROR(__xludf.DUMMYFUNCTION("""COMPUTED_VALUE"""),"Universidad de Antioquia")</f>
        <v>Universidad de Antioquia</v>
      </c>
      <c r="BI33" s="11" t="str">
        <f>IFERROR(__xludf.DUMMYFUNCTION("""COMPUTED_VALUE"""),"GIMEL")</f>
        <v>GIMEL</v>
      </c>
      <c r="BJ33" s="11" t="str">
        <f>IFERROR(__xludf.DUMMYFUNCTION("""COMPUTED_VALUE"""),"John R. Agudelo")</f>
        <v>John R. Agudelo</v>
      </c>
      <c r="BK33" s="11" t="str">
        <f>IFERROR(__xludf.DUMMYFUNCTION("""COMPUTED_VALUE"""),"Universidad de Antioquia")</f>
        <v>Universidad de Antioquia</v>
      </c>
      <c r="BL33" s="11" t="str">
        <f>IFERROR(__xludf.DUMMYFUNCTION("""COMPUTED_VALUE"""),"GIMEL")</f>
        <v>GIMEL</v>
      </c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</row>
    <row r="34">
      <c r="A34" s="11" t="str">
        <f>IFERROR(__xludf.DUMMYFUNCTION("""COMPUTED_VALUE"""),"Proy8")</f>
        <v>Proy8</v>
      </c>
      <c r="B34" s="11" t="str">
        <f>IFERROR(__xludf.DUMMYFUNCTION("""COMPUTED_VALUE"""),"Apropiación")</f>
        <v>Apropiación</v>
      </c>
      <c r="C34" s="11" t="str">
        <f>IFERROR(__xludf.DUMMYFUNCTION("""COMPUTED_VALUE"""),"Ponencia")</f>
        <v>Ponencia</v>
      </c>
      <c r="D34" s="11" t="str">
        <f>IFERROR(__xludf.DUMMYFUNCTION("""COMPUTED_VALUE"""),"Ponencia")</f>
        <v>Ponencia</v>
      </c>
      <c r="E34" s="11" t="str">
        <f>IFERROR(__xludf.DUMMYFUNCTION("""COMPUTED_VALUE"""),"Evento científico")</f>
        <v>Evento científico</v>
      </c>
      <c r="F34" s="11" t="str">
        <f>IFERROR(__xludf.DUMMYFUNCTION("""COMPUTED_VALUE"""),"Cartilla")</f>
        <v>Cartilla</v>
      </c>
      <c r="G34" s="11" t="str">
        <f>IFERROR(__xludf.DUMMYFUNCTION("""COMPUTED_VALUE"""),"Curso de capacitación, seminario o taller")</f>
        <v>Curso de capacitación, seminario o taller</v>
      </c>
      <c r="H34" s="11" t="str">
        <f>IFERROR(__xludf.DUMMYFUNCTION("""COMPUTED_VALUE"""),"Socialización de resultados a actores del sector")</f>
        <v>Socialización de resultados a actores del sector</v>
      </c>
      <c r="I34" s="11" t="str">
        <f>IFERROR(__xludf.DUMMYFUNCTION("""COMPUTED_VALUE"""),"Articulación de redes de conocimiento")</f>
        <v>Articulación de redes de conocimiento</v>
      </c>
      <c r="J34" s="11" t="str">
        <f>IFERROR(__xludf.DUMMYFUNCTION("""COMPUTED_VALUE"""),"Circulación de conocimiento especializado - boletines")</f>
        <v>Circulación de conocimiento especializado - boletines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tr">
        <f>IFERROR(__xludf.DUMMYFUNCTION("""COMPUTED_VALUE"""),"Ninguna")</f>
        <v>Ninguna</v>
      </c>
      <c r="V34" s="11"/>
      <c r="W34" s="11" t="str">
        <f>IFERROR(__xludf.DUMMYFUNCTION("""COMPUTED_VALUE"""),"Proyecto")</f>
        <v>Proyecto</v>
      </c>
      <c r="X34" s="11" t="str">
        <f>IFERROR(__xludf.DUMMYFUNCTION("""COMPUTED_VALUE"""),"U. Sabana")</f>
        <v>U. Sabana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 t="str">
        <f>IFERROR(__xludf.DUMMYFUNCTION("""COMPUTED_VALUE"""),"Ninguna")</f>
        <v>Ninguna</v>
      </c>
      <c r="AL34" s="11"/>
      <c r="AM34" s="11" t="str">
        <f>IFERROR(__xludf.DUMMYFUNCTION("""COMPUTED_VALUE"""),"Obligatorio")</f>
        <v>Obligatorio</v>
      </c>
      <c r="AN34" s="11">
        <f>IFERROR(__xludf.DUMMYFUNCTION("""COMPUTED_VALUE"""),4.0)</f>
        <v>4</v>
      </c>
      <c r="AO34" s="11">
        <f>IFERROR(__xludf.DUMMYFUNCTION("""COMPUTED_VALUE"""),4.0)</f>
        <v>4</v>
      </c>
      <c r="AP34" s="11">
        <f>IFERROR(__xludf.DUMMYFUNCTION("""COMPUTED_VALUE"""),2.0)</f>
        <v>2</v>
      </c>
      <c r="AQ34" s="11">
        <f>IFERROR(__xludf.DUMMYFUNCTION("""COMPUTED_VALUE"""),2.0)</f>
        <v>2</v>
      </c>
      <c r="AR34" s="11">
        <f>IFERROR(__xludf.DUMMYFUNCTION("""COMPUTED_VALUE"""),1.0)</f>
        <v>1</v>
      </c>
      <c r="AS34" s="11">
        <f>IFERROR(__xludf.DUMMYFUNCTION("""COMPUTED_VALUE"""),1.0)</f>
        <v>1</v>
      </c>
      <c r="AT34" s="11" t="str">
        <f>IFERROR(__xludf.DUMMYFUNCTION("""COMPUTED_VALUE"""),"Evento Séneca")</f>
        <v>Evento Séneca</v>
      </c>
      <c r="AU34" s="15" t="str">
        <f>IFERROR(__xludf.DUMMYFUNCTION("""COMPUTED_VALUE"""),"https://drive.google.com/file/d/1BEZjtTE7mn9vy0q5c44kEBCOxbftgkGA/view?usp=sharing")</f>
        <v>https://drive.google.com/file/d/1BEZjtTE7mn9vy0q5c44kEBCOxbftgkGA/view?usp=sharing</v>
      </c>
      <c r="AV34" s="11"/>
      <c r="AW34" s="11"/>
      <c r="AX34" s="11">
        <f>IFERROR(__xludf.DUMMYFUNCTION("""COMPUTED_VALUE"""),4.0)</f>
        <v>4</v>
      </c>
      <c r="AY34" s="4" t="str">
        <f>IFERROR(__xludf.DUMMYFUNCTION("""COMPUTED_VALUE"""),"Modeling and simulation of a fixed
bed reactor for CO 2 capture through methanation")</f>
        <v>Modeling and simulation of a fixed
bed reactor for CO 2 capture through methanation</v>
      </c>
      <c r="AZ34" s="11"/>
      <c r="BA34" s="11" t="str">
        <f>IFERROR(__xludf.DUMMYFUNCTION("""COMPUTED_VALUE"""),"Santiago Ortiz")</f>
        <v>Santiago Ortiz</v>
      </c>
      <c r="BB34" s="11" t="str">
        <f>IFERROR(__xludf.DUMMYFUNCTION("""COMPUTED_VALUE"""),"Universidad de La
Sabana")</f>
        <v>Universidad de La
Sabana</v>
      </c>
      <c r="BC34" s="11" t="str">
        <f>IFERROR(__xludf.DUMMYFUNCTION("""COMPUTED_VALUE"""),"Laboratorio de Energia, MAteriales y Ambiente")</f>
        <v>Laboratorio de Energia, MAteriales y Ambiente</v>
      </c>
      <c r="BD34" s="11" t="str">
        <f>IFERROR(__xludf.DUMMYFUNCTION("""COMPUTED_VALUE"""),"Camilo Rengifo")</f>
        <v>Camilo Rengifo</v>
      </c>
      <c r="BE34" s="11" t="str">
        <f>IFERROR(__xludf.DUMMYFUNCTION("""COMPUTED_VALUE"""),"Universidad de La
Sabana")</f>
        <v>Universidad de La
Sabana</v>
      </c>
      <c r="BF34" s="11" t="str">
        <f>IFERROR(__xludf.DUMMYFUNCTION("""COMPUTED_VALUE"""),"Departamento de Matemáticas, Física y Estadística")</f>
        <v>Departamento de Matemáticas, Física y Estadística</v>
      </c>
      <c r="BG34" s="11" t="str">
        <f>IFERROR(__xludf.DUMMYFUNCTION("""COMPUTED_VALUE"""),"Martha Cobo")</f>
        <v>Martha Cobo</v>
      </c>
      <c r="BH34" s="11" t="str">
        <f>IFERROR(__xludf.DUMMYFUNCTION("""COMPUTED_VALUE"""),"Universidad de La
Sabana")</f>
        <v>Universidad de La
Sabana</v>
      </c>
      <c r="BI34" s="11" t="str">
        <f>IFERROR(__xludf.DUMMYFUNCTION("""COMPUTED_VALUE"""),"Laboratorio de Energia, MAteriales y Ambiente")</f>
        <v>Laboratorio de Energia, MAteriales y Ambiente</v>
      </c>
      <c r="BJ34" s="11" t="str">
        <f>IFERROR(__xludf.DUMMYFUNCTION("""COMPUTED_VALUE"""),"Manuel Figueredo")</f>
        <v>Manuel Figueredo</v>
      </c>
      <c r="BK34" s="11" t="str">
        <f>IFERROR(__xludf.DUMMYFUNCTION("""COMPUTED_VALUE"""),"Universidad de La
Sabana")</f>
        <v>Universidad de La
Sabana</v>
      </c>
      <c r="BL34" s="11" t="str">
        <f>IFERROR(__xludf.DUMMYFUNCTION("""COMPUTED_VALUE"""),"Laboratorio de Energia, MAteriales y Ambiente")</f>
        <v>Laboratorio de Energia, MAteriales y Ambiente</v>
      </c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</row>
    <row r="35">
      <c r="A35" s="11" t="str">
        <f>IFERROR(__xludf.DUMMYFUNCTION("""COMPUTED_VALUE"""),"Proy4")</f>
        <v>Proy4</v>
      </c>
      <c r="B35" s="11" t="str">
        <f>IFERROR(__xludf.DUMMYFUNCTION("""COMPUTED_VALUE"""),"Apropiación")</f>
        <v>Apropiación</v>
      </c>
      <c r="C35" s="11" t="str">
        <f>IFERROR(__xludf.DUMMYFUNCTION("""COMPUTED_VALUE"""),"Evento científico")</f>
        <v>Evento científico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tr">
        <f>IFERROR(__xludf.DUMMYFUNCTION("""COMPUTED_VALUE"""),"Aliados de Séneca")</f>
        <v>Aliados de Séneca</v>
      </c>
      <c r="V35" s="11" t="str">
        <f>IFERROR(__xludf.DUMMYFUNCTION("""COMPUTED_VALUE"""),"USP - Profesor Roberto Torresi")</f>
        <v>USP - Profesor Roberto Torresi</v>
      </c>
      <c r="W35" s="11" t="str">
        <f>IFERROR(__xludf.DUMMYFUNCTION("""COMPUTED_VALUE"""),"Proyecto")</f>
        <v>Proyecto</v>
      </c>
      <c r="X35" s="11" t="str">
        <f>IFERROR(__xludf.DUMMYFUNCTION("""COMPUTED_VALUE"""),"UdeA, UTCH")</f>
        <v>UdeA, UTCH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 t="str">
        <f>IFERROR(__xludf.DUMMYFUNCTION("""COMPUTED_VALUE"""),"Ninguna")</f>
        <v>Ninguna</v>
      </c>
      <c r="AL35" s="11"/>
      <c r="AM35" s="11" t="str">
        <f>IFERROR(__xludf.DUMMYFUNCTION("""COMPUTED_VALUE"""),"Obligatorio")</f>
        <v>Obligatorio</v>
      </c>
      <c r="AN35" s="11"/>
      <c r="AO35" s="11"/>
      <c r="AP35" s="11"/>
      <c r="AQ35" s="11"/>
      <c r="AR35" s="11"/>
      <c r="AS35" s="11"/>
      <c r="AT35" s="11" t="str">
        <f>IFERROR(__xludf.DUMMYFUNCTION("""COMPUTED_VALUE"""),"Evento científico - Curso de Almacenamiento Electroquímico de energía")</f>
        <v>Evento científico - Curso de Almacenamiento Electroquímico de energía</v>
      </c>
      <c r="AU35" s="11"/>
      <c r="AV35" s="11"/>
      <c r="AW35" s="11"/>
      <c r="AX35" s="11">
        <f>IFERROR(__xludf.DUMMYFUNCTION("""COMPUTED_VALUE"""),4.0)</f>
        <v>4</v>
      </c>
      <c r="AY35" s="4" t="str">
        <f>IFERROR(__xludf.DUMMYFUNCTION("""COMPUTED_VALUE"""),"Almacenamiento electroquímico de energía")</f>
        <v>Almacenamiento electroquímico de energía</v>
      </c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</row>
    <row r="36">
      <c r="A36" s="11" t="str">
        <f>IFERROR(__xludf.DUMMYFUNCTION("""COMPUTED_VALUE"""),"Proy3")</f>
        <v>Proy3</v>
      </c>
      <c r="B36" s="11" t="str">
        <f>IFERROR(__xludf.DUMMYFUNCTION("""COMPUTED_VALUE"""),"Apropiación")</f>
        <v>Apropiación</v>
      </c>
      <c r="C36" s="11" t="str">
        <f>IFERROR(__xludf.DUMMYFUNCTION("""COMPUTED_VALUE"""),"Ponencia")</f>
        <v>Ponencia</v>
      </c>
      <c r="D36" s="11" t="str">
        <f>IFERROR(__xludf.DUMMYFUNCTION("""COMPUTED_VALUE"""),"Ponencia")</f>
        <v>Ponencia</v>
      </c>
      <c r="E36" s="11" t="str">
        <f>IFERROR(__xludf.DUMMYFUNCTION("""COMPUTED_VALUE"""),"Evento científico")</f>
        <v>Evento científico</v>
      </c>
      <c r="F36" s="11" t="str">
        <f>IFERROR(__xludf.DUMMYFUNCTION("""COMPUTED_VALUE"""),"Cartilla")</f>
        <v>Cartilla</v>
      </c>
      <c r="G36" s="11" t="str">
        <f>IFERROR(__xludf.DUMMYFUNCTION("""COMPUTED_VALUE"""),"Curso de capacitación, seminario o taller")</f>
        <v>Curso de capacitación, seminario o taller</v>
      </c>
      <c r="H36" s="11" t="str">
        <f>IFERROR(__xludf.DUMMYFUNCTION("""COMPUTED_VALUE"""),"Socialización de resultados a actores del sector")</f>
        <v>Socialización de resultados a actores del sector</v>
      </c>
      <c r="I36" s="11" t="str">
        <f>IFERROR(__xludf.DUMMYFUNCTION("""COMPUTED_VALUE"""),"Articulación de redes de conocimiento")</f>
        <v>Articulación de redes de conocimiento</v>
      </c>
      <c r="J36" s="11" t="str">
        <f>IFERROR(__xludf.DUMMYFUNCTION("""COMPUTED_VALUE"""),"Circulación de conocimiento especializado - boletines")</f>
        <v>Circulación de conocimiento especializado - boletines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 t="str">
        <f>IFERROR(__xludf.DUMMYFUNCTION("""COMPUTED_VALUE"""),"Ninguna")</f>
        <v>Ninguna</v>
      </c>
      <c r="V36" s="11"/>
      <c r="W36" s="11" t="str">
        <f>IFERROR(__xludf.DUMMYFUNCTION("""COMPUTED_VALUE"""),"Proyecto")</f>
        <v>Proyecto</v>
      </c>
      <c r="X36" s="11" t="str">
        <f>IFERROR(__xludf.DUMMYFUNCTION("""COMPUTED_VALUE"""),"U. Pamplona")</f>
        <v>U. Pamplona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 t="str">
        <f>IFERROR(__xludf.DUMMYFUNCTION("""COMPUTED_VALUE"""),"Ninguna")</f>
        <v>Ninguna</v>
      </c>
      <c r="AL36" s="11"/>
      <c r="AM36" s="11" t="str">
        <f>IFERROR(__xludf.DUMMYFUNCTION("""COMPUTED_VALUE"""),"Obligatorio")</f>
        <v>Obligatorio</v>
      </c>
      <c r="AN36" s="11"/>
      <c r="AO36" s="11"/>
      <c r="AP36" s="11"/>
      <c r="AQ36" s="11"/>
      <c r="AR36" s="11"/>
      <c r="AS36" s="11"/>
      <c r="AT36" s="11" t="str">
        <f>IFERROR(__xludf.DUMMYFUNCTION("""COMPUTED_VALUE"""),"18th International Conference on Renewable Energies and Power Quality (ICREPQ’20)")</f>
        <v>18th International Conference on Renewable Energies and Power Quality (ICREPQ’20)</v>
      </c>
      <c r="AU36" s="15" t="str">
        <f>IFERROR(__xludf.DUMMYFUNCTION("""COMPUTED_VALUE"""),"https://drive.google.com/file/d/1uJB0MJ7-b51CL8xRaJn9on06u_DyIK0-/view?usp=sharing")</f>
        <v>https://drive.google.com/file/d/1uJB0MJ7-b51CL8xRaJn9on06u_DyIK0-/view?usp=sharing</v>
      </c>
      <c r="AV36" s="11"/>
      <c r="AW36" s="11"/>
      <c r="AX36" s="11">
        <f>IFERROR(__xludf.DUMMYFUNCTION("""COMPUTED_VALUE"""),4.0)</f>
        <v>4</v>
      </c>
      <c r="AY36" s="4" t="str">
        <f>IFERROR(__xludf.DUMMYFUNCTION("""COMPUTED_VALUE"""),"Statistical methodologies for wind resource analysis,
case: Catatumbo region - Norte de Santander, Colombia")</f>
        <v>Statistical methodologies for wind resource analysis,
case: Catatumbo region - Norte de Santander, Colombia</v>
      </c>
      <c r="AZ36" s="11"/>
      <c r="BA36" s="11" t="str">
        <f>IFERROR(__xludf.DUMMYFUNCTION("""COMPUTED_VALUE"""),"A.F. Lopez Rodriguez")</f>
        <v>A.F. Lopez Rodriguez</v>
      </c>
      <c r="BB36" s="11" t="str">
        <f>IFERROR(__xludf.DUMMYFUNCTION("""COMPUTED_VALUE"""),"Universidad de Pamplona")</f>
        <v>Universidad de Pamplona</v>
      </c>
      <c r="BC36" s="11" t="str">
        <f>IFERROR(__xludf.DUMMYFUNCTION("""COMPUTED_VALUE"""),"GIMUP")</f>
        <v>GIMUP</v>
      </c>
      <c r="BD36" s="11" t="str">
        <f>IFERROR(__xludf.DUMMYFUNCTION("""COMPUTED_VALUE"""),"J.C. Serrano Rico")</f>
        <v>J.C. Serrano Rico</v>
      </c>
      <c r="BE36" s="11" t="str">
        <f>IFERROR(__xludf.DUMMYFUNCTION("""COMPUTED_VALUE"""),"Universidad de Pamplona")</f>
        <v>Universidad de Pamplona</v>
      </c>
      <c r="BF36" s="11" t="str">
        <f>IFERROR(__xludf.DUMMYFUNCTION("""COMPUTED_VALUE"""),"GIMUP")</f>
        <v>GIMUP</v>
      </c>
      <c r="BG36" s="11" t="str">
        <f>IFERROR(__xludf.DUMMYFUNCTION("""COMPUTED_VALUE"""),"E.G. Florez Serrano")</f>
        <v>E.G. Florez Serrano</v>
      </c>
      <c r="BH36" s="11" t="str">
        <f>IFERROR(__xludf.DUMMYFUNCTION("""COMPUTED_VALUE"""),"Universidad de Pamplona")</f>
        <v>Universidad de Pamplona</v>
      </c>
      <c r="BI36" s="11" t="str">
        <f>IFERROR(__xludf.DUMMYFUNCTION("""COMPUTED_VALUE"""),"GIMUP")</f>
        <v>GIMUP</v>
      </c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</row>
    <row r="37">
      <c r="A37" s="11" t="str">
        <f>IFERROR(__xludf.DUMMYFUNCTION("""COMPUTED_VALUE"""),"Proy2")</f>
        <v>Proy2</v>
      </c>
      <c r="B37" s="11" t="str">
        <f>IFERROR(__xludf.DUMMYFUNCTION("""COMPUTED_VALUE"""),"Apropiación")</f>
        <v>Apropiación</v>
      </c>
      <c r="C37" s="11" t="str">
        <f>IFERROR(__xludf.DUMMYFUNCTION("""COMPUTED_VALUE"""),"Ponencia")</f>
        <v>Ponencia</v>
      </c>
      <c r="D37" s="11" t="str">
        <f>IFERROR(__xludf.DUMMYFUNCTION("""COMPUTED_VALUE"""),"Ponencia")</f>
        <v>Ponencia</v>
      </c>
      <c r="E37" s="11" t="str">
        <f>IFERROR(__xludf.DUMMYFUNCTION("""COMPUTED_VALUE"""),"Evento científico")</f>
        <v>Evento científico</v>
      </c>
      <c r="F37" s="11" t="str">
        <f>IFERROR(__xludf.DUMMYFUNCTION("""COMPUTED_VALUE"""),"Cartilla")</f>
        <v>Cartilla</v>
      </c>
      <c r="G37" s="11" t="str">
        <f>IFERROR(__xludf.DUMMYFUNCTION("""COMPUTED_VALUE"""),"Curso de capacitación, seminario o taller")</f>
        <v>Curso de capacitación, seminario o taller</v>
      </c>
      <c r="H37" s="11" t="str">
        <f>IFERROR(__xludf.DUMMYFUNCTION("""COMPUTED_VALUE"""),"Socialización de resultados a actores del sector")</f>
        <v>Socialización de resultados a actores del sector</v>
      </c>
      <c r="I37" s="11" t="str">
        <f>IFERROR(__xludf.DUMMYFUNCTION("""COMPUTED_VALUE"""),"Articulación de redes de conocimiento")</f>
        <v>Articulación de redes de conocimiento</v>
      </c>
      <c r="J37" s="11" t="str">
        <f>IFERROR(__xludf.DUMMYFUNCTION("""COMPUTED_VALUE"""),"Circulación de conocimiento especializado - boletines")</f>
        <v>Circulación de conocimiento especializado - boletines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 t="str">
        <f>IFERROR(__xludf.DUMMYFUNCTION("""COMPUTED_VALUE"""),"Ninguna")</f>
        <v>Ninguna</v>
      </c>
      <c r="V37" s="11"/>
      <c r="W37" s="11" t="str">
        <f>IFERROR(__xludf.DUMMYFUNCTION("""COMPUTED_VALUE"""),"Proyecto")</f>
        <v>Proyecto</v>
      </c>
      <c r="X37" s="11" t="str">
        <f>IFERROR(__xludf.DUMMYFUNCTION("""COMPUTED_VALUE"""),"UdeA")</f>
        <v>UdeA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 t="str">
        <f>IFERROR(__xludf.DUMMYFUNCTION("""COMPUTED_VALUE"""),"Ninguna")</f>
        <v>Ninguna</v>
      </c>
      <c r="AL37" s="11"/>
      <c r="AM37" s="11" t="str">
        <f>IFERROR(__xludf.DUMMYFUNCTION("""COMPUTED_VALUE"""),"Obligatorio")</f>
        <v>Obligatorio</v>
      </c>
      <c r="AN37" s="11">
        <f>IFERROR(__xludf.DUMMYFUNCTION("""COMPUTED_VALUE"""),7.0)</f>
        <v>7</v>
      </c>
      <c r="AO37" s="11">
        <f>IFERROR(__xludf.DUMMYFUNCTION("""COMPUTED_VALUE"""),7.0)</f>
        <v>7</v>
      </c>
      <c r="AP37" s="11">
        <f>IFERROR(__xludf.DUMMYFUNCTION("""COMPUTED_VALUE"""),1.0)</f>
        <v>1</v>
      </c>
      <c r="AQ37" s="11">
        <f>IFERROR(__xludf.DUMMYFUNCTION("""COMPUTED_VALUE"""),1.0)</f>
        <v>1</v>
      </c>
      <c r="AR37" s="11">
        <f>IFERROR(__xludf.DUMMYFUNCTION("""COMPUTED_VALUE"""),1.0)</f>
        <v>1</v>
      </c>
      <c r="AS37" s="11">
        <f>IFERROR(__xludf.DUMMYFUNCTION("""COMPUTED_VALUE"""),1.0)</f>
        <v>1</v>
      </c>
      <c r="AT37" s="11" t="str">
        <f>IFERROR(__xludf.DUMMYFUNCTION("""COMPUTED_VALUE"""),"Online International Conference on Hybrid and
Organic Photovoltaics")</f>
        <v>Online International Conference on Hybrid and
Organic Photovoltaics</v>
      </c>
      <c r="AU37" s="15" t="str">
        <f>IFERROR(__xludf.DUMMYFUNCTION("""COMPUTED_VALUE"""),"https://drive.google.com/file/d/1MFyDwG7rPZNCFj87gJkM3JqnJGRl5ZAj/view?usp=sharing")</f>
        <v>https://drive.google.com/file/d/1MFyDwG7rPZNCFj87gJkM3JqnJGRl5ZAj/view?usp=sharing</v>
      </c>
      <c r="AV37" s="11"/>
      <c r="AW37" s="11"/>
      <c r="AX37" s="11">
        <f>IFERROR(__xludf.DUMMYFUNCTION("""COMPUTED_VALUE"""),4.0)</f>
        <v>4</v>
      </c>
      <c r="AY37" s="4" t="str">
        <f>IFERROR(__xludf.DUMMYFUNCTION("""COMPUTED_VALUE"""),"Understanding perovskite ink dynamics inside a Slot-Die head toward high
reproducible layers.")</f>
        <v>Understanding perovskite ink dynamics inside a Slot-Die head toward high
reproducible layers.</v>
      </c>
      <c r="AZ37" s="11"/>
      <c r="BA37" s="11" t="str">
        <f>IFERROR(__xludf.DUMMYFUNCTION("""COMPUTED_VALUE"""),"J. Velásquez")</f>
        <v>J. Velásquez</v>
      </c>
      <c r="BB37" s="11" t="str">
        <f>IFERROR(__xludf.DUMMYFUNCTION("""COMPUTED_VALUE"""),"Universidad de Antioquia")</f>
        <v>Universidad de Antioquia</v>
      </c>
      <c r="BC37" s="11" t="str">
        <f>IFERROR(__xludf.DUMMYFUNCTION("""COMPUTED_VALUE"""),"CIDEMAT")</f>
        <v>CIDEMAT</v>
      </c>
      <c r="BD37" s="11" t="str">
        <f>IFERROR(__xludf.DUMMYFUNCTION("""COMPUTED_VALUE"""),"A. Flórez")</f>
        <v>A. Flórez</v>
      </c>
      <c r="BE37" s="11" t="str">
        <f>IFERROR(__xludf.DUMMYFUNCTION("""COMPUTED_VALUE"""),"Universidad de Antioquia")</f>
        <v>Universidad de Antioquia</v>
      </c>
      <c r="BF37" s="11" t="str">
        <f>IFERROR(__xludf.DUMMYFUNCTION("""COMPUTED_VALUE"""),"CIDEMAT")</f>
        <v>CIDEMAT</v>
      </c>
      <c r="BG37" s="11" t="str">
        <f>IFERROR(__xludf.DUMMYFUNCTION("""COMPUTED_VALUE"""),"J. Tirado")</f>
        <v>J. Tirado</v>
      </c>
      <c r="BH37" s="11" t="str">
        <f>IFERROR(__xludf.DUMMYFUNCTION("""COMPUTED_VALUE"""),"Universidad de Antioquia")</f>
        <v>Universidad de Antioquia</v>
      </c>
      <c r="BI37" s="11" t="str">
        <f>IFERROR(__xludf.DUMMYFUNCTION("""COMPUTED_VALUE"""),"CIDEMAT")</f>
        <v>CIDEMAT</v>
      </c>
      <c r="BJ37" s="11" t="str">
        <f>IFERROR(__xludf.DUMMYFUNCTION("""COMPUTED_VALUE"""),"D. Ramírez")</f>
        <v>D. Ramírez</v>
      </c>
      <c r="BK37" s="11" t="str">
        <f>IFERROR(__xludf.DUMMYFUNCTION("""COMPUTED_VALUE"""),"Universidad de Antioquia")</f>
        <v>Universidad de Antioquia</v>
      </c>
      <c r="BL37" s="11" t="str">
        <f>IFERROR(__xludf.DUMMYFUNCTION("""COMPUTED_VALUE"""),"CIDEMAT")</f>
        <v>CIDEMAT</v>
      </c>
      <c r="BM37" s="11" t="str">
        <f>IFERROR(__xludf.DUMMYFUNCTION("""COMPUTED_VALUE"""),"J.F. Montoya")</f>
        <v>J.F. Montoya</v>
      </c>
      <c r="BN37" s="11" t="str">
        <f>IFERROR(__xludf.DUMMYFUNCTION("""COMPUTED_VALUE"""),"Universidad de Antioquia")</f>
        <v>Universidad de Antioquia</v>
      </c>
      <c r="BO37" s="11" t="str">
        <f>IFERROR(__xludf.DUMMYFUNCTION("""COMPUTED_VALUE"""),"CIDEMAT")</f>
        <v>CIDEMAT</v>
      </c>
      <c r="BP37" s="11" t="str">
        <f>IFERROR(__xludf.DUMMYFUNCTION("""COMPUTED_VALUE"""),"R. Betancur")</f>
        <v>R. Betancur</v>
      </c>
      <c r="BQ37" s="11" t="str">
        <f>IFERROR(__xludf.DUMMYFUNCTION("""COMPUTED_VALUE"""),"Universidad de Antioquia")</f>
        <v>Universidad de Antioquia</v>
      </c>
      <c r="BR37" s="11" t="str">
        <f>IFERROR(__xludf.DUMMYFUNCTION("""COMPUTED_VALUE"""),"CIDEMAT")</f>
        <v>CIDEMAT</v>
      </c>
      <c r="BS37" s="11" t="str">
        <f>IFERROR(__xludf.DUMMYFUNCTION("""COMPUTED_VALUE"""),"Franklin Jaramillo")</f>
        <v>Franklin Jaramillo</v>
      </c>
      <c r="BT37" s="11" t="str">
        <f>IFERROR(__xludf.DUMMYFUNCTION("""COMPUTED_VALUE"""),"Universidad de Antioquia")</f>
        <v>Universidad de Antioquia</v>
      </c>
      <c r="BU37" s="11" t="str">
        <f>IFERROR(__xludf.DUMMYFUNCTION("""COMPUTED_VALUE"""),"CIDEMAT")</f>
        <v>CIDEMAT</v>
      </c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</row>
    <row r="38">
      <c r="A38" s="11" t="str">
        <f>IFERROR(__xludf.DUMMYFUNCTION("""COMPUTED_VALUE"""),"Proy9")</f>
        <v>Proy9</v>
      </c>
      <c r="B38" s="11" t="str">
        <f>IFERROR(__xludf.DUMMYFUNCTION("""COMPUTED_VALUE"""),"Apropiación")</f>
        <v>Apropiación</v>
      </c>
      <c r="C38" s="11" t="str">
        <f>IFERROR(__xludf.DUMMYFUNCTION("""COMPUTED_VALUE"""),"Ponencia")</f>
        <v>Ponencia</v>
      </c>
      <c r="D38" s="11" t="str">
        <f>IFERROR(__xludf.DUMMYFUNCTION("""COMPUTED_VALUE"""),"Ponencia")</f>
        <v>Ponencia</v>
      </c>
      <c r="E38" s="11" t="str">
        <f>IFERROR(__xludf.DUMMYFUNCTION("""COMPUTED_VALUE"""),"Evento científico")</f>
        <v>Evento científico</v>
      </c>
      <c r="F38" s="11" t="str">
        <f>IFERROR(__xludf.DUMMYFUNCTION("""COMPUTED_VALUE"""),"Cartilla")</f>
        <v>Cartilla</v>
      </c>
      <c r="G38" s="11" t="str">
        <f>IFERROR(__xludf.DUMMYFUNCTION("""COMPUTED_VALUE"""),"Curso de capacitación, seminario o taller")</f>
        <v>Curso de capacitación, seminario o taller</v>
      </c>
      <c r="H38" s="11" t="str">
        <f>IFERROR(__xludf.DUMMYFUNCTION("""COMPUTED_VALUE"""),"Socialización de resultados a actores del sector")</f>
        <v>Socialización de resultados a actores del sector</v>
      </c>
      <c r="I38" s="11" t="str">
        <f>IFERROR(__xludf.DUMMYFUNCTION("""COMPUTED_VALUE"""),"Articulación de redes de conocimiento")</f>
        <v>Articulación de redes de conocimiento</v>
      </c>
      <c r="J38" s="11" t="str">
        <f>IFERROR(__xludf.DUMMYFUNCTION("""COMPUTED_VALUE"""),"Circulación de conocimiento especializado - boletines")</f>
        <v>Circulación de conocimiento especializado - boletines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 t="str">
        <f>IFERROR(__xludf.DUMMYFUNCTION("""COMPUTED_VALUE"""),"Ninguna")</f>
        <v>Ninguna</v>
      </c>
      <c r="V38" s="11"/>
      <c r="W38" s="11" t="str">
        <f>IFERROR(__xludf.DUMMYFUNCTION("""COMPUTED_VALUE"""),"Proyecto")</f>
        <v>Proyecto</v>
      </c>
      <c r="X38" s="11" t="str">
        <f>IFERROR(__xludf.DUMMYFUNCTION("""COMPUTED_VALUE"""),"U. Guajira")</f>
        <v>U. Guajira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 t="str">
        <f>IFERROR(__xludf.DUMMYFUNCTION("""COMPUTED_VALUE"""),"Ninguna")</f>
        <v>Ninguna</v>
      </c>
      <c r="AL38" s="11"/>
      <c r="AM38" s="11" t="str">
        <f>IFERROR(__xludf.DUMMYFUNCTION("""COMPUTED_VALUE"""),"Obligatorio")</f>
        <v>Obligatorio</v>
      </c>
      <c r="AN38" s="11">
        <f>IFERROR(__xludf.DUMMYFUNCTION("""COMPUTED_VALUE"""),1.0)</f>
        <v>1</v>
      </c>
      <c r="AO38" s="11">
        <f>IFERROR(__xludf.DUMMYFUNCTION("""COMPUTED_VALUE"""),1.0)</f>
        <v>1</v>
      </c>
      <c r="AP38" s="11">
        <f>IFERROR(__xludf.DUMMYFUNCTION("""COMPUTED_VALUE"""),1.0)</f>
        <v>1</v>
      </c>
      <c r="AQ38" s="11">
        <f>IFERROR(__xludf.DUMMYFUNCTION("""COMPUTED_VALUE"""),1.0)</f>
        <v>1</v>
      </c>
      <c r="AR38" s="11">
        <f>IFERROR(__xludf.DUMMYFUNCTION("""COMPUTED_VALUE"""),1.0)</f>
        <v>1</v>
      </c>
      <c r="AS38" s="11">
        <f>IFERROR(__xludf.DUMMYFUNCTION("""COMPUTED_VALUE"""),1.0)</f>
        <v>1</v>
      </c>
      <c r="AT38" s="11" t="str">
        <f>IFERROR(__xludf.DUMMYFUNCTION("""COMPUTED_VALUE"""),"ISBN: 978-959-312-372-3. II Conferencia internacional de desarrollo energético sostenible 2019 ")</f>
        <v>ISBN: 978-959-312-372-3. II Conferencia internacional de desarrollo energético sostenible 2019 </v>
      </c>
      <c r="AU38" s="11" t="str">
        <f>IFERROR(__xludf.DUMMYFUNCTION("""COMPUTED_VALUE"""),"No ha suministrado el archivo")</f>
        <v>No ha suministrado el archivo</v>
      </c>
      <c r="AV38" s="11"/>
      <c r="AW38" s="11"/>
      <c r="AX38" s="11">
        <f>IFERROR(__xludf.DUMMYFUNCTION("""COMPUTED_VALUE"""),3.0)</f>
        <v>3</v>
      </c>
      <c r="AY38" s="4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</row>
    <row r="39">
      <c r="A39" s="11" t="str">
        <f>IFERROR(__xludf.DUMMYFUNCTION("""COMPUTED_VALUE"""),"Proy3")</f>
        <v>Proy3</v>
      </c>
      <c r="B39" s="11" t="str">
        <f>IFERROR(__xludf.DUMMYFUNCTION("""COMPUTED_VALUE"""),"Apropiación")</f>
        <v>Apropiación</v>
      </c>
      <c r="C39" s="11" t="str">
        <f>IFERROR(__xludf.DUMMYFUNCTION("""COMPUTED_VALUE"""),"Ponencia")</f>
        <v>Ponencia</v>
      </c>
      <c r="D39" s="11" t="str">
        <f>IFERROR(__xludf.DUMMYFUNCTION("""COMPUTED_VALUE"""),"Ponencia")</f>
        <v>Ponencia</v>
      </c>
      <c r="E39" s="11" t="str">
        <f>IFERROR(__xludf.DUMMYFUNCTION("""COMPUTED_VALUE"""),"Evento científico")</f>
        <v>Evento científico</v>
      </c>
      <c r="F39" s="11" t="str">
        <f>IFERROR(__xludf.DUMMYFUNCTION("""COMPUTED_VALUE"""),"Cartilla")</f>
        <v>Cartilla</v>
      </c>
      <c r="G39" s="11" t="str">
        <f>IFERROR(__xludf.DUMMYFUNCTION("""COMPUTED_VALUE"""),"Curso de capacitación, seminario o taller")</f>
        <v>Curso de capacitación, seminario o taller</v>
      </c>
      <c r="H39" s="11" t="str">
        <f>IFERROR(__xludf.DUMMYFUNCTION("""COMPUTED_VALUE"""),"Socialización de resultados a actores del sector")</f>
        <v>Socialización de resultados a actores del sector</v>
      </c>
      <c r="I39" s="11" t="str">
        <f>IFERROR(__xludf.DUMMYFUNCTION("""COMPUTED_VALUE"""),"Articulación de redes de conocimiento")</f>
        <v>Articulación de redes de conocimiento</v>
      </c>
      <c r="J39" s="11" t="str">
        <f>IFERROR(__xludf.DUMMYFUNCTION("""COMPUTED_VALUE"""),"Circulación de conocimiento especializado - boletines")</f>
        <v>Circulación de conocimiento especializado - boletines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 t="str">
        <f>IFERROR(__xludf.DUMMYFUNCTION("""COMPUTED_VALUE"""),"Ninguna")</f>
        <v>Ninguna</v>
      </c>
      <c r="V39" s="11"/>
      <c r="W39" s="11" t="str">
        <f>IFERROR(__xludf.DUMMYFUNCTION("""COMPUTED_VALUE"""),"Proyecto")</f>
        <v>Proyecto</v>
      </c>
      <c r="X39" s="11" t="str">
        <f>IFERROR(__xludf.DUMMYFUNCTION("""COMPUTED_VALUE"""),"UdeA , Universidad de Pamplona")</f>
        <v>UdeA , Universidad de Pamplona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 t="str">
        <f>IFERROR(__xludf.DUMMYFUNCTION("""COMPUTED_VALUE"""),"Ninguna")</f>
        <v>Ninguna</v>
      </c>
      <c r="AL39" s="11"/>
      <c r="AM39" s="11" t="str">
        <f>IFERROR(__xludf.DUMMYFUNCTION("""COMPUTED_VALUE"""),"Obligatorio")</f>
        <v>Obligatorio</v>
      </c>
      <c r="AN39" s="11">
        <f>IFERROR(__xludf.DUMMYFUNCTION("""COMPUTED_VALUE"""),3.0)</f>
        <v>3</v>
      </c>
      <c r="AO39" s="11">
        <f>IFERROR(__xludf.DUMMYFUNCTION("""COMPUTED_VALUE"""),2.0)</f>
        <v>2</v>
      </c>
      <c r="AP39" s="11">
        <f>IFERROR(__xludf.DUMMYFUNCTION("""COMPUTED_VALUE"""),2.0)</f>
        <v>2</v>
      </c>
      <c r="AQ39" s="11">
        <f>IFERROR(__xludf.DUMMYFUNCTION("""COMPUTED_VALUE"""),2.0)</f>
        <v>2</v>
      </c>
      <c r="AR39" s="11">
        <f>IFERROR(__xludf.DUMMYFUNCTION("""COMPUTED_VALUE"""),2.0)</f>
        <v>2</v>
      </c>
      <c r="AS39" s="11">
        <f>IFERROR(__xludf.DUMMYFUNCTION("""COMPUTED_VALUE"""),2.0)</f>
        <v>2</v>
      </c>
      <c r="AT39" s="11" t="str">
        <f>IFERROR(__xludf.DUMMYFUNCTION("""COMPUTED_VALUE"""),"CIBIM,CIBEM 2019, ISBN: 978-958-52438-5-9")</f>
        <v>CIBIM,CIBEM 2019, ISBN: 978-958-52438-5-9</v>
      </c>
      <c r="AU39" s="15" t="str">
        <f>IFERROR(__xludf.DUMMYFUNCTION("""COMPUTED_VALUE"""),"https://drive.google.com/open?id=1IwqYuiuxROfNVgwZ6HbBABP0ane-YJg2")</f>
        <v>https://drive.google.com/open?id=1IwqYuiuxROfNVgwZ6HbBABP0ane-YJg2</v>
      </c>
      <c r="AV39" s="11">
        <f>IFERROR(__xludf.DUMMYFUNCTION("""COMPUTED_VALUE"""),1256.0)</f>
        <v>1256</v>
      </c>
      <c r="AW39" s="11"/>
      <c r="AX39" s="11">
        <f>IFERROR(__xludf.DUMMYFUNCTION("""COMPUTED_VALUE"""),3.0)</f>
        <v>3</v>
      </c>
      <c r="AY39" s="4" t="str">
        <f>IFERROR(__xludf.DUMMYFUNCTION("""COMPUTED_VALUE"""),"MATERIALES BIOCOMPUESTOS CON FIBRAS NATURALES Y RESINA BIOEPOXY PARA UNA APLICACIÓN DE UN ALABE DE AEROGENERADOR")</f>
        <v>MATERIALES BIOCOMPUESTOS CON FIBRAS NATURALES Y RESINA BIOEPOXY PARA UNA APLICACIÓN DE UN ALABE DE AEROGENERADOR</v>
      </c>
      <c r="AZ39" s="11"/>
      <c r="BA39" s="11" t="str">
        <f>IFERROR(__xludf.DUMMYFUNCTION("""COMPUTED_VALUE"""),"Jonathan Javier Pabón Rojas")</f>
        <v>Jonathan Javier Pabón Rojas</v>
      </c>
      <c r="BB39" s="11" t="str">
        <f>IFERROR(__xludf.DUMMYFUNCTION("""COMPUTED_VALUE"""),"Universidad de Antioquia")</f>
        <v>Universidad de Antioquia</v>
      </c>
      <c r="BC39" s="11"/>
      <c r="BD39" s="11"/>
      <c r="BE39" s="11" t="str">
        <f>IFERROR(__xludf.DUMMYFUNCTION("""COMPUTED_VALUE"""),"Universidad de Pamplona")</f>
        <v>Universidad de Pamplona</v>
      </c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</row>
    <row r="40">
      <c r="A40" s="11" t="str">
        <f>IFERROR(__xludf.DUMMYFUNCTION("""COMPUTED_VALUE"""),"Proy1")</f>
        <v>Proy1</v>
      </c>
      <c r="B40" s="11" t="str">
        <f>IFERROR(__xludf.DUMMYFUNCTION("""COMPUTED_VALUE"""),"Apropiación")</f>
        <v>Apropiación</v>
      </c>
      <c r="C40" s="11" t="str">
        <f>IFERROR(__xludf.DUMMYFUNCTION("""COMPUTED_VALUE"""),"Ponencia")</f>
        <v>Ponencia</v>
      </c>
      <c r="D40" s="11" t="str">
        <f>IFERROR(__xludf.DUMMYFUNCTION("""COMPUTED_VALUE"""),"Ponencia")</f>
        <v>Ponencia</v>
      </c>
      <c r="E40" s="11" t="str">
        <f>IFERROR(__xludf.DUMMYFUNCTION("""COMPUTED_VALUE"""),"Evento científico")</f>
        <v>Evento científico</v>
      </c>
      <c r="F40" s="11" t="str">
        <f>IFERROR(__xludf.DUMMYFUNCTION("""COMPUTED_VALUE"""),"Cartilla")</f>
        <v>Cartilla</v>
      </c>
      <c r="G40" s="11" t="str">
        <f>IFERROR(__xludf.DUMMYFUNCTION("""COMPUTED_VALUE"""),"Curso de capacitación, seminario o taller")</f>
        <v>Curso de capacitación, seminario o taller</v>
      </c>
      <c r="H40" s="11" t="str">
        <f>IFERROR(__xludf.DUMMYFUNCTION("""COMPUTED_VALUE"""),"Socialización de resultados a actores del sector")</f>
        <v>Socialización de resultados a actores del sector</v>
      </c>
      <c r="I40" s="11" t="str">
        <f>IFERROR(__xludf.DUMMYFUNCTION("""COMPUTED_VALUE"""),"Articulación de redes de conocimiento")</f>
        <v>Articulación de redes de conocimiento</v>
      </c>
      <c r="J40" s="11" t="str">
        <f>IFERROR(__xludf.DUMMYFUNCTION("""COMPUTED_VALUE"""),"Circulación de conocimiento especializado - boletines")</f>
        <v>Circulación de conocimiento especializado - boletines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 t="str">
        <f>IFERROR(__xludf.DUMMYFUNCTION("""COMPUTED_VALUE"""),"Ninguna")</f>
        <v>Ninguna</v>
      </c>
      <c r="V40" s="11"/>
      <c r="W40" s="11" t="str">
        <f>IFERROR(__xludf.DUMMYFUNCTION("""COMPUTED_VALUE"""),"Proyecto")</f>
        <v>Proyecto</v>
      </c>
      <c r="X40" s="11" t="str">
        <f>IFERROR(__xludf.DUMMYFUNCTION("""COMPUTED_VALUE"""),"UdeA ")</f>
        <v>UdeA 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 t="str">
        <f>IFERROR(__xludf.DUMMYFUNCTION("""COMPUTED_VALUE"""),"Ninguna")</f>
        <v>Ninguna</v>
      </c>
      <c r="AL40" s="11"/>
      <c r="AM40" s="11" t="str">
        <f>IFERROR(__xludf.DUMMYFUNCTION("""COMPUTED_VALUE"""),"Adicional")</f>
        <v>Adicional</v>
      </c>
      <c r="AN40" s="11">
        <f>IFERROR(__xludf.DUMMYFUNCTION("""COMPUTED_VALUE"""),4.0)</f>
        <v>4</v>
      </c>
      <c r="AO40" s="11">
        <f>IFERROR(__xludf.DUMMYFUNCTION("""COMPUTED_VALUE"""),2.0)</f>
        <v>2</v>
      </c>
      <c r="AP40" s="11">
        <f>IFERROR(__xludf.DUMMYFUNCTION("""COMPUTED_VALUE"""),1.0)</f>
        <v>1</v>
      </c>
      <c r="AQ40" s="11">
        <f>IFERROR(__xludf.DUMMYFUNCTION("""COMPUTED_VALUE"""),1.0)</f>
        <v>1</v>
      </c>
      <c r="AR40" s="11">
        <f>IFERROR(__xludf.DUMMYFUNCTION("""COMPUTED_VALUE"""),1.0)</f>
        <v>1</v>
      </c>
      <c r="AS40" s="11">
        <f>IFERROR(__xludf.DUMMYFUNCTION("""COMPUTED_VALUE"""),1.0)</f>
        <v>1</v>
      </c>
      <c r="AT40" s="11" t="str">
        <f>IFERROR(__xludf.DUMMYFUNCTION("""COMPUTED_VALUE"""),"XII Congreso Colombiano de Métodos Numéricos")</f>
        <v>XII Congreso Colombiano de Métodos Numéricos</v>
      </c>
      <c r="AU40" s="15" t="str">
        <f>IFERROR(__xludf.DUMMYFUNCTION("""COMPUTED_VALUE"""),"https://drive.google.com/open?id=14SRTfTGeShI-h7dpAYxwNIfRQsszO5FG")</f>
        <v>https://drive.google.com/open?id=14SRTfTGeShI-h7dpAYxwNIfRQsszO5FG</v>
      </c>
      <c r="AV40" s="11">
        <f>IFERROR(__xludf.DUMMYFUNCTION("""COMPUTED_VALUE"""),1257.0)</f>
        <v>1257</v>
      </c>
      <c r="AW40" s="11"/>
      <c r="AX40" s="11">
        <f>IFERROR(__xludf.DUMMYFUNCTION("""COMPUTED_VALUE"""),3.0)</f>
        <v>3</v>
      </c>
      <c r="AY40" s="4" t="str">
        <f>IFERROR(__xludf.DUMMYFUNCTION("""COMPUTED_VALUE"""),"Diseño, simulación y comparación de dos turbinas hidrocinéticas tipo Gorlov y Darrieus H para generación de energía eléctrica a pequeña escala")</f>
        <v>Diseño, simulación y comparación de dos turbinas hidrocinéticas tipo Gorlov y Darrieus H para generación de energía eléctrica a pequeña escala</v>
      </c>
      <c r="AZ40" s="11" t="str">
        <f>IFERROR(__xludf.DUMMYFUNCTION("""COMPUTED_VALUE"""),"Informe 3")</f>
        <v>Informe 3</v>
      </c>
      <c r="BA40" s="11" t="str">
        <f>IFERROR(__xludf.DUMMYFUNCTION("""COMPUTED_VALUE"""),"Andrés Jahir Chalaca Salas")</f>
        <v>Andrés Jahir Chalaca Salas</v>
      </c>
      <c r="BB40" s="11" t="str">
        <f>IFERROR(__xludf.DUMMYFUNCTION("""COMPUTED_VALUE"""),"Universidad de Antioquia")</f>
        <v>Universidad de Antioquia</v>
      </c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</row>
    <row r="41">
      <c r="A41" s="11" t="str">
        <f>IFERROR(__xludf.DUMMYFUNCTION("""COMPUTED_VALUE"""),"Proy1")</f>
        <v>Proy1</v>
      </c>
      <c r="B41" s="11" t="str">
        <f>IFERROR(__xludf.DUMMYFUNCTION("""COMPUTED_VALUE"""),"Apropiación")</f>
        <v>Apropiación</v>
      </c>
      <c r="C41" s="11" t="str">
        <f>IFERROR(__xludf.DUMMYFUNCTION("""COMPUTED_VALUE"""),"Ponencia")</f>
        <v>Ponencia</v>
      </c>
      <c r="D41" s="11" t="str">
        <f>IFERROR(__xludf.DUMMYFUNCTION("""COMPUTED_VALUE"""),"Ponencia")</f>
        <v>Ponencia</v>
      </c>
      <c r="E41" s="11" t="str">
        <f>IFERROR(__xludf.DUMMYFUNCTION("""COMPUTED_VALUE"""),"Evento científico")</f>
        <v>Evento científico</v>
      </c>
      <c r="F41" s="11" t="str">
        <f>IFERROR(__xludf.DUMMYFUNCTION("""COMPUTED_VALUE"""),"Cartilla")</f>
        <v>Cartilla</v>
      </c>
      <c r="G41" s="11" t="str">
        <f>IFERROR(__xludf.DUMMYFUNCTION("""COMPUTED_VALUE"""),"Curso de capacitación, seminario o taller")</f>
        <v>Curso de capacitación, seminario o taller</v>
      </c>
      <c r="H41" s="11" t="str">
        <f>IFERROR(__xludf.DUMMYFUNCTION("""COMPUTED_VALUE"""),"Socialización de resultados a actores del sector")</f>
        <v>Socialización de resultados a actores del sector</v>
      </c>
      <c r="I41" s="11" t="str">
        <f>IFERROR(__xludf.DUMMYFUNCTION("""COMPUTED_VALUE"""),"Articulación de redes de conocimiento")</f>
        <v>Articulación de redes de conocimiento</v>
      </c>
      <c r="J41" s="11" t="str">
        <f>IFERROR(__xludf.DUMMYFUNCTION("""COMPUTED_VALUE"""),"Circulación de conocimiento especializado - boletines")</f>
        <v>Circulación de conocimiento especializado - boletines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 t="str">
        <f>IFERROR(__xludf.DUMMYFUNCTION("""COMPUTED_VALUE"""),"Ninguna")</f>
        <v>Ninguna</v>
      </c>
      <c r="V41" s="11"/>
      <c r="W41" s="11" t="str">
        <f>IFERROR(__xludf.DUMMYFUNCTION("""COMPUTED_VALUE"""),"Proyecto")</f>
        <v>Proyecto</v>
      </c>
      <c r="X41" s="11" t="str">
        <f>IFERROR(__xludf.DUMMYFUNCTION("""COMPUTED_VALUE"""),"UdeA ")</f>
        <v>UdeA 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 t="str">
        <f>IFERROR(__xludf.DUMMYFUNCTION("""COMPUTED_VALUE"""),"Ninguna")</f>
        <v>Ninguna</v>
      </c>
      <c r="AL41" s="11"/>
      <c r="AM41" s="11" t="str">
        <f>IFERROR(__xludf.DUMMYFUNCTION("""COMPUTED_VALUE"""),"Adicional")</f>
        <v>Adicional</v>
      </c>
      <c r="AN41" s="11">
        <f>IFERROR(__xludf.DUMMYFUNCTION("""COMPUTED_VALUE"""),2.0)</f>
        <v>2</v>
      </c>
      <c r="AO41" s="11">
        <f>IFERROR(__xludf.DUMMYFUNCTION("""COMPUTED_VALUE"""),2.0)</f>
        <v>2</v>
      </c>
      <c r="AP41" s="11">
        <f>IFERROR(__xludf.DUMMYFUNCTION("""COMPUTED_VALUE"""),1.0)</f>
        <v>1</v>
      </c>
      <c r="AQ41" s="11">
        <f>IFERROR(__xludf.DUMMYFUNCTION("""COMPUTED_VALUE"""),1.0)</f>
        <v>1</v>
      </c>
      <c r="AR41" s="11">
        <f>IFERROR(__xludf.DUMMYFUNCTION("""COMPUTED_VALUE"""),1.0)</f>
        <v>1</v>
      </c>
      <c r="AS41" s="11">
        <f>IFERROR(__xludf.DUMMYFUNCTION("""COMPUTED_VALUE"""),1.0)</f>
        <v>1</v>
      </c>
      <c r="AT41" s="11" t="str">
        <f>IFERROR(__xludf.DUMMYFUNCTION("""COMPUTED_VALUE"""),"IV REUNIÓN LATINOAMERICANA DE HIDROPOTENCIA Y SISTEMAS")</f>
        <v>IV REUNIÓN LATINOAMERICANA DE HIDROPOTENCIA Y SISTEMAS</v>
      </c>
      <c r="AU41" s="15" t="str">
        <f>IFERROR(__xludf.DUMMYFUNCTION("""COMPUTED_VALUE"""),"https://drive.google.com/open?id=1qbWxoaYqiu6OsFJMzQrdaoyoPmnUZcsM")</f>
        <v>https://drive.google.com/open?id=1qbWxoaYqiu6OsFJMzQrdaoyoPmnUZcsM</v>
      </c>
      <c r="AV41" s="11">
        <f>IFERROR(__xludf.DUMMYFUNCTION("""COMPUTED_VALUE"""),1258.0)</f>
        <v>1258</v>
      </c>
      <c r="AW41" s="11"/>
      <c r="AX41" s="11">
        <f>IFERROR(__xludf.DUMMYFUNCTION("""COMPUTED_VALUE"""),3.0)</f>
        <v>3</v>
      </c>
      <c r="AY41" s="4" t="str">
        <f>IFERROR(__xludf.DUMMYFUNCTION("""COMPUTED_VALUE"""),"EFFECT OF THE GEOMETRY OF THE INLET CHANNEL IN THE FORMATION OF VORTEX FOR A GRAVITATIONAL VORTEX TURBINE")</f>
        <v>EFFECT OF THE GEOMETRY OF THE INLET CHANNEL IN THE FORMATION OF VORTEX FOR A GRAVITATIONAL VORTEX TURBINE</v>
      </c>
      <c r="AZ41" s="11" t="str">
        <f>IFERROR(__xludf.DUMMYFUNCTION("""COMPUTED_VALUE"""),"Informe 3")</f>
        <v>Informe 3</v>
      </c>
      <c r="BA41" s="11" t="str">
        <f>IFERROR(__xludf.DUMMYFUNCTION("""COMPUTED_VALUE"""),"LAURA ISABEL VELÁSQUEZ GARCÍA")</f>
        <v>LAURA ISABEL VELÁSQUEZ GARCÍA</v>
      </c>
      <c r="BB41" s="11" t="str">
        <f>IFERROR(__xludf.DUMMYFUNCTION("""COMPUTED_VALUE"""),"Universidad de Antioquia")</f>
        <v>Universidad de Antioquia</v>
      </c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</row>
    <row r="42">
      <c r="A42" s="11" t="str">
        <f>IFERROR(__xludf.DUMMYFUNCTION("""COMPUTED_VALUE"""),"Proy3")</f>
        <v>Proy3</v>
      </c>
      <c r="B42" s="11" t="str">
        <f>IFERROR(__xludf.DUMMYFUNCTION("""COMPUTED_VALUE"""),"Apropiación")</f>
        <v>Apropiación</v>
      </c>
      <c r="C42" s="11" t="str">
        <f>IFERROR(__xludf.DUMMYFUNCTION("""COMPUTED_VALUE"""),"Ponencia")</f>
        <v>Ponencia</v>
      </c>
      <c r="D42" s="11" t="str">
        <f>IFERROR(__xludf.DUMMYFUNCTION("""COMPUTED_VALUE"""),"Ponencia")</f>
        <v>Ponencia</v>
      </c>
      <c r="E42" s="11" t="str">
        <f>IFERROR(__xludf.DUMMYFUNCTION("""COMPUTED_VALUE"""),"Evento científico")</f>
        <v>Evento científico</v>
      </c>
      <c r="F42" s="11" t="str">
        <f>IFERROR(__xludf.DUMMYFUNCTION("""COMPUTED_VALUE"""),"Cartilla")</f>
        <v>Cartilla</v>
      </c>
      <c r="G42" s="11" t="str">
        <f>IFERROR(__xludf.DUMMYFUNCTION("""COMPUTED_VALUE"""),"Curso de capacitación, seminario o taller")</f>
        <v>Curso de capacitación, seminario o taller</v>
      </c>
      <c r="H42" s="11" t="str">
        <f>IFERROR(__xludf.DUMMYFUNCTION("""COMPUTED_VALUE"""),"Socialización de resultados a actores del sector")</f>
        <v>Socialización de resultados a actores del sector</v>
      </c>
      <c r="I42" s="11" t="str">
        <f>IFERROR(__xludf.DUMMYFUNCTION("""COMPUTED_VALUE"""),"Articulación de redes de conocimiento")</f>
        <v>Articulación de redes de conocimiento</v>
      </c>
      <c r="J42" s="11" t="str">
        <f>IFERROR(__xludf.DUMMYFUNCTION("""COMPUTED_VALUE"""),"Circulación de conocimiento especializado - boletines")</f>
        <v>Circulación de conocimiento especializado - boletines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 t="str">
        <f>IFERROR(__xludf.DUMMYFUNCTION("""COMPUTED_VALUE"""),"Ninguna")</f>
        <v>Ninguna</v>
      </c>
      <c r="V42" s="11"/>
      <c r="W42" s="11" t="str">
        <f>IFERROR(__xludf.DUMMYFUNCTION("""COMPUTED_VALUE"""),"Proyecto")</f>
        <v>Proyecto</v>
      </c>
      <c r="X42" s="11" t="str">
        <f>IFERROR(__xludf.DUMMYFUNCTION("""COMPUTED_VALUE"""),"UdeA , Universidad de Pamplona")</f>
        <v>UdeA , Universidad de Pamplona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 t="str">
        <f>IFERROR(__xludf.DUMMYFUNCTION("""COMPUTED_VALUE"""),"Ninguna")</f>
        <v>Ninguna</v>
      </c>
      <c r="AL42" s="11"/>
      <c r="AM42" s="11" t="str">
        <f>IFERROR(__xludf.DUMMYFUNCTION("""COMPUTED_VALUE"""),"Obligatorio")</f>
        <v>Obligatorio</v>
      </c>
      <c r="AN42" s="11">
        <f>IFERROR(__xludf.DUMMYFUNCTION("""COMPUTED_VALUE"""),3.0)</f>
        <v>3</v>
      </c>
      <c r="AO42" s="11">
        <f>IFERROR(__xludf.DUMMYFUNCTION("""COMPUTED_VALUE"""),2.0)</f>
        <v>2</v>
      </c>
      <c r="AP42" s="11">
        <f>IFERROR(__xludf.DUMMYFUNCTION("""COMPUTED_VALUE"""),2.0)</f>
        <v>2</v>
      </c>
      <c r="AQ42" s="11">
        <f>IFERROR(__xludf.DUMMYFUNCTION("""COMPUTED_VALUE"""),2.0)</f>
        <v>2</v>
      </c>
      <c r="AR42" s="11">
        <f>IFERROR(__xludf.DUMMYFUNCTION("""COMPUTED_VALUE"""),2.0)</f>
        <v>2</v>
      </c>
      <c r="AS42" s="11">
        <f>IFERROR(__xludf.DUMMYFUNCTION("""COMPUTED_VALUE"""),2.0)</f>
        <v>2</v>
      </c>
      <c r="AT42" s="11" t="str">
        <f>IFERROR(__xludf.DUMMYFUNCTION("""COMPUTED_VALUE"""),"CIBIM,CIBEM 2019, ISBN: 978-958-52438-5-9")</f>
        <v>CIBIM,CIBEM 2019, ISBN: 978-958-52438-5-9</v>
      </c>
      <c r="AU42" s="15" t="str">
        <f>IFERROR(__xludf.DUMMYFUNCTION("""COMPUTED_VALUE"""),"https://drive.google.com/open?id=1NP9Pt0BwMKbxD6jnUH3UyjclUuBNGXlZ")</f>
        <v>https://drive.google.com/open?id=1NP9Pt0BwMKbxD6jnUH3UyjclUuBNGXlZ</v>
      </c>
      <c r="AV42" s="11"/>
      <c r="AW42" s="11"/>
      <c r="AX42" s="11">
        <f>IFERROR(__xludf.DUMMYFUNCTION("""COMPUTED_VALUE"""),3.0)</f>
        <v>3</v>
      </c>
      <c r="AY42" s="4" t="str">
        <f>IFERROR(__xludf.DUMMYFUNCTION("""COMPUTED_VALUE"""),"Estudio numérico de diferentes perfiles de álabe de una turbina eólica para el aprovechamiento de vientos de baja velocidad")</f>
        <v>Estudio numérico de diferentes perfiles de álabe de una turbina eólica para el aprovechamiento de vientos de baja velocidad</v>
      </c>
      <c r="AZ42" s="11"/>
      <c r="BA42" s="11" t="str">
        <f>IFERROR(__xludf.DUMMYFUNCTION("""COMPUTED_VALUE"""),"Luis A. Gallo")</f>
        <v>Luis A. Gallo</v>
      </c>
      <c r="BB42" s="11" t="str">
        <f>IFERROR(__xludf.DUMMYFUNCTION("""COMPUTED_VALUE"""),"Universidad de Antioquia")</f>
        <v>Universidad de Antioquia</v>
      </c>
      <c r="BC42" s="11" t="str">
        <f>IFERROR(__xludf.DUMMYFUNCTION("""COMPUTED_VALUE"""),"GEA")</f>
        <v>GEA</v>
      </c>
      <c r="BD42" s="11" t="str">
        <f>IFERROR(__xludf.DUMMYFUNCTION("""COMPUTED_VALUE"""),"Elkin Flórez")</f>
        <v>Elkin Flórez</v>
      </c>
      <c r="BE42" s="11" t="str">
        <f>IFERROR(__xludf.DUMMYFUNCTION("""COMPUTED_VALUE"""),"Universidad de Pamplona")</f>
        <v>Universidad de Pamplona</v>
      </c>
      <c r="BF42" s="11" t="str">
        <f>IFERROR(__xludf.DUMMYFUNCTION("""COMPUTED_VALUE"""),"GIMUP")</f>
        <v>GIMUP</v>
      </c>
      <c r="BG42" s="11" t="str">
        <f>IFERROR(__xludf.DUMMYFUNCTION("""COMPUTED_VALUE"""),"Edwin Lenin Chica Arrieta")</f>
        <v>Edwin Lenin Chica Arrieta</v>
      </c>
      <c r="BH42" s="11" t="str">
        <f>IFERROR(__xludf.DUMMYFUNCTION("""COMPUTED_VALUE"""),"Universidad de Antioquia")</f>
        <v>Universidad de Antioquia</v>
      </c>
      <c r="BI42" s="11" t="str">
        <f>IFERROR(__xludf.DUMMYFUNCTION("""COMPUTED_VALUE"""),"Departamento de Ingeniería Mecánica")</f>
        <v>Departamento de Ingeniería Mecánica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</row>
    <row r="43">
      <c r="A43" s="11" t="str">
        <f>IFERROR(__xludf.DUMMYFUNCTION("""COMPUTED_VALUE"""),"Proy6")</f>
        <v>Proy6</v>
      </c>
      <c r="B43" s="11" t="str">
        <f>IFERROR(__xludf.DUMMYFUNCTION("""COMPUTED_VALUE"""),"Apropiación")</f>
        <v>Apropiación</v>
      </c>
      <c r="C43" s="11" t="str">
        <f>IFERROR(__xludf.DUMMYFUNCTION("""COMPUTED_VALUE"""),"Ponencia")</f>
        <v>Ponencia</v>
      </c>
      <c r="D43" s="11" t="str">
        <f>IFERROR(__xludf.DUMMYFUNCTION("""COMPUTED_VALUE"""),"Ponencia")</f>
        <v>Ponencia</v>
      </c>
      <c r="E43" s="11" t="str">
        <f>IFERROR(__xludf.DUMMYFUNCTION("""COMPUTED_VALUE"""),"Evento científico")</f>
        <v>Evento científico</v>
      </c>
      <c r="F43" s="11" t="str">
        <f>IFERROR(__xludf.DUMMYFUNCTION("""COMPUTED_VALUE"""),"Cartilla")</f>
        <v>Cartilla</v>
      </c>
      <c r="G43" s="11" t="str">
        <f>IFERROR(__xludf.DUMMYFUNCTION("""COMPUTED_VALUE"""),"Curso de capacitación, seminario o taller")</f>
        <v>Curso de capacitación, seminario o taller</v>
      </c>
      <c r="H43" s="11" t="str">
        <f>IFERROR(__xludf.DUMMYFUNCTION("""COMPUTED_VALUE"""),"Socialización de resultados a actores del sector")</f>
        <v>Socialización de resultados a actores del sector</v>
      </c>
      <c r="I43" s="11" t="str">
        <f>IFERROR(__xludf.DUMMYFUNCTION("""COMPUTED_VALUE"""),"Articulación de redes de conocimiento")</f>
        <v>Articulación de redes de conocimiento</v>
      </c>
      <c r="J43" s="11" t="str">
        <f>IFERROR(__xludf.DUMMYFUNCTION("""COMPUTED_VALUE"""),"Circulación de conocimiento especializado - boletines")</f>
        <v>Circulación de conocimiento especializado - boletines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 t="str">
        <f>IFERROR(__xludf.DUMMYFUNCTION("""COMPUTED_VALUE"""),"Ninguna")</f>
        <v>Ninguna</v>
      </c>
      <c r="V43" s="11"/>
      <c r="W43" s="11" t="str">
        <f>IFERROR(__xludf.DUMMYFUNCTION("""COMPUTED_VALUE"""),"Proyecto")</f>
        <v>Proyecto</v>
      </c>
      <c r="X43" s="11" t="str">
        <f>IFERROR(__xludf.DUMMYFUNCTION("""COMPUTED_VALUE"""),"UdeA")</f>
        <v>UdeA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 t="str">
        <f>IFERROR(__xludf.DUMMYFUNCTION("""COMPUTED_VALUE"""),"Ninguna")</f>
        <v>Ninguna</v>
      </c>
      <c r="AL43" s="11"/>
      <c r="AM43" s="11" t="str">
        <f>IFERROR(__xludf.DUMMYFUNCTION("""COMPUTED_VALUE"""),"Obligatorio")</f>
        <v>Obligatorio</v>
      </c>
      <c r="AN43" s="11">
        <f>IFERROR(__xludf.DUMMYFUNCTION("""COMPUTED_VALUE"""),6.0)</f>
        <v>6</v>
      </c>
      <c r="AO43" s="11"/>
      <c r="AP43" s="11">
        <f>IFERROR(__xludf.DUMMYFUNCTION("""COMPUTED_VALUE"""),3.0)</f>
        <v>3</v>
      </c>
      <c r="AQ43" s="11">
        <f>IFERROR(__xludf.DUMMYFUNCTION("""COMPUTED_VALUE"""),3.0)</f>
        <v>3</v>
      </c>
      <c r="AR43" s="11">
        <f>IFERROR(__xludf.DUMMYFUNCTION("""COMPUTED_VALUE"""),1.0)</f>
        <v>1</v>
      </c>
      <c r="AS43" s="11">
        <f>IFERROR(__xludf.DUMMYFUNCTION("""COMPUTED_VALUE"""),1.0)</f>
        <v>1</v>
      </c>
      <c r="AT43" s="11" t="str">
        <f>IFERROR(__xludf.DUMMYFUNCTION("""COMPUTED_VALUE"""),"Congreso Internacional de Ingeniería con Impacto Social")</f>
        <v>Congreso Internacional de Ingeniería con Impacto Social</v>
      </c>
      <c r="AU43" s="15" t="str">
        <f>IFERROR(__xludf.DUMMYFUNCTION("""COMPUTED_VALUE"""),"https://drive.google.com/open?id=1ugtLd-k0aB28RID3Hgm1hk-d8SLn8abf")</f>
        <v>https://drive.google.com/open?id=1ugtLd-k0aB28RID3Hgm1hk-d8SLn8abf</v>
      </c>
      <c r="AV43" s="11"/>
      <c r="AW43" s="11"/>
      <c r="AX43" s="11">
        <f>IFERROR(__xludf.DUMMYFUNCTION("""COMPUTED_VALUE"""),3.0)</f>
        <v>3</v>
      </c>
      <c r="AY43" s="4" t="str">
        <f>IFERROR(__xludf.DUMMYFUNCTION("""COMPUTED_VALUE"""),"Biodigestión del POME como alternativa energética y ambiental en las extractoras de aceite de palma")</f>
        <v>Biodigestión del POME como alternativa energética y ambiental en las extractoras de aceite de palma</v>
      </c>
      <c r="AZ43" s="11"/>
      <c r="BA43" s="11" t="str">
        <f>IFERROR(__xludf.DUMMYFUNCTION("""COMPUTED_VALUE"""),"Domínguez, D")</f>
        <v>Domínguez, D</v>
      </c>
      <c r="BB43" s="11" t="str">
        <f>IFERROR(__xludf.DUMMYFUNCTION("""COMPUTED_VALUE"""),"Universidad de Antioquia")</f>
        <v>Universidad de Antioquia</v>
      </c>
      <c r="BC43" s="11"/>
      <c r="BD43" s="11" t="str">
        <f>IFERROR(__xludf.DUMMYFUNCTION("""COMPUTED_VALUE"""),"Mosquera, A.M")</f>
        <v>Mosquera, A.M</v>
      </c>
      <c r="BE43" s="11" t="str">
        <f>IFERROR(__xludf.DUMMYFUNCTION("""COMPUTED_VALUE"""),"Universidad de Antioquia")</f>
        <v>Universidad de Antioquia</v>
      </c>
      <c r="BF43" s="11"/>
      <c r="BG43" s="11" t="str">
        <f>IFERROR(__xludf.DUMMYFUNCTION("""COMPUTED_VALUE"""),"Ruiz, J.A")</f>
        <v>Ruiz, J.A</v>
      </c>
      <c r="BH43" s="11" t="str">
        <f>IFERROR(__xludf.DUMMYFUNCTION("""COMPUTED_VALUE"""),"Universidad de Antioquia")</f>
        <v>Universidad de Antioquia</v>
      </c>
      <c r="BI43" s="11"/>
      <c r="BJ43" s="11" t="str">
        <f>IFERROR(__xludf.DUMMYFUNCTION("""COMPUTED_VALUE"""),"Molina, F")</f>
        <v>Molina, F</v>
      </c>
      <c r="BK43" s="11" t="str">
        <f>IFERROR(__xludf.DUMMYFUNCTION("""COMPUTED_VALUE"""),"Universidad de Antioquia")</f>
        <v>Universidad de Antioquia</v>
      </c>
      <c r="BL43" s="11"/>
      <c r="BM43" s="11" t="str">
        <f>IFERROR(__xludf.DUMMYFUNCTION("""COMPUTED_VALUE"""),"Peláez, C")</f>
        <v>Peláez, C</v>
      </c>
      <c r="BN43" s="11" t="str">
        <f>IFERROR(__xludf.DUMMYFUNCTION("""COMPUTED_VALUE"""),"Universidad de Antioquia")</f>
        <v>Universidad de Antioquia</v>
      </c>
      <c r="BO43" s="11"/>
      <c r="BP43" s="11" t="str">
        <f>IFERROR(__xludf.DUMMYFUNCTION("""COMPUTED_VALUE"""),"Peñuela, M")</f>
        <v>Peñuela, M</v>
      </c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</row>
    <row r="44">
      <c r="A44" s="11" t="str">
        <f>IFERROR(__xludf.DUMMYFUNCTION("""COMPUTED_VALUE"""),"Proy1")</f>
        <v>Proy1</v>
      </c>
      <c r="B44" s="11" t="str">
        <f>IFERROR(__xludf.DUMMYFUNCTION("""COMPUTED_VALUE"""),"Apropiación")</f>
        <v>Apropiación</v>
      </c>
      <c r="C44" s="11" t="str">
        <f>IFERROR(__xludf.DUMMYFUNCTION("""COMPUTED_VALUE"""),"Ponencia")</f>
        <v>Ponencia</v>
      </c>
      <c r="D44" s="11" t="str">
        <f>IFERROR(__xludf.DUMMYFUNCTION("""COMPUTED_VALUE"""),"Ponencia")</f>
        <v>Ponencia</v>
      </c>
      <c r="E44" s="11" t="str">
        <f>IFERROR(__xludf.DUMMYFUNCTION("""COMPUTED_VALUE"""),"Evento científico")</f>
        <v>Evento científico</v>
      </c>
      <c r="F44" s="11" t="str">
        <f>IFERROR(__xludf.DUMMYFUNCTION("""COMPUTED_VALUE"""),"Cartilla")</f>
        <v>Cartilla</v>
      </c>
      <c r="G44" s="11" t="str">
        <f>IFERROR(__xludf.DUMMYFUNCTION("""COMPUTED_VALUE"""),"Curso de capacitación, seminario o taller")</f>
        <v>Curso de capacitación, seminario o taller</v>
      </c>
      <c r="H44" s="11" t="str">
        <f>IFERROR(__xludf.DUMMYFUNCTION("""COMPUTED_VALUE"""),"Socialización de resultados a actores del sector")</f>
        <v>Socialización de resultados a actores del sector</v>
      </c>
      <c r="I44" s="11" t="str">
        <f>IFERROR(__xludf.DUMMYFUNCTION("""COMPUTED_VALUE"""),"Articulación de redes de conocimiento")</f>
        <v>Articulación de redes de conocimiento</v>
      </c>
      <c r="J44" s="11" t="str">
        <f>IFERROR(__xludf.DUMMYFUNCTION("""COMPUTED_VALUE"""),"Circulación de conocimiento especializado - boletines")</f>
        <v>Circulación de conocimiento especializado - boletines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tr">
        <f>IFERROR(__xludf.DUMMYFUNCTION("""COMPUTED_VALUE"""),"Ninguna")</f>
        <v>Ninguna</v>
      </c>
      <c r="V44" s="11"/>
      <c r="W44" s="11" t="str">
        <f>IFERROR(__xludf.DUMMYFUNCTION("""COMPUTED_VALUE"""),"Proyecto")</f>
        <v>Proyecto</v>
      </c>
      <c r="X44" s="11" t="str">
        <f>IFERROR(__xludf.DUMMYFUNCTION("""COMPUTED_VALUE"""),"UdeA ")</f>
        <v>UdeA 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tr">
        <f>IFERROR(__xludf.DUMMYFUNCTION("""COMPUTED_VALUE"""),"Tecnológico de Antioquia")</f>
        <v>Tecnológico de Antioquia</v>
      </c>
      <c r="AK44" s="11" t="str">
        <f>IFERROR(__xludf.DUMMYFUNCTION("""COMPUTED_VALUE"""),"Ninguna")</f>
        <v>Ninguna</v>
      </c>
      <c r="AL44" s="11"/>
      <c r="AM44" s="11" t="str">
        <f>IFERROR(__xludf.DUMMYFUNCTION("""COMPUTED_VALUE"""),"Obligatorio")</f>
        <v>Obligatorio</v>
      </c>
      <c r="AN44" s="11">
        <f>IFERROR(__xludf.DUMMYFUNCTION("""COMPUTED_VALUE"""),3.0)</f>
        <v>3</v>
      </c>
      <c r="AO44" s="11">
        <f>IFERROR(__xludf.DUMMYFUNCTION("""COMPUTED_VALUE"""),1.0)</f>
        <v>1</v>
      </c>
      <c r="AP44" s="11">
        <f>IFERROR(__xludf.DUMMYFUNCTION("""COMPUTED_VALUE"""),2.0)</f>
        <v>2</v>
      </c>
      <c r="AQ44" s="11">
        <f>IFERROR(__xludf.DUMMYFUNCTION("""COMPUTED_VALUE"""),1.0)</f>
        <v>1</v>
      </c>
      <c r="AR44" s="11">
        <f>IFERROR(__xludf.DUMMYFUNCTION("""COMPUTED_VALUE"""),2.0)</f>
        <v>2</v>
      </c>
      <c r="AS44" s="11">
        <f>IFERROR(__xludf.DUMMYFUNCTION("""COMPUTED_VALUE"""),1.0)</f>
        <v>1</v>
      </c>
      <c r="AT44" s="11" t="str">
        <f>IFERROR(__xludf.DUMMYFUNCTION("""COMPUTED_VALUE"""),"ISBN: 978-84-09-08211-7, International Conference on Renewable Energies and Power Quality (ICREPQ’19)")</f>
        <v>ISBN: 978-84-09-08211-7, International Conference on Renewable Energies and Power Quality (ICREPQ’19)</v>
      </c>
      <c r="AU44" s="15" t="str">
        <f>IFERROR(__xludf.DUMMYFUNCTION("""COMPUTED_VALUE"""),"https://drive.google.com/open?id=1CaVs6N2A-SYPj78NA7u67xZCGUaebwCo")</f>
        <v>https://drive.google.com/open?id=1CaVs6N2A-SYPj78NA7u67xZCGUaebwCo</v>
      </c>
      <c r="AV44" s="11">
        <f>IFERROR(__xludf.DUMMYFUNCTION("""COMPUTED_VALUE"""),-300227.0)</f>
        <v>-300227</v>
      </c>
      <c r="AW44" s="11"/>
      <c r="AX44" s="11">
        <f>IFERROR(__xludf.DUMMYFUNCTION("""COMPUTED_VALUE"""),2.0)</f>
        <v>2</v>
      </c>
      <c r="AY44" s="4" t="str">
        <f>IFERROR(__xludf.DUMMYFUNCTION("""COMPUTED_VALUE"""),"Analysis of a lift augmented hydrofoil for hydrokinetic turbines")</f>
        <v>Analysis of a lift augmented hydrofoil for hydrokinetic turbines</v>
      </c>
      <c r="AZ44" s="11"/>
      <c r="BA44" s="11" t="str">
        <f>IFERROR(__xludf.DUMMYFUNCTION("""COMPUTED_VALUE"""),"Edwin Lenin Chica Arrieta")</f>
        <v>Edwin Lenin Chica Arrieta</v>
      </c>
      <c r="BB44" s="11" t="str">
        <f>IFERROR(__xludf.DUMMYFUNCTION("""COMPUTED_VALUE"""),"Universidad de Antioquia")</f>
        <v>Universidad de Antioquia</v>
      </c>
      <c r="BC44" s="11" t="str">
        <f>IFERROR(__xludf.DUMMYFUNCTION("""COMPUTED_VALUE"""),"Departamento de Ingeniería Mecánica")</f>
        <v>Departamento de Ingeniería Mecánica</v>
      </c>
      <c r="BD44" s="11" t="str">
        <f>IFERROR(__xludf.DUMMYFUNCTION("""COMPUTED_VALUE"""),"Ainhoa Rubio Clemente")</f>
        <v>Ainhoa Rubio Clemente</v>
      </c>
      <c r="BE44" s="11" t="str">
        <f>IFERROR(__xludf.DUMMYFUNCTION("""COMPUTED_VALUE"""),"Institución Universitaria TdeA")</f>
        <v>Institución Universitaria TdeA</v>
      </c>
      <c r="BF44" s="11" t="str">
        <f>IFERROR(__xludf.DUMMYFUNCTION("""COMPUTED_VALUE"""),"Facultad de Ingeniería")</f>
        <v>Facultad de Ingeniería</v>
      </c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</row>
    <row r="45">
      <c r="A45" s="11" t="str">
        <f>IFERROR(__xludf.DUMMYFUNCTION("""COMPUTED_VALUE"""),"Proy1")</f>
        <v>Proy1</v>
      </c>
      <c r="B45" s="11" t="str">
        <f>IFERROR(__xludf.DUMMYFUNCTION("""COMPUTED_VALUE"""),"Apropiación")</f>
        <v>Apropiación</v>
      </c>
      <c r="C45" s="11" t="str">
        <f>IFERROR(__xludf.DUMMYFUNCTION("""COMPUTED_VALUE"""),"Ponencia")</f>
        <v>Ponencia</v>
      </c>
      <c r="D45" s="11" t="str">
        <f>IFERROR(__xludf.DUMMYFUNCTION("""COMPUTED_VALUE"""),"Ponencia")</f>
        <v>Ponencia</v>
      </c>
      <c r="E45" s="11" t="str">
        <f>IFERROR(__xludf.DUMMYFUNCTION("""COMPUTED_VALUE"""),"Evento científico")</f>
        <v>Evento científico</v>
      </c>
      <c r="F45" s="11" t="str">
        <f>IFERROR(__xludf.DUMMYFUNCTION("""COMPUTED_VALUE"""),"Cartilla")</f>
        <v>Cartilla</v>
      </c>
      <c r="G45" s="11" t="str">
        <f>IFERROR(__xludf.DUMMYFUNCTION("""COMPUTED_VALUE"""),"Curso de capacitación, seminario o taller")</f>
        <v>Curso de capacitación, seminario o taller</v>
      </c>
      <c r="H45" s="11" t="str">
        <f>IFERROR(__xludf.DUMMYFUNCTION("""COMPUTED_VALUE"""),"Socialización de resultados a actores del sector")</f>
        <v>Socialización de resultados a actores del sector</v>
      </c>
      <c r="I45" s="11" t="str">
        <f>IFERROR(__xludf.DUMMYFUNCTION("""COMPUTED_VALUE"""),"Articulación de redes de conocimiento")</f>
        <v>Articulación de redes de conocimiento</v>
      </c>
      <c r="J45" s="11" t="str">
        <f>IFERROR(__xludf.DUMMYFUNCTION("""COMPUTED_VALUE"""),"Circulación de conocimiento especializado - boletines")</f>
        <v>Circulación de conocimiento especializado - boletines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 t="str">
        <f>IFERROR(__xludf.DUMMYFUNCTION("""COMPUTED_VALUE"""),"Ninguna")</f>
        <v>Ninguna</v>
      </c>
      <c r="V45" s="11"/>
      <c r="W45" s="11" t="str">
        <f>IFERROR(__xludf.DUMMYFUNCTION("""COMPUTED_VALUE"""),"Proyecto")</f>
        <v>Proyecto</v>
      </c>
      <c r="X45" s="11" t="str">
        <f>IFERROR(__xludf.DUMMYFUNCTION("""COMPUTED_VALUE"""),"UdeA ")</f>
        <v>UdeA 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 t="str">
        <f>IFERROR(__xludf.DUMMYFUNCTION("""COMPUTED_VALUE"""),"Tecnológico de Antioquia")</f>
        <v>Tecnológico de Antioquia</v>
      </c>
      <c r="AK45" s="11" t="str">
        <f>IFERROR(__xludf.DUMMYFUNCTION("""COMPUTED_VALUE"""),"Ninguna")</f>
        <v>Ninguna</v>
      </c>
      <c r="AL45" s="11"/>
      <c r="AM45" s="11" t="str">
        <f>IFERROR(__xludf.DUMMYFUNCTION("""COMPUTED_VALUE"""),"Obligatorio")</f>
        <v>Obligatorio</v>
      </c>
      <c r="AN45" s="11">
        <f>IFERROR(__xludf.DUMMYFUNCTION("""COMPUTED_VALUE"""),3.0)</f>
        <v>3</v>
      </c>
      <c r="AO45" s="11">
        <f>IFERROR(__xludf.DUMMYFUNCTION("""COMPUTED_VALUE"""),1.0)</f>
        <v>1</v>
      </c>
      <c r="AP45" s="11">
        <f>IFERROR(__xludf.DUMMYFUNCTION("""COMPUTED_VALUE"""),2.0)</f>
        <v>2</v>
      </c>
      <c r="AQ45" s="11">
        <f>IFERROR(__xludf.DUMMYFUNCTION("""COMPUTED_VALUE"""),1.0)</f>
        <v>1</v>
      </c>
      <c r="AR45" s="11">
        <f>IFERROR(__xludf.DUMMYFUNCTION("""COMPUTED_VALUE"""),2.0)</f>
        <v>2</v>
      </c>
      <c r="AS45" s="11">
        <f>IFERROR(__xludf.DUMMYFUNCTION("""COMPUTED_VALUE"""),1.0)</f>
        <v>1</v>
      </c>
      <c r="AT45" s="11" t="str">
        <f>IFERROR(__xludf.DUMMYFUNCTION("""COMPUTED_VALUE"""),"ISBN: 978-84-09-08211-7, International Conference on Renewable Energies and Power Quality (ICREPQ’19)")</f>
        <v>ISBN: 978-84-09-08211-7, International Conference on Renewable Energies and Power Quality (ICREPQ’19)</v>
      </c>
      <c r="AU45" s="15" t="str">
        <f>IFERROR(__xludf.DUMMYFUNCTION("""COMPUTED_VALUE"""),"https://drive.google.com/open?id=13UIuLW92HCoQS_85gpROVkKrBNvEwKMA")</f>
        <v>https://drive.google.com/open?id=13UIuLW92HCoQS_85gpROVkKrBNvEwKMA</v>
      </c>
      <c r="AV45" s="11">
        <f>IFERROR(__xludf.DUMMYFUNCTION("""COMPUTED_VALUE"""),-300196.0)</f>
        <v>-300196</v>
      </c>
      <c r="AW45" s="11"/>
      <c r="AX45" s="11">
        <f>IFERROR(__xludf.DUMMYFUNCTION("""COMPUTED_VALUE"""),2.0)</f>
        <v>2</v>
      </c>
      <c r="AY45" s="4" t="str">
        <f>IFERROR(__xludf.DUMMYFUNCTION("""COMPUTED_VALUE"""),"Shape optimization of a multi-element hydrofoil for hydrokinetic turbines using response surface methodology")</f>
        <v>Shape optimization of a multi-element hydrofoil for hydrokinetic turbines using response surface methodology</v>
      </c>
      <c r="AZ45" s="11"/>
      <c r="BA45" s="11" t="str">
        <f>IFERROR(__xludf.DUMMYFUNCTION("""COMPUTED_VALUE"""),"Ainhoa Rubio Clemente")</f>
        <v>Ainhoa Rubio Clemente</v>
      </c>
      <c r="BB45" s="11" t="str">
        <f>IFERROR(__xludf.DUMMYFUNCTION("""COMPUTED_VALUE"""),"Institución Universitaria TdeA")</f>
        <v>Institución Universitaria TdeA</v>
      </c>
      <c r="BC45" s="11" t="str">
        <f>IFERROR(__xludf.DUMMYFUNCTION("""COMPUTED_VALUE"""),"Facultad de Ingeniería")</f>
        <v>Facultad de Ingeniería</v>
      </c>
      <c r="BD45" s="11" t="str">
        <f>IFERROR(__xludf.DUMMYFUNCTION("""COMPUTED_VALUE"""),"Jonathan Aguilar ")</f>
        <v>Jonathan Aguilar </v>
      </c>
      <c r="BE45" s="11" t="str">
        <f>IFERROR(__xludf.DUMMYFUNCTION("""COMPUTED_VALUE"""),"Universidad de Antioquia")</f>
        <v>Universidad de Antioquia</v>
      </c>
      <c r="BF45" s="11" t="str">
        <f>IFERROR(__xludf.DUMMYFUNCTION("""COMPUTED_VALUE"""),"Departamento de Ingeniería Mecánica")</f>
        <v>Departamento de Ingeniería Mecánica</v>
      </c>
      <c r="BG45" s="11" t="str">
        <f>IFERROR(__xludf.DUMMYFUNCTION("""COMPUTED_VALUE"""),"Edwin Lenin Chica Arrieta")</f>
        <v>Edwin Lenin Chica Arrieta</v>
      </c>
      <c r="BH45" s="11" t="str">
        <f>IFERROR(__xludf.DUMMYFUNCTION("""COMPUTED_VALUE"""),"Universidad de Antioquia")</f>
        <v>Universidad de Antioquia</v>
      </c>
      <c r="BI45" s="11" t="str">
        <f>IFERROR(__xludf.DUMMYFUNCTION("""COMPUTED_VALUE"""),"Departamento de Ingeniería Mecánica")</f>
        <v>Departamento de Ingeniería Mecánica</v>
      </c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</row>
    <row r="46">
      <c r="A46" s="11" t="str">
        <f>IFERROR(__xludf.DUMMYFUNCTION("""COMPUTED_VALUE"""),"Proy1")</f>
        <v>Proy1</v>
      </c>
      <c r="B46" s="11" t="str">
        <f>IFERROR(__xludf.DUMMYFUNCTION("""COMPUTED_VALUE"""),"Apropiación")</f>
        <v>Apropiación</v>
      </c>
      <c r="C46" s="11" t="str">
        <f>IFERROR(__xludf.DUMMYFUNCTION("""COMPUTED_VALUE"""),"Ponencia")</f>
        <v>Ponencia</v>
      </c>
      <c r="D46" s="11" t="str">
        <f>IFERROR(__xludf.DUMMYFUNCTION("""COMPUTED_VALUE"""),"Ponencia")</f>
        <v>Ponencia</v>
      </c>
      <c r="E46" s="11" t="str">
        <f>IFERROR(__xludf.DUMMYFUNCTION("""COMPUTED_VALUE"""),"Evento científico")</f>
        <v>Evento científico</v>
      </c>
      <c r="F46" s="11" t="str">
        <f>IFERROR(__xludf.DUMMYFUNCTION("""COMPUTED_VALUE"""),"Cartilla")</f>
        <v>Cartilla</v>
      </c>
      <c r="G46" s="11" t="str">
        <f>IFERROR(__xludf.DUMMYFUNCTION("""COMPUTED_VALUE"""),"Curso de capacitación, seminario o taller")</f>
        <v>Curso de capacitación, seminario o taller</v>
      </c>
      <c r="H46" s="11" t="str">
        <f>IFERROR(__xludf.DUMMYFUNCTION("""COMPUTED_VALUE"""),"Socialización de resultados a actores del sector")</f>
        <v>Socialización de resultados a actores del sector</v>
      </c>
      <c r="I46" s="11" t="str">
        <f>IFERROR(__xludf.DUMMYFUNCTION("""COMPUTED_VALUE"""),"Articulación de redes de conocimiento")</f>
        <v>Articulación de redes de conocimiento</v>
      </c>
      <c r="J46" s="11" t="str">
        <f>IFERROR(__xludf.DUMMYFUNCTION("""COMPUTED_VALUE"""),"Circulación de conocimiento especializado - boletines")</f>
        <v>Circulación de conocimiento especializado - boletines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 t="str">
        <f>IFERROR(__xludf.DUMMYFUNCTION("""COMPUTED_VALUE"""),"Ninguna")</f>
        <v>Ninguna</v>
      </c>
      <c r="V46" s="11"/>
      <c r="W46" s="11" t="str">
        <f>IFERROR(__xludf.DUMMYFUNCTION("""COMPUTED_VALUE"""),"Proyecto")</f>
        <v>Proyecto</v>
      </c>
      <c r="X46" s="11" t="str">
        <f>IFERROR(__xludf.DUMMYFUNCTION("""COMPUTED_VALUE"""),"UdeA ")</f>
        <v>UdeA 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 t="str">
        <f>IFERROR(__xludf.DUMMYFUNCTION("""COMPUTED_VALUE"""),"Ninguna")</f>
        <v>Ninguna</v>
      </c>
      <c r="AL46" s="11"/>
      <c r="AM46" s="11" t="str">
        <f>IFERROR(__xludf.DUMMYFUNCTION("""COMPUTED_VALUE"""),"Obligatorio")</f>
        <v>Obligatorio</v>
      </c>
      <c r="AN46" s="11">
        <f>IFERROR(__xludf.DUMMYFUNCTION("""COMPUTED_VALUE"""),3.0)</f>
        <v>3</v>
      </c>
      <c r="AO46" s="11">
        <f>IFERROR(__xludf.DUMMYFUNCTION("""COMPUTED_VALUE"""),2.0)</f>
        <v>2</v>
      </c>
      <c r="AP46" s="11">
        <f>IFERROR(__xludf.DUMMYFUNCTION("""COMPUTED_VALUE"""),2.0)</f>
        <v>2</v>
      </c>
      <c r="AQ46" s="11">
        <f>IFERROR(__xludf.DUMMYFUNCTION("""COMPUTED_VALUE"""),2.0)</f>
        <v>2</v>
      </c>
      <c r="AR46" s="11">
        <f>IFERROR(__xludf.DUMMYFUNCTION("""COMPUTED_VALUE"""),1.0)</f>
        <v>1</v>
      </c>
      <c r="AS46" s="11">
        <f>IFERROR(__xludf.DUMMYFUNCTION("""COMPUTED_VALUE"""),1.0)</f>
        <v>1</v>
      </c>
      <c r="AT46" s="11" t="str">
        <f>IFERROR(__xludf.DUMMYFUNCTION("""COMPUTED_VALUE"""),"IX Congreso internacional de Ingeniería Mecánica y Mecatrónica y VII Congreso Internacional de Ingeniería Mecatrónica y Automatización. Universidad Nacional de Colombia. Bogotá 8 al 10 de mayo de 2019")</f>
        <v>IX Congreso internacional de Ingeniería Mecánica y Mecatrónica y VII Congreso Internacional de Ingeniería Mecatrónica y Automatización. Universidad Nacional de Colombia. Bogotá 8 al 10 de mayo de 2019</v>
      </c>
      <c r="AU46" s="15" t="str">
        <f>IFERROR(__xludf.DUMMYFUNCTION("""COMPUTED_VALUE"""),"https://drive.google.com/open?id=1pUrSL4X4jJH3sAVK-6bNmEJN-rS4Va8p")</f>
        <v>https://drive.google.com/open?id=1pUrSL4X4jJH3sAVK-6bNmEJN-rS4Va8p</v>
      </c>
      <c r="AV46" s="11">
        <f>IFERROR(__xludf.DUMMYFUNCTION("""COMPUTED_VALUE"""),-300168.0)</f>
        <v>-300168</v>
      </c>
      <c r="AW46" s="11"/>
      <c r="AX46" s="11">
        <f>IFERROR(__xludf.DUMMYFUNCTION("""COMPUTED_VALUE"""),2.0)</f>
        <v>2</v>
      </c>
      <c r="AY46" s="4" t="str">
        <f>IFERROR(__xludf.DUMMYFUNCTION("""COMPUTED_VALUE"""),"CARACTERIZACIÓN EXPERIMIENTAL DEL NYLON ANTE LOS FENÓMENOS DE EROSIÓN/CORROSIÓN/CAVITACIÓN PARA LA FABRICACIÓN DE ÁLABES DE TURBINAS HIDROCINÉTICAS")</f>
        <v>CARACTERIZACIÓN EXPERIMIENTAL DEL NYLON ANTE LOS FENÓMENOS DE EROSIÓN/CORROSIÓN/CAVITACIÓN PARA LA FABRICACIÓN DE ÁLABES DE TURBINAS HIDROCINÉTICAS</v>
      </c>
      <c r="AZ46" s="11"/>
      <c r="BA46" s="11" t="str">
        <f>IFERROR(__xludf.DUMMYFUNCTION("""COMPUTED_VALUE"""),"Usma Albert")</f>
        <v>Usma Albert</v>
      </c>
      <c r="BB46" s="11" t="str">
        <f>IFERROR(__xludf.DUMMYFUNCTION("""COMPUTED_VALUE"""),"Universidad de Antioquia")</f>
        <v>Universidad de Antioquia</v>
      </c>
      <c r="BC46" s="11" t="str">
        <f>IFERROR(__xludf.DUMMYFUNCTION("""COMPUTED_VALUE"""),"Departamento de Ingeniería Mecánica")</f>
        <v>Departamento de Ingeniería Mecánica</v>
      </c>
      <c r="BD46" s="11" t="str">
        <f>IFERROR(__xludf.DUMMYFUNCTION("""COMPUTED_VALUE"""),"Aristizábal R ")</f>
        <v>Aristizábal R </v>
      </c>
      <c r="BE46" s="11" t="str">
        <f>IFERROR(__xludf.DUMMYFUNCTION("""COMPUTED_VALUE"""),"Universidad de Antioquia")</f>
        <v>Universidad de Antioquia</v>
      </c>
      <c r="BF46" s="11" t="str">
        <f>IFERROR(__xludf.DUMMYFUNCTION("""COMPUTED_VALUE"""),"GIPIMME")</f>
        <v>GIPIMME</v>
      </c>
      <c r="BG46" s="11" t="str">
        <f>IFERROR(__xludf.DUMMYFUNCTION("""COMPUTED_VALUE"""),"Edwin Lenin Chica Arrieta")</f>
        <v>Edwin Lenin Chica Arrieta</v>
      </c>
      <c r="BH46" s="11" t="str">
        <f>IFERROR(__xludf.DUMMYFUNCTION("""COMPUTED_VALUE"""),"Universidad de Antioquia")</f>
        <v>Universidad de Antioquia</v>
      </c>
      <c r="BI46" s="11" t="str">
        <f>IFERROR(__xludf.DUMMYFUNCTION("""COMPUTED_VALUE"""),"Departamento de Ingeniería Mecánica")</f>
        <v>Departamento de Ingeniería Mecánica</v>
      </c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</row>
    <row r="47">
      <c r="AY47" s="4"/>
    </row>
    <row r="48">
      <c r="AY48" s="4"/>
    </row>
    <row r="49">
      <c r="AY49" s="4"/>
    </row>
    <row r="50">
      <c r="AY50" s="4"/>
    </row>
    <row r="51">
      <c r="AY51" s="4"/>
    </row>
    <row r="52">
      <c r="AY52" s="4"/>
    </row>
    <row r="53">
      <c r="AY53" s="4"/>
    </row>
    <row r="54">
      <c r="AY54" s="4"/>
    </row>
    <row r="55">
      <c r="AY55" s="4"/>
    </row>
    <row r="56">
      <c r="AY56" s="4"/>
    </row>
    <row r="57">
      <c r="AY57" s="4"/>
    </row>
    <row r="58">
      <c r="AY58" s="4"/>
    </row>
    <row r="59">
      <c r="AY59" s="4"/>
    </row>
    <row r="60">
      <c r="AY60" s="4"/>
    </row>
    <row r="61">
      <c r="AY61" s="4"/>
    </row>
    <row r="62">
      <c r="AY62" s="4"/>
    </row>
    <row r="63">
      <c r="AY63" s="4"/>
    </row>
    <row r="64">
      <c r="AY64" s="4"/>
    </row>
    <row r="65">
      <c r="AY65" s="4"/>
    </row>
    <row r="66">
      <c r="AY66" s="4"/>
    </row>
    <row r="67">
      <c r="AY67" s="4"/>
    </row>
    <row r="68">
      <c r="AY68" s="4"/>
    </row>
    <row r="69">
      <c r="AY69" s="4"/>
    </row>
    <row r="70">
      <c r="AY70" s="4"/>
    </row>
    <row r="71">
      <c r="AY71" s="4"/>
    </row>
    <row r="72">
      <c r="AY72" s="4"/>
    </row>
    <row r="73">
      <c r="AY73" s="4"/>
    </row>
    <row r="74">
      <c r="AY74" s="4"/>
    </row>
    <row r="75">
      <c r="AY75" s="4"/>
    </row>
    <row r="76">
      <c r="AY76" s="4"/>
    </row>
    <row r="77">
      <c r="AY77" s="4"/>
    </row>
    <row r="78">
      <c r="AY78" s="4"/>
    </row>
    <row r="79">
      <c r="AY79" s="4"/>
    </row>
    <row r="80">
      <c r="AY80" s="4"/>
    </row>
    <row r="81">
      <c r="AY81" s="4"/>
    </row>
    <row r="82">
      <c r="AY82" s="4"/>
    </row>
    <row r="83">
      <c r="AY83" s="4"/>
    </row>
    <row r="84">
      <c r="AY84" s="4"/>
    </row>
    <row r="85">
      <c r="AY85" s="4"/>
    </row>
    <row r="86">
      <c r="AY86" s="4"/>
    </row>
    <row r="87">
      <c r="AY87" s="4"/>
    </row>
    <row r="88">
      <c r="AY88" s="4"/>
    </row>
    <row r="89">
      <c r="AY89" s="4"/>
    </row>
    <row r="90">
      <c r="AY90" s="4"/>
    </row>
    <row r="91">
      <c r="AY91" s="4"/>
    </row>
    <row r="92">
      <c r="AY92" s="4"/>
    </row>
    <row r="93">
      <c r="AY93" s="4"/>
    </row>
    <row r="94">
      <c r="AY94" s="4"/>
    </row>
    <row r="95">
      <c r="AY95" s="4"/>
    </row>
    <row r="96">
      <c r="AY96" s="4"/>
    </row>
    <row r="97">
      <c r="AY97" s="4"/>
    </row>
    <row r="98">
      <c r="AY98" s="4"/>
    </row>
    <row r="99">
      <c r="AY99" s="4"/>
    </row>
    <row r="100">
      <c r="AY100" s="4"/>
    </row>
    <row r="101">
      <c r="AY101" s="4"/>
    </row>
    <row r="102">
      <c r="AY102" s="4"/>
    </row>
    <row r="103">
      <c r="AY103" s="4"/>
    </row>
    <row r="104">
      <c r="AY104" s="4"/>
    </row>
    <row r="105">
      <c r="AY105" s="4"/>
    </row>
    <row r="106">
      <c r="AY106" s="4"/>
    </row>
    <row r="107">
      <c r="AY107" s="4"/>
    </row>
    <row r="108">
      <c r="AY108" s="4"/>
    </row>
    <row r="109">
      <c r="AY109" s="4"/>
    </row>
    <row r="110">
      <c r="AY110" s="4"/>
    </row>
    <row r="111">
      <c r="AY111" s="4"/>
    </row>
    <row r="112">
      <c r="AY112" s="4"/>
    </row>
    <row r="113">
      <c r="AY113" s="4"/>
    </row>
    <row r="114">
      <c r="AY114" s="4"/>
    </row>
    <row r="115">
      <c r="AY115" s="4"/>
    </row>
    <row r="116">
      <c r="AY116" s="4"/>
    </row>
    <row r="117">
      <c r="AY117" s="4"/>
    </row>
    <row r="118">
      <c r="AY118" s="4"/>
    </row>
    <row r="119">
      <c r="AY119" s="4"/>
    </row>
    <row r="120">
      <c r="AY120" s="4"/>
    </row>
    <row r="121">
      <c r="AY121" s="4"/>
    </row>
    <row r="122">
      <c r="AY122" s="4"/>
    </row>
    <row r="123">
      <c r="AY123" s="4"/>
    </row>
    <row r="124">
      <c r="AY124" s="4"/>
    </row>
    <row r="125">
      <c r="AY125" s="4"/>
    </row>
    <row r="126">
      <c r="AY126" s="4"/>
    </row>
    <row r="127">
      <c r="AY127" s="4"/>
    </row>
    <row r="128">
      <c r="AY128" s="4"/>
    </row>
    <row r="129">
      <c r="AY129" s="4"/>
    </row>
    <row r="130">
      <c r="AY130" s="4"/>
    </row>
    <row r="131">
      <c r="AY131" s="4"/>
    </row>
    <row r="132">
      <c r="AY132" s="4"/>
    </row>
    <row r="133">
      <c r="AY133" s="4"/>
    </row>
    <row r="134">
      <c r="AY134" s="4"/>
    </row>
    <row r="135">
      <c r="AY135" s="4"/>
    </row>
    <row r="136">
      <c r="AY136" s="4"/>
    </row>
    <row r="137">
      <c r="AY137" s="4"/>
    </row>
    <row r="138">
      <c r="AY138" s="4"/>
    </row>
    <row r="139">
      <c r="AY139" s="4"/>
    </row>
    <row r="140">
      <c r="AY140" s="4"/>
    </row>
    <row r="141">
      <c r="AY141" s="4"/>
    </row>
    <row r="142">
      <c r="AY142" s="4"/>
    </row>
    <row r="143">
      <c r="AY143" s="4"/>
    </row>
    <row r="144">
      <c r="AY144" s="4"/>
    </row>
    <row r="145">
      <c r="AY145" s="4"/>
    </row>
    <row r="146">
      <c r="AY146" s="4"/>
    </row>
    <row r="147">
      <c r="AY147" s="4"/>
    </row>
    <row r="148">
      <c r="AY148" s="4"/>
    </row>
    <row r="149">
      <c r="AY149" s="4"/>
    </row>
    <row r="150">
      <c r="AY150" s="4"/>
    </row>
    <row r="151">
      <c r="AY151" s="4"/>
    </row>
    <row r="152">
      <c r="AY152" s="4"/>
    </row>
    <row r="153">
      <c r="AY153" s="4"/>
    </row>
    <row r="154">
      <c r="AY154" s="4"/>
    </row>
    <row r="155">
      <c r="AY155" s="4"/>
    </row>
    <row r="156">
      <c r="AY156" s="4"/>
    </row>
    <row r="157">
      <c r="AY157" s="4"/>
    </row>
    <row r="158">
      <c r="AY158" s="4"/>
    </row>
    <row r="159">
      <c r="AY159" s="4"/>
    </row>
    <row r="160">
      <c r="AY160" s="4"/>
    </row>
    <row r="161">
      <c r="AY161" s="4"/>
    </row>
    <row r="162">
      <c r="AY162" s="4"/>
    </row>
    <row r="163">
      <c r="AY163" s="4"/>
    </row>
    <row r="164">
      <c r="AY164" s="4"/>
    </row>
    <row r="165">
      <c r="AY165" s="4"/>
    </row>
    <row r="166">
      <c r="AY166" s="4"/>
    </row>
    <row r="167">
      <c r="AY167" s="4"/>
    </row>
    <row r="168">
      <c r="AY168" s="4"/>
    </row>
    <row r="169">
      <c r="AY169" s="4"/>
    </row>
    <row r="170">
      <c r="AY170" s="4"/>
    </row>
    <row r="171">
      <c r="AY171" s="4"/>
    </row>
    <row r="172">
      <c r="AY172" s="4"/>
    </row>
    <row r="173">
      <c r="AY173" s="4"/>
    </row>
    <row r="174">
      <c r="AY174" s="4"/>
    </row>
    <row r="175">
      <c r="AY175" s="4"/>
    </row>
    <row r="176">
      <c r="AY176" s="4"/>
    </row>
    <row r="177">
      <c r="AY177" s="4"/>
    </row>
    <row r="178">
      <c r="AY178" s="4"/>
    </row>
    <row r="179">
      <c r="AY179" s="4"/>
    </row>
    <row r="180">
      <c r="AY180" s="4"/>
    </row>
    <row r="181">
      <c r="AY181" s="4"/>
    </row>
    <row r="182">
      <c r="AY182" s="4"/>
    </row>
    <row r="183">
      <c r="AY183" s="4"/>
    </row>
    <row r="184">
      <c r="AY184" s="4"/>
    </row>
    <row r="185">
      <c r="AY185" s="4"/>
    </row>
    <row r="186">
      <c r="AY186" s="4"/>
    </row>
    <row r="187">
      <c r="AY187" s="4"/>
    </row>
    <row r="188">
      <c r="AY188" s="4"/>
    </row>
    <row r="189">
      <c r="AY189" s="4"/>
    </row>
    <row r="190">
      <c r="AY190" s="4"/>
    </row>
    <row r="191">
      <c r="AY191" s="4"/>
    </row>
    <row r="192">
      <c r="AY192" s="4"/>
    </row>
    <row r="193">
      <c r="AY193" s="4"/>
    </row>
    <row r="194">
      <c r="AY194" s="4"/>
    </row>
    <row r="195">
      <c r="AY195" s="4"/>
    </row>
    <row r="196">
      <c r="AY196" s="4"/>
    </row>
    <row r="197">
      <c r="AY197" s="4"/>
    </row>
    <row r="198">
      <c r="AY198" s="4"/>
    </row>
    <row r="199">
      <c r="AY199" s="4"/>
    </row>
    <row r="200">
      <c r="AY200" s="4"/>
    </row>
    <row r="201">
      <c r="AY201" s="4"/>
    </row>
    <row r="202">
      <c r="AY202" s="4"/>
    </row>
    <row r="203">
      <c r="AY203" s="4"/>
    </row>
    <row r="204">
      <c r="AY204" s="4"/>
    </row>
    <row r="205">
      <c r="AY205" s="4"/>
    </row>
    <row r="206">
      <c r="AY206" s="4"/>
    </row>
    <row r="207">
      <c r="AY207" s="4"/>
    </row>
    <row r="208">
      <c r="AY208" s="4"/>
    </row>
    <row r="209">
      <c r="AY209" s="4"/>
    </row>
    <row r="210">
      <c r="AY210" s="4"/>
    </row>
    <row r="211">
      <c r="AY211" s="4"/>
    </row>
    <row r="212">
      <c r="AY212" s="4"/>
    </row>
    <row r="213">
      <c r="AY213" s="4"/>
    </row>
    <row r="214">
      <c r="AY214" s="4"/>
    </row>
    <row r="215">
      <c r="AY215" s="4"/>
    </row>
    <row r="216">
      <c r="AY216" s="4"/>
    </row>
    <row r="217">
      <c r="AY217" s="4"/>
    </row>
    <row r="218">
      <c r="AY218" s="4"/>
    </row>
    <row r="219">
      <c r="AY219" s="4"/>
    </row>
    <row r="220">
      <c r="AY220" s="4"/>
    </row>
    <row r="221">
      <c r="AY221" s="4"/>
    </row>
    <row r="222">
      <c r="AY222" s="4"/>
    </row>
    <row r="223">
      <c r="AY223" s="4"/>
    </row>
    <row r="224">
      <c r="AY224" s="4"/>
    </row>
    <row r="225">
      <c r="AY225" s="4"/>
    </row>
    <row r="226">
      <c r="AY226" s="4"/>
    </row>
    <row r="227">
      <c r="AY227" s="4"/>
    </row>
    <row r="228">
      <c r="AY228" s="4"/>
    </row>
    <row r="229">
      <c r="AY229" s="4"/>
    </row>
    <row r="230">
      <c r="AY230" s="4"/>
    </row>
    <row r="231">
      <c r="AY231" s="4"/>
    </row>
    <row r="232">
      <c r="AY232" s="4"/>
    </row>
    <row r="233">
      <c r="AY233" s="4"/>
    </row>
    <row r="234">
      <c r="AY234" s="4"/>
    </row>
    <row r="235">
      <c r="AY235" s="4"/>
    </row>
    <row r="236">
      <c r="AY236" s="4"/>
    </row>
    <row r="237">
      <c r="AY237" s="4"/>
    </row>
    <row r="238">
      <c r="AY238" s="4"/>
    </row>
    <row r="239">
      <c r="AY239" s="4"/>
    </row>
    <row r="240">
      <c r="AY240" s="4"/>
    </row>
    <row r="241">
      <c r="AY241" s="4"/>
    </row>
    <row r="242">
      <c r="AY242" s="4"/>
    </row>
    <row r="243">
      <c r="AY243" s="4"/>
    </row>
    <row r="244">
      <c r="AY244" s="4"/>
    </row>
    <row r="245">
      <c r="AY245" s="4"/>
    </row>
    <row r="246">
      <c r="AY246" s="4"/>
    </row>
    <row r="247">
      <c r="AY247" s="4"/>
    </row>
    <row r="248">
      <c r="AY248" s="4"/>
    </row>
    <row r="249">
      <c r="AY249" s="4"/>
    </row>
    <row r="250">
      <c r="AY250" s="4"/>
    </row>
    <row r="251">
      <c r="AY251" s="4"/>
    </row>
    <row r="252">
      <c r="AY252" s="4"/>
    </row>
    <row r="253">
      <c r="AY253" s="4"/>
    </row>
    <row r="254">
      <c r="AY254" s="4"/>
    </row>
    <row r="255">
      <c r="AY255" s="4"/>
    </row>
    <row r="256">
      <c r="AY256" s="4"/>
    </row>
    <row r="257">
      <c r="AY257" s="4"/>
    </row>
    <row r="258">
      <c r="AY258" s="4"/>
    </row>
    <row r="259">
      <c r="AY259" s="4"/>
    </row>
    <row r="260">
      <c r="AY260" s="4"/>
    </row>
    <row r="261">
      <c r="AY261" s="4"/>
    </row>
    <row r="262">
      <c r="AY262" s="4"/>
    </row>
    <row r="263">
      <c r="AY263" s="4"/>
    </row>
    <row r="264">
      <c r="AY264" s="4"/>
    </row>
    <row r="265">
      <c r="AY265" s="4"/>
    </row>
    <row r="266">
      <c r="AY266" s="4"/>
    </row>
    <row r="267">
      <c r="AY267" s="4"/>
    </row>
    <row r="268">
      <c r="AY268" s="4"/>
    </row>
    <row r="269">
      <c r="AY269" s="4"/>
    </row>
    <row r="270">
      <c r="AY270" s="4"/>
    </row>
    <row r="271">
      <c r="AY271" s="4"/>
    </row>
    <row r="272">
      <c r="AY272" s="4"/>
    </row>
    <row r="273">
      <c r="AY273" s="4"/>
    </row>
    <row r="274">
      <c r="AY274" s="4"/>
    </row>
    <row r="275">
      <c r="AY275" s="4"/>
    </row>
    <row r="276">
      <c r="AY276" s="4"/>
    </row>
    <row r="277">
      <c r="AY277" s="4"/>
    </row>
    <row r="278">
      <c r="AY278" s="4"/>
    </row>
    <row r="279">
      <c r="AY279" s="4"/>
    </row>
    <row r="280">
      <c r="AY280" s="4"/>
    </row>
    <row r="281">
      <c r="AY281" s="4"/>
    </row>
    <row r="282">
      <c r="AY282" s="4"/>
    </row>
    <row r="283">
      <c r="AY283" s="4"/>
    </row>
    <row r="284">
      <c r="AY284" s="4"/>
    </row>
    <row r="285">
      <c r="AY285" s="4"/>
    </row>
    <row r="286">
      <c r="AY286" s="4"/>
    </row>
    <row r="287">
      <c r="AY287" s="4"/>
    </row>
    <row r="288">
      <c r="AY288" s="4"/>
    </row>
    <row r="289">
      <c r="AY289" s="4"/>
    </row>
    <row r="290">
      <c r="AY290" s="4"/>
    </row>
    <row r="291">
      <c r="AY291" s="4"/>
    </row>
    <row r="292">
      <c r="AY292" s="4"/>
    </row>
    <row r="293">
      <c r="AY293" s="4"/>
    </row>
    <row r="294">
      <c r="AY294" s="4"/>
    </row>
    <row r="295">
      <c r="AY295" s="4"/>
    </row>
    <row r="296">
      <c r="AY296" s="4"/>
    </row>
    <row r="297">
      <c r="AY297" s="4"/>
    </row>
    <row r="298">
      <c r="AY298" s="4"/>
    </row>
    <row r="299">
      <c r="AY299" s="4"/>
    </row>
    <row r="300">
      <c r="AY300" s="4"/>
    </row>
    <row r="301">
      <c r="AY301" s="4"/>
    </row>
    <row r="302">
      <c r="AY302" s="4"/>
    </row>
    <row r="303">
      <c r="AY303" s="4"/>
    </row>
    <row r="304">
      <c r="AY304" s="4"/>
    </row>
    <row r="305">
      <c r="AY305" s="4"/>
    </row>
    <row r="306">
      <c r="AY306" s="4"/>
    </row>
    <row r="307">
      <c r="AY307" s="4"/>
    </row>
    <row r="308">
      <c r="AY308" s="4"/>
    </row>
    <row r="309">
      <c r="AY309" s="4"/>
    </row>
    <row r="310">
      <c r="AY310" s="4"/>
    </row>
    <row r="311">
      <c r="AY311" s="4"/>
    </row>
    <row r="312">
      <c r="AY312" s="4"/>
    </row>
    <row r="313">
      <c r="AY313" s="4"/>
    </row>
    <row r="314">
      <c r="AY314" s="4"/>
    </row>
    <row r="315">
      <c r="AY315" s="4"/>
    </row>
    <row r="316">
      <c r="AY316" s="4"/>
    </row>
    <row r="317">
      <c r="AY317" s="4"/>
    </row>
    <row r="318">
      <c r="AY318" s="4"/>
    </row>
    <row r="319">
      <c r="AY319" s="4"/>
    </row>
    <row r="320">
      <c r="AY320" s="4"/>
    </row>
    <row r="321">
      <c r="AY321" s="4"/>
    </row>
    <row r="322">
      <c r="AY322" s="4"/>
    </row>
    <row r="323">
      <c r="AY323" s="4"/>
    </row>
    <row r="324">
      <c r="AY324" s="4"/>
    </row>
    <row r="325">
      <c r="AY325" s="4"/>
    </row>
    <row r="326">
      <c r="AY326" s="4"/>
    </row>
    <row r="327">
      <c r="AY327" s="4"/>
    </row>
    <row r="328">
      <c r="AY328" s="4"/>
    </row>
    <row r="329">
      <c r="AY329" s="4"/>
    </row>
    <row r="330">
      <c r="AY330" s="4"/>
    </row>
    <row r="331">
      <c r="AY331" s="4"/>
    </row>
    <row r="332">
      <c r="AY332" s="4"/>
    </row>
    <row r="333">
      <c r="AY333" s="4"/>
    </row>
    <row r="334">
      <c r="AY334" s="4"/>
    </row>
    <row r="335">
      <c r="AY335" s="4"/>
    </row>
    <row r="336">
      <c r="AY336" s="4"/>
    </row>
    <row r="337">
      <c r="AY337" s="4"/>
    </row>
    <row r="338">
      <c r="AY338" s="4"/>
    </row>
    <row r="339">
      <c r="AY339" s="4"/>
    </row>
    <row r="340">
      <c r="AY340" s="4"/>
    </row>
    <row r="341">
      <c r="AY341" s="4"/>
    </row>
    <row r="342">
      <c r="AY342" s="4"/>
    </row>
    <row r="343">
      <c r="AY343" s="4"/>
    </row>
    <row r="344">
      <c r="AY344" s="4"/>
    </row>
    <row r="345">
      <c r="AY345" s="4"/>
    </row>
    <row r="346">
      <c r="AY346" s="4"/>
    </row>
    <row r="347">
      <c r="AY347" s="4"/>
    </row>
    <row r="348">
      <c r="AY348" s="4"/>
    </row>
    <row r="349">
      <c r="AY349" s="4"/>
    </row>
    <row r="350">
      <c r="AY350" s="4"/>
    </row>
    <row r="351">
      <c r="AY351" s="4"/>
    </row>
    <row r="352">
      <c r="AY352" s="4"/>
    </row>
    <row r="353">
      <c r="AY353" s="4"/>
    </row>
    <row r="354">
      <c r="AY354" s="4"/>
    </row>
    <row r="355">
      <c r="AY355" s="4"/>
    </row>
    <row r="356">
      <c r="AY356" s="4"/>
    </row>
    <row r="357">
      <c r="AY357" s="4"/>
    </row>
    <row r="358">
      <c r="AY358" s="4"/>
    </row>
    <row r="359">
      <c r="AY359" s="4"/>
    </row>
    <row r="360">
      <c r="AY360" s="4"/>
    </row>
    <row r="361">
      <c r="AY361" s="4"/>
    </row>
    <row r="362">
      <c r="AY362" s="4"/>
    </row>
    <row r="363">
      <c r="AY363" s="4"/>
    </row>
    <row r="364">
      <c r="AY364" s="4"/>
    </row>
    <row r="365">
      <c r="AY365" s="4"/>
    </row>
    <row r="366">
      <c r="AY366" s="4"/>
    </row>
    <row r="367">
      <c r="AY367" s="4"/>
    </row>
    <row r="368">
      <c r="AY368" s="4"/>
    </row>
    <row r="369">
      <c r="AY369" s="4"/>
    </row>
    <row r="370">
      <c r="AY370" s="4"/>
    </row>
    <row r="371">
      <c r="AY371" s="4"/>
    </row>
    <row r="372">
      <c r="AY372" s="4"/>
    </row>
    <row r="373">
      <c r="AY373" s="4"/>
    </row>
    <row r="374">
      <c r="AY374" s="4"/>
    </row>
    <row r="375">
      <c r="AY375" s="4"/>
    </row>
    <row r="376">
      <c r="AY376" s="4"/>
    </row>
    <row r="377">
      <c r="AY377" s="4"/>
    </row>
    <row r="378">
      <c r="AY378" s="4"/>
    </row>
    <row r="379">
      <c r="AY379" s="4"/>
    </row>
    <row r="380">
      <c r="AY380" s="4"/>
    </row>
    <row r="381">
      <c r="AY381" s="4"/>
    </row>
    <row r="382">
      <c r="AY382" s="4"/>
    </row>
    <row r="383">
      <c r="AY383" s="4"/>
    </row>
    <row r="384">
      <c r="AY384" s="4"/>
    </row>
    <row r="385">
      <c r="AY385" s="4"/>
    </row>
    <row r="386">
      <c r="AY386" s="4"/>
    </row>
    <row r="387">
      <c r="AY387" s="4"/>
    </row>
    <row r="388">
      <c r="AY388" s="4"/>
    </row>
    <row r="389">
      <c r="AY389" s="4"/>
    </row>
    <row r="390">
      <c r="AY390" s="4"/>
    </row>
    <row r="391">
      <c r="AY391" s="4"/>
    </row>
    <row r="392">
      <c r="AY392" s="4"/>
    </row>
    <row r="393">
      <c r="AY393" s="4"/>
    </row>
    <row r="394">
      <c r="AY394" s="4"/>
    </row>
    <row r="395">
      <c r="AY395" s="4"/>
    </row>
    <row r="396">
      <c r="AY396" s="4"/>
    </row>
    <row r="397">
      <c r="AY397" s="4"/>
    </row>
    <row r="398">
      <c r="AY398" s="4"/>
    </row>
    <row r="399">
      <c r="AY399" s="4"/>
    </row>
    <row r="400">
      <c r="AY400" s="4"/>
    </row>
    <row r="401">
      <c r="AY401" s="4"/>
    </row>
    <row r="402">
      <c r="AY402" s="4"/>
    </row>
    <row r="403">
      <c r="AY403" s="4"/>
    </row>
    <row r="404">
      <c r="AY404" s="4"/>
    </row>
    <row r="405">
      <c r="AY405" s="4"/>
    </row>
    <row r="406">
      <c r="AY406" s="4"/>
    </row>
    <row r="407">
      <c r="AY407" s="4"/>
    </row>
    <row r="408">
      <c r="AY408" s="4"/>
    </row>
    <row r="409">
      <c r="AY409" s="4"/>
    </row>
    <row r="410">
      <c r="AY410" s="4"/>
    </row>
    <row r="411">
      <c r="AY411" s="4"/>
    </row>
    <row r="412">
      <c r="AY412" s="4"/>
    </row>
    <row r="413">
      <c r="AY413" s="4"/>
    </row>
    <row r="414">
      <c r="AY414" s="4"/>
    </row>
    <row r="415">
      <c r="AY415" s="4"/>
    </row>
    <row r="416">
      <c r="AY416" s="4"/>
    </row>
    <row r="417">
      <c r="AY417" s="4"/>
    </row>
    <row r="418">
      <c r="AY418" s="4"/>
    </row>
    <row r="419">
      <c r="AY419" s="4"/>
    </row>
    <row r="420">
      <c r="AY420" s="4"/>
    </row>
    <row r="421">
      <c r="AY421" s="4"/>
    </row>
    <row r="422">
      <c r="AY422" s="4"/>
    </row>
    <row r="423">
      <c r="AY423" s="4"/>
    </row>
    <row r="424">
      <c r="AY424" s="4"/>
    </row>
    <row r="425">
      <c r="AY425" s="4"/>
    </row>
    <row r="426">
      <c r="AY426" s="4"/>
    </row>
    <row r="427">
      <c r="AY427" s="4"/>
    </row>
    <row r="428">
      <c r="AY428" s="4"/>
    </row>
    <row r="429">
      <c r="AY429" s="4"/>
    </row>
    <row r="430">
      <c r="AY430" s="4"/>
    </row>
    <row r="431">
      <c r="AY431" s="4"/>
    </row>
    <row r="432">
      <c r="AY432" s="4"/>
    </row>
    <row r="433">
      <c r="AY433" s="4"/>
    </row>
    <row r="434">
      <c r="AY434" s="4"/>
    </row>
    <row r="435">
      <c r="AY435" s="4"/>
    </row>
    <row r="436">
      <c r="AY436" s="4"/>
    </row>
    <row r="437">
      <c r="AY437" s="4"/>
    </row>
    <row r="438">
      <c r="AY438" s="4"/>
    </row>
    <row r="439">
      <c r="AY439" s="4"/>
    </row>
    <row r="440">
      <c r="AY440" s="4"/>
    </row>
    <row r="441">
      <c r="AY441" s="4"/>
    </row>
    <row r="442">
      <c r="AY442" s="4"/>
    </row>
    <row r="443">
      <c r="AY443" s="4"/>
    </row>
    <row r="444">
      <c r="AY444" s="4"/>
    </row>
    <row r="445">
      <c r="AY445" s="4"/>
    </row>
    <row r="446">
      <c r="AY446" s="4"/>
    </row>
    <row r="447">
      <c r="AY447" s="4"/>
    </row>
    <row r="448">
      <c r="AY448" s="4"/>
    </row>
    <row r="449">
      <c r="AY449" s="4"/>
    </row>
    <row r="450">
      <c r="AY450" s="4"/>
    </row>
    <row r="451">
      <c r="AY451" s="4"/>
    </row>
    <row r="452">
      <c r="AY452" s="4"/>
    </row>
    <row r="453">
      <c r="AY453" s="4"/>
    </row>
    <row r="454">
      <c r="AY454" s="4"/>
    </row>
    <row r="455">
      <c r="AY455" s="4"/>
    </row>
    <row r="456">
      <c r="AY456" s="4"/>
    </row>
    <row r="457">
      <c r="AY457" s="4"/>
    </row>
    <row r="458">
      <c r="AY458" s="4"/>
    </row>
    <row r="459">
      <c r="AY459" s="4"/>
    </row>
    <row r="460">
      <c r="AY460" s="4"/>
    </row>
    <row r="461">
      <c r="AY461" s="4"/>
    </row>
    <row r="462">
      <c r="AY462" s="4"/>
    </row>
    <row r="463">
      <c r="AY463" s="4"/>
    </row>
    <row r="464">
      <c r="AY464" s="4"/>
    </row>
    <row r="465">
      <c r="AY465" s="4"/>
    </row>
    <row r="466">
      <c r="AY466" s="4"/>
    </row>
    <row r="467">
      <c r="AY467" s="4"/>
    </row>
    <row r="468">
      <c r="AY468" s="4"/>
    </row>
    <row r="469">
      <c r="AY469" s="4"/>
    </row>
    <row r="470">
      <c r="AY470" s="4"/>
    </row>
    <row r="471">
      <c r="AY471" s="4"/>
    </row>
    <row r="472">
      <c r="AY472" s="4"/>
    </row>
    <row r="473">
      <c r="AY473" s="4"/>
    </row>
    <row r="474">
      <c r="AY474" s="4"/>
    </row>
    <row r="475">
      <c r="AY475" s="4"/>
    </row>
    <row r="476">
      <c r="AY476" s="4"/>
    </row>
    <row r="477">
      <c r="AY477" s="4"/>
    </row>
    <row r="478">
      <c r="AY478" s="4"/>
    </row>
    <row r="479">
      <c r="AY479" s="4"/>
    </row>
    <row r="480">
      <c r="AY480" s="4"/>
    </row>
    <row r="481">
      <c r="AY481" s="4"/>
    </row>
    <row r="482">
      <c r="AY482" s="4"/>
    </row>
    <row r="483">
      <c r="AY483" s="4"/>
    </row>
    <row r="484">
      <c r="AY484" s="4"/>
    </row>
    <row r="485">
      <c r="AY485" s="4"/>
    </row>
    <row r="486">
      <c r="AY486" s="4"/>
    </row>
    <row r="487">
      <c r="AY487" s="4"/>
    </row>
    <row r="488">
      <c r="AY488" s="4"/>
    </row>
    <row r="489">
      <c r="AY489" s="4"/>
    </row>
    <row r="490">
      <c r="AY490" s="4"/>
    </row>
    <row r="491">
      <c r="AY491" s="4"/>
    </row>
    <row r="492">
      <c r="AY492" s="4"/>
    </row>
    <row r="493">
      <c r="AY493" s="4"/>
    </row>
    <row r="494">
      <c r="AY494" s="4"/>
    </row>
    <row r="495">
      <c r="AY495" s="4"/>
    </row>
    <row r="496">
      <c r="AY496" s="4"/>
    </row>
    <row r="497">
      <c r="AY497" s="4"/>
    </row>
    <row r="498">
      <c r="AY498" s="4"/>
    </row>
    <row r="499">
      <c r="AY499" s="4"/>
    </row>
    <row r="500">
      <c r="AY500" s="4"/>
    </row>
    <row r="501">
      <c r="AY501" s="4"/>
    </row>
    <row r="502">
      <c r="AY502" s="4"/>
    </row>
    <row r="503">
      <c r="AY503" s="4"/>
    </row>
    <row r="504">
      <c r="AY504" s="4"/>
    </row>
    <row r="505">
      <c r="AY505" s="4"/>
    </row>
    <row r="506">
      <c r="AY506" s="4"/>
    </row>
    <row r="507">
      <c r="AY507" s="4"/>
    </row>
    <row r="508">
      <c r="AY508" s="4"/>
    </row>
    <row r="509">
      <c r="AY509" s="4"/>
    </row>
    <row r="510">
      <c r="AY510" s="4"/>
    </row>
    <row r="511">
      <c r="AY511" s="4"/>
    </row>
    <row r="512">
      <c r="AY512" s="4"/>
    </row>
    <row r="513">
      <c r="AY513" s="4"/>
    </row>
    <row r="514">
      <c r="AY514" s="4"/>
    </row>
    <row r="515">
      <c r="AY515" s="4"/>
    </row>
    <row r="516">
      <c r="AY516" s="4"/>
    </row>
    <row r="517">
      <c r="AY517" s="4"/>
    </row>
    <row r="518">
      <c r="AY518" s="4"/>
    </row>
    <row r="519">
      <c r="AY519" s="4"/>
    </row>
    <row r="520">
      <c r="AY520" s="4"/>
    </row>
    <row r="521">
      <c r="AY521" s="4"/>
    </row>
    <row r="522">
      <c r="AY522" s="4"/>
    </row>
    <row r="523">
      <c r="AY523" s="4"/>
    </row>
    <row r="524">
      <c r="AY524" s="4"/>
    </row>
    <row r="525">
      <c r="AY525" s="4"/>
    </row>
    <row r="526">
      <c r="AY526" s="4"/>
    </row>
    <row r="527">
      <c r="AY527" s="4"/>
    </row>
    <row r="528">
      <c r="AY528" s="4"/>
    </row>
    <row r="529">
      <c r="AY529" s="4"/>
    </row>
    <row r="530">
      <c r="AY530" s="4"/>
    </row>
    <row r="531">
      <c r="AY531" s="4"/>
    </row>
    <row r="532">
      <c r="AY532" s="4"/>
    </row>
    <row r="533">
      <c r="AY533" s="4"/>
    </row>
    <row r="534">
      <c r="AY534" s="4"/>
    </row>
    <row r="535">
      <c r="AY535" s="4"/>
    </row>
    <row r="536">
      <c r="AY536" s="4"/>
    </row>
    <row r="537">
      <c r="AY537" s="4"/>
    </row>
    <row r="538">
      <c r="AY538" s="4"/>
    </row>
    <row r="539">
      <c r="AY539" s="4"/>
    </row>
    <row r="540">
      <c r="AY540" s="4"/>
    </row>
    <row r="541">
      <c r="AY541" s="4"/>
    </row>
    <row r="542">
      <c r="AY542" s="4"/>
    </row>
    <row r="543">
      <c r="AY543" s="4"/>
    </row>
    <row r="544">
      <c r="AY544" s="4"/>
    </row>
    <row r="545">
      <c r="AY545" s="4"/>
    </row>
    <row r="546">
      <c r="AY546" s="4"/>
    </row>
    <row r="547">
      <c r="AY547" s="4"/>
    </row>
    <row r="548">
      <c r="AY548" s="4"/>
    </row>
    <row r="549">
      <c r="AY549" s="4"/>
    </row>
    <row r="550">
      <c r="AY550" s="4"/>
    </row>
    <row r="551">
      <c r="AY551" s="4"/>
    </row>
    <row r="552">
      <c r="AY552" s="4"/>
    </row>
    <row r="553">
      <c r="AY553" s="4"/>
    </row>
    <row r="554">
      <c r="AY554" s="4"/>
    </row>
    <row r="555">
      <c r="AY555" s="4"/>
    </row>
    <row r="556">
      <c r="AY556" s="4"/>
    </row>
    <row r="557">
      <c r="AY557" s="4"/>
    </row>
    <row r="558">
      <c r="AY558" s="4"/>
    </row>
    <row r="559">
      <c r="AY559" s="4"/>
    </row>
    <row r="560">
      <c r="AY560" s="4"/>
    </row>
    <row r="561">
      <c r="AY561" s="4"/>
    </row>
    <row r="562">
      <c r="AY562" s="4"/>
    </row>
    <row r="563">
      <c r="AY563" s="4"/>
    </row>
    <row r="564">
      <c r="AY564" s="4"/>
    </row>
    <row r="565">
      <c r="AY565" s="4"/>
    </row>
    <row r="566">
      <c r="AY566" s="4"/>
    </row>
    <row r="567">
      <c r="AY567" s="4"/>
    </row>
    <row r="568">
      <c r="AY568" s="4"/>
    </row>
    <row r="569">
      <c r="AY569" s="4"/>
    </row>
    <row r="570">
      <c r="AY570" s="4"/>
    </row>
    <row r="571">
      <c r="AY571" s="4"/>
    </row>
    <row r="572">
      <c r="AY572" s="4"/>
    </row>
    <row r="573">
      <c r="AY573" s="4"/>
    </row>
    <row r="574">
      <c r="AY574" s="4"/>
    </row>
    <row r="575">
      <c r="AY575" s="4"/>
    </row>
    <row r="576">
      <c r="AY576" s="4"/>
    </row>
    <row r="577">
      <c r="AY577" s="4"/>
    </row>
    <row r="578">
      <c r="AY578" s="4"/>
    </row>
    <row r="579">
      <c r="AY579" s="4"/>
    </row>
    <row r="580">
      <c r="AY580" s="4"/>
    </row>
    <row r="581">
      <c r="AY581" s="4"/>
    </row>
    <row r="582">
      <c r="AY582" s="4"/>
    </row>
    <row r="583">
      <c r="AY583" s="4"/>
    </row>
    <row r="584">
      <c r="AY584" s="4"/>
    </row>
    <row r="585">
      <c r="AY585" s="4"/>
    </row>
    <row r="586">
      <c r="AY586" s="4"/>
    </row>
    <row r="587">
      <c r="AY587" s="4"/>
    </row>
    <row r="588">
      <c r="AY588" s="4"/>
    </row>
    <row r="589">
      <c r="AY589" s="4"/>
    </row>
    <row r="590">
      <c r="AY590" s="4"/>
    </row>
    <row r="591">
      <c r="AY591" s="4"/>
    </row>
    <row r="592">
      <c r="AY592" s="4"/>
    </row>
    <row r="593">
      <c r="AY593" s="4"/>
    </row>
    <row r="594">
      <c r="AY594" s="4"/>
    </row>
    <row r="595">
      <c r="AY595" s="4"/>
    </row>
    <row r="596">
      <c r="AY596" s="4"/>
    </row>
    <row r="597">
      <c r="AY597" s="4"/>
    </row>
    <row r="598">
      <c r="AY598" s="4"/>
    </row>
    <row r="599">
      <c r="AY599" s="4"/>
    </row>
    <row r="600">
      <c r="AY600" s="4"/>
    </row>
    <row r="601">
      <c r="AY601" s="4"/>
    </row>
    <row r="602">
      <c r="AY602" s="4"/>
    </row>
    <row r="603">
      <c r="AY603" s="4"/>
    </row>
    <row r="604">
      <c r="AY604" s="4"/>
    </row>
    <row r="605">
      <c r="AY605" s="4"/>
    </row>
    <row r="606">
      <c r="AY606" s="4"/>
    </row>
    <row r="607">
      <c r="AY607" s="4"/>
    </row>
    <row r="608">
      <c r="AY608" s="4"/>
    </row>
    <row r="609">
      <c r="AY609" s="4"/>
    </row>
    <row r="610">
      <c r="AY610" s="4"/>
    </row>
    <row r="611">
      <c r="AY611" s="4"/>
    </row>
    <row r="612">
      <c r="AY612" s="4"/>
    </row>
    <row r="613">
      <c r="AY613" s="4"/>
    </row>
    <row r="614">
      <c r="AY614" s="4"/>
    </row>
    <row r="615">
      <c r="AY615" s="4"/>
    </row>
    <row r="616">
      <c r="AY616" s="4"/>
    </row>
    <row r="617">
      <c r="AY617" s="4"/>
    </row>
    <row r="618">
      <c r="AY618" s="4"/>
    </row>
    <row r="619">
      <c r="AY619" s="4"/>
    </row>
    <row r="620">
      <c r="AY620" s="4"/>
    </row>
    <row r="621">
      <c r="AY621" s="4"/>
    </row>
    <row r="622">
      <c r="AY622" s="4"/>
    </row>
    <row r="623">
      <c r="AY623" s="4"/>
    </row>
    <row r="624">
      <c r="AY624" s="4"/>
    </row>
    <row r="625">
      <c r="AY625" s="4"/>
    </row>
    <row r="626">
      <c r="AY626" s="4"/>
    </row>
    <row r="627">
      <c r="AY627" s="4"/>
    </row>
    <row r="628">
      <c r="AY628" s="4"/>
    </row>
    <row r="629">
      <c r="AY629" s="4"/>
    </row>
    <row r="630">
      <c r="AY630" s="4"/>
    </row>
    <row r="631">
      <c r="AY631" s="4"/>
    </row>
    <row r="632">
      <c r="AY632" s="4"/>
    </row>
    <row r="633">
      <c r="AY633" s="4"/>
    </row>
    <row r="634">
      <c r="AY634" s="4"/>
    </row>
    <row r="635">
      <c r="AY635" s="4"/>
    </row>
    <row r="636">
      <c r="AY636" s="4"/>
    </row>
    <row r="637">
      <c r="AY637" s="4"/>
    </row>
    <row r="638">
      <c r="AY638" s="4"/>
    </row>
    <row r="639">
      <c r="AY639" s="4"/>
    </row>
    <row r="640">
      <c r="AY640" s="4"/>
    </row>
    <row r="641">
      <c r="AY641" s="4"/>
    </row>
    <row r="642">
      <c r="AY642" s="4"/>
    </row>
    <row r="643">
      <c r="AY643" s="4"/>
    </row>
    <row r="644">
      <c r="AY644" s="4"/>
    </row>
    <row r="645">
      <c r="AY645" s="4"/>
    </row>
    <row r="646">
      <c r="AY646" s="4"/>
    </row>
    <row r="647">
      <c r="AY647" s="4"/>
    </row>
    <row r="648">
      <c r="AY648" s="4"/>
    </row>
    <row r="649">
      <c r="AY649" s="4"/>
    </row>
    <row r="650">
      <c r="AY650" s="4"/>
    </row>
    <row r="651">
      <c r="AY651" s="4"/>
    </row>
    <row r="652">
      <c r="AY652" s="4"/>
    </row>
    <row r="653">
      <c r="AY653" s="4"/>
    </row>
    <row r="654">
      <c r="AY654" s="4"/>
    </row>
    <row r="655">
      <c r="AY655" s="4"/>
    </row>
    <row r="656">
      <c r="AY656" s="4"/>
    </row>
    <row r="657">
      <c r="AY657" s="4"/>
    </row>
    <row r="658">
      <c r="AY658" s="4"/>
    </row>
    <row r="659">
      <c r="AY659" s="4"/>
    </row>
    <row r="660">
      <c r="AY660" s="4"/>
    </row>
    <row r="661">
      <c r="AY661" s="4"/>
    </row>
    <row r="662">
      <c r="AY662" s="4"/>
    </row>
    <row r="663">
      <c r="AY663" s="4"/>
    </row>
    <row r="664">
      <c r="AY664" s="4"/>
    </row>
    <row r="665">
      <c r="AY665" s="4"/>
    </row>
    <row r="666">
      <c r="AY666" s="4"/>
    </row>
    <row r="667">
      <c r="AY667" s="4"/>
    </row>
    <row r="668">
      <c r="AY668" s="4"/>
    </row>
    <row r="669">
      <c r="AY669" s="4"/>
    </row>
    <row r="670">
      <c r="AY670" s="4"/>
    </row>
    <row r="671">
      <c r="AY671" s="4"/>
    </row>
    <row r="672">
      <c r="AY672" s="4"/>
    </row>
    <row r="673">
      <c r="AY673" s="4"/>
    </row>
    <row r="674">
      <c r="AY674" s="4"/>
    </row>
    <row r="675">
      <c r="AY675" s="4"/>
    </row>
    <row r="676">
      <c r="AY676" s="4"/>
    </row>
    <row r="677">
      <c r="AY677" s="4"/>
    </row>
    <row r="678">
      <c r="AY678" s="4"/>
    </row>
    <row r="679">
      <c r="AY679" s="4"/>
    </row>
    <row r="680">
      <c r="AY680" s="4"/>
    </row>
    <row r="681">
      <c r="AY681" s="4"/>
    </row>
    <row r="682">
      <c r="AY682" s="4"/>
    </row>
    <row r="683">
      <c r="AY683" s="4"/>
    </row>
    <row r="684">
      <c r="AY684" s="4"/>
    </row>
    <row r="685">
      <c r="AY685" s="4"/>
    </row>
    <row r="686">
      <c r="AY686" s="4"/>
    </row>
    <row r="687">
      <c r="AY687" s="4"/>
    </row>
    <row r="688">
      <c r="AY688" s="4"/>
    </row>
    <row r="689">
      <c r="AY689" s="4"/>
    </row>
    <row r="690">
      <c r="AY690" s="4"/>
    </row>
    <row r="691">
      <c r="AY691" s="4"/>
    </row>
    <row r="692">
      <c r="AY692" s="4"/>
    </row>
    <row r="693">
      <c r="AY693" s="4"/>
    </row>
    <row r="694">
      <c r="AY694" s="4"/>
    </row>
    <row r="695">
      <c r="AY695" s="4"/>
    </row>
    <row r="696">
      <c r="AY696" s="4"/>
    </row>
    <row r="697">
      <c r="AY697" s="4"/>
    </row>
    <row r="698">
      <c r="AY698" s="4"/>
    </row>
    <row r="699">
      <c r="AY699" s="4"/>
    </row>
    <row r="700">
      <c r="AY700" s="4"/>
    </row>
    <row r="701">
      <c r="AY701" s="4"/>
    </row>
    <row r="702">
      <c r="AY702" s="4"/>
    </row>
    <row r="703">
      <c r="AY703" s="4"/>
    </row>
    <row r="704">
      <c r="AY704" s="4"/>
    </row>
    <row r="705">
      <c r="AY705" s="4"/>
    </row>
    <row r="706">
      <c r="AY706" s="4"/>
    </row>
    <row r="707">
      <c r="AY707" s="4"/>
    </row>
    <row r="708">
      <c r="AY708" s="4"/>
    </row>
    <row r="709">
      <c r="AY709" s="4"/>
    </row>
    <row r="710">
      <c r="AY710" s="4"/>
    </row>
    <row r="711">
      <c r="AY711" s="4"/>
    </row>
    <row r="712">
      <c r="AY712" s="4"/>
    </row>
    <row r="713">
      <c r="AY713" s="4"/>
    </row>
    <row r="714">
      <c r="AY714" s="4"/>
    </row>
    <row r="715">
      <c r="AY715" s="4"/>
    </row>
    <row r="716">
      <c r="AY716" s="4"/>
    </row>
    <row r="717">
      <c r="AY717" s="4"/>
    </row>
    <row r="718">
      <c r="AY718" s="4"/>
    </row>
    <row r="719">
      <c r="AY719" s="4"/>
    </row>
    <row r="720">
      <c r="AY720" s="4"/>
    </row>
    <row r="721">
      <c r="AY721" s="4"/>
    </row>
    <row r="722">
      <c r="AY722" s="4"/>
    </row>
    <row r="723">
      <c r="AY723" s="4"/>
    </row>
    <row r="724">
      <c r="AY724" s="4"/>
    </row>
    <row r="725">
      <c r="AY725" s="4"/>
    </row>
    <row r="726">
      <c r="AY726" s="4"/>
    </row>
    <row r="727">
      <c r="AY727" s="4"/>
    </row>
    <row r="728">
      <c r="AY728" s="4"/>
    </row>
    <row r="729">
      <c r="AY729" s="4"/>
    </row>
    <row r="730">
      <c r="AY730" s="4"/>
    </row>
    <row r="731">
      <c r="AY731" s="4"/>
    </row>
    <row r="732">
      <c r="AY732" s="4"/>
    </row>
    <row r="733">
      <c r="AY733" s="4"/>
    </row>
    <row r="734">
      <c r="AY734" s="4"/>
    </row>
    <row r="735">
      <c r="AY735" s="4"/>
    </row>
    <row r="736">
      <c r="AY736" s="4"/>
    </row>
    <row r="737">
      <c r="AY737" s="4"/>
    </row>
    <row r="738">
      <c r="AY738" s="4"/>
    </row>
    <row r="739">
      <c r="AY739" s="4"/>
    </row>
    <row r="740">
      <c r="AY740" s="4"/>
    </row>
    <row r="741">
      <c r="AY741" s="4"/>
    </row>
    <row r="742">
      <c r="AY742" s="4"/>
    </row>
    <row r="743">
      <c r="AY743" s="4"/>
    </row>
    <row r="744">
      <c r="AY744" s="4"/>
    </row>
    <row r="745">
      <c r="AY745" s="4"/>
    </row>
    <row r="746">
      <c r="AY746" s="4"/>
    </row>
    <row r="747">
      <c r="AY747" s="4"/>
    </row>
    <row r="748">
      <c r="AY748" s="4"/>
    </row>
    <row r="749">
      <c r="AY749" s="4"/>
    </row>
    <row r="750">
      <c r="AY750" s="4"/>
    </row>
    <row r="751">
      <c r="AY751" s="4"/>
    </row>
    <row r="752">
      <c r="AY752" s="4"/>
    </row>
    <row r="753">
      <c r="AY753" s="4"/>
    </row>
    <row r="754">
      <c r="AY754" s="4"/>
    </row>
    <row r="755">
      <c r="AY755" s="4"/>
    </row>
    <row r="756">
      <c r="AY756" s="4"/>
    </row>
    <row r="757">
      <c r="AY757" s="4"/>
    </row>
    <row r="758">
      <c r="AY758" s="4"/>
    </row>
    <row r="759">
      <c r="AY759" s="4"/>
    </row>
    <row r="760">
      <c r="AY760" s="4"/>
    </row>
    <row r="761">
      <c r="AY761" s="4"/>
    </row>
    <row r="762">
      <c r="AY762" s="4"/>
    </row>
    <row r="763">
      <c r="AY763" s="4"/>
    </row>
    <row r="764">
      <c r="AY764" s="4"/>
    </row>
    <row r="765">
      <c r="AY765" s="4"/>
    </row>
    <row r="766">
      <c r="AY766" s="4"/>
    </row>
    <row r="767">
      <c r="AY767" s="4"/>
    </row>
    <row r="768">
      <c r="AY768" s="4"/>
    </row>
    <row r="769">
      <c r="AY769" s="4"/>
    </row>
    <row r="770">
      <c r="AY770" s="4"/>
    </row>
    <row r="771">
      <c r="AY771" s="4"/>
    </row>
    <row r="772">
      <c r="AY772" s="4"/>
    </row>
    <row r="773">
      <c r="AY773" s="4"/>
    </row>
    <row r="774">
      <c r="AY774" s="4"/>
    </row>
    <row r="775">
      <c r="AY775" s="4"/>
    </row>
    <row r="776">
      <c r="AY776" s="4"/>
    </row>
    <row r="777">
      <c r="AY777" s="4"/>
    </row>
    <row r="778">
      <c r="AY778" s="4"/>
    </row>
    <row r="779">
      <c r="AY779" s="4"/>
    </row>
    <row r="780">
      <c r="AY780" s="4"/>
    </row>
    <row r="781">
      <c r="AY781" s="4"/>
    </row>
    <row r="782">
      <c r="AY782" s="4"/>
    </row>
    <row r="783">
      <c r="AY783" s="4"/>
    </row>
    <row r="784">
      <c r="AY784" s="4"/>
    </row>
    <row r="785">
      <c r="AY785" s="4"/>
    </row>
    <row r="786">
      <c r="AY786" s="4"/>
    </row>
    <row r="787">
      <c r="AY787" s="4"/>
    </row>
    <row r="788">
      <c r="AY788" s="4"/>
    </row>
    <row r="789">
      <c r="AY789" s="4"/>
    </row>
    <row r="790">
      <c r="AY790" s="4"/>
    </row>
    <row r="791">
      <c r="AY791" s="4"/>
    </row>
    <row r="792">
      <c r="AY792" s="4"/>
    </row>
    <row r="793">
      <c r="AY793" s="4"/>
    </row>
    <row r="794">
      <c r="AY794" s="4"/>
    </row>
    <row r="795">
      <c r="AY795" s="4"/>
    </row>
    <row r="796">
      <c r="AY796" s="4"/>
    </row>
    <row r="797">
      <c r="AY797" s="4"/>
    </row>
    <row r="798">
      <c r="AY798" s="4"/>
    </row>
    <row r="799">
      <c r="AY799" s="4"/>
    </row>
    <row r="800">
      <c r="AY800" s="4"/>
    </row>
    <row r="801">
      <c r="AY801" s="4"/>
    </row>
    <row r="802">
      <c r="AY802" s="4"/>
    </row>
    <row r="803">
      <c r="AY803" s="4"/>
    </row>
    <row r="804">
      <c r="AY804" s="4"/>
    </row>
    <row r="805">
      <c r="AY805" s="4"/>
    </row>
    <row r="806">
      <c r="AY806" s="4"/>
    </row>
    <row r="807">
      <c r="AY807" s="4"/>
    </row>
    <row r="808">
      <c r="AY808" s="4"/>
    </row>
    <row r="809">
      <c r="AY809" s="4"/>
    </row>
    <row r="810">
      <c r="AY810" s="4"/>
    </row>
    <row r="811">
      <c r="AY811" s="4"/>
    </row>
    <row r="812">
      <c r="AY812" s="4"/>
    </row>
    <row r="813">
      <c r="AY813" s="4"/>
    </row>
    <row r="814">
      <c r="AY814" s="4"/>
    </row>
    <row r="815">
      <c r="AY815" s="4"/>
    </row>
    <row r="816">
      <c r="AY816" s="4"/>
    </row>
    <row r="817">
      <c r="AY817" s="4"/>
    </row>
    <row r="818">
      <c r="AY818" s="4"/>
    </row>
    <row r="819">
      <c r="AY819" s="4"/>
    </row>
    <row r="820">
      <c r="AY820" s="4"/>
    </row>
    <row r="821">
      <c r="AY821" s="4"/>
    </row>
    <row r="822">
      <c r="AY822" s="4"/>
    </row>
    <row r="823">
      <c r="AY823" s="4"/>
    </row>
    <row r="824">
      <c r="AY824" s="4"/>
    </row>
    <row r="825">
      <c r="AY825" s="4"/>
    </row>
    <row r="826">
      <c r="AY826" s="4"/>
    </row>
    <row r="827">
      <c r="AY827" s="4"/>
    </row>
    <row r="828">
      <c r="AY828" s="4"/>
    </row>
    <row r="829">
      <c r="AY829" s="4"/>
    </row>
    <row r="830">
      <c r="AY830" s="4"/>
    </row>
    <row r="831">
      <c r="AY831" s="4"/>
    </row>
    <row r="832">
      <c r="AY832" s="4"/>
    </row>
    <row r="833">
      <c r="AY833" s="4"/>
    </row>
    <row r="834">
      <c r="AY834" s="4"/>
    </row>
    <row r="835">
      <c r="AY835" s="4"/>
    </row>
    <row r="836">
      <c r="AY836" s="4"/>
    </row>
    <row r="837">
      <c r="AY837" s="4"/>
    </row>
    <row r="838">
      <c r="AY838" s="4"/>
    </row>
    <row r="839">
      <c r="AY839" s="4"/>
    </row>
    <row r="840">
      <c r="AY840" s="4"/>
    </row>
    <row r="841">
      <c r="AY841" s="4"/>
    </row>
    <row r="842">
      <c r="AY842" s="4"/>
    </row>
    <row r="843">
      <c r="AY843" s="4"/>
    </row>
    <row r="844">
      <c r="AY844" s="4"/>
    </row>
    <row r="845">
      <c r="AY845" s="4"/>
    </row>
    <row r="846">
      <c r="AY846" s="4"/>
    </row>
    <row r="847">
      <c r="AY847" s="4"/>
    </row>
    <row r="848">
      <c r="AY848" s="4"/>
    </row>
    <row r="849">
      <c r="AY849" s="4"/>
    </row>
    <row r="850">
      <c r="AY850" s="4"/>
    </row>
    <row r="851">
      <c r="AY851" s="4"/>
    </row>
    <row r="852">
      <c r="AY852" s="4"/>
    </row>
    <row r="853">
      <c r="AY853" s="4"/>
    </row>
    <row r="854">
      <c r="AY854" s="4"/>
    </row>
    <row r="855">
      <c r="AY855" s="4"/>
    </row>
    <row r="856">
      <c r="AY856" s="4"/>
    </row>
    <row r="857">
      <c r="AY857" s="4"/>
    </row>
    <row r="858">
      <c r="AY858" s="4"/>
    </row>
    <row r="859">
      <c r="AY859" s="4"/>
    </row>
    <row r="860">
      <c r="AY860" s="4"/>
    </row>
    <row r="861">
      <c r="AY861" s="4"/>
    </row>
    <row r="862">
      <c r="AY862" s="4"/>
    </row>
    <row r="863">
      <c r="AY863" s="4"/>
    </row>
    <row r="864">
      <c r="AY864" s="4"/>
    </row>
    <row r="865">
      <c r="AY865" s="4"/>
    </row>
    <row r="866">
      <c r="AY866" s="4"/>
    </row>
    <row r="867">
      <c r="AY867" s="4"/>
    </row>
    <row r="868">
      <c r="AY868" s="4"/>
    </row>
    <row r="869">
      <c r="AY869" s="4"/>
    </row>
    <row r="870">
      <c r="AY870" s="4"/>
    </row>
    <row r="871">
      <c r="AY871" s="4"/>
    </row>
    <row r="872">
      <c r="AY872" s="4"/>
    </row>
    <row r="873">
      <c r="AY873" s="4"/>
    </row>
    <row r="874">
      <c r="AY874" s="4"/>
    </row>
    <row r="875">
      <c r="AY875" s="4"/>
    </row>
    <row r="876">
      <c r="AY876" s="4"/>
    </row>
    <row r="877">
      <c r="AY877" s="4"/>
    </row>
    <row r="878">
      <c r="AY878" s="4"/>
    </row>
    <row r="879">
      <c r="AY879" s="4"/>
    </row>
    <row r="880">
      <c r="AY880" s="4"/>
    </row>
    <row r="881">
      <c r="AY881" s="4"/>
    </row>
    <row r="882">
      <c r="AY882" s="4"/>
    </row>
    <row r="883">
      <c r="AY883" s="4"/>
    </row>
    <row r="884">
      <c r="AY884" s="4"/>
    </row>
    <row r="885">
      <c r="AY885" s="4"/>
    </row>
    <row r="886">
      <c r="AY886" s="4"/>
    </row>
    <row r="887">
      <c r="AY887" s="4"/>
    </row>
    <row r="888">
      <c r="AY888" s="4"/>
    </row>
    <row r="889">
      <c r="AY889" s="4"/>
    </row>
    <row r="890">
      <c r="AY890" s="4"/>
    </row>
    <row r="891">
      <c r="AY891" s="4"/>
    </row>
    <row r="892">
      <c r="AY892" s="4"/>
    </row>
    <row r="893">
      <c r="AY893" s="4"/>
    </row>
    <row r="894">
      <c r="AY894" s="4"/>
    </row>
    <row r="895">
      <c r="AY895" s="4"/>
    </row>
    <row r="896">
      <c r="AY896" s="4"/>
    </row>
    <row r="897">
      <c r="AY897" s="4"/>
    </row>
    <row r="898">
      <c r="AY898" s="4"/>
    </row>
    <row r="899">
      <c r="AY899" s="4"/>
    </row>
    <row r="900">
      <c r="AY900" s="4"/>
    </row>
    <row r="901">
      <c r="AY901" s="4"/>
    </row>
    <row r="902">
      <c r="AY902" s="4"/>
    </row>
    <row r="903">
      <c r="AY903" s="4"/>
    </row>
    <row r="904">
      <c r="AY904" s="4"/>
    </row>
    <row r="905">
      <c r="AY905" s="4"/>
    </row>
    <row r="906">
      <c r="AY906" s="4"/>
    </row>
    <row r="907">
      <c r="AY907" s="4"/>
    </row>
    <row r="908">
      <c r="AY908" s="4"/>
    </row>
    <row r="909">
      <c r="AY909" s="4"/>
    </row>
    <row r="910">
      <c r="AY910" s="4"/>
    </row>
    <row r="911">
      <c r="AY911" s="4"/>
    </row>
    <row r="912">
      <c r="AY912" s="4"/>
    </row>
    <row r="913">
      <c r="AY913" s="4"/>
    </row>
    <row r="914">
      <c r="AY914" s="4"/>
    </row>
    <row r="915">
      <c r="AY915" s="4"/>
    </row>
    <row r="916">
      <c r="AY916" s="4"/>
    </row>
    <row r="917">
      <c r="AY917" s="4"/>
    </row>
    <row r="918">
      <c r="AY918" s="4"/>
    </row>
    <row r="919">
      <c r="AY919" s="4"/>
    </row>
    <row r="920">
      <c r="AY920" s="4"/>
    </row>
    <row r="921">
      <c r="AY921" s="4"/>
    </row>
    <row r="922">
      <c r="AY922" s="4"/>
    </row>
    <row r="923">
      <c r="AY923" s="4"/>
    </row>
    <row r="924">
      <c r="AY924" s="4"/>
    </row>
    <row r="925">
      <c r="AY925" s="4"/>
    </row>
    <row r="926">
      <c r="AY926" s="4"/>
    </row>
    <row r="927">
      <c r="AY927" s="4"/>
    </row>
    <row r="928">
      <c r="AY928" s="4"/>
    </row>
    <row r="929">
      <c r="AY929" s="4"/>
    </row>
    <row r="930">
      <c r="AY930" s="4"/>
    </row>
    <row r="931">
      <c r="AY931" s="4"/>
    </row>
    <row r="932">
      <c r="AY932" s="4"/>
    </row>
    <row r="933">
      <c r="AY933" s="4"/>
    </row>
    <row r="934">
      <c r="AY934" s="4"/>
    </row>
    <row r="935">
      <c r="AY935" s="4"/>
    </row>
    <row r="936">
      <c r="AY936" s="4"/>
    </row>
    <row r="937">
      <c r="AY937" s="4"/>
    </row>
    <row r="938">
      <c r="AY938" s="4"/>
    </row>
    <row r="939">
      <c r="AY939" s="4"/>
    </row>
    <row r="940">
      <c r="AY940" s="4"/>
    </row>
    <row r="941">
      <c r="AY941" s="4"/>
    </row>
    <row r="942">
      <c r="AY942" s="4"/>
    </row>
    <row r="943">
      <c r="AY943" s="4"/>
    </row>
    <row r="944">
      <c r="AY944" s="4"/>
    </row>
    <row r="945">
      <c r="AY945" s="4"/>
    </row>
    <row r="946">
      <c r="AY946" s="4"/>
    </row>
    <row r="947">
      <c r="AY947" s="4"/>
    </row>
    <row r="948">
      <c r="AY948" s="4"/>
    </row>
    <row r="949">
      <c r="AY949" s="4"/>
    </row>
    <row r="950">
      <c r="AY950" s="4"/>
    </row>
    <row r="951">
      <c r="AY951" s="4"/>
    </row>
    <row r="952">
      <c r="AY952" s="4"/>
    </row>
    <row r="953">
      <c r="AY953" s="4"/>
    </row>
    <row r="954">
      <c r="AY954" s="4"/>
    </row>
    <row r="955">
      <c r="AY955" s="4"/>
    </row>
    <row r="956">
      <c r="AY956" s="4"/>
    </row>
    <row r="957">
      <c r="AY957" s="4"/>
    </row>
    <row r="958">
      <c r="AY958" s="4"/>
    </row>
    <row r="959">
      <c r="AY959" s="4"/>
    </row>
    <row r="960">
      <c r="AY960" s="4"/>
    </row>
    <row r="961">
      <c r="AY961" s="4"/>
    </row>
    <row r="962">
      <c r="AY962" s="4"/>
    </row>
    <row r="963">
      <c r="AY963" s="4"/>
    </row>
    <row r="964">
      <c r="AY964" s="4"/>
    </row>
    <row r="965">
      <c r="AY965" s="4"/>
    </row>
    <row r="966">
      <c r="AY966" s="4"/>
    </row>
    <row r="967">
      <c r="AY967" s="4"/>
    </row>
    <row r="968">
      <c r="AY968" s="4"/>
    </row>
    <row r="969">
      <c r="AY969" s="4"/>
    </row>
    <row r="970">
      <c r="AY970" s="4"/>
    </row>
    <row r="971">
      <c r="AY971" s="4"/>
    </row>
    <row r="972">
      <c r="AY972" s="4"/>
    </row>
    <row r="973">
      <c r="AY973" s="4"/>
    </row>
    <row r="974">
      <c r="AY974" s="4"/>
    </row>
    <row r="975">
      <c r="AY975" s="4"/>
    </row>
    <row r="976">
      <c r="AY976" s="4"/>
    </row>
    <row r="977">
      <c r="AY977" s="4"/>
    </row>
    <row r="978">
      <c r="AY978" s="4"/>
    </row>
    <row r="979">
      <c r="AY979" s="4"/>
    </row>
    <row r="980">
      <c r="AY980" s="4"/>
    </row>
    <row r="981">
      <c r="AY981" s="4"/>
    </row>
    <row r="982">
      <c r="AY982" s="4"/>
    </row>
    <row r="983">
      <c r="AY983" s="4"/>
    </row>
    <row r="984">
      <c r="AY984" s="4"/>
    </row>
    <row r="985">
      <c r="AY985" s="4"/>
    </row>
    <row r="986">
      <c r="AY986" s="4"/>
    </row>
    <row r="987">
      <c r="AY987" s="4"/>
    </row>
    <row r="988">
      <c r="AY988" s="4"/>
    </row>
    <row r="989">
      <c r="AY989" s="4"/>
    </row>
    <row r="990">
      <c r="AY990" s="4"/>
    </row>
    <row r="991">
      <c r="AY991" s="4"/>
    </row>
    <row r="992">
      <c r="AY992" s="4"/>
    </row>
    <row r="993">
      <c r="AY993" s="4"/>
    </row>
    <row r="994">
      <c r="AY994" s="4"/>
    </row>
    <row r="995">
      <c r="AY995" s="4"/>
    </row>
    <row r="996">
      <c r="AY996" s="4"/>
    </row>
    <row r="997">
      <c r="AY997" s="4"/>
    </row>
    <row r="998">
      <c r="AY998" s="4"/>
    </row>
    <row r="999">
      <c r="AY999" s="4"/>
    </row>
    <row r="1000">
      <c r="AY1000" s="4"/>
    </row>
  </sheetData>
  <hyperlinks>
    <hyperlink r:id="rId1" ref="AU5"/>
    <hyperlink r:id="rId2" ref="AU6"/>
    <hyperlink r:id="rId3" ref="AU7"/>
    <hyperlink r:id="rId4" ref="AU8"/>
    <hyperlink r:id="rId5" ref="AU9"/>
    <hyperlink r:id="rId6" ref="AU10"/>
    <hyperlink r:id="rId7" ref="AU11"/>
    <hyperlink r:id="rId8" ref="AU12"/>
    <hyperlink r:id="rId9" ref="AU13"/>
    <hyperlink r:id="rId10" ref="AU14"/>
    <hyperlink r:id="rId11" ref="AU15"/>
    <hyperlink r:id="rId12" ref="AU16"/>
    <hyperlink r:id="rId13" ref="AU17"/>
    <hyperlink r:id="rId14" ref="AU18"/>
    <hyperlink r:id="rId15" ref="AU19"/>
    <hyperlink r:id="rId16" ref="AU20"/>
    <hyperlink r:id="rId17" ref="AU21"/>
    <hyperlink r:id="rId18" ref="AU22"/>
    <hyperlink r:id="rId19" ref="AU23"/>
    <hyperlink r:id="rId20" ref="AU25"/>
    <hyperlink r:id="rId21" ref="AU26"/>
    <hyperlink r:id="rId22" ref="AU27"/>
    <hyperlink r:id="rId23" ref="AU28"/>
    <hyperlink r:id="rId24" ref="AU29"/>
    <hyperlink r:id="rId25" ref="AU30"/>
    <hyperlink r:id="rId26" ref="AU31"/>
    <hyperlink r:id="rId27" ref="AU32"/>
    <hyperlink r:id="rId28" ref="AU33"/>
    <hyperlink r:id="rId29" ref="AU34"/>
    <hyperlink r:id="rId30" ref="AU36"/>
    <hyperlink r:id="rId31" ref="AU37"/>
    <hyperlink r:id="rId32" ref="AU39"/>
    <hyperlink r:id="rId33" ref="AU40"/>
    <hyperlink r:id="rId34" ref="AU41"/>
    <hyperlink r:id="rId35" ref="AU42"/>
    <hyperlink r:id="rId36" ref="AU43"/>
    <hyperlink r:id="rId37" ref="AU44"/>
    <hyperlink r:id="rId38" ref="AU45"/>
    <hyperlink r:id="rId39" ref="AU46"/>
  </hyperlinks>
  <drawing r:id="rId4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238</v>
      </c>
      <c r="K1" s="12"/>
    </row>
    <row r="2">
      <c r="A2" s="13"/>
      <c r="K2" s="13"/>
    </row>
    <row r="3">
      <c r="A3" s="13"/>
      <c r="K3" s="13"/>
    </row>
    <row r="4">
      <c r="A4" s="14" t="str">
        <f>IFERROR(__xludf.DUMMYFUNCTION("QUERY(Aprop!A:CX, A1)"),"select *    where B = 'Apropiación' order by AX desc    PROYECTO Proy4 Proy4 Proy4 Proy4 Proy4 Proy4")</f>
        <v>select *    where B = 'Apropiación' order by AX desc    PROYECTO Proy4 Proy4 Proy4 Proy4 Proy4 Proy4</v>
      </c>
      <c r="B4" s="11" t="str">
        <f>IFERROR(__xludf.DUMMYFUNCTION("""COMPUTED_VALUE"""),"    SUBPRODUCTO Ponencia Ponencia Ponencia Ponencia Ponencia Ponencia")</f>
        <v>    SUBPRODUCTO Ponencia Ponencia Ponencia Ponencia Ponencia Ponencia</v>
      </c>
      <c r="C4" s="11" t="str">
        <f>IFERROR(__xludf.DUMMYFUNCTION("""COMPUTED_VALUE"""),"    Autor 1       ")</f>
        <v>    Autor 1       </v>
      </c>
      <c r="D4" s="11" t="str">
        <f>IFERROR(__xludf.DUMMYFUNCTION("""COMPUTED_VALUE"""),"    Autor 2       ")</f>
        <v>    Autor 2       </v>
      </c>
      <c r="E4" s="11" t="str">
        <f>IFERROR(__xludf.DUMMYFUNCTION("""COMPUTED_VALUE"""),"    Autor 3      ")</f>
        <v>    Autor 3      </v>
      </c>
      <c r="F4" s="11" t="str">
        <f>IFERROR(__xludf.DUMMYFUNCTION("""COMPUTED_VALUE"""),"    Autor 4      ")</f>
        <v>    Autor 4      </v>
      </c>
      <c r="G4" s="11" t="str">
        <f>IFERROR(__xludf.DUMMYFUNCTION("""COMPUTED_VALUE"""),"    Autor 5      ")</f>
        <v>    Autor 5      </v>
      </c>
      <c r="H4" s="11" t="str">
        <f>IFERROR(__xludf.DUMMYFUNCTION("""COMPUTED_VALUE"""),"    Autor 6      ")</f>
        <v>    Autor 6      </v>
      </c>
      <c r="I4" s="11" t="str">
        <f>IFERROR(__xludf.DUMMYFUNCTION("""COMPUTED_VALUE"""),"    Autor 7      ")</f>
        <v>    Autor 7      </v>
      </c>
      <c r="J4" s="11" t="str">
        <f>IFERROR(__xludf.DUMMYFUNCTION("""COMPUTED_VALUE"""),"    Autor 8      ")</f>
        <v>    Autor 8      </v>
      </c>
      <c r="K4" s="14" t="str">
        <f>IFERROR(__xludf.DUMMYFUNCTION("""COMPUTED_VALUE"""),"    Autor 10      ")</f>
        <v>    Autor 10      </v>
      </c>
      <c r="L4" s="11" t="str">
        <f>IFERROR(__xludf.DUMMYFUNCTION("""COMPUTED_VALUE"""),"    Autor 11      ")</f>
        <v>    Autor 11      </v>
      </c>
      <c r="M4" s="11" t="str">
        <f>IFERROR(__xludf.DUMMYFUNCTION("""COMPUTED_VALUE"""),"    Autor 12      ")</f>
        <v>    Autor 12      </v>
      </c>
      <c r="N4" s="11" t="str">
        <f>IFERROR(__xludf.DUMMYFUNCTION("""COMPUTED_VALUE"""),"    Autor 13      ")</f>
        <v>    Autor 13      </v>
      </c>
      <c r="O4" s="11" t="str">
        <f>IFERROR(__xludf.DUMMYFUNCTION("""COMPUTED_VALUE"""),"    Autor 14      ")</f>
        <v>    Autor 14      </v>
      </c>
    </row>
    <row r="5">
      <c r="A5" s="11" t="str">
        <f>IFERROR(__xludf.DUMMYFUNCTION("""COMPUTED_VALUE"""),"Proy8")</f>
        <v>Proy8</v>
      </c>
      <c r="B5" s="11" t="str">
        <f>IFERROR(__xludf.DUMMYFUNCTION("""COMPUTED_VALUE"""),"Ponencia")</f>
        <v>Ponencia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>
      <c r="A6" s="11" t="str">
        <f>IFERROR(__xludf.DUMMYFUNCTION("""COMPUTED_VALUE"""),"Proy1")</f>
        <v>Proy1</v>
      </c>
      <c r="B6" s="11" t="str">
        <f>IFERROR(__xludf.DUMMYFUNCTION("""COMPUTED_VALUE"""),"Ponencia")</f>
        <v>Ponencia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>
      <c r="A7" s="11" t="str">
        <f>IFERROR(__xludf.DUMMYFUNCTION("""COMPUTED_VALUE"""),"Proy1")</f>
        <v>Proy1</v>
      </c>
      <c r="B7" s="11" t="str">
        <f>IFERROR(__xludf.DUMMYFUNCTION("""COMPUTED_VALUE"""),"Ponencia")</f>
        <v>Ponencia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>
      <c r="A8" s="11" t="str">
        <f>IFERROR(__xludf.DUMMYFUNCTION("""COMPUTED_VALUE"""),"Proy7")</f>
        <v>Proy7</v>
      </c>
      <c r="B8" s="11" t="str">
        <f>IFERROR(__xludf.DUMMYFUNCTION("""COMPUTED_VALUE"""),"Ponencia")</f>
        <v>Ponencia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>
      <c r="A9" s="11" t="str">
        <f>IFERROR(__xludf.DUMMYFUNCTION("""COMPUTED_VALUE"""),"Proy9")</f>
        <v>Proy9</v>
      </c>
      <c r="B9" s="11" t="str">
        <f>IFERROR(__xludf.DUMMYFUNCTION("""COMPUTED_VALUE"""),"Ponencia")</f>
        <v>Ponencia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>
      <c r="A10" s="11" t="str">
        <f>IFERROR(__xludf.DUMMYFUNCTION("""COMPUTED_VALUE"""),"Proy1")</f>
        <v>Proy1</v>
      </c>
      <c r="B10" s="11" t="str">
        <f>IFERROR(__xludf.DUMMYFUNCTION("""COMPUTED_VALUE"""),"Ponencia")</f>
        <v>Ponencia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>
      <c r="A11" s="11" t="str">
        <f>IFERROR(__xludf.DUMMYFUNCTION("""COMPUTED_VALUE"""),"Proy1")</f>
        <v>Proy1</v>
      </c>
      <c r="B11" s="11" t="str">
        <f>IFERROR(__xludf.DUMMYFUNCTION("""COMPUTED_VALUE"""),"Ponencia")</f>
        <v>Ponencia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>
      <c r="A12" s="11" t="str">
        <f>IFERROR(__xludf.DUMMYFUNCTION("""COMPUTED_VALUE"""),"Proy3")</f>
        <v>Proy3</v>
      </c>
      <c r="B12" s="11" t="str">
        <f>IFERROR(__xludf.DUMMYFUNCTION("""COMPUTED_VALUE"""),"Ponencia")</f>
        <v>Ponencia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>
      <c r="A13" s="11" t="str">
        <f>IFERROR(__xludf.DUMMYFUNCTION("""COMPUTED_VALUE"""),"Proy4")</f>
        <v>Proy4</v>
      </c>
      <c r="B13" s="11" t="str">
        <f>IFERROR(__xludf.DUMMYFUNCTION("""COMPUTED_VALUE"""),"Ponencia")</f>
        <v>Ponencia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>
      <c r="A14" s="11" t="str">
        <f>IFERROR(__xludf.DUMMYFUNCTION("""COMPUTED_VALUE"""),"Proy4")</f>
        <v>Proy4</v>
      </c>
      <c r="B14" s="11" t="str">
        <f>IFERROR(__xludf.DUMMYFUNCTION("""COMPUTED_VALUE"""),"Ponencia")</f>
        <v>Ponencia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>
      <c r="A15" s="11" t="str">
        <f>IFERROR(__xludf.DUMMYFUNCTION("""COMPUTED_VALUE"""),"Proy6")</f>
        <v>Proy6</v>
      </c>
      <c r="B15" s="11" t="str">
        <f>IFERROR(__xludf.DUMMYFUNCTION("""COMPUTED_VALUE"""),"Ponencia")</f>
        <v>Ponencia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>
      <c r="A16" s="11" t="str">
        <f>IFERROR(__xludf.DUMMYFUNCTION("""COMPUTED_VALUE"""),"Proy6")</f>
        <v>Proy6</v>
      </c>
      <c r="B16" s="11" t="str">
        <f>IFERROR(__xludf.DUMMYFUNCTION("""COMPUTED_VALUE"""),"Ponencia")</f>
        <v>Ponencia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>
      <c r="A17" s="11" t="str">
        <f>IFERROR(__xludf.DUMMYFUNCTION("""COMPUTED_VALUE"""),"Proy10")</f>
        <v>Proy10</v>
      </c>
      <c r="B17" s="11" t="str">
        <f>IFERROR(__xludf.DUMMYFUNCTION("""COMPUTED_VALUE"""),"Ponencia")</f>
        <v>Ponencia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>
      <c r="A18" s="11" t="str">
        <f>IFERROR(__xludf.DUMMYFUNCTION("""COMPUTED_VALUE"""),"Proy7")</f>
        <v>Proy7</v>
      </c>
      <c r="B18" s="11" t="str">
        <f>IFERROR(__xludf.DUMMYFUNCTION("""COMPUTED_VALUE"""),"Evento científico")</f>
        <v>Evento científico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>
      <c r="A19" s="11" t="str">
        <f>IFERROR(__xludf.DUMMYFUNCTION("""COMPUTED_VALUE"""),"Proy9")</f>
        <v>Proy9</v>
      </c>
      <c r="B19" s="11" t="str">
        <f>IFERROR(__xludf.DUMMYFUNCTION("""COMPUTED_VALUE"""),"Ponencia")</f>
        <v>Ponencia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>
      <c r="A20" s="11" t="str">
        <f>IFERROR(__xludf.DUMMYFUNCTION("""COMPUTED_VALUE"""),"Proy10")</f>
        <v>Proy10</v>
      </c>
      <c r="B20" s="11" t="str">
        <f>IFERROR(__xludf.DUMMYFUNCTION("""COMPUTED_VALUE"""),"Ponencia")</f>
        <v>Ponencia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>
      <c r="A21" s="11" t="str">
        <f>IFERROR(__xludf.DUMMYFUNCTION("""COMPUTED_VALUE"""),"Proy10")</f>
        <v>Proy10</v>
      </c>
      <c r="B21" s="11" t="str">
        <f>IFERROR(__xludf.DUMMYFUNCTION("""COMPUTED_VALUE"""),"Ponencia")</f>
        <v>Ponencia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>
      <c r="A22" s="11" t="str">
        <f>IFERROR(__xludf.DUMMYFUNCTION("""COMPUTED_VALUE"""),"Proy13")</f>
        <v>Proy13</v>
      </c>
      <c r="B22" s="11" t="str">
        <f>IFERROR(__xludf.DUMMYFUNCTION("""COMPUTED_VALUE"""),"Ponencia")</f>
        <v>Ponencia</v>
      </c>
      <c r="C22" s="11" t="str">
        <f>IFERROR(__xludf.DUMMYFUNCTION("""COMPUTED_VALUE"""),"Leon Felipe Serna Montoya,")</f>
        <v>Leon Felipe Serna Montoya,</v>
      </c>
      <c r="D22" s="11" t="str">
        <f>IFERROR(__xludf.DUMMYFUNCTION("""COMPUTED_VALUE"""),"Juan Bernardo Cano Quintero,")</f>
        <v>Juan Bernardo Cano Quintero,</v>
      </c>
      <c r="E22" s="11" t="str">
        <f>IFERROR(__xludf.DUMMYFUNCTION("""COMPUTED_VALUE"""),"Nicolas Munoz Galeano")</f>
        <v>Nicolas Munoz Galeano</v>
      </c>
      <c r="F22" s="11" t="str">
        <f>IFERROR(__xludf.DUMMYFUNCTION("""COMPUTED_VALUE"""),"Jesus Maria Lopez Lezama")</f>
        <v>Jesus Maria Lopez Lezama</v>
      </c>
      <c r="G22" s="11"/>
      <c r="H22" s="11"/>
      <c r="I22" s="11"/>
      <c r="J22" s="11"/>
      <c r="K22" s="11"/>
      <c r="L22" s="11"/>
      <c r="M22" s="11"/>
      <c r="N22" s="11"/>
      <c r="O22" s="11"/>
    </row>
    <row r="23">
      <c r="A23" s="11" t="str">
        <f>IFERROR(__xludf.DUMMYFUNCTION("""COMPUTED_VALUE"""),"Proy13")</f>
        <v>Proy13</v>
      </c>
      <c r="B23" s="11" t="str">
        <f>IFERROR(__xludf.DUMMYFUNCTION("""COMPUTED_VALUE"""),"Evento científico")</f>
        <v>Evento científico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>
      <c r="A24" s="11" t="str">
        <f>IFERROR(__xludf.DUMMYFUNCTION("""COMPUTED_VALUE"""),"Proy14")</f>
        <v>Proy14</v>
      </c>
      <c r="B24" s="11" t="str">
        <f>IFERROR(__xludf.DUMMYFUNCTION("""COMPUTED_VALUE"""),"Evento científico")</f>
        <v>Evento científico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>
      <c r="A25" s="11" t="str">
        <f>IFERROR(__xludf.DUMMYFUNCTION("""COMPUTED_VALUE"""),"Proy12")</f>
        <v>Proy12</v>
      </c>
      <c r="B25" s="11" t="str">
        <f>IFERROR(__xludf.DUMMYFUNCTION("""COMPUTED_VALUE"""),"Ponencia")</f>
        <v>Ponencia</v>
      </c>
      <c r="C25" s="11" t="str">
        <f>IFERROR(__xludf.DUMMYFUNCTION("""COMPUTED_VALUE"""),"Silvana Arias Arias")</f>
        <v>Silvana Arias Arias</v>
      </c>
      <c r="D25" s="11" t="str">
        <f>IFERROR(__xludf.DUMMYFUNCTION("""COMPUTED_VALUE"""),"John Ramiro Agudelo")</f>
        <v>John Ramiro Agudelo</v>
      </c>
      <c r="E25" s="11" t="str">
        <f>IFERROR(__xludf.DUMMYFUNCTION("""COMPUTED_VALUE"""),"Francisco José Molina")</f>
        <v>Francisco José Molina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>
      <c r="A26" s="11" t="str">
        <f>IFERROR(__xludf.DUMMYFUNCTION("""COMPUTED_VALUE"""),"Proy10")</f>
        <v>Proy10</v>
      </c>
      <c r="B26" s="11" t="str">
        <f>IFERROR(__xludf.DUMMYFUNCTION("""COMPUTED_VALUE"""),"Ponencia")</f>
        <v>Ponencia</v>
      </c>
      <c r="C26" s="11" t="str">
        <f>IFERROR(__xludf.DUMMYFUNCTION("""COMPUTED_VALUE"""),"J. Obando")</f>
        <v>J. Obando</v>
      </c>
      <c r="D26" s="11" t="str">
        <f>IFERROR(__xludf.DUMMYFUNCTION("""COMPUTED_VALUE"""),"Y. López")</f>
        <v>Y. López</v>
      </c>
      <c r="E26" s="11" t="str">
        <f>IFERROR(__xludf.DUMMYFUNCTION("""COMPUTED_VALUE"""),"C. Echeverri Uribe")</f>
        <v>C. Echeverri Uribe</v>
      </c>
      <c r="F26" s="11" t="str">
        <f>IFERROR(__xludf.DUMMYFUNCTION("""COMPUTED_VALUE"""),"Y. Cadavid")</f>
        <v>Y. Cadavid</v>
      </c>
      <c r="G26" s="11" t="str">
        <f>IFERROR(__xludf.DUMMYFUNCTION("""COMPUTED_VALUE"""),"Andrés A. Amell")</f>
        <v>Andrés A. Amell</v>
      </c>
      <c r="H26" s="11"/>
      <c r="I26" s="11"/>
      <c r="J26" s="11"/>
      <c r="K26" s="11"/>
      <c r="L26" s="11"/>
      <c r="M26" s="11"/>
      <c r="N26" s="11"/>
      <c r="O26" s="11"/>
    </row>
    <row r="27">
      <c r="A27" s="11" t="str">
        <f>IFERROR(__xludf.DUMMYFUNCTION("""COMPUTED_VALUE"""),"Proy8")</f>
        <v>Proy8</v>
      </c>
      <c r="B27" s="11" t="str">
        <f>IFERROR(__xludf.DUMMYFUNCTION("""COMPUTED_VALUE"""),"Ponencia")</f>
        <v>Ponencia</v>
      </c>
      <c r="C27" s="11" t="str">
        <f>IFERROR(__xludf.DUMMYFUNCTION("""COMPUTED_VALUE"""),"Fernando Cardeño")</f>
        <v>Fernando Cardeño</v>
      </c>
      <c r="D27" s="11" t="str">
        <f>IFERROR(__xludf.DUMMYFUNCTION("""COMPUTED_VALUE"""),"James Marín")</f>
        <v>James Marín</v>
      </c>
      <c r="E27" s="11" t="str">
        <f>IFERROR(__xludf.DUMMYFUNCTION("""COMPUTED_VALUE"""),"Luis Rios")</f>
        <v>Luis Rios</v>
      </c>
      <c r="F27" s="11" t="str">
        <f>IFERROR(__xludf.DUMMYFUNCTION("""COMPUTED_VALUE"""),"John R. Agudelo")</f>
        <v>John R. Agudelo</v>
      </c>
      <c r="G27" s="11"/>
      <c r="H27" s="11"/>
      <c r="I27" s="11"/>
      <c r="J27" s="11"/>
      <c r="K27" s="11"/>
      <c r="L27" s="11"/>
      <c r="M27" s="11"/>
      <c r="N27" s="11"/>
      <c r="O27" s="11"/>
    </row>
    <row r="28">
      <c r="A28" s="11" t="str">
        <f>IFERROR(__xludf.DUMMYFUNCTION("""COMPUTED_VALUE"""),"Proy8")</f>
        <v>Proy8</v>
      </c>
      <c r="B28" s="11" t="str">
        <f>IFERROR(__xludf.DUMMYFUNCTION("""COMPUTED_VALUE"""),"Ponencia")</f>
        <v>Ponencia</v>
      </c>
      <c r="C28" s="11" t="str">
        <f>IFERROR(__xludf.DUMMYFUNCTION("""COMPUTED_VALUE"""),"Santiago Ortiz")</f>
        <v>Santiago Ortiz</v>
      </c>
      <c r="D28" s="11" t="str">
        <f>IFERROR(__xludf.DUMMYFUNCTION("""COMPUTED_VALUE"""),"Camilo Rengifo")</f>
        <v>Camilo Rengifo</v>
      </c>
      <c r="E28" s="11" t="str">
        <f>IFERROR(__xludf.DUMMYFUNCTION("""COMPUTED_VALUE"""),"Martha Cobo")</f>
        <v>Martha Cobo</v>
      </c>
      <c r="F28" s="11" t="str">
        <f>IFERROR(__xludf.DUMMYFUNCTION("""COMPUTED_VALUE"""),"Manuel Figueredo")</f>
        <v>Manuel Figueredo</v>
      </c>
      <c r="G28" s="11"/>
      <c r="H28" s="11"/>
      <c r="I28" s="11"/>
      <c r="J28" s="11"/>
      <c r="K28" s="11"/>
      <c r="L28" s="11"/>
      <c r="M28" s="11"/>
      <c r="N28" s="11"/>
      <c r="O28" s="11"/>
    </row>
    <row r="29">
      <c r="A29" s="11" t="str">
        <f>IFERROR(__xludf.DUMMYFUNCTION("""COMPUTED_VALUE"""),"Proy4")</f>
        <v>Proy4</v>
      </c>
      <c r="B29" s="11" t="str">
        <f>IFERROR(__xludf.DUMMYFUNCTION("""COMPUTED_VALUE"""),"Evento científico")</f>
        <v>Evento científico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>
      <c r="A30" s="11" t="str">
        <f>IFERROR(__xludf.DUMMYFUNCTION("""COMPUTED_VALUE"""),"Proy3")</f>
        <v>Proy3</v>
      </c>
      <c r="B30" s="11" t="str">
        <f>IFERROR(__xludf.DUMMYFUNCTION("""COMPUTED_VALUE"""),"Ponencia")</f>
        <v>Ponencia</v>
      </c>
      <c r="C30" s="11" t="str">
        <f>IFERROR(__xludf.DUMMYFUNCTION("""COMPUTED_VALUE"""),"A.F. Lopez Rodriguez")</f>
        <v>A.F. Lopez Rodriguez</v>
      </c>
      <c r="D30" s="11" t="str">
        <f>IFERROR(__xludf.DUMMYFUNCTION("""COMPUTED_VALUE"""),"J.C. Serrano Rico")</f>
        <v>J.C. Serrano Rico</v>
      </c>
      <c r="E30" s="11" t="str">
        <f>IFERROR(__xludf.DUMMYFUNCTION("""COMPUTED_VALUE"""),"E.G. Florez Serrano")</f>
        <v>E.G. Florez Serrano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>
      <c r="A31" s="11" t="str">
        <f>IFERROR(__xludf.DUMMYFUNCTION("""COMPUTED_VALUE"""),"Proy2")</f>
        <v>Proy2</v>
      </c>
      <c r="B31" s="11" t="str">
        <f>IFERROR(__xludf.DUMMYFUNCTION("""COMPUTED_VALUE"""),"Ponencia")</f>
        <v>Ponencia</v>
      </c>
      <c r="C31" s="11" t="str">
        <f>IFERROR(__xludf.DUMMYFUNCTION("""COMPUTED_VALUE"""),"J. Velásquez")</f>
        <v>J. Velásquez</v>
      </c>
      <c r="D31" s="11" t="str">
        <f>IFERROR(__xludf.DUMMYFUNCTION("""COMPUTED_VALUE"""),"A. Flórez")</f>
        <v>A. Flórez</v>
      </c>
      <c r="E31" s="11" t="str">
        <f>IFERROR(__xludf.DUMMYFUNCTION("""COMPUTED_VALUE"""),"J. Tirado")</f>
        <v>J. Tirado</v>
      </c>
      <c r="F31" s="11" t="str">
        <f>IFERROR(__xludf.DUMMYFUNCTION("""COMPUTED_VALUE"""),"D. Ramírez")</f>
        <v>D. Ramírez</v>
      </c>
      <c r="G31" s="11" t="str">
        <f>IFERROR(__xludf.DUMMYFUNCTION("""COMPUTED_VALUE"""),"J.F. Montoya")</f>
        <v>J.F. Montoya</v>
      </c>
      <c r="H31" s="11" t="str">
        <f>IFERROR(__xludf.DUMMYFUNCTION("""COMPUTED_VALUE"""),"R. Betancur")</f>
        <v>R. Betancur</v>
      </c>
      <c r="I31" s="11" t="str">
        <f>IFERROR(__xludf.DUMMYFUNCTION("""COMPUTED_VALUE"""),"Franklin Jaramillo")</f>
        <v>Franklin Jaramillo</v>
      </c>
      <c r="J31" s="11"/>
      <c r="K31" s="11"/>
      <c r="L31" s="11"/>
      <c r="M31" s="11"/>
      <c r="N31" s="11"/>
      <c r="O31" s="11"/>
    </row>
    <row r="32">
      <c r="A32" s="11" t="str">
        <f>IFERROR(__xludf.DUMMYFUNCTION("""COMPUTED_VALUE"""),"Proy9")</f>
        <v>Proy9</v>
      </c>
      <c r="B32" s="11" t="str">
        <f>IFERROR(__xludf.DUMMYFUNCTION("""COMPUTED_VALUE"""),"Ponencia")</f>
        <v>Ponencia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>
      <c r="A33" s="11" t="str">
        <f>IFERROR(__xludf.DUMMYFUNCTION("""COMPUTED_VALUE"""),"Proy3")</f>
        <v>Proy3</v>
      </c>
      <c r="B33" s="11" t="str">
        <f>IFERROR(__xludf.DUMMYFUNCTION("""COMPUTED_VALUE"""),"Ponencia")</f>
        <v>Ponencia</v>
      </c>
      <c r="C33" s="11" t="str">
        <f>IFERROR(__xludf.DUMMYFUNCTION("""COMPUTED_VALUE"""),"Jonathan Javier Pabón Rojas")</f>
        <v>Jonathan Javier Pabón Rojas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>
      <c r="A34" s="11" t="str">
        <f>IFERROR(__xludf.DUMMYFUNCTION("""COMPUTED_VALUE"""),"Proy1")</f>
        <v>Proy1</v>
      </c>
      <c r="B34" s="11" t="str">
        <f>IFERROR(__xludf.DUMMYFUNCTION("""COMPUTED_VALUE"""),"Ponencia")</f>
        <v>Ponencia</v>
      </c>
      <c r="C34" s="11" t="str">
        <f>IFERROR(__xludf.DUMMYFUNCTION("""COMPUTED_VALUE"""),"Andrés Jahir Chalaca Salas")</f>
        <v>Andrés Jahir Chalaca Salas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>
      <c r="A35" s="11" t="str">
        <f>IFERROR(__xludf.DUMMYFUNCTION("""COMPUTED_VALUE"""),"Proy1")</f>
        <v>Proy1</v>
      </c>
      <c r="B35" s="11" t="str">
        <f>IFERROR(__xludf.DUMMYFUNCTION("""COMPUTED_VALUE"""),"Ponencia")</f>
        <v>Ponencia</v>
      </c>
      <c r="C35" s="11" t="str">
        <f>IFERROR(__xludf.DUMMYFUNCTION("""COMPUTED_VALUE"""),"LAURA ISABEL VELÁSQUEZ GARCÍA")</f>
        <v>LAURA ISABEL VELÁSQUEZ GARCÍA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>
      <c r="A36" s="11" t="str">
        <f>IFERROR(__xludf.DUMMYFUNCTION("""COMPUTED_VALUE"""),"Proy3")</f>
        <v>Proy3</v>
      </c>
      <c r="B36" s="11" t="str">
        <f>IFERROR(__xludf.DUMMYFUNCTION("""COMPUTED_VALUE"""),"Ponencia")</f>
        <v>Ponencia</v>
      </c>
      <c r="C36" s="11" t="str">
        <f>IFERROR(__xludf.DUMMYFUNCTION("""COMPUTED_VALUE"""),"Luis A. Gallo")</f>
        <v>Luis A. Gallo</v>
      </c>
      <c r="D36" s="11" t="str">
        <f>IFERROR(__xludf.DUMMYFUNCTION("""COMPUTED_VALUE"""),"Elkin Flórez")</f>
        <v>Elkin Flórez</v>
      </c>
      <c r="E36" s="11" t="str">
        <f>IFERROR(__xludf.DUMMYFUNCTION("""COMPUTED_VALUE"""),"Edwin Lenin Chica Arrieta")</f>
        <v>Edwin Lenin Chica Arrieta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>
      <c r="A37" s="11" t="str">
        <f>IFERROR(__xludf.DUMMYFUNCTION("""COMPUTED_VALUE"""),"Proy6")</f>
        <v>Proy6</v>
      </c>
      <c r="B37" s="11" t="str">
        <f>IFERROR(__xludf.DUMMYFUNCTION("""COMPUTED_VALUE"""),"Ponencia")</f>
        <v>Ponencia</v>
      </c>
      <c r="C37" s="11" t="str">
        <f>IFERROR(__xludf.DUMMYFUNCTION("""COMPUTED_VALUE"""),"Domínguez, D")</f>
        <v>Domínguez, D</v>
      </c>
      <c r="D37" s="11" t="str">
        <f>IFERROR(__xludf.DUMMYFUNCTION("""COMPUTED_VALUE"""),"Mosquera, A.M")</f>
        <v>Mosquera, A.M</v>
      </c>
      <c r="E37" s="11" t="str">
        <f>IFERROR(__xludf.DUMMYFUNCTION("""COMPUTED_VALUE"""),"Ruiz, J.A")</f>
        <v>Ruiz, J.A</v>
      </c>
      <c r="F37" s="11" t="str">
        <f>IFERROR(__xludf.DUMMYFUNCTION("""COMPUTED_VALUE"""),"Molina, F")</f>
        <v>Molina, F</v>
      </c>
      <c r="G37" s="11" t="str">
        <f>IFERROR(__xludf.DUMMYFUNCTION("""COMPUTED_VALUE"""),"Peláez, C")</f>
        <v>Peláez, C</v>
      </c>
      <c r="H37" s="11" t="str">
        <f>IFERROR(__xludf.DUMMYFUNCTION("""COMPUTED_VALUE"""),"Peñuela, M")</f>
        <v>Peñuela, M</v>
      </c>
      <c r="I37" s="11"/>
      <c r="J37" s="11"/>
      <c r="K37" s="11"/>
      <c r="L37" s="11"/>
      <c r="M37" s="11"/>
      <c r="N37" s="11"/>
      <c r="O37" s="11"/>
    </row>
    <row r="38">
      <c r="A38" s="11" t="str">
        <f>IFERROR(__xludf.DUMMYFUNCTION("""COMPUTED_VALUE"""),"Proy1")</f>
        <v>Proy1</v>
      </c>
      <c r="B38" s="11" t="str">
        <f>IFERROR(__xludf.DUMMYFUNCTION("""COMPUTED_VALUE"""),"Ponencia")</f>
        <v>Ponencia</v>
      </c>
      <c r="C38" s="11" t="str">
        <f>IFERROR(__xludf.DUMMYFUNCTION("""COMPUTED_VALUE"""),"Edwin Lenin Chica Arrieta")</f>
        <v>Edwin Lenin Chica Arrieta</v>
      </c>
      <c r="D38" s="11" t="str">
        <f>IFERROR(__xludf.DUMMYFUNCTION("""COMPUTED_VALUE"""),"Ainhoa Rubio Clemente")</f>
        <v>Ainhoa Rubio Clemente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>
      <c r="A39" s="11" t="str">
        <f>IFERROR(__xludf.DUMMYFUNCTION("""COMPUTED_VALUE"""),"Proy1")</f>
        <v>Proy1</v>
      </c>
      <c r="B39" s="11" t="str">
        <f>IFERROR(__xludf.DUMMYFUNCTION("""COMPUTED_VALUE"""),"Ponencia")</f>
        <v>Ponencia</v>
      </c>
      <c r="C39" s="11" t="str">
        <f>IFERROR(__xludf.DUMMYFUNCTION("""COMPUTED_VALUE"""),"Ainhoa Rubio Clemente")</f>
        <v>Ainhoa Rubio Clemente</v>
      </c>
      <c r="D39" s="11" t="str">
        <f>IFERROR(__xludf.DUMMYFUNCTION("""COMPUTED_VALUE"""),"Jonathan Aguilar ")</f>
        <v>Jonathan Aguilar </v>
      </c>
      <c r="E39" s="11" t="str">
        <f>IFERROR(__xludf.DUMMYFUNCTION("""COMPUTED_VALUE"""),"Edwin Lenin Chica Arrieta")</f>
        <v>Edwin Lenin Chica Arrieta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>
      <c r="A40" s="11" t="str">
        <f>IFERROR(__xludf.DUMMYFUNCTION("""COMPUTED_VALUE"""),"Proy1")</f>
        <v>Proy1</v>
      </c>
      <c r="B40" s="11" t="str">
        <f>IFERROR(__xludf.DUMMYFUNCTION("""COMPUTED_VALUE"""),"Ponencia")</f>
        <v>Ponencia</v>
      </c>
      <c r="C40" s="11" t="str">
        <f>IFERROR(__xludf.DUMMYFUNCTION("""COMPUTED_VALUE"""),"Usma Albert")</f>
        <v>Usma Albert</v>
      </c>
      <c r="D40" s="11" t="str">
        <f>IFERROR(__xludf.DUMMYFUNCTION("""COMPUTED_VALUE"""),"Aristizábal R ")</f>
        <v>Aristizábal R </v>
      </c>
      <c r="E40" s="11" t="str">
        <f>IFERROR(__xludf.DUMMYFUNCTION("""COMPUTED_VALUE"""),"Edwin Lenin Chica Arrieta")</f>
        <v>Edwin Lenin Chica Arrieta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</row>
  </sheetData>
  <drawing r:id="rId1"/>
</worksheet>
</file>