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A2B68B5B-483C-45FB-9285-A8EA3491643B}" xr6:coauthVersionLast="47" xr6:coauthVersionMax="47" xr10:uidLastSave="{00000000-0000-0000-0000-000000000000}"/>
  <bookViews>
    <workbookView xWindow="-28920" yWindow="-120" windowWidth="29040" windowHeight="15720" firstSheet="10" activeTab="17"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LikelihoodInputs" sheetId="27" r:id="rId17"/>
    <sheet name="FittingInputs" sheetId="26" r:id="rId18"/>
    <sheet name="SheetData" sheetId="3" r:id="rId19"/>
    <sheet name="ProgMapping" sheetId="2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 i="26" l="1"/>
  <c r="D4" i="26"/>
  <c r="E21" i="26"/>
  <c r="E20" i="26"/>
  <c r="H47" i="26"/>
  <c r="D15" i="26"/>
  <c r="D14" i="26"/>
  <c r="B15" i="26"/>
  <c r="B14" i="26"/>
  <c r="B13" i="26" l="1"/>
  <c r="B11" i="26"/>
  <c r="B12" i="26"/>
  <c r="B10" i="26"/>
  <c r="AC8" i="24"/>
  <c r="E43" i="26" l="1"/>
  <c r="O5" i="26"/>
  <c r="C29" i="26"/>
  <c r="C28" i="26"/>
  <c r="C27" i="26"/>
  <c r="B3" i="26"/>
  <c r="C30" i="26" s="1"/>
  <c r="B5" i="26"/>
  <c r="B21" i="26"/>
  <c r="B20" i="26"/>
  <c r="B19" i="26"/>
  <c r="B18" i="26"/>
  <c r="B9" i="26"/>
  <c r="B8" i="26"/>
  <c r="B4" i="26"/>
  <c r="C34" i="26" l="1"/>
  <c r="C35" i="26"/>
  <c r="C33" i="26"/>
  <c r="C32" i="26"/>
  <c r="C31" i="26"/>
  <c r="O6" i="26"/>
  <c r="K68" i="22"/>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X9" i="24" l="1"/>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<sst xmlns="http://schemas.openxmlformats.org/spreadsheetml/2006/main" count="1249" uniqueCount="428">
  <si>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</si>
  <si>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</si>
  <si>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</si>
  <si>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</si>
  <si>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</si>
  <si>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</si>
  <si>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</si>
  <si>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</si>
  <si>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</si>
  <si>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</si>
  <si>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</si>
  <si>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</si>
  <si>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</si>
  <si>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</si>
  <si>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</si>
  <si>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</si>
  <si>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</si>
  <si>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</si>
  <si>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</si>
  <si>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</si>
  <si>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</si>
  <si>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</si>
  <si>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</si>
  <si>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</si>
  <si>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</si>
  <si>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</si>
  <si>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</si>
  <si>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</si>
  <si>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</si>
  <si>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</si>
  <si>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</si>
  <si>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</si>
  <si>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</si>
  <si>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</si>
  <si>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</si>
  <si>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</si>
  <si>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</si>
  <si>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</si>
  <si>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</si>
  <si>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</si>
  <si>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</si>
  <si>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</si>
  <si>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</si>
  <si>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</si>
  <si>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</si>
  <si>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</si>
  <si>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</si>
  <si>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</si>
  <si>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</si>
  <si>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</si>
  <si>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</si>
  <si>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</si>
  <si>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</si>
  <si>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</si>
  <si>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</si>
  <si>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</si>
  <si>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</si>
  <si>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</si>
  <si>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</si>
  <si>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</si>
  <si>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</si>
  <si>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</si>
  <si>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</si>
  <si>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</si>
  <si>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</si>
  <si>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</si>
  <si>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</si>
  <si>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</si>
  <si>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</si>
  <si>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</si>
  <si>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</si>
  <si>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</si>
  <si>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</si>
  <si>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</si>
  <si>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</si>
  <si>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</si>
  <si>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</si>
  <si>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</si>
  <si>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</si>
  <si>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</si>
  <si>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</si>
  <si>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</si>
  <si>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</si>
  <si>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</si>
  <si>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</si>
  <si>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</si>
  <si>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</si>
  <si>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</si>
  <si>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</si>
  <si>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</si>
  <si>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</si>
  <si>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</si>
  <si>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</si>
  <si>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</si>
  <si>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</si>
  <si>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</si>
  <si>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</si>
  <si>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</si>
  <si>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</si>
  <si>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</si>
  <si>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</si>
  <si>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</si>
  <si>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</si>
  <si>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</si>
  <si>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</si>
  <si>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</si>
  <si>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</si>
  <si>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</si>
  <si>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</si>
  <si>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</si>
  <si>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</si>
  <si>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</si>
  <si>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</si>
  <si>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</si>
  <si>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</si>
  <si>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</si>
  <si>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</si>
  <si>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</si>
  <si>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</si>
  <si>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</si>
  <si>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</si>
  <si>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</si>
  <si>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</si>
  <si>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</si>
  <si>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</si>
  <si>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</si>
  <si>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</si>
  <si>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</si>
  <si>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</si>
  <si>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</si>
  <si>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</si>
  <si>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</si>
  <si>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</si>
  <si>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</si>
  <si>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</si>
  <si>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</si>
  <si>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</si>
  <si>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</si>
  <si>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</si>
  <si>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</si>
  <si>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</si>
  <si>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</si>
  <si>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</si>
  <si>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</si>
  <si>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</si>
  <si>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</si>
  <si>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</si>
  <si>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</si>
  <si>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</si>
  <si>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</si>
  <si>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</si>
  <si>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</si>
  <si>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</si>
  <si>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</si>
  <si>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</si>
  <si>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</si>
  <si>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</si>
  <si>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</si>
  <si>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</si>
  <si>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</si>
  <si>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</si>
  <si>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</si>
  <si>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</si>
  <si>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</si>
  <si>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</si>
  <si>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</si>
  <si>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</si>
  <si>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</si>
  <si>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</si>
  <si>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</si>
  <si>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</si>
  <si>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</si>
  <si>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</si>
  <si>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</si>
  <si>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</si>
  <si>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</si>
  <si>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</si>
  <si>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</si>
  <si>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</si>
  <si>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</si>
  <si>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</si>
  <si>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</si>
  <si>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</si>
  <si>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</si>
  <si>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</si>
  <si>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</si>
  <si>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</si>
  <si>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</si>
  <si>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</si>
  <si>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</si>
  <si>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</si>
  <si>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</si>
  <si>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</si>
  <si>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</si>
  <si>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</si>
  <si>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</si>
  <si>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</si>
  <si>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</si>
  <si>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</si>
  <si>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</si>
  <si>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</si>
  <si>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</si>
  <si>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</si>
  <si>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</si>
  <si>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</si>
  <si>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</si>
  <si>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</si>
  <si>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</si>
  <si>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</si>
  <si>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</si>
  <si>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</si>
  <si>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</si>
  <si>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</si>
  <si>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</si>
  <si>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</si>
  <si>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</si>
  <si>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</si>
  <si>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</si>
  <si>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</si>
  <si>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</si>
  <si>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</si>
  <si>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</si>
  <si>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</si>
  <si>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</si>
  <si>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</si>
  <si>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</si>
  <si>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</si>
  <si>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</si>
  <si>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</si>
  <si>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</si>
  <si>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</si>
  <si>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</si>
  <si>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</si>
  <si>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</si>
  <si>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</si>
  <si>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</si>
  <si>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</si>
  <si>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</si>
  <si>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</si>
  <si>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</si>
  <si>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</si>
  <si>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</si>
  <si>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</si>
  <si>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</si>
  <si>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</si>
  <si>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</si>
  <si>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</si>
  <si>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</si>
  <si>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</si>
  <si>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</si>
  <si>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</si>
  <si>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</si>
  <si>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</si>
  <si>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</si>
  <si>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</si>
  <si>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</si>
  <si>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</si>
  <si>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</si>
  <si>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</si>
  <si>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</si>
  <si>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</si>
  <si>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</si>
  <si>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</si>
  <si>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</si>
  <si>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</si>
  <si>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</si>
  <si>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</si>
  <si>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</si>
  <si>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</si>
  <si>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</si>
  <si>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</si>
  <si>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</si>
  <si>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</si>
  <si>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</si>
  <si>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</si>
  <si>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</si>
  <si>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</si>
  <si>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</si>
  <si>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</si>
  <si>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</si>
  <si>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</si>
  <si>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</si>
  <si>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</si>
  <si>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</si>
  <si>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</si>
  <si>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</si>
  <si>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</si>
  <si>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</si>
  <si>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</si>
  <si>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</si>
  <si>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</si>
  <si>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</si>
  <si>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</si>
  <si>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</si>
  <si>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</si>
  <si>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</si>
  <si>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</si>
  <si>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</si>
  <si>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</si>
  <si>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</si>
  <si>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</si>
  <si>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</si>
  <si>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</si>
  <si>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</si>
  <si>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</si>
  <si>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</si>
  <si>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</si>
  <si>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</si>
  <si>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</si>
  <si>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</si>
  <si>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</si>
  <si>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</si>
  <si>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</si>
  <si>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</si>
  <si>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</si>
  <si>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</si>
  <si>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</si>
  <si>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</si>
  <si>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</si>
  <si>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</si>
  <si>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</si>
  <si>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</si>
  <si>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</si>
  <si>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</si>
  <si>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</si>
  <si>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</si>
  <si>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</si>
  <si>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</si>
  <si>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</si>
  <si>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</si>
  <si>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</si>
  <si>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</si>
  <si>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</si>
  <si>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</si>
  <si>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</si>
  <si>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</si>
  <si>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</si>
  <si>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</si>
  <si>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</si>
  <si>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</si>
  <si>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</si>
  <si>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</si>
  <si>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</si>
  <si>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</si>
  <si>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</si>
  <si>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</si>
  <si>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</si>
  <si>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</si>
  <si>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</si>
  <si>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</si>
  <si>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Lifetime partnership exposure, women</t>
  </si>
  <si>
    <t>Lifetime partnership exposure, men</t>
  </si>
  <si>
    <t>lt.partner.f</t>
  </si>
  <si>
    <t>lt.partner.m</t>
  </si>
  <si>
    <t>HIV fertility reduction local adjustment factor</t>
  </si>
  <si>
    <t>hiv.frr.laf</t>
  </si>
  <si>
    <t>INITIAL VALUE</t>
  </si>
  <si>
    <t>PRIOR</t>
  </si>
  <si>
    <t>Distribution</t>
  </si>
  <si>
    <t>Gamma</t>
  </si>
  <si>
    <t>Beta</t>
  </si>
  <si>
    <t>Normal</t>
  </si>
  <si>
    <t>Fitting sets lifetime partnership exposures constant over time.</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</si>
  <si>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</si>
  <si>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</si>
  <si>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</si>
  <si>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</si>
  <si>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</si>
  <si>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</si>
  <si>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</si>
  <si>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</si>
  <si>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</si>
  <si>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</si>
  <si>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</si>
  <si>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</si>
  <si>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</si>
  <si>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</si>
  <si>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</si>
  <si>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</si>
  <si>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</si>
  <si>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</si>
  <si>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</si>
  <si>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</si>
  <si>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</si>
  <si>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</si>
  <si>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</si>
  <si>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</si>
  <si>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</si>
  <si>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</si>
  <si>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</si>
  <si>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</si>
  <si>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</si>
  <si>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</si>
  <si>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</si>
  <si>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</si>
  <si>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</si>
  <si>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</si>
  <si>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</si>
  <si>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</si>
  <si>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</si>
  <si>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</si>
  <si>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</si>
  <si>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</si>
  <si>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</si>
  <si>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</si>
  <si>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</si>
  <si>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</si>
  <si>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</si>
  <si>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</si>
  <si>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</si>
  <si>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</si>
  <si>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</si>
  <si>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</si>
  <si>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</si>
  <si>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</si>
  <si>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</si>
  <si>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</si>
  <si>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</si>
  <si>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</si>
  <si>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</si>
  <si>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After running goals_fit, the fitted parameters need to be loaded into the appropriate tabs manually.</t>
  </si>
  <si>
    <t>RG: This list of parameters is not set in stone. We will likely need to add more parameters and refine existing parameters as we run into limitations of focusing just on these.</t>
  </si>
  <si>
    <t>RG: We can expand the list of allowed distributions (uniform would be good), but I would prefer to stick to two-parameter distributions if possible.</t>
  </si>
  <si>
    <t>RG: For small proportion parameters, it may be necessary to either replace beta priors with uniform priors, or force use of Nelder-Mead when these parameters are included in fit. They cause L-BFGS-B headaches.</t>
  </si>
  <si>
    <t>RG: Note that Exponential(rate) = Gamma(1, rate).</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</si>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</sst>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indexed="64"/>
      </left>
      <right style="thin">
        <color theme="0" tint="-0.34998626667073579"/>
      </right>
      <top style="thin">
        <color indexed="64"/>
      </top>
      <bottom/>
      <diagonal/>
    </border>
    <border>
      <left style="thin">
        <color theme="0" tint="-0.34998626667073579"/>
      </left>
      <right style="thin">
        <color theme="0" tint="-0.34998626667073579"/>
      </right>
      <top style="thin">
        <color indexed="64"/>
      </top>
      <bottom/>
      <diagonal/>
    </border>
    <border>
      <left/>
      <right/>
      <top style="thin">
        <color indexed="64"/>
      </top>
      <bottom/>
      <diagonal/>
    </border>
    <border>
      <left style="thin">
        <color theme="0" tint="-0.34998626667073579"/>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right style="thin">
        <color indexed="64"/>
      </right>
      <top style="thin">
        <color indexed="64"/>
      </top>
      <bottom/>
      <diagonal/>
    </border>
    <border>
      <left style="thin">
        <color indexed="64"/>
      </left>
      <right style="thin">
        <color theme="0" tint="-0.34998626667073579"/>
      </right>
      <top style="thin">
        <color theme="0" tint="-0.34998626667073579"/>
      </top>
      <bottom style="thin">
        <color theme="0" tint="-0.34998626667073579"/>
      </bottom>
      <diagonal/>
    </border>
    <border>
      <left/>
      <right style="thin">
        <color indexed="64"/>
      </right>
      <top/>
      <bottom/>
      <diagonal/>
    </border>
    <border>
      <left style="thin">
        <color indexed="64"/>
      </left>
      <right/>
      <top style="thin">
        <color theme="0" tint="-0.34998626667073579"/>
      </top>
      <bottom style="thin">
        <color theme="0" tint="-0.34998626667073579"/>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63">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0" fontId="0" fillId="3" borderId="1" xfId="0" applyFill="1" applyBorder="1" applyAlignment="1">
      <alignment horizontal="left"/>
    </xf>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62.7721467545039</c:v>
                </c:pt>
                <c:pt idx="1">
                  <c:v>62.7721467545039</c:v>
                </c:pt>
                <c:pt idx="2">
                  <c:v>62.7721467545039</c:v>
                </c:pt>
                <c:pt idx="3">
                  <c:v>62.7721467545039</c:v>
                </c:pt>
                <c:pt idx="4">
                  <c:v>62.7721467545039</c:v>
                </c:pt>
                <c:pt idx="5">
                  <c:v>62.7721467545039</c:v>
                </c:pt>
                <c:pt idx="6">
                  <c:v>62.7721467545039</c:v>
                </c:pt>
                <c:pt idx="7">
                  <c:v>62.7721467545039</c:v>
                </c:pt>
                <c:pt idx="8">
                  <c:v>62.7721467545039</c:v>
                </c:pt>
                <c:pt idx="9">
                  <c:v>62.7721467545039</c:v>
                </c:pt>
                <c:pt idx="10">
                  <c:v>62.7721467545039</c:v>
                </c:pt>
                <c:pt idx="11">
                  <c:v>62.7721467545039</c:v>
                </c:pt>
                <c:pt idx="12">
                  <c:v>62.7721467545039</c:v>
                </c:pt>
                <c:pt idx="13">
                  <c:v>62.7721467545039</c:v>
                </c:pt>
                <c:pt idx="14">
                  <c:v>62.7721467545039</c:v>
                </c:pt>
                <c:pt idx="15">
                  <c:v>62.7721467545039</c:v>
                </c:pt>
                <c:pt idx="16">
                  <c:v>62.7721467545039</c:v>
                </c:pt>
                <c:pt idx="17">
                  <c:v>62.7721467545039</c:v>
                </c:pt>
                <c:pt idx="18">
                  <c:v>62.7721467545039</c:v>
                </c:pt>
                <c:pt idx="19">
                  <c:v>62.7721467545039</c:v>
                </c:pt>
                <c:pt idx="20">
                  <c:v>62.7721467545039</c:v>
                </c:pt>
                <c:pt idx="21">
                  <c:v>62.7721467545039</c:v>
                </c:pt>
                <c:pt idx="22">
                  <c:v>62.7721467545039</c:v>
                </c:pt>
                <c:pt idx="23">
                  <c:v>62.7721467545039</c:v>
                </c:pt>
                <c:pt idx="24">
                  <c:v>62.7721467545039</c:v>
                </c:pt>
                <c:pt idx="25">
                  <c:v>62.7721467545039</c:v>
                </c:pt>
                <c:pt idx="26">
                  <c:v>62.7721467545039</c:v>
                </c:pt>
                <c:pt idx="27">
                  <c:v>62.7721467545039</c:v>
                </c:pt>
                <c:pt idx="28">
                  <c:v>62.7721467545039</c:v>
                </c:pt>
                <c:pt idx="29">
                  <c:v>62.7721467545039</c:v>
                </c:pt>
                <c:pt idx="30">
                  <c:v>62.7721467545039</c:v>
                </c:pt>
                <c:pt idx="31">
                  <c:v>62.7721467545039</c:v>
                </c:pt>
                <c:pt idx="32">
                  <c:v>62.7721467545039</c:v>
                </c:pt>
                <c:pt idx="33">
                  <c:v>62.7721467545039</c:v>
                </c:pt>
                <c:pt idx="34">
                  <c:v>62.7721467545039</c:v>
                </c:pt>
                <c:pt idx="35">
                  <c:v>62.7721467545039</c:v>
                </c:pt>
                <c:pt idx="36">
                  <c:v>62.7721467545039</c:v>
                </c:pt>
                <c:pt idx="37">
                  <c:v>62.7721467545039</c:v>
                </c:pt>
                <c:pt idx="38">
                  <c:v>62.7721467545039</c:v>
                </c:pt>
                <c:pt idx="39">
                  <c:v>62.7721467545039</c:v>
                </c:pt>
                <c:pt idx="40">
                  <c:v>62.7721467545039</c:v>
                </c:pt>
                <c:pt idx="41">
                  <c:v>62.7721467545039</c:v>
                </c:pt>
                <c:pt idx="42">
                  <c:v>62.7721467545039</c:v>
                </c:pt>
                <c:pt idx="43">
                  <c:v>62.7721467545039</c:v>
                </c:pt>
                <c:pt idx="44">
                  <c:v>62.7721467545039</c:v>
                </c:pt>
                <c:pt idx="45">
                  <c:v>62.7721467545039</c:v>
                </c:pt>
                <c:pt idx="46">
                  <c:v>62.7721467545039</c:v>
                </c:pt>
                <c:pt idx="47">
                  <c:v>62.7721467545039</c:v>
                </c:pt>
                <c:pt idx="48">
                  <c:v>62.7721467545039</c:v>
                </c:pt>
                <c:pt idx="49">
                  <c:v>62.7721467545039</c:v>
                </c:pt>
                <c:pt idx="50">
                  <c:v>62.7721467545039</c:v>
                </c:pt>
                <c:pt idx="51">
                  <c:v>62.7721467545039</c:v>
                </c:pt>
                <c:pt idx="52">
                  <c:v>62.7721467545039</c:v>
                </c:pt>
                <c:pt idx="53">
                  <c:v>62.7721467545039</c:v>
                </c:pt>
                <c:pt idx="54">
                  <c:v>62.7721467545039</c:v>
                </c:pt>
                <c:pt idx="55">
                  <c:v>62.7721467545039</c:v>
                </c:pt>
                <c:pt idx="56">
                  <c:v>62.7721467545039</c:v>
                </c:pt>
                <c:pt idx="57">
                  <c:v>62.7721467545039</c:v>
                </c:pt>
                <c:pt idx="58">
                  <c:v>62.7721467545039</c:v>
                </c:pt>
                <c:pt idx="59">
                  <c:v>62.7721467545039</c:v>
                </c:pt>
                <c:pt idx="60">
                  <c:v>62.7721467545039</c:v>
                </c:pt>
                <c:pt idx="61">
                  <c:v>62.7721467545039</c:v>
                </c:pt>
                <c:pt idx="62">
                  <c:v>62.7721467545039</c:v>
                </c:pt>
                <c:pt idx="63">
                  <c:v>62.7721467545039</c:v>
                </c:pt>
                <c:pt idx="64">
                  <c:v>62.7721467545039</c:v>
                </c:pt>
                <c:pt idx="65">
                  <c:v>62.7721467545039</c:v>
                </c:pt>
                <c:pt idx="66">
                  <c:v>62.7721467545039</c:v>
                </c:pt>
                <c:pt idx="67">
                  <c:v>62.7721467545039</c:v>
                </c:pt>
                <c:pt idx="68">
                  <c:v>62.7721467545039</c:v>
                </c:pt>
                <c:pt idx="69">
                  <c:v>62.7721467545039</c:v>
                </c:pt>
                <c:pt idx="70">
                  <c:v>62.7721467545039</c:v>
                </c:pt>
                <c:pt idx="71">
                  <c:v>62.7721467545039</c:v>
                </c:pt>
                <c:pt idx="72">
                  <c:v>62.7721467545039</c:v>
                </c:pt>
                <c:pt idx="73">
                  <c:v>62.7721467545039</c:v>
                </c:pt>
                <c:pt idx="74">
                  <c:v>62.7721467545039</c:v>
                </c:pt>
                <c:pt idx="75">
                  <c:v>62.7721467545039</c:v>
                </c:pt>
                <c:pt idx="76">
                  <c:v>62.7721467545039</c:v>
                </c:pt>
                <c:pt idx="77">
                  <c:v>62.7721467545039</c:v>
                </c:pt>
                <c:pt idx="78">
                  <c:v>62.7721467545039</c:v>
                </c:pt>
                <c:pt idx="79">
                  <c:v>62.7721467545039</c:v>
                </c:pt>
                <c:pt idx="80">
                  <c:v>62.7721467545039</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71.2076847353256</c:v>
                </c:pt>
                <c:pt idx="1">
                  <c:v>71.2076847353256</c:v>
                </c:pt>
                <c:pt idx="2">
                  <c:v>71.2076847353256</c:v>
                </c:pt>
                <c:pt idx="3">
                  <c:v>71.2076847353256</c:v>
                </c:pt>
                <c:pt idx="4">
                  <c:v>71.2076847353256</c:v>
                </c:pt>
                <c:pt idx="5">
                  <c:v>71.2076847353256</c:v>
                </c:pt>
                <c:pt idx="6">
                  <c:v>71.2076847353256</c:v>
                </c:pt>
                <c:pt idx="7">
                  <c:v>71.2076847353256</c:v>
                </c:pt>
                <c:pt idx="8">
                  <c:v>71.2076847353256</c:v>
                </c:pt>
                <c:pt idx="9">
                  <c:v>71.2076847353256</c:v>
                </c:pt>
                <c:pt idx="10">
                  <c:v>71.2076847353256</c:v>
                </c:pt>
                <c:pt idx="11">
                  <c:v>71.2076847353256</c:v>
                </c:pt>
                <c:pt idx="12">
                  <c:v>71.2076847353256</c:v>
                </c:pt>
                <c:pt idx="13">
                  <c:v>71.2076847353256</c:v>
                </c:pt>
                <c:pt idx="14">
                  <c:v>71.2076847353256</c:v>
                </c:pt>
                <c:pt idx="15">
                  <c:v>71.2076847353256</c:v>
                </c:pt>
                <c:pt idx="16">
                  <c:v>71.2076847353256</c:v>
                </c:pt>
                <c:pt idx="17">
                  <c:v>71.2076847353256</c:v>
                </c:pt>
                <c:pt idx="18">
                  <c:v>71.2076847353256</c:v>
                </c:pt>
                <c:pt idx="19">
                  <c:v>71.2076847353256</c:v>
                </c:pt>
                <c:pt idx="20">
                  <c:v>71.2076847353256</c:v>
                </c:pt>
                <c:pt idx="21">
                  <c:v>71.2076847353256</c:v>
                </c:pt>
                <c:pt idx="22">
                  <c:v>71.2076847353256</c:v>
                </c:pt>
                <c:pt idx="23">
                  <c:v>71.2076847353256</c:v>
                </c:pt>
                <c:pt idx="24">
                  <c:v>71.2076847353256</c:v>
                </c:pt>
                <c:pt idx="25">
                  <c:v>71.2076847353256</c:v>
                </c:pt>
                <c:pt idx="26">
                  <c:v>71.2076847353256</c:v>
                </c:pt>
                <c:pt idx="27">
                  <c:v>71.2076847353256</c:v>
                </c:pt>
                <c:pt idx="28">
                  <c:v>71.2076847353256</c:v>
                </c:pt>
                <c:pt idx="29">
                  <c:v>71.2076847353256</c:v>
                </c:pt>
                <c:pt idx="30">
                  <c:v>71.2076847353256</c:v>
                </c:pt>
                <c:pt idx="31">
                  <c:v>71.2076847353256</c:v>
                </c:pt>
                <c:pt idx="32">
                  <c:v>71.2076847353256</c:v>
                </c:pt>
                <c:pt idx="33">
                  <c:v>71.2076847353256</c:v>
                </c:pt>
                <c:pt idx="34">
                  <c:v>71.2076847353256</c:v>
                </c:pt>
                <c:pt idx="35">
                  <c:v>71.2076847353256</c:v>
                </c:pt>
                <c:pt idx="36">
                  <c:v>71.2076847353256</c:v>
                </c:pt>
                <c:pt idx="37">
                  <c:v>71.2076847353256</c:v>
                </c:pt>
                <c:pt idx="38">
                  <c:v>71.2076847353256</c:v>
                </c:pt>
                <c:pt idx="39">
                  <c:v>71.2076847353256</c:v>
                </c:pt>
                <c:pt idx="40">
                  <c:v>71.2076847353256</c:v>
                </c:pt>
                <c:pt idx="41">
                  <c:v>71.2076847353256</c:v>
                </c:pt>
                <c:pt idx="42">
                  <c:v>71.2076847353256</c:v>
                </c:pt>
                <c:pt idx="43">
                  <c:v>71.2076847353256</c:v>
                </c:pt>
                <c:pt idx="44">
                  <c:v>71.2076847353256</c:v>
                </c:pt>
                <c:pt idx="45">
                  <c:v>71.2076847353256</c:v>
                </c:pt>
                <c:pt idx="46">
                  <c:v>71.2076847353256</c:v>
                </c:pt>
                <c:pt idx="47">
                  <c:v>71.2076847353256</c:v>
                </c:pt>
                <c:pt idx="48">
                  <c:v>71.2076847353256</c:v>
                </c:pt>
                <c:pt idx="49">
                  <c:v>71.2076847353256</c:v>
                </c:pt>
                <c:pt idx="50">
                  <c:v>71.2076847353256</c:v>
                </c:pt>
                <c:pt idx="51">
                  <c:v>71.2076847353256</c:v>
                </c:pt>
                <c:pt idx="52">
                  <c:v>71.2076847353256</c:v>
                </c:pt>
                <c:pt idx="53">
                  <c:v>71.2076847353256</c:v>
                </c:pt>
                <c:pt idx="54">
                  <c:v>71.2076847353256</c:v>
                </c:pt>
                <c:pt idx="55">
                  <c:v>71.2076847353256</c:v>
                </c:pt>
                <c:pt idx="56">
                  <c:v>71.2076847353256</c:v>
                </c:pt>
                <c:pt idx="57">
                  <c:v>71.2076847353256</c:v>
                </c:pt>
                <c:pt idx="58">
                  <c:v>71.2076847353256</c:v>
                </c:pt>
                <c:pt idx="59">
                  <c:v>71.2076847353256</c:v>
                </c:pt>
                <c:pt idx="60">
                  <c:v>71.2076847353256</c:v>
                </c:pt>
                <c:pt idx="61">
                  <c:v>71.2076847353256</c:v>
                </c:pt>
                <c:pt idx="62">
                  <c:v>71.2076847353256</c:v>
                </c:pt>
                <c:pt idx="63">
                  <c:v>71.2076847353256</c:v>
                </c:pt>
                <c:pt idx="64">
                  <c:v>71.2076847353256</c:v>
                </c:pt>
                <c:pt idx="65">
                  <c:v>71.2076847353256</c:v>
                </c:pt>
                <c:pt idx="66">
                  <c:v>71.2076847353256</c:v>
                </c:pt>
                <c:pt idx="67">
                  <c:v>71.2076847353256</c:v>
                </c:pt>
                <c:pt idx="68">
                  <c:v>71.2076847353256</c:v>
                </c:pt>
                <c:pt idx="69">
                  <c:v>71.2076847353256</c:v>
                </c:pt>
                <c:pt idx="70">
                  <c:v>71.2076847353256</c:v>
                </c:pt>
                <c:pt idx="71">
                  <c:v>71.2076847353256</c:v>
                </c:pt>
                <c:pt idx="72">
                  <c:v>71.2076847353256</c:v>
                </c:pt>
                <c:pt idx="73">
                  <c:v>71.2076847353256</c:v>
                </c:pt>
                <c:pt idx="74">
                  <c:v>71.2076847353256</c:v>
                </c:pt>
                <c:pt idx="75">
                  <c:v>71.2076847353256</c:v>
                </c:pt>
                <c:pt idx="76">
                  <c:v>71.2076847353256</c:v>
                </c:pt>
                <c:pt idx="77">
                  <c:v>71.2076847353256</c:v>
                </c:pt>
                <c:pt idx="78">
                  <c:v>71.2076847353256</c:v>
                </c:pt>
                <c:pt idx="79">
                  <c:v>71.2076847353256</c:v>
                </c:pt>
                <c:pt idx="80">
                  <c:v>71.2076847353256</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0.13404705384381244</c:v>
                </c:pt>
                <c:pt idx="1">
                  <c:v>7.7026641280705993E-2</c:v>
                </c:pt>
                <c:pt idx="2">
                  <c:v>6.2755753616750759E-2</c:v>
                </c:pt>
                <c:pt idx="3">
                  <c:v>5.432139700432459E-2</c:v>
                </c:pt>
                <c:pt idx="4">
                  <c:v>4.8364850935167847E-2</c:v>
                </c:pt>
                <c:pt idx="5">
                  <c:v>4.37692431557406E-2</c:v>
                </c:pt>
                <c:pt idx="6">
                  <c:v>4.0030235412013948E-2</c:v>
                </c:pt>
                <c:pt idx="7">
                  <c:v>3.6878915066303475E-2</c:v>
                </c:pt>
                <c:pt idx="8">
                  <c:v>3.4155695009746689E-2</c:v>
                </c:pt>
                <c:pt idx="9">
                  <c:v>3.1758444760550786E-2</c:v>
                </c:pt>
                <c:pt idx="10">
                  <c:v>2.9618017973940036E-2</c:v>
                </c:pt>
                <c:pt idx="11">
                  <c:v>2.7685506307893126E-2</c:v>
                </c:pt>
                <c:pt idx="12">
                  <c:v>2.5925082995128523E-2</c:v>
                </c:pt>
                <c:pt idx="13">
                  <c:v>2.430973966470229E-2</c:v>
                </c:pt>
                <c:pt idx="14">
                  <c:v>2.2818621818770479E-2</c:v>
                </c:pt>
                <c:pt idx="15">
                  <c:v>2.1435295930483766E-2</c:v>
                </c:pt>
                <c:pt idx="16">
                  <c:v>2.014658402683045E-2</c:v>
                </c:pt>
                <c:pt idx="17">
                  <c:v>1.894175714244839E-2</c:v>
                </c:pt>
                <c:pt idx="18">
                  <c:v>1.7811963130085706E-2</c:v>
                </c:pt>
                <c:pt idx="19">
                  <c:v>1.6749811842520335E-2</c:v>
                </c:pt>
                <c:pt idx="20">
                  <c:v>1.5749068604315575E-2</c:v>
                </c:pt>
                <c:pt idx="21">
                  <c:v>1.4804423826677793E-2</c:v>
                </c:pt>
                <c:pt idx="22">
                  <c:v>1.3911317201581008E-2</c:v>
                </c:pt>
                <c:pt idx="23">
                  <c:v>1.3065801698739388E-2</c:v>
                </c:pt>
                <c:pt idx="24">
                  <c:v>1.226443704431901E-2</c:v>
                </c:pt>
                <c:pt idx="25">
                  <c:v>1.1504205346560825E-2</c:v>
                </c:pt>
                <c:pt idx="26">
                  <c:v>1.0782443573233658E-2</c:v>
                </c:pt>
                <c:pt idx="27">
                  <c:v>1.009678900323363E-2</c:v>
                </c:pt>
                <c:pt idx="28">
                  <c:v>9.4451347751350889E-3</c:v>
                </c:pt>
                <c:pt idx="29">
                  <c:v>8.825593371953544E-3</c:v>
                </c:pt>
                <c:pt idx="30">
                  <c:v>8.2364664012642974E-3</c:v>
                </c:pt>
                <c:pt idx="31">
                  <c:v>7.6762194117141469E-3</c:v>
                </c:pt>
                <c:pt idx="32">
                  <c:v>7.1434607706798436E-3</c:v>
                </c:pt>
                <c:pt idx="33">
                  <c:v>6.6369238408494624E-3</c:v>
                </c:pt>
                <c:pt idx="34">
                  <c:v>6.1554518550011039E-3</c:v>
                </c:pt>
                <c:pt idx="35">
                  <c:v>5.6979850118219488E-3</c:v>
                </c:pt>
                <c:pt idx="36">
                  <c:v>5.2635494109771752E-3</c:v>
                </c:pt>
                <c:pt idx="37">
                  <c:v>4.8512475198063676E-3</c:v>
                </c:pt>
                <c:pt idx="38">
                  <c:v>4.4602499221609859E-3</c:v>
                </c:pt>
                <c:pt idx="39">
                  <c:v>4.0897881457675478E-3</c:v>
                </c:pt>
                <c:pt idx="40">
                  <c:v>3.7391484009330345E-3</c:v>
                </c:pt>
                <c:pt idx="41">
                  <c:v>3.4076660925265179E-3</c:v>
                </c:pt>
                <c:pt idx="42">
                  <c:v>3.0947209905425321E-3</c:v>
                </c:pt>
                <c:pt idx="43">
                  <c:v>2.7997329634247281E-3</c:v>
                </c:pt>
                <c:pt idx="44">
                  <c:v>2.5221581936100135E-3</c:v>
                </c:pt>
                <c:pt idx="45">
                  <c:v>2.261485807145025E-3</c:v>
                </c:pt>
                <c:pt idx="46">
                  <c:v>2.0172348593104905E-3</c:v>
                </c:pt>
                <c:pt idx="47">
                  <c:v>1.7889516263267513E-3</c:v>
                </c:pt>
                <c:pt idx="48">
                  <c:v>1.5762071597448246E-3</c:v>
                </c:pt>
                <c:pt idx="49">
                  <c:v>1.3785950652596135E-3</c:v>
                </c:pt>
                <c:pt idx="50">
                  <c:v>1.19572947152502E-3</c:v>
                </c:pt>
                <c:pt idx="51">
                  <c:v>1.0272431571457519E-3</c:v>
                </c:pt>
                <c:pt idx="52">
                  <c:v>8.7278580528926675E-4</c:v>
                </c:pt>
                <c:pt idx="53">
                  <c:v>7.3202235501224067E-4</c:v>
                </c:pt>
                <c:pt idx="54">
                  <c:v>6.0463141594546688E-4</c:v>
                </c:pt>
                <c:pt idx="55">
                  <c:v>4.9030370736669049E-4</c:v>
                </c:pt>
                <c:pt idx="56">
                  <c:v>3.8874047205550433E-4</c:v>
                </c:pt>
                <c:pt idx="57">
                  <c:v>2.9965179589863666E-4</c:v>
                </c:pt>
                <c:pt idx="58">
                  <c:v>2.2275472843036326E-4</c:v>
                </c:pt>
                <c:pt idx="59">
                  <c:v>1.5777103059710917E-4</c:v>
                </c:pt>
                <c:pt idx="60">
                  <c:v>1.0442423374934506E-4</c:v>
                </c:pt>
                <c:pt idx="61">
                  <c:v>6.2435368491930987E-5</c:v>
                </c:pt>
                <c:pt idx="62">
                  <c:v>3.1515858524233664E-5</c:v>
                </c:pt>
                <c:pt idx="63">
                  <c:v>1.1353170172645477E-5</c:v>
                </c:pt>
                <c:pt idx="64">
                  <c:v>1.5686172596396375E-6</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0.21222376164462942</c:v>
                </c:pt>
                <c:pt idx="1">
                  <c:v>8.3919078101255928E-2</c:v>
                </c:pt>
                <c:pt idx="2">
                  <c:v>6.2629553577937036E-2</c:v>
                </c:pt>
                <c:pt idx="3">
                  <c:v>5.1428553235163377E-2</c:v>
                </c:pt>
                <c:pt idx="4">
                  <c:v>4.4153018513325537E-2</c:v>
                </c:pt>
                <c:pt idx="5">
                  <c:v>3.8901782066338264E-2</c:v>
                </c:pt>
                <c:pt idx="6">
                  <c:v>3.4860356575796392E-2</c:v>
                </c:pt>
                <c:pt idx="7">
                  <c:v>3.161227908425901E-2</c:v>
                </c:pt>
                <c:pt idx="8">
                  <c:v>2.8918996876663772E-2</c:v>
                </c:pt>
                <c:pt idx="9">
                  <c:v>2.6632505702401388E-2</c:v>
                </c:pt>
                <c:pt idx="10">
                  <c:v>2.4655350046870916E-2</c:v>
                </c:pt>
                <c:pt idx="11">
                  <c:v>2.2920326651520107E-2</c:v>
                </c:pt>
                <c:pt idx="12">
                  <c:v>2.1379350559567856E-2</c:v>
                </c:pt>
                <c:pt idx="13">
                  <c:v>1.9996960436511002E-2</c:v>
                </c:pt>
                <c:pt idx="14">
                  <c:v>1.8746336772578087E-2</c:v>
                </c:pt>
                <c:pt idx="15">
                  <c:v>1.7606758022748803E-2</c:v>
                </c:pt>
                <c:pt idx="16">
                  <c:v>1.6561918011205878E-2</c:v>
                </c:pt>
                <c:pt idx="17">
                  <c:v>1.5598779504806592E-2</c:v>
                </c:pt>
                <c:pt idx="18">
                  <c:v>1.4706772808299684E-2</c:v>
                </c:pt>
                <c:pt idx="19">
                  <c:v>1.3877222849267734E-2</c:v>
                </c:pt>
                <c:pt idx="20">
                  <c:v>1.310293143696406E-2</c:v>
                </c:pt>
                <c:pt idx="21">
                  <c:v>1.2377867274969701E-2</c:v>
                </c:pt>
                <c:pt idx="22">
                  <c:v>1.1696932296057172E-2</c:v>
                </c:pt>
                <c:pt idx="23">
                  <c:v>1.1055783024961574E-2</c:v>
                </c:pt>
                <c:pt idx="24">
                  <c:v>1.0450692256637195E-2</c:v>
                </c:pt>
                <c:pt idx="25">
                  <c:v>9.8784407032821431E-3</c:v>
                </c:pt>
                <c:pt idx="26">
                  <c:v>9.3362312157057037E-3</c:v>
                </c:pt>
                <c:pt idx="27">
                  <c:v>8.8216202163903246E-3</c:v>
                </c:pt>
                <c:pt idx="28">
                  <c:v>8.3324624026314131E-3</c:v>
                </c:pt>
                <c:pt idx="29">
                  <c:v>7.8668657866323155E-3</c:v>
                </c:pt>
                <c:pt idx="30">
                  <c:v>7.4231548650321999E-3</c:v>
                </c:pt>
                <c:pt idx="31">
                  <c:v>6.9998402389419567E-3</c:v>
                </c:pt>
                <c:pt idx="32">
                  <c:v>6.5955933951805656E-3</c:v>
                </c:pt>
                <c:pt idx="33">
                  <c:v>6.209225649727701E-3</c:v>
                </c:pt>
                <c:pt idx="34">
                  <c:v>5.8396704729644089E-3</c:v>
                </c:pt>
                <c:pt idx="35">
                  <c:v>5.4859685823942517E-3</c:v>
                </c:pt>
                <c:pt idx="36">
                  <c:v>5.1472553159833678E-3</c:v>
                </c:pt>
                <c:pt idx="37">
                  <c:v>4.8227498979213079E-3</c:v>
                </c:pt>
                <c:pt idx="38">
                  <c:v>4.5117462856480994E-3</c:v>
                </c:pt>
                <c:pt idx="39">
                  <c:v>4.213605347749505E-3</c:v>
                </c:pt>
                <c:pt idx="40">
                  <c:v>3.9277481706641026E-3</c:v>
                </c:pt>
                <c:pt idx="41">
                  <c:v>3.65365033109466E-3</c:v>
                </c:pt>
                <c:pt idx="42">
                  <c:v>3.3908370027928569E-3</c:v>
                </c:pt>
                <c:pt idx="43">
                  <c:v>3.1388787928012807E-3</c:v>
                </c:pt>
                <c:pt idx="44">
                  <c:v>2.8973882247040894E-3</c:v>
                </c:pt>
                <c:pt idx="45">
                  <c:v>2.6660168062020428E-3</c:v>
                </c:pt>
                <c:pt idx="46">
                  <c:v>2.4444526364723052E-3</c:v>
                </c:pt>
                <c:pt idx="47">
                  <c:v>2.2324185264545049E-3</c:v>
                </c:pt>
                <c:pt idx="48">
                  <c:v>2.0296706236290207E-3</c:v>
                </c:pt>
                <c:pt idx="49">
                  <c:v>1.8359975536366147E-3</c:v>
                </c:pt>
                <c:pt idx="50">
                  <c:v>1.6512201163536577E-3</c:v>
                </c:pt>
                <c:pt idx="51">
                  <c:v>1.4751916070381288E-3</c:v>
                </c:pt>
                <c:pt idx="52">
                  <c:v>1.3077988789297335E-3</c:v>
                </c:pt>
                <c:pt idx="53">
                  <c:v>1.1489643306540342E-3</c:v>
                </c:pt>
                <c:pt idx="54">
                  <c:v>9.9864910441194166E-4</c:v>
                </c:pt>
                <c:pt idx="55">
                  <c:v>8.5685794552037287E-4</c:v>
                </c:pt>
                <c:pt idx="56">
                  <c:v>7.2364645025146945E-4</c:v>
                </c:pt>
                <c:pt idx="57">
                  <c:v>5.9913191744043193E-4</c:v>
                </c:pt>
                <c:pt idx="58">
                  <c:v>4.835099355623429E-4</c:v>
                </c:pt>
                <c:pt idx="59">
                  <c:v>3.7708068397490635E-4</c:v>
                </c:pt>
                <c:pt idx="60">
                  <c:v>2.8029300611931429E-4</c:v>
                </c:pt>
                <c:pt idx="61">
                  <c:v>1.9382448293381316E-4</c:v>
                </c:pt>
                <c:pt idx="62">
                  <c:v>1.1874587089377719E-4</c:v>
                </c:pt>
                <c:pt idx="63">
                  <c:v>5.6936108925098594E-5</c:v>
                </c:pt>
                <c:pt idx="64">
                  <c:v>1.2793185617754332E-5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FittingInputs!$E$43</c:f>
              <c:strCache>
                <c:ptCount val="1"/>
                <c:pt idx="0">
                  <c:v>HIV fertility reduction local adjustment factor</c:v>
                </c:pt>
              </c:strCache>
            </c:strRef>
          </c:tx>
          <c:spPr>
            <a:solidFill>
              <a:schemeClr val="accent1"/>
            </a:solidFill>
            <a:ln>
              <a:solidFill>
                <a:schemeClr val="tx1"/>
              </a:solidFill>
            </a:ln>
            <a:effectLst/>
          </c:spPr>
          <c:invertIfNegative val="0"/>
          <c:cat>
            <c:numRef>
              <c:f>FittingInputs!$S$3:$S$35</c:f>
              <c:numCache>
                <c:formatCode>0.0000</c:formatCode>
                <c:ptCount val="33"/>
                <c:pt idx="0">
                  <c:v>0.56662892117267627</c:v>
                </c:pt>
                <c:pt idx="1">
                  <c:v>0.62827741049282371</c:v>
                </c:pt>
                <c:pt idx="2">
                  <c:v>0.68992589981297092</c:v>
                </c:pt>
                <c:pt idx="3">
                  <c:v>0.75157438913311836</c:v>
                </c:pt>
                <c:pt idx="4">
                  <c:v>0.8132228784532658</c:v>
                </c:pt>
                <c:pt idx="5">
                  <c:v>0.87487136777341301</c:v>
                </c:pt>
                <c:pt idx="6">
                  <c:v>0.93651985709356045</c:v>
                </c:pt>
                <c:pt idx="7">
                  <c:v>0.99816834641370766</c:v>
                </c:pt>
                <c:pt idx="8">
                  <c:v>1.0598168357338551</c:v>
                </c:pt>
                <c:pt idx="9">
                  <c:v>1.1214653250540025</c:v>
                </c:pt>
                <c:pt idx="10">
                  <c:v>1.1831138143741498</c:v>
                </c:pt>
                <c:pt idx="11">
                  <c:v>1.2447623036942972</c:v>
                </c:pt>
                <c:pt idx="12">
                  <c:v>1.3064107930144444</c:v>
                </c:pt>
                <c:pt idx="13">
                  <c:v>1.3680592823345918</c:v>
                </c:pt>
                <c:pt idx="14">
                  <c:v>1.4297077716547391</c:v>
                </c:pt>
                <c:pt idx="15">
                  <c:v>1.4913562609748865</c:v>
                </c:pt>
                <c:pt idx="16">
                  <c:v>1.5530047502950337</c:v>
                </c:pt>
                <c:pt idx="17">
                  <c:v>1.6146532396151811</c:v>
                </c:pt>
                <c:pt idx="18">
                  <c:v>1.6763017289353286</c:v>
                </c:pt>
                <c:pt idx="19">
                  <c:v>1.7379502182554758</c:v>
                </c:pt>
                <c:pt idx="20">
                  <c:v>1.7995987075756232</c:v>
                </c:pt>
                <c:pt idx="21">
                  <c:v>1.8612471968957705</c:v>
                </c:pt>
                <c:pt idx="22">
                  <c:v>1.9228956862159179</c:v>
                </c:pt>
                <c:pt idx="23">
                  <c:v>1.9845441755360653</c:v>
                </c:pt>
                <c:pt idx="24">
                  <c:v>2.0461926648562123</c:v>
                </c:pt>
                <c:pt idx="25">
                  <c:v>2.1078411541763602</c:v>
                </c:pt>
                <c:pt idx="26">
                  <c:v>2.1694896434965072</c:v>
                </c:pt>
                <c:pt idx="27">
                  <c:v>2.2311381328166542</c:v>
                </c:pt>
                <c:pt idx="28">
                  <c:v>2.2927866221368021</c:v>
                </c:pt>
                <c:pt idx="29">
                  <c:v>2.3544351114569491</c:v>
                </c:pt>
                <c:pt idx="30">
                  <c:v>2.4160836007770969</c:v>
                </c:pt>
                <c:pt idx="31">
                  <c:v>2.4777320900972439</c:v>
                </c:pt>
                <c:pt idx="32">
                  <c:v>2.5393805794173909</c:v>
                </c:pt>
              </c:numCache>
            </c:numRef>
          </c:cat>
          <c:val>
            <c:numRef>
              <c:f>FittingInputs!$R$3:$R$35</c:f>
              <c:numCache>
                <c:formatCode>0.0000</c:formatCode>
                <c:ptCount val="33"/>
                <c:pt idx="0">
                  <c:v>2.0734564318429339E-2</c:v>
                </c:pt>
                <c:pt idx="1">
                  <c:v>2.8889297420128586E-2</c:v>
                </c:pt>
                <c:pt idx="2">
                  <c:v>3.6863368269684796E-2</c:v>
                </c:pt>
                <c:pt idx="3">
                  <c:v>4.3928894800695353E-2</c:v>
                </c:pt>
                <c:pt idx="4">
                  <c:v>4.9591333045382824E-2</c:v>
                </c:pt>
                <c:pt idx="5">
                  <c:v>5.3604688225769082E-2</c:v>
                </c:pt>
                <c:pt idx="6">
                  <c:v>5.5934832529961731E-2</c:v>
                </c:pt>
                <c:pt idx="7">
                  <c:v>5.6701186895461275E-2</c:v>
                </c:pt>
                <c:pt idx="8">
                  <c:v>5.6117173882842208E-2</c:v>
                </c:pt>
                <c:pt idx="9">
                  <c:v>5.4440122008675595E-2</c:v>
                </c:pt>
                <c:pt idx="10">
                  <c:v>5.1934323941611293E-2</c:v>
                </c:pt>
                <c:pt idx="11">
                  <c:v>4.8846886881456664E-2</c:v>
                </c:pt>
                <c:pt idx="12">
                  <c:v>4.5394138747752444E-2</c:v>
                </c:pt>
                <c:pt idx="13">
                  <c:v>4.1755838999998796E-2</c:v>
                </c:pt>
                <c:pt idx="14">
                  <c:v>3.8074640141355087E-2</c:v>
                </c:pt>
                <c:pt idx="15">
                  <c:v>3.4458734495538601E-2</c:v>
                </c:pt>
                <c:pt idx="16">
                  <c:v>3.0986163693584534E-2</c:v>
                </c:pt>
                <c:pt idx="17">
                  <c:v>2.7709751892976753E-2</c:v>
                </c:pt>
                <c:pt idx="18">
                  <c:v>2.4662007485654613E-2</c:v>
                </c:pt>
                <c:pt idx="19">
                  <c:v>2.1859619476370495E-2</c:v>
                </c:pt>
                <c:pt idx="20">
                  <c:v>1.930736816590306E-2</c:v>
                </c:pt>
                <c:pt idx="21">
                  <c:v>1.7001394603355813E-2</c:v>
                </c:pt>
                <c:pt idx="22">
                  <c:v>1.4931848067694986E-2</c:v>
                </c:pt>
                <c:pt idx="23">
                  <c:v>1.3084971113014876E-2</c:v>
                </c:pt>
                <c:pt idx="24">
                  <c:v>1.1444699383377221E-2</c:v>
                </c:pt>
                <c:pt idx="25">
                  <c:v>9.9938571104047913E-3</c:v>
                </c:pt>
                <c:pt idx="26">
                  <c:v>8.7150249209695385E-3</c:v>
                </c:pt>
                <c:pt idx="27">
                  <c:v>7.5911482509571915E-3</c:v>
                </c:pt>
                <c:pt idx="28">
                  <c:v>6.6059447738009425E-3</c:v>
                </c:pt>
                <c:pt idx="29">
                  <c:v>5.7441592905145278E-3</c:v>
                </c:pt>
                <c:pt idx="30">
                  <c:v>4.9917053012573653E-3</c:v>
                </c:pt>
                <c:pt idx="31">
                  <c:v>4.3357243676124257E-3</c:v>
                </c:pt>
                <c:pt idx="32">
                  <c:v>3.7645874978071703E-3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23</xdr:row>
      <xdr:rowOff>0</xdr:rowOff>
    </xdr:from>
    <xdr:to>
      <xdr:col>8</xdr:col>
      <xdr:colOff>0</xdr:colOff>
      <xdr:row>42</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3"/>
  <sheetViews>
    <sheetView workbookViewId="0">
      <selection activeCell="A30" sqref="A30"/>
    </sheetView>
  </sheetViews>
  <sheetFormatPr defaultRowHeight="15" x14ac:dyDescent="0.25"/>
  <cols>
    <col min="1" max="1" width="20.7109375" customWidth="1"/>
    <col min="2" max="2" width="200.7109375" customWidth="1"/>
  </cols>
  <sheetData>
    <row r="1" spans="1:2" x14ac:dyDescent="0.25">
      <c r="A1" s="287" t="s">
        <v>13</v>
      </c>
      <c r="B1" s="288"/>
    </row>
    <row r="2" spans="1:2" x14ac:dyDescent="0.25">
      <c r="A2" s="290" t="s">
        <v>173</v>
      </c>
      <c r="B2" s="291"/>
    </row>
    <row r="3" spans="1:2" x14ac:dyDescent="0.25">
      <c r="A3" s="292" t="s">
        <v>175</v>
      </c>
      <c r="B3" s="293"/>
    </row>
    <row r="4" spans="1:2" x14ac:dyDescent="0.25">
      <c r="A4" s="292" t="s">
        <v>174</v>
      </c>
      <c r="B4" s="294"/>
    </row>
    <row r="5" spans="1:2" x14ac:dyDescent="0.25">
      <c r="A5" s="285" t="s">
        <v>16</v>
      </c>
      <c r="B5" s="286"/>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340</v>
      </c>
      <c r="B18" s="13" t="s">
        <v>324</v>
      </c>
    </row>
    <row r="19" spans="1:2" x14ac:dyDescent="0.25">
      <c r="A19" s="12" t="s">
        <v>341</v>
      </c>
      <c r="B19" s="13" t="s">
        <v>339</v>
      </c>
    </row>
    <row r="20" spans="1:2" x14ac:dyDescent="0.25">
      <c r="A20" s="12" t="s">
        <v>17</v>
      </c>
      <c r="B20" s="13" t="s">
        <v>18</v>
      </c>
    </row>
    <row r="21" spans="1:2" x14ac:dyDescent="0.25">
      <c r="A21" s="285" t="s">
        <v>24</v>
      </c>
      <c r="B21" s="289"/>
    </row>
    <row r="22" spans="1:2" x14ac:dyDescent="0.25">
      <c r="A22" s="12" t="s">
        <v>23</v>
      </c>
      <c r="B22" s="13" t="s">
        <v>27</v>
      </c>
    </row>
    <row r="23" spans="1:2" x14ac:dyDescent="0.25">
      <c r="A23" s="14" t="s">
        <v>25</v>
      </c>
      <c r="B23" s="15" t="s">
        <v>26</v>
      </c>
    </row>
  </sheetData>
  <mergeCells count="6">
    <mergeCell ref="A5:B5"/>
    <mergeCell ref="A1:B1"/>
    <mergeCell ref="A21:B2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0"/>
  <sheetViews>
    <sheetView zoomScale="75" zoomScaleNormal="75" workbookViewId="0">
      <selection activeCell="B28" sqref="B28"/>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x14ac:dyDescent="0.25">
      <c r="A2" s="156">
        <v>45155</v>
      </c>
      <c r="B2" s="157" t="s">
        <v>281</v>
      </c>
      <c r="C2" s="146" t="s">
        <v>427</v>
      </c>
    </row>
    <row r="3" spans="1:3" x14ac:dyDescent="0.25">
      <c r="A3" s="156">
        <v>45155</v>
      </c>
      <c r="B3" s="157" t="s">
        <v>281</v>
      </c>
      <c r="C3" s="146" t="s">
        <v>426</v>
      </c>
    </row>
    <row r="4" spans="1:3" x14ac:dyDescent="0.25">
      <c r="A4" s="156">
        <v>45154</v>
      </c>
      <c r="B4" s="157" t="s">
        <v>281</v>
      </c>
      <c r="C4" s="146" t="s">
        <v>425</v>
      </c>
    </row>
    <row r="5" spans="1:3" x14ac:dyDescent="0.25">
      <c r="A5" s="156">
        <v>45153</v>
      </c>
      <c r="B5" s="157" t="s">
        <v>281</v>
      </c>
      <c r="C5" s="146" t="s">
        <v>407</v>
      </c>
    </row>
    <row r="6" spans="1:3" x14ac:dyDescent="0.25">
      <c r="A6" s="156">
        <v>45152</v>
      </c>
      <c r="B6" s="157" t="s">
        <v>281</v>
      </c>
      <c r="C6" s="146" t="s">
        <v>407</v>
      </c>
    </row>
    <row r="7" spans="1:3" x14ac:dyDescent="0.25">
      <c r="A7" s="156">
        <v>45149</v>
      </c>
      <c r="B7" s="157" t="s">
        <v>281</v>
      </c>
      <c r="C7" s="146" t="s">
        <v>400</v>
      </c>
    </row>
    <row r="8" spans="1:3" x14ac:dyDescent="0.25">
      <c r="A8" s="156">
        <v>45149</v>
      </c>
      <c r="B8" s="157" t="s">
        <v>281</v>
      </c>
      <c r="C8" s="146" t="s">
        <v>386</v>
      </c>
    </row>
    <row r="9" spans="1:3" x14ac:dyDescent="0.25">
      <c r="A9" s="156">
        <v>45148</v>
      </c>
      <c r="B9" s="157" t="s">
        <v>281</v>
      </c>
      <c r="C9" s="146" t="s">
        <v>381</v>
      </c>
    </row>
    <row r="10" spans="1:3" x14ac:dyDescent="0.25">
      <c r="A10" s="156">
        <v>45148</v>
      </c>
      <c r="B10" s="157" t="s">
        <v>281</v>
      </c>
      <c r="C10" s="146" t="s">
        <v>344</v>
      </c>
    </row>
    <row r="11" spans="1:3" x14ac:dyDescent="0.25">
      <c r="A11" s="156">
        <v>45148</v>
      </c>
      <c r="B11" s="157" t="s">
        <v>281</v>
      </c>
      <c r="C11" s="146" t="s">
        <v>343</v>
      </c>
    </row>
    <row r="12" spans="1:3" x14ac:dyDescent="0.25">
      <c r="A12" s="156">
        <v>45147</v>
      </c>
      <c r="B12" s="157" t="s">
        <v>281</v>
      </c>
      <c r="C12" s="146" t="s">
        <v>342</v>
      </c>
    </row>
    <row r="13" spans="1:3" x14ac:dyDescent="0.25">
      <c r="A13" s="156">
        <v>45147</v>
      </c>
      <c r="B13" s="157" t="s">
        <v>281</v>
      </c>
      <c r="C13" s="146" t="s">
        <v>345</v>
      </c>
    </row>
    <row r="14" spans="1:3" x14ac:dyDescent="0.25">
      <c r="A14" s="156">
        <v>45147</v>
      </c>
      <c r="B14" s="157" t="s">
        <v>281</v>
      </c>
      <c r="C14" s="146" t="s">
        <v>338</v>
      </c>
    </row>
    <row r="15" spans="1:3" x14ac:dyDescent="0.25">
      <c r="A15" s="156">
        <v>45145</v>
      </c>
      <c r="B15" s="157" t="s">
        <v>281</v>
      </c>
      <c r="C15" s="146" t="s">
        <v>325</v>
      </c>
    </row>
    <row r="16" spans="1:3" x14ac:dyDescent="0.25">
      <c r="A16" s="156">
        <v>45141</v>
      </c>
      <c r="B16" s="157" t="s">
        <v>281</v>
      </c>
      <c r="C16" s="146" t="s">
        <v>323</v>
      </c>
    </row>
    <row r="17" spans="1:3" x14ac:dyDescent="0.25">
      <c r="A17" s="156">
        <v>45103</v>
      </c>
      <c r="B17" s="157" t="s">
        <v>281</v>
      </c>
      <c r="C17" s="146" t="s">
        <v>322</v>
      </c>
    </row>
    <row r="18" spans="1:3" x14ac:dyDescent="0.25">
      <c r="A18" s="156">
        <v>45096</v>
      </c>
      <c r="B18" s="157" t="s">
        <v>281</v>
      </c>
      <c r="C18" s="146" t="s">
        <v>319</v>
      </c>
    </row>
    <row r="19" spans="1:3" x14ac:dyDescent="0.25">
      <c r="A19" s="156">
        <v>45089</v>
      </c>
      <c r="B19" s="157" t="s">
        <v>281</v>
      </c>
      <c r="C19" s="146" t="s">
        <v>318</v>
      </c>
    </row>
    <row r="20" spans="1:3" ht="30" x14ac:dyDescent="0.25">
      <c r="A20" s="156">
        <v>45086</v>
      </c>
      <c r="B20" s="157" t="s">
        <v>281</v>
      </c>
      <c r="C20" s="146" t="s">
        <v>283</v>
      </c>
    </row>
  </sheetData>
  <sortState xmlns:xlrd2="http://schemas.microsoft.com/office/spreadsheetml/2017/richdata2" ref="A13:C20">
    <sortCondition descending="1" ref="A14:A2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8" sqref="B18"/>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activeCell="A43" sqref="A43"/>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87" t="s">
        <v>284</v>
      </c>
      <c r="B1" s="287"/>
      <c r="C1" s="287"/>
      <c r="D1" s="287"/>
      <c r="E1" s="287"/>
      <c r="F1" s="287"/>
      <c r="G1" s="287"/>
      <c r="H1" s="287"/>
      <c r="I1" s="98"/>
      <c r="J1" s="298" t="s">
        <v>63</v>
      </c>
      <c r="K1" s="299"/>
      <c r="L1" s="299"/>
      <c r="M1" s="294"/>
      <c r="N1" s="99"/>
    </row>
    <row r="2" spans="1:14" x14ac:dyDescent="0.25">
      <c r="A2" s="22" t="s">
        <v>285</v>
      </c>
      <c r="B2" s="159" t="s">
        <v>82</v>
      </c>
      <c r="C2" s="160" t="s">
        <v>75</v>
      </c>
      <c r="D2" s="295" t="s">
        <v>142</v>
      </c>
      <c r="E2" s="288"/>
      <c r="F2" s="288"/>
      <c r="G2" s="288"/>
      <c r="H2" s="288"/>
      <c r="I2" s="20"/>
      <c r="J2" s="300" t="s">
        <v>286</v>
      </c>
      <c r="K2" s="300"/>
      <c r="L2" s="161" t="s">
        <v>143</v>
      </c>
      <c r="M2" s="162" t="s">
        <v>107</v>
      </c>
      <c r="N2" s="76"/>
    </row>
    <row r="3" spans="1:14" x14ac:dyDescent="0.25">
      <c r="A3" s="62" t="s">
        <v>53</v>
      </c>
      <c r="B3" s="71">
        <v>18</v>
      </c>
      <c r="C3" s="72">
        <v>17.399999999999999</v>
      </c>
      <c r="D3" s="301"/>
      <c r="E3" s="297"/>
      <c r="F3" s="297"/>
      <c r="G3" s="297"/>
      <c r="H3" s="297"/>
      <c r="I3" s="20"/>
      <c r="J3" s="164" t="s">
        <v>90</v>
      </c>
      <c r="K3" s="165" t="s">
        <v>287</v>
      </c>
      <c r="L3" s="166" t="s">
        <v>288</v>
      </c>
      <c r="M3" s="167">
        <f>HLOOKUP($B$16,$B$9:$G$14,5,FALSE)</f>
        <v>27</v>
      </c>
      <c r="N3" s="76"/>
    </row>
    <row r="4" spans="1:14" x14ac:dyDescent="0.25">
      <c r="A4" s="62" t="s">
        <v>289</v>
      </c>
      <c r="B4" s="73">
        <v>20.2</v>
      </c>
      <c r="C4" s="74">
        <v>25</v>
      </c>
      <c r="D4" s="301"/>
      <c r="E4" s="297"/>
      <c r="F4" s="297"/>
      <c r="G4" s="297"/>
      <c r="H4" s="297"/>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95" t="s">
        <v>142</v>
      </c>
      <c r="D6" s="288"/>
      <c r="E6" s="288"/>
      <c r="F6" s="288"/>
      <c r="G6" s="288"/>
      <c r="H6" s="288"/>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96"/>
      <c r="D7" s="297"/>
      <c r="E7" s="297"/>
      <c r="F7" s="297"/>
      <c r="G7" s="297"/>
      <c r="H7" s="297"/>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E46" sqref="E46"/>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71.2076847353256</v>
      </c>
      <c r="C2" s="58">
        <v>71.2076847353256</v>
      </c>
      <c r="D2" s="58">
        <v>71.2076847353256</v>
      </c>
      <c r="E2" s="58">
        <v>71.2076847353256</v>
      </c>
      <c r="F2" s="58">
        <v>71.2076847353256</v>
      </c>
      <c r="G2" s="58">
        <v>71.2076847353256</v>
      </c>
      <c r="H2" s="58">
        <v>71.2076847353256</v>
      </c>
      <c r="I2" s="58">
        <v>71.2076847353256</v>
      </c>
      <c r="J2" s="58">
        <v>71.2076847353256</v>
      </c>
      <c r="K2" s="58">
        <v>71.2076847353256</v>
      </c>
      <c r="L2" s="58">
        <v>71.2076847353256</v>
      </c>
      <c r="M2" s="58">
        <v>71.2076847353256</v>
      </c>
      <c r="N2" s="58">
        <v>71.2076847353256</v>
      </c>
      <c r="O2" s="58">
        <v>71.2076847353256</v>
      </c>
      <c r="P2" s="58">
        <v>71.2076847353256</v>
      </c>
      <c r="Q2" s="58">
        <v>71.2076847353256</v>
      </c>
      <c r="R2" s="58">
        <v>71.2076847353256</v>
      </c>
      <c r="S2" s="58">
        <v>71.2076847353256</v>
      </c>
      <c r="T2" s="58">
        <v>71.2076847353256</v>
      </c>
      <c r="U2" s="58">
        <v>71.2076847353256</v>
      </c>
      <c r="V2" s="58">
        <v>71.2076847353256</v>
      </c>
      <c r="W2" s="58">
        <v>71.2076847353256</v>
      </c>
      <c r="X2" s="58">
        <v>71.2076847353256</v>
      </c>
      <c r="Y2" s="58">
        <v>71.2076847353256</v>
      </c>
      <c r="Z2" s="58">
        <v>71.2076847353256</v>
      </c>
      <c r="AA2" s="58">
        <v>71.2076847353256</v>
      </c>
      <c r="AB2" s="58">
        <v>71.2076847353256</v>
      </c>
      <c r="AC2" s="58">
        <v>71.2076847353256</v>
      </c>
      <c r="AD2" s="58">
        <v>71.2076847353256</v>
      </c>
      <c r="AE2" s="58">
        <v>71.2076847353256</v>
      </c>
      <c r="AF2" s="58">
        <v>71.2076847353256</v>
      </c>
      <c r="AG2" s="58">
        <v>71.2076847353256</v>
      </c>
      <c r="AH2" s="58">
        <v>71.2076847353256</v>
      </c>
      <c r="AI2" s="58">
        <v>71.2076847353256</v>
      </c>
      <c r="AJ2" s="58">
        <v>71.2076847353256</v>
      </c>
      <c r="AK2" s="58">
        <v>71.2076847353256</v>
      </c>
      <c r="AL2" s="58">
        <v>71.2076847353256</v>
      </c>
      <c r="AM2" s="58">
        <v>71.2076847353256</v>
      </c>
      <c r="AN2" s="58">
        <v>71.2076847353256</v>
      </c>
      <c r="AO2" s="58">
        <v>71.2076847353256</v>
      </c>
      <c r="AP2" s="58">
        <v>71.2076847353256</v>
      </c>
      <c r="AQ2" s="58">
        <v>71.2076847353256</v>
      </c>
      <c r="AR2" s="58">
        <v>71.2076847353256</v>
      </c>
      <c r="AS2" s="58">
        <v>71.2076847353256</v>
      </c>
      <c r="AT2" s="58">
        <v>71.2076847353256</v>
      </c>
      <c r="AU2" s="58">
        <v>71.2076847353256</v>
      </c>
      <c r="AV2" s="58">
        <v>71.2076847353256</v>
      </c>
      <c r="AW2" s="58">
        <v>71.2076847353256</v>
      </c>
      <c r="AX2" s="58">
        <v>71.2076847353256</v>
      </c>
      <c r="AY2" s="58">
        <v>71.2076847353256</v>
      </c>
      <c r="AZ2" s="58">
        <v>71.2076847353256</v>
      </c>
      <c r="BA2" s="58">
        <v>71.2076847353256</v>
      </c>
      <c r="BB2" s="58">
        <v>71.2076847353256</v>
      </c>
      <c r="BC2" s="58">
        <v>71.2076847353256</v>
      </c>
      <c r="BD2" s="58">
        <v>71.2076847353256</v>
      </c>
      <c r="BE2" s="58">
        <v>71.2076847353256</v>
      </c>
      <c r="BF2" s="58">
        <v>71.2076847353256</v>
      </c>
      <c r="BG2" s="58">
        <v>71.2076847353256</v>
      </c>
      <c r="BH2" s="58">
        <v>71.2076847353256</v>
      </c>
      <c r="BI2" s="58">
        <v>71.2076847353256</v>
      </c>
      <c r="BJ2" s="58">
        <v>71.2076847353256</v>
      </c>
      <c r="BK2" s="58">
        <v>71.2076847353256</v>
      </c>
      <c r="BL2" s="58">
        <v>71.2076847353256</v>
      </c>
      <c r="BM2" s="58">
        <v>71.2076847353256</v>
      </c>
      <c r="BN2" s="58">
        <v>71.2076847353256</v>
      </c>
      <c r="BO2" s="58">
        <v>71.2076847353256</v>
      </c>
      <c r="BP2" s="58">
        <v>71.2076847353256</v>
      </c>
      <c r="BQ2" s="58">
        <v>71.2076847353256</v>
      </c>
      <c r="BR2" s="58">
        <v>71.2076847353256</v>
      </c>
      <c r="BS2" s="58">
        <v>71.2076847353256</v>
      </c>
      <c r="BT2" s="58">
        <v>71.2076847353256</v>
      </c>
      <c r="BU2" s="58">
        <v>71.2076847353256</v>
      </c>
      <c r="BV2" s="58">
        <v>71.2076847353256</v>
      </c>
      <c r="BW2" s="58">
        <v>71.2076847353256</v>
      </c>
      <c r="BX2" s="58">
        <v>71.2076847353256</v>
      </c>
      <c r="BY2" s="58">
        <v>71.2076847353256</v>
      </c>
      <c r="BZ2" s="58">
        <v>71.2076847353256</v>
      </c>
      <c r="CA2" s="58">
        <v>71.2076847353256</v>
      </c>
      <c r="CB2" s="58">
        <v>71.2076847353256</v>
      </c>
      <c r="CC2" s="58">
        <v>71.2076847353256</v>
      </c>
      <c r="CD2" s="58">
        <v>71.2076847353256</v>
      </c>
    </row>
    <row r="3" spans="1:82" x14ac:dyDescent="0.25">
      <c r="A3" s="62" t="s">
        <v>239</v>
      </c>
      <c r="B3" s="60">
        <v>62.7721467545039</v>
      </c>
      <c r="C3" s="60">
        <v>62.7721467545039</v>
      </c>
      <c r="D3" s="60">
        <v>62.7721467545039</v>
      </c>
      <c r="E3" s="60">
        <v>62.7721467545039</v>
      </c>
      <c r="F3" s="60">
        <v>62.7721467545039</v>
      </c>
      <c r="G3" s="60">
        <v>62.7721467545039</v>
      </c>
      <c r="H3" s="60">
        <v>62.7721467545039</v>
      </c>
      <c r="I3" s="60">
        <v>62.7721467545039</v>
      </c>
      <c r="J3" s="60">
        <v>62.7721467545039</v>
      </c>
      <c r="K3" s="60">
        <v>62.7721467545039</v>
      </c>
      <c r="L3" s="60">
        <v>62.7721467545039</v>
      </c>
      <c r="M3" s="60">
        <v>62.7721467545039</v>
      </c>
      <c r="N3" s="60">
        <v>62.7721467545039</v>
      </c>
      <c r="O3" s="60">
        <v>62.7721467545039</v>
      </c>
      <c r="P3" s="60">
        <v>62.7721467545039</v>
      </c>
      <c r="Q3" s="60">
        <v>62.7721467545039</v>
      </c>
      <c r="R3" s="60">
        <v>62.7721467545039</v>
      </c>
      <c r="S3" s="60">
        <v>62.7721467545039</v>
      </c>
      <c r="T3" s="60">
        <v>62.7721467545039</v>
      </c>
      <c r="U3" s="60">
        <v>62.7721467545039</v>
      </c>
      <c r="V3" s="60">
        <v>62.7721467545039</v>
      </c>
      <c r="W3" s="60">
        <v>62.7721467545039</v>
      </c>
      <c r="X3" s="60">
        <v>62.7721467545039</v>
      </c>
      <c r="Y3" s="60">
        <v>62.7721467545039</v>
      </c>
      <c r="Z3" s="60">
        <v>62.7721467545039</v>
      </c>
      <c r="AA3" s="60">
        <v>62.7721467545039</v>
      </c>
      <c r="AB3" s="60">
        <v>62.7721467545039</v>
      </c>
      <c r="AC3" s="60">
        <v>62.7721467545039</v>
      </c>
      <c r="AD3" s="60">
        <v>62.7721467545039</v>
      </c>
      <c r="AE3" s="60">
        <v>62.7721467545039</v>
      </c>
      <c r="AF3" s="60">
        <v>62.7721467545039</v>
      </c>
      <c r="AG3" s="60">
        <v>62.7721467545039</v>
      </c>
      <c r="AH3" s="60">
        <v>62.7721467545039</v>
      </c>
      <c r="AI3" s="60">
        <v>62.7721467545039</v>
      </c>
      <c r="AJ3" s="60">
        <v>62.7721467545039</v>
      </c>
      <c r="AK3" s="60">
        <v>62.7721467545039</v>
      </c>
      <c r="AL3" s="60">
        <v>62.7721467545039</v>
      </c>
      <c r="AM3" s="60">
        <v>62.7721467545039</v>
      </c>
      <c r="AN3" s="60">
        <v>62.7721467545039</v>
      </c>
      <c r="AO3" s="60">
        <v>62.7721467545039</v>
      </c>
      <c r="AP3" s="60">
        <v>62.7721467545039</v>
      </c>
      <c r="AQ3" s="60">
        <v>62.7721467545039</v>
      </c>
      <c r="AR3" s="60">
        <v>62.7721467545039</v>
      </c>
      <c r="AS3" s="60">
        <v>62.7721467545039</v>
      </c>
      <c r="AT3" s="60">
        <v>62.7721467545039</v>
      </c>
      <c r="AU3" s="60">
        <v>62.7721467545039</v>
      </c>
      <c r="AV3" s="60">
        <v>62.7721467545039</v>
      </c>
      <c r="AW3" s="60">
        <v>62.7721467545039</v>
      </c>
      <c r="AX3" s="60">
        <v>62.7721467545039</v>
      </c>
      <c r="AY3" s="60">
        <v>62.7721467545039</v>
      </c>
      <c r="AZ3" s="60">
        <v>62.7721467545039</v>
      </c>
      <c r="BA3" s="60">
        <v>62.7721467545039</v>
      </c>
      <c r="BB3" s="60">
        <v>62.7721467545039</v>
      </c>
      <c r="BC3" s="60">
        <v>62.7721467545039</v>
      </c>
      <c r="BD3" s="60">
        <v>62.7721467545039</v>
      </c>
      <c r="BE3" s="60">
        <v>62.7721467545039</v>
      </c>
      <c r="BF3" s="60">
        <v>62.7721467545039</v>
      </c>
      <c r="BG3" s="60">
        <v>62.7721467545039</v>
      </c>
      <c r="BH3" s="60">
        <v>62.7721467545039</v>
      </c>
      <c r="BI3" s="60">
        <v>62.7721467545039</v>
      </c>
      <c r="BJ3" s="60">
        <v>62.7721467545039</v>
      </c>
      <c r="BK3" s="60">
        <v>62.7721467545039</v>
      </c>
      <c r="BL3" s="60">
        <v>62.7721467545039</v>
      </c>
      <c r="BM3" s="60">
        <v>62.7721467545039</v>
      </c>
      <c r="BN3" s="60">
        <v>62.7721467545039</v>
      </c>
      <c r="BO3" s="60">
        <v>62.7721467545039</v>
      </c>
      <c r="BP3" s="60">
        <v>62.7721467545039</v>
      </c>
      <c r="BQ3" s="60">
        <v>62.7721467545039</v>
      </c>
      <c r="BR3" s="60">
        <v>62.7721467545039</v>
      </c>
      <c r="BS3" s="60">
        <v>62.7721467545039</v>
      </c>
      <c r="BT3" s="60">
        <v>62.7721467545039</v>
      </c>
      <c r="BU3" s="60">
        <v>62.7721467545039</v>
      </c>
      <c r="BV3" s="60">
        <v>62.7721467545039</v>
      </c>
      <c r="BW3" s="60">
        <v>62.7721467545039</v>
      </c>
      <c r="BX3" s="60">
        <v>62.7721467545039</v>
      </c>
      <c r="BY3" s="60">
        <v>62.7721467545039</v>
      </c>
      <c r="BZ3" s="60">
        <v>62.7721467545039</v>
      </c>
      <c r="CA3" s="60">
        <v>62.7721467545039</v>
      </c>
      <c r="CB3" s="60">
        <v>62.7721467545039</v>
      </c>
      <c r="CC3" s="60">
        <v>62.7721467545039</v>
      </c>
      <c r="CD3" s="60">
        <v>62.7721467545039</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95" t="s">
        <v>142</v>
      </c>
      <c r="E5" s="295"/>
      <c r="F5" s="295"/>
      <c r="G5" s="295"/>
      <c r="H5" s="295"/>
      <c r="I5" s="295"/>
      <c r="J5" s="295"/>
      <c r="K5" s="295"/>
      <c r="L5" s="20"/>
      <c r="M5" s="20"/>
      <c r="N5" s="20"/>
      <c r="O5" s="20"/>
      <c r="P5" s="20"/>
      <c r="Q5" s="20"/>
      <c r="R5" s="20"/>
      <c r="S5" s="20"/>
      <c r="T5" s="20"/>
      <c r="U5" s="20"/>
      <c r="V5" s="313" t="s">
        <v>63</v>
      </c>
      <c r="W5" s="314"/>
      <c r="X5" s="314"/>
      <c r="Y5" s="314"/>
      <c r="Z5" s="315"/>
      <c r="AA5" s="20"/>
      <c r="AB5" s="313" t="s">
        <v>163</v>
      </c>
      <c r="AC5" s="314"/>
      <c r="AD5" s="315"/>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25.900423446611597</v>
      </c>
      <c r="C6" s="132">
        <v>26.795945668900444</v>
      </c>
      <c r="D6" s="316" t="s">
        <v>308</v>
      </c>
      <c r="E6" s="316"/>
      <c r="F6" s="316"/>
      <c r="G6" s="316"/>
      <c r="H6" s="316"/>
      <c r="I6" s="316"/>
      <c r="J6" s="316"/>
      <c r="K6" s="317"/>
      <c r="L6" s="20"/>
      <c r="M6" s="20"/>
      <c r="N6" s="20"/>
      <c r="O6" s="20"/>
      <c r="P6" s="20"/>
      <c r="Q6" s="20"/>
      <c r="R6" s="20"/>
      <c r="S6" s="20"/>
      <c r="T6" s="20"/>
      <c r="U6" s="20"/>
      <c r="V6" s="320" t="s">
        <v>162</v>
      </c>
      <c r="W6" s="321"/>
      <c r="X6" s="322"/>
      <c r="Y6" s="320" t="s">
        <v>164</v>
      </c>
      <c r="Z6" s="323"/>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2.9295039815460702</v>
      </c>
      <c r="C7" s="133">
        <v>3.7099464039112799</v>
      </c>
      <c r="D7" s="318"/>
      <c r="E7" s="318"/>
      <c r="F7" s="318"/>
      <c r="G7" s="318"/>
      <c r="H7" s="318"/>
      <c r="I7" s="318"/>
      <c r="J7" s="318"/>
      <c r="K7" s="319"/>
      <c r="L7" s="20"/>
      <c r="M7" s="20"/>
      <c r="N7" s="20"/>
      <c r="O7" s="20"/>
      <c r="P7" s="20"/>
      <c r="Q7" s="20"/>
      <c r="R7" s="20"/>
      <c r="S7" s="20"/>
      <c r="T7" s="20"/>
      <c r="U7" s="20"/>
      <c r="V7" s="107" t="s">
        <v>90</v>
      </c>
      <c r="W7" s="108" t="s">
        <v>240</v>
      </c>
      <c r="X7" s="109" t="s">
        <v>239</v>
      </c>
      <c r="Y7" s="108" t="s">
        <v>161</v>
      </c>
      <c r="Z7" s="109" t="s">
        <v>165</v>
      </c>
      <c r="AA7" s="20"/>
      <c r="AB7" s="137" t="s">
        <v>236</v>
      </c>
      <c r="AC7" s="139">
        <f>(B6-15)/(80-15)*B7</f>
        <v>0.49127436749825865</v>
      </c>
      <c r="AD7" s="140">
        <f>(C6-15)/(80-15)*C7</f>
        <v>0.67326655715492378</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0.21222376164462942</v>
      </c>
      <c r="X8" s="110">
        <f>_xlfn.BETA.DIST(($V8+1-15)/(80-15),AD$7,AD$8,TRUE)-_xlfn.BETA.DIST(($V8-15)/(80-15),AD$7,AD$8,TRUE)</f>
        <v>0.13404705384381244</v>
      </c>
      <c r="Y8" s="24">
        <f>AC11</f>
        <v>-10</v>
      </c>
      <c r="Z8" s="110">
        <f>1/(1+POWER((Y8-$AC$11+1)/$AC$16,-$AC$15))</f>
        <v>4.1947259132630124E-7</v>
      </c>
      <c r="AA8" s="77"/>
      <c r="AB8" s="137" t="s">
        <v>237</v>
      </c>
      <c r="AC8" s="141">
        <f>(1-(B6-15)/(80-15))*B7</f>
        <v>2.4382296140478115</v>
      </c>
      <c r="AD8" s="136">
        <f>(1-(C6-15)/(80-15))*C7</f>
        <v>3.036679846756356</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302" t="s">
        <v>142</v>
      </c>
      <c r="E9" s="302"/>
      <c r="F9" s="302"/>
      <c r="G9" s="302"/>
      <c r="H9" s="302"/>
      <c r="I9" s="302"/>
      <c r="J9" s="302"/>
      <c r="K9" s="302"/>
      <c r="L9" s="20"/>
      <c r="M9" s="20"/>
      <c r="N9" s="20"/>
      <c r="O9" s="20"/>
      <c r="P9" s="20"/>
      <c r="Q9" s="20"/>
      <c r="R9" s="20"/>
      <c r="S9" s="20"/>
      <c r="T9" s="20"/>
      <c r="U9" s="20"/>
      <c r="V9" s="65">
        <f>V8+1</f>
        <v>16</v>
      </c>
      <c r="W9" s="66">
        <f t="shared" ref="W9:X72" si="0">_xlfn.BETA.DIST(($V9+1-15)/(80-15),AC$7,AC$8,TRUE)-_xlfn.BETA.DIST(($V9-15)/(80-15),AC$7,AC$8,TRUE)</f>
        <v>8.3919078101255928E-2</v>
      </c>
      <c r="X9" s="110">
        <f t="shared" si="0"/>
        <v>7.7026641280705993E-2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327" t="s">
        <v>310</v>
      </c>
      <c r="E10" s="304"/>
      <c r="F10" s="304"/>
      <c r="G10" s="304"/>
      <c r="H10" s="304"/>
      <c r="I10" s="304"/>
      <c r="J10" s="304"/>
      <c r="K10" s="305"/>
      <c r="L10" s="20"/>
      <c r="M10" s="20"/>
      <c r="N10" s="20"/>
      <c r="O10" s="20"/>
      <c r="P10" s="20"/>
      <c r="Q10" s="20"/>
      <c r="R10" s="20"/>
      <c r="S10" s="20"/>
      <c r="T10" s="20"/>
      <c r="U10" s="20"/>
      <c r="V10" s="65">
        <f t="shared" ref="V10:V72" si="2">V9+1</f>
        <v>17</v>
      </c>
      <c r="W10" s="66">
        <f t="shared" si="0"/>
        <v>6.2629553577937036E-2</v>
      </c>
      <c r="X10" s="110">
        <f t="shared" si="0"/>
        <v>6.2755753616750759E-2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307"/>
      <c r="E11" s="307"/>
      <c r="F11" s="307"/>
      <c r="G11" s="307"/>
      <c r="H11" s="307"/>
      <c r="I11" s="307"/>
      <c r="J11" s="307"/>
      <c r="K11" s="308"/>
      <c r="L11" s="20"/>
      <c r="M11" s="20"/>
      <c r="N11" s="20"/>
      <c r="O11" s="20"/>
      <c r="P11" s="20"/>
      <c r="Q11" s="20"/>
      <c r="R11" s="20"/>
      <c r="S11" s="20"/>
      <c r="T11" s="20"/>
      <c r="U11" s="20"/>
      <c r="V11" s="65">
        <f t="shared" si="2"/>
        <v>18</v>
      </c>
      <c r="W11" s="66">
        <f t="shared" si="0"/>
        <v>5.1428553235163377E-2</v>
      </c>
      <c r="X11" s="110">
        <f t="shared" si="0"/>
        <v>5.432139700432459E-2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307"/>
      <c r="E12" s="307"/>
      <c r="F12" s="307"/>
      <c r="G12" s="307"/>
      <c r="H12" s="307"/>
      <c r="I12" s="307"/>
      <c r="J12" s="307"/>
      <c r="K12" s="308"/>
      <c r="L12" s="20"/>
      <c r="M12" s="20"/>
      <c r="N12" s="20"/>
      <c r="O12" s="20"/>
      <c r="P12" s="20"/>
      <c r="Q12" s="20"/>
      <c r="R12" s="20"/>
      <c r="S12" s="20"/>
      <c r="T12" s="20"/>
      <c r="U12" s="20"/>
      <c r="V12" s="65">
        <f t="shared" si="2"/>
        <v>19</v>
      </c>
      <c r="W12" s="66">
        <f t="shared" si="0"/>
        <v>4.4153018513325537E-2</v>
      </c>
      <c r="X12" s="110">
        <f t="shared" si="0"/>
        <v>4.8364850935167847E-2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307"/>
      <c r="E13" s="307"/>
      <c r="F13" s="307"/>
      <c r="G13" s="307"/>
      <c r="H13" s="307"/>
      <c r="I13" s="307"/>
      <c r="J13" s="307"/>
      <c r="K13" s="308"/>
      <c r="L13" s="20"/>
      <c r="M13" s="20"/>
      <c r="N13" s="20"/>
      <c r="O13" s="20"/>
      <c r="P13" s="20"/>
      <c r="Q13" s="20"/>
      <c r="R13" s="20"/>
      <c r="S13" s="20"/>
      <c r="T13" s="20"/>
      <c r="U13" s="20"/>
      <c r="V13" s="65">
        <f t="shared" si="2"/>
        <v>20</v>
      </c>
      <c r="W13" s="66">
        <f t="shared" si="0"/>
        <v>3.8901782066338264E-2</v>
      </c>
      <c r="X13" s="110">
        <f t="shared" si="0"/>
        <v>4.37692431557406E-2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43.863667951740297</v>
      </c>
      <c r="C14" s="228">
        <v>8</v>
      </c>
      <c r="D14" s="307"/>
      <c r="E14" s="307"/>
      <c r="F14" s="307"/>
      <c r="G14" s="307"/>
      <c r="H14" s="307"/>
      <c r="I14" s="307"/>
      <c r="J14" s="307"/>
      <c r="K14" s="308"/>
      <c r="L14" s="20"/>
      <c r="M14" s="20"/>
      <c r="N14" s="20"/>
      <c r="O14" s="20"/>
      <c r="P14" s="20"/>
      <c r="Q14" s="20"/>
      <c r="R14" s="20"/>
      <c r="S14" s="20"/>
      <c r="T14" s="20"/>
      <c r="U14" s="20"/>
      <c r="V14" s="65">
        <f t="shared" si="2"/>
        <v>21</v>
      </c>
      <c r="W14" s="66">
        <f>_xlfn.BETA.DIST(($V14+1-15)/(80-15),AC$7,AC$8,TRUE)-_xlfn.BETA.DIST(($V14-15)/(80-15),AC$7,AC$8,TRUE)</f>
        <v>3.4860356575796392E-2</v>
      </c>
      <c r="X14" s="110">
        <f t="shared" si="0"/>
        <v>4.0030235412013948E-2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307"/>
      <c r="E15" s="307"/>
      <c r="F15" s="307"/>
      <c r="G15" s="307"/>
      <c r="H15" s="307"/>
      <c r="I15" s="307"/>
      <c r="J15" s="307"/>
      <c r="K15" s="308"/>
      <c r="L15" s="20"/>
      <c r="M15" s="20"/>
      <c r="N15" s="20"/>
      <c r="O15" s="20"/>
      <c r="P15" s="20"/>
      <c r="Q15" s="20"/>
      <c r="R15" s="20"/>
      <c r="S15" s="20"/>
      <c r="T15" s="20"/>
      <c r="U15" s="20"/>
      <c r="V15" s="65">
        <f t="shared" si="2"/>
        <v>22</v>
      </c>
      <c r="W15" s="66">
        <f>_xlfn.BETA.DIST(($V15+1-15)/(80-15),AC$7,AC$8,TRUE)-_xlfn.BETA.DIST(($V15-15)/(80-15),AC$7,AC$8,TRUE)</f>
        <v>3.161227908425901E-2</v>
      </c>
      <c r="X15" s="110">
        <f t="shared" si="0"/>
        <v>3.6878915066303475E-2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310"/>
      <c r="E16" s="310"/>
      <c r="F16" s="310"/>
      <c r="G16" s="310"/>
      <c r="H16" s="310"/>
      <c r="I16" s="310"/>
      <c r="J16" s="310"/>
      <c r="K16" s="311"/>
      <c r="L16" s="20"/>
      <c r="M16" s="20"/>
      <c r="N16" s="20"/>
      <c r="O16" s="20"/>
      <c r="P16" s="20"/>
      <c r="Q16" s="20"/>
      <c r="R16" s="20"/>
      <c r="S16" s="20"/>
      <c r="T16" s="20"/>
      <c r="U16" s="20"/>
      <c r="V16" s="65">
        <f t="shared" si="2"/>
        <v>23</v>
      </c>
      <c r="W16" s="66">
        <f t="shared" si="0"/>
        <v>2.8918996876663772E-2</v>
      </c>
      <c r="X16" s="110">
        <f t="shared" si="0"/>
        <v>3.4155695009746689E-2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2.6632505702401388E-2</v>
      </c>
      <c r="X17" s="110">
        <f t="shared" si="0"/>
        <v>3.1758444760550786E-2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328" t="s">
        <v>142</v>
      </c>
      <c r="D18" s="329"/>
      <c r="E18" s="329"/>
      <c r="F18" s="329"/>
      <c r="G18" s="329"/>
      <c r="H18" s="329"/>
      <c r="I18" s="329"/>
      <c r="J18" s="329"/>
      <c r="K18" s="330"/>
      <c r="L18" s="20"/>
      <c r="M18" s="20"/>
      <c r="N18" s="20"/>
      <c r="O18" s="20"/>
      <c r="P18" s="20"/>
      <c r="Q18" s="20"/>
      <c r="R18" s="20"/>
      <c r="S18" s="20"/>
      <c r="T18" s="20"/>
      <c r="U18" s="20"/>
      <c r="V18" s="65">
        <f t="shared" si="2"/>
        <v>25</v>
      </c>
      <c r="W18" s="66">
        <f t="shared" si="0"/>
        <v>2.4655350046870916E-2</v>
      </c>
      <c r="X18" s="110">
        <f t="shared" si="0"/>
        <v>2.9618017973940036E-2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331" t="s">
        <v>172</v>
      </c>
      <c r="D19" s="331"/>
      <c r="E19" s="331"/>
      <c r="F19" s="331"/>
      <c r="G19" s="331"/>
      <c r="H19" s="331"/>
      <c r="I19" s="331"/>
      <c r="J19" s="331"/>
      <c r="K19" s="331"/>
      <c r="L19" s="20"/>
      <c r="M19" s="20"/>
      <c r="N19" s="20"/>
      <c r="O19" s="20"/>
      <c r="P19" s="20"/>
      <c r="Q19" s="20"/>
      <c r="R19" s="20"/>
      <c r="S19" s="20"/>
      <c r="T19" s="20"/>
      <c r="U19" s="20"/>
      <c r="V19" s="65">
        <f t="shared" si="2"/>
        <v>26</v>
      </c>
      <c r="W19" s="66">
        <f t="shared" si="0"/>
        <v>2.2920326651520107E-2</v>
      </c>
      <c r="X19" s="110">
        <f t="shared" si="0"/>
        <v>2.7685506307893126E-2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331"/>
      <c r="D20" s="331"/>
      <c r="E20" s="331"/>
      <c r="F20" s="331"/>
      <c r="G20" s="331"/>
      <c r="H20" s="331"/>
      <c r="I20" s="331"/>
      <c r="J20" s="331"/>
      <c r="K20" s="331"/>
      <c r="L20" s="20"/>
      <c r="M20" s="20"/>
      <c r="N20" s="20"/>
      <c r="O20" s="20"/>
      <c r="P20" s="20"/>
      <c r="Q20" s="20"/>
      <c r="R20" s="20"/>
      <c r="S20" s="20"/>
      <c r="T20" s="20"/>
      <c r="U20" s="20"/>
      <c r="V20" s="65">
        <f>V19+1</f>
        <v>27</v>
      </c>
      <c r="W20" s="66">
        <f t="shared" si="0"/>
        <v>2.1379350559567856E-2</v>
      </c>
      <c r="X20" s="110">
        <f t="shared" si="0"/>
        <v>2.5925082995128523E-2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332" t="s">
        <v>176</v>
      </c>
      <c r="D21" s="333"/>
      <c r="E21" s="333"/>
      <c r="F21" s="333"/>
      <c r="G21" s="333"/>
      <c r="H21" s="333"/>
      <c r="I21" s="333"/>
      <c r="J21" s="333"/>
      <c r="K21" s="334"/>
      <c r="L21" s="20"/>
      <c r="M21" s="20"/>
      <c r="N21" s="20"/>
      <c r="O21" s="20"/>
      <c r="P21" s="20"/>
      <c r="Q21" s="20"/>
      <c r="R21" s="20"/>
      <c r="S21" s="20"/>
      <c r="T21" s="20"/>
      <c r="U21" s="20"/>
      <c r="V21" s="65">
        <f t="shared" si="2"/>
        <v>28</v>
      </c>
      <c r="W21" s="66">
        <f t="shared" si="0"/>
        <v>1.9996960436511002E-2</v>
      </c>
      <c r="X21" s="110">
        <f t="shared" si="0"/>
        <v>2.430973966470229E-2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1.8746336772578087E-2</v>
      </c>
      <c r="X22" s="110">
        <f t="shared" si="0"/>
        <v>2.2818621818770479E-2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302" t="s">
        <v>142</v>
      </c>
      <c r="E23" s="302"/>
      <c r="F23" s="302"/>
      <c r="G23" s="302"/>
      <c r="H23" s="302"/>
      <c r="I23" s="302"/>
      <c r="J23" s="302"/>
      <c r="K23" s="302"/>
      <c r="L23" s="20"/>
      <c r="M23" s="20"/>
      <c r="N23" s="20"/>
      <c r="O23" s="20"/>
      <c r="P23" s="20"/>
      <c r="Q23" s="20"/>
      <c r="R23" s="20"/>
      <c r="S23" s="20"/>
      <c r="T23" s="20"/>
      <c r="U23" s="20"/>
      <c r="V23" s="65">
        <f t="shared" si="2"/>
        <v>30</v>
      </c>
      <c r="W23" s="66">
        <f t="shared" si="0"/>
        <v>1.7606758022748803E-2</v>
      </c>
      <c r="X23" s="110">
        <f t="shared" si="0"/>
        <v>2.1435295930483766E-2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303" t="s">
        <v>313</v>
      </c>
      <c r="E24" s="304"/>
      <c r="F24" s="304"/>
      <c r="G24" s="304"/>
      <c r="H24" s="304"/>
      <c r="I24" s="304"/>
      <c r="J24" s="304"/>
      <c r="K24" s="305"/>
      <c r="L24" s="20"/>
      <c r="M24" s="20"/>
      <c r="N24" s="20"/>
      <c r="O24" s="20"/>
      <c r="P24" s="20"/>
      <c r="Q24" s="20"/>
      <c r="R24" s="20"/>
      <c r="S24" s="20"/>
      <c r="T24" s="20"/>
      <c r="U24" s="20"/>
      <c r="V24" s="65">
        <f t="shared" si="2"/>
        <v>31</v>
      </c>
      <c r="W24" s="66">
        <f t="shared" si="0"/>
        <v>1.6561918011205878E-2</v>
      </c>
      <c r="X24" s="110">
        <f t="shared" si="0"/>
        <v>2.014658402683045E-2</v>
      </c>
      <c r="Y24" s="24">
        <f t="shared" si="3"/>
        <v>6</v>
      </c>
      <c r="Z24" s="110">
        <f t="shared" si="1"/>
        <v>7.7817975275985662E-2</v>
      </c>
      <c r="AA24" s="20"/>
      <c r="AB24" s="324" t="s">
        <v>166</v>
      </c>
      <c r="AC24" s="325"/>
      <c r="AD24" s="325"/>
      <c r="AE24" s="325"/>
      <c r="AF24" s="325"/>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306"/>
      <c r="E25" s="307"/>
      <c r="F25" s="307"/>
      <c r="G25" s="307"/>
      <c r="H25" s="307"/>
      <c r="I25" s="307"/>
      <c r="J25" s="307"/>
      <c r="K25" s="308"/>
      <c r="L25" s="20"/>
      <c r="M25" s="20"/>
      <c r="N25" s="20"/>
      <c r="O25" s="20"/>
      <c r="P25" s="20"/>
      <c r="Q25" s="20"/>
      <c r="R25" s="20"/>
      <c r="S25" s="20"/>
      <c r="T25" s="20"/>
      <c r="U25" s="20"/>
      <c r="V25" s="65">
        <f t="shared" si="2"/>
        <v>32</v>
      </c>
      <c r="W25" s="66">
        <f t="shared" si="0"/>
        <v>1.5598779504806592E-2</v>
      </c>
      <c r="X25" s="110">
        <f t="shared" si="0"/>
        <v>1.894175714244839E-2</v>
      </c>
      <c r="Y25" s="24">
        <f t="shared" si="3"/>
        <v>7</v>
      </c>
      <c r="Z25" s="110">
        <f t="shared" si="1"/>
        <v>6.6968973547643529E-2</v>
      </c>
      <c r="AA25" s="20"/>
      <c r="AB25" s="326"/>
      <c r="AC25" s="326"/>
      <c r="AD25" s="326"/>
      <c r="AE25" s="326"/>
      <c r="AF25" s="326"/>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306"/>
      <c r="E26" s="307"/>
      <c r="F26" s="307"/>
      <c r="G26" s="307"/>
      <c r="H26" s="307"/>
      <c r="I26" s="307"/>
      <c r="J26" s="307"/>
      <c r="K26" s="308"/>
      <c r="L26" s="20"/>
      <c r="M26" s="20"/>
      <c r="N26" s="20"/>
      <c r="O26" s="20"/>
      <c r="P26" s="20"/>
      <c r="Q26" s="20"/>
      <c r="R26" s="20"/>
      <c r="S26" s="20"/>
      <c r="T26" s="20"/>
      <c r="U26" s="20"/>
      <c r="V26" s="65">
        <f t="shared" si="2"/>
        <v>33</v>
      </c>
      <c r="W26" s="66">
        <f t="shared" si="0"/>
        <v>1.4706772808299684E-2</v>
      </c>
      <c r="X26" s="110">
        <f t="shared" si="0"/>
        <v>1.7811963130085706E-2</v>
      </c>
      <c r="Y26" s="24">
        <f t="shared" si="3"/>
        <v>8</v>
      </c>
      <c r="Z26" s="110">
        <f t="shared" si="1"/>
        <v>5.5821698361079086E-2</v>
      </c>
      <c r="AA26" s="77"/>
      <c r="AB26" s="326"/>
      <c r="AC26" s="326"/>
      <c r="AD26" s="326"/>
      <c r="AE26" s="326"/>
      <c r="AF26" s="326"/>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306"/>
      <c r="E27" s="307"/>
      <c r="F27" s="307"/>
      <c r="G27" s="307"/>
      <c r="H27" s="307"/>
      <c r="I27" s="307"/>
      <c r="J27" s="307"/>
      <c r="K27" s="308"/>
      <c r="L27" s="20"/>
      <c r="M27" s="20"/>
      <c r="N27" s="20"/>
      <c r="O27" s="20"/>
      <c r="P27" s="20"/>
      <c r="Q27" s="20"/>
      <c r="R27" s="20"/>
      <c r="S27" s="20"/>
      <c r="T27" s="20"/>
      <c r="U27" s="20"/>
      <c r="V27" s="65">
        <f t="shared" si="2"/>
        <v>34</v>
      </c>
      <c r="W27" s="66">
        <f t="shared" si="0"/>
        <v>1.3877222849267734E-2</v>
      </c>
      <c r="X27" s="110">
        <f t="shared" si="0"/>
        <v>1.6749811842520335E-2</v>
      </c>
      <c r="Y27" s="24">
        <f t="shared" si="3"/>
        <v>9</v>
      </c>
      <c r="Z27" s="110">
        <f t="shared" si="1"/>
        <v>4.5503132116568867E-2</v>
      </c>
      <c r="AA27" s="77"/>
      <c r="AB27" s="326"/>
      <c r="AC27" s="326"/>
      <c r="AD27" s="326"/>
      <c r="AE27" s="326"/>
      <c r="AF27" s="326"/>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306"/>
      <c r="E28" s="307"/>
      <c r="F28" s="307"/>
      <c r="G28" s="307"/>
      <c r="H28" s="307"/>
      <c r="I28" s="307"/>
      <c r="J28" s="307"/>
      <c r="K28" s="308"/>
      <c r="L28" s="20"/>
      <c r="M28" s="20"/>
      <c r="N28" s="20"/>
      <c r="O28" s="20"/>
      <c r="P28" s="20"/>
      <c r="Q28" s="20"/>
      <c r="R28" s="20"/>
      <c r="S28" s="20"/>
      <c r="T28" s="20"/>
      <c r="U28" s="20"/>
      <c r="V28" s="65">
        <f t="shared" si="2"/>
        <v>35</v>
      </c>
      <c r="W28" s="66">
        <f t="shared" si="0"/>
        <v>1.310293143696406E-2</v>
      </c>
      <c r="X28" s="110">
        <f t="shared" si="0"/>
        <v>1.5749068604315575E-2</v>
      </c>
      <c r="Y28" s="24">
        <f t="shared" si="3"/>
        <v>10</v>
      </c>
      <c r="Z28" s="110">
        <f t="shared" si="1"/>
        <v>3.6556579044145332E-2</v>
      </c>
      <c r="AA28" s="77"/>
      <c r="AB28" s="326"/>
      <c r="AC28" s="326"/>
      <c r="AD28" s="326"/>
      <c r="AE28" s="326"/>
      <c r="AF28" s="326"/>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306"/>
      <c r="E29" s="307"/>
      <c r="F29" s="307"/>
      <c r="G29" s="307"/>
      <c r="H29" s="307"/>
      <c r="I29" s="307"/>
      <c r="J29" s="307"/>
      <c r="K29" s="308"/>
      <c r="L29" s="20"/>
      <c r="M29" s="20"/>
      <c r="N29" s="20"/>
      <c r="O29" s="20"/>
      <c r="P29" s="20"/>
      <c r="Q29" s="20"/>
      <c r="R29" s="20"/>
      <c r="S29" s="20"/>
      <c r="T29" s="20"/>
      <c r="U29" s="20"/>
      <c r="V29" s="65">
        <f t="shared" si="2"/>
        <v>36</v>
      </c>
      <c r="W29" s="66">
        <f t="shared" si="0"/>
        <v>1.2377867274969701E-2</v>
      </c>
      <c r="X29" s="110">
        <f t="shared" si="0"/>
        <v>1.4804423826677793E-2</v>
      </c>
      <c r="Y29" s="24">
        <f t="shared" si="3"/>
        <v>11</v>
      </c>
      <c r="Z29" s="110">
        <f t="shared" si="1"/>
        <v>2.9119143898289623E-2</v>
      </c>
      <c r="AA29" s="77"/>
      <c r="AB29" s="326"/>
      <c r="AC29" s="326"/>
      <c r="AD29" s="326"/>
      <c r="AE29" s="326"/>
      <c r="AF29" s="326"/>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309"/>
      <c r="E30" s="310"/>
      <c r="F30" s="310"/>
      <c r="G30" s="310"/>
      <c r="H30" s="310"/>
      <c r="I30" s="310"/>
      <c r="J30" s="310"/>
      <c r="K30" s="311"/>
      <c r="L30" s="20"/>
      <c r="M30" s="20"/>
      <c r="N30" s="20"/>
      <c r="O30" s="20"/>
      <c r="P30" s="20"/>
      <c r="Q30" s="20"/>
      <c r="R30" s="20"/>
      <c r="S30" s="20"/>
      <c r="T30" s="20"/>
      <c r="U30" s="20"/>
      <c r="V30" s="65">
        <f t="shared" si="2"/>
        <v>37</v>
      </c>
      <c r="W30" s="66">
        <f t="shared" si="0"/>
        <v>1.1696932296057172E-2</v>
      </c>
      <c r="X30" s="110">
        <f t="shared" si="0"/>
        <v>1.3911317201581008E-2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1.1055783024961574E-2</v>
      </c>
      <c r="X31" s="110">
        <f t="shared" si="0"/>
        <v>1.3065801698739388E-2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302" t="s">
        <v>142</v>
      </c>
      <c r="E32" s="302"/>
      <c r="F32" s="302"/>
      <c r="G32" s="302"/>
      <c r="H32" s="302"/>
      <c r="I32" s="302"/>
      <c r="J32" s="302"/>
      <c r="K32" s="302"/>
      <c r="L32" s="20"/>
      <c r="M32" s="20"/>
      <c r="N32" s="20"/>
      <c r="O32" s="20"/>
      <c r="P32" s="20"/>
      <c r="Q32" s="20"/>
      <c r="R32" s="20"/>
      <c r="S32" s="20"/>
      <c r="T32" s="20"/>
      <c r="U32" s="20"/>
      <c r="V32" s="65">
        <f t="shared" si="2"/>
        <v>39</v>
      </c>
      <c r="W32" s="66">
        <f t="shared" si="0"/>
        <v>1.0450692256637195E-2</v>
      </c>
      <c r="X32" s="110">
        <f t="shared" si="0"/>
        <v>1.226443704431901E-2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303" t="s">
        <v>315</v>
      </c>
      <c r="E33" s="304"/>
      <c r="F33" s="304"/>
      <c r="G33" s="304"/>
      <c r="H33" s="304"/>
      <c r="I33" s="304"/>
      <c r="J33" s="304"/>
      <c r="K33" s="305"/>
      <c r="L33" s="20"/>
      <c r="M33" s="20"/>
      <c r="N33" s="20"/>
      <c r="O33" s="20"/>
      <c r="P33" s="20"/>
      <c r="Q33" s="20"/>
      <c r="R33" s="20"/>
      <c r="S33" s="20"/>
      <c r="T33" s="20"/>
      <c r="U33" s="20"/>
      <c r="V33" s="65">
        <f t="shared" si="2"/>
        <v>40</v>
      </c>
      <c r="W33" s="66">
        <f t="shared" si="0"/>
        <v>9.8784407032821431E-3</v>
      </c>
      <c r="X33" s="110">
        <f t="shared" si="0"/>
        <v>1.1504205346560825E-2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306"/>
      <c r="E34" s="307"/>
      <c r="F34" s="307"/>
      <c r="G34" s="307"/>
      <c r="H34" s="307"/>
      <c r="I34" s="307"/>
      <c r="J34" s="307"/>
      <c r="K34" s="308"/>
      <c r="L34" s="20"/>
      <c r="M34" s="20"/>
      <c r="N34" s="20"/>
      <c r="O34" s="20"/>
      <c r="P34" s="20"/>
      <c r="Q34" s="20"/>
      <c r="R34" s="20"/>
      <c r="S34" s="20"/>
      <c r="T34" s="20"/>
      <c r="U34" s="20"/>
      <c r="V34" s="65">
        <f t="shared" si="2"/>
        <v>41</v>
      </c>
      <c r="W34" s="66">
        <f t="shared" si="0"/>
        <v>9.3362312157057037E-3</v>
      </c>
      <c r="X34" s="110">
        <f t="shared" si="0"/>
        <v>1.0782443573233658E-2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306"/>
      <c r="E35" s="307"/>
      <c r="F35" s="307"/>
      <c r="G35" s="307"/>
      <c r="H35" s="307"/>
      <c r="I35" s="307"/>
      <c r="J35" s="307"/>
      <c r="K35" s="308"/>
      <c r="L35" s="20"/>
      <c r="M35" s="20"/>
      <c r="N35" s="20"/>
      <c r="O35" s="20"/>
      <c r="P35" s="20"/>
      <c r="Q35" s="20"/>
      <c r="R35" s="20"/>
      <c r="S35" s="20"/>
      <c r="T35" s="20"/>
      <c r="U35" s="20"/>
      <c r="V35" s="65">
        <f>V34+1</f>
        <v>42</v>
      </c>
      <c r="W35" s="66">
        <f t="shared" si="0"/>
        <v>8.8216202163903246E-3</v>
      </c>
      <c r="X35" s="110">
        <f t="shared" si="0"/>
        <v>1.009678900323363E-2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309"/>
      <c r="E36" s="310"/>
      <c r="F36" s="310"/>
      <c r="G36" s="310"/>
      <c r="H36" s="310"/>
      <c r="I36" s="310"/>
      <c r="J36" s="310"/>
      <c r="K36" s="311"/>
      <c r="L36" s="20"/>
      <c r="M36" s="20"/>
      <c r="N36" s="20"/>
      <c r="O36" s="20"/>
      <c r="P36" s="20"/>
      <c r="Q36" s="20"/>
      <c r="R36" s="20"/>
      <c r="S36" s="20"/>
      <c r="T36" s="20"/>
      <c r="U36" s="20"/>
      <c r="V36" s="65">
        <f t="shared" si="2"/>
        <v>43</v>
      </c>
      <c r="W36" s="66">
        <f t="shared" si="0"/>
        <v>8.3324624026314131E-3</v>
      </c>
      <c r="X36" s="110">
        <f t="shared" si="0"/>
        <v>9.4451347751350889E-3</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7.8668657866323155E-3</v>
      </c>
      <c r="X37" s="110">
        <f t="shared" si="0"/>
        <v>8.825593371953544E-3</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95" t="s">
        <v>142</v>
      </c>
      <c r="B38" s="295"/>
      <c r="C38" s="295"/>
      <c r="D38" s="295"/>
      <c r="E38" s="295"/>
      <c r="F38" s="295"/>
      <c r="G38" s="295"/>
      <c r="H38" s="295"/>
      <c r="I38" s="295"/>
      <c r="J38" s="295"/>
      <c r="K38" s="295"/>
      <c r="L38" s="20"/>
      <c r="M38" s="20"/>
      <c r="N38" s="20"/>
      <c r="O38" s="20"/>
      <c r="P38" s="20"/>
      <c r="Q38" s="20"/>
      <c r="R38" s="20"/>
      <c r="S38" s="20"/>
      <c r="T38" s="20"/>
      <c r="U38" s="20"/>
      <c r="V38" s="65">
        <f t="shared" si="2"/>
        <v>45</v>
      </c>
      <c r="W38" s="66">
        <f t="shared" si="0"/>
        <v>7.4231548650321999E-3</v>
      </c>
      <c r="X38" s="110">
        <f t="shared" si="0"/>
        <v>8.2364664012642974E-3</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12" t="s">
        <v>316</v>
      </c>
      <c r="B39" s="312"/>
      <c r="C39" s="312"/>
      <c r="D39" s="312"/>
      <c r="E39" s="312"/>
      <c r="F39" s="312"/>
      <c r="G39" s="312"/>
      <c r="H39" s="312"/>
      <c r="I39" s="312"/>
      <c r="J39" s="312"/>
      <c r="K39" s="312"/>
      <c r="L39" s="20"/>
      <c r="M39" s="20"/>
      <c r="N39" s="20"/>
      <c r="O39" s="20"/>
      <c r="P39" s="20"/>
      <c r="Q39" s="20"/>
      <c r="R39" s="20"/>
      <c r="S39" s="20"/>
      <c r="T39" s="20"/>
      <c r="U39" s="20"/>
      <c r="V39" s="65">
        <f t="shared" si="2"/>
        <v>46</v>
      </c>
      <c r="W39" s="66">
        <f t="shared" si="0"/>
        <v>6.9998402389419567E-3</v>
      </c>
      <c r="X39" s="110">
        <f t="shared" si="0"/>
        <v>7.6762194117141469E-3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12"/>
      <c r="B40" s="312"/>
      <c r="C40" s="312"/>
      <c r="D40" s="312"/>
      <c r="E40" s="312"/>
      <c r="F40" s="312"/>
      <c r="G40" s="312"/>
      <c r="H40" s="312"/>
      <c r="I40" s="312"/>
      <c r="J40" s="312"/>
      <c r="K40" s="312"/>
      <c r="L40" s="20"/>
      <c r="M40" s="20"/>
      <c r="N40" s="20"/>
      <c r="O40" s="20"/>
      <c r="P40" s="20"/>
      <c r="Q40" s="20"/>
      <c r="R40" s="20"/>
      <c r="S40" s="20"/>
      <c r="T40" s="20"/>
      <c r="U40" s="20"/>
      <c r="V40" s="65">
        <f t="shared" si="2"/>
        <v>47</v>
      </c>
      <c r="W40" s="66">
        <f t="shared" si="0"/>
        <v>6.5955933951805656E-3</v>
      </c>
      <c r="X40" s="110">
        <f t="shared" si="0"/>
        <v>7.1434607706798436E-3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6.209225649727701E-3</v>
      </c>
      <c r="X41" s="110">
        <f t="shared" si="0"/>
        <v>6.6369238408494624E-3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5.8396704729644089E-3</v>
      </c>
      <c r="X42" s="110">
        <f t="shared" si="0"/>
        <v>6.1554518550011039E-3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5.4859685823942517E-3</v>
      </c>
      <c r="X43" s="110">
        <f t="shared" si="0"/>
        <v>5.6979850118219488E-3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5.1472553159833678E-3</v>
      </c>
      <c r="X44" s="110">
        <f t="shared" si="0"/>
        <v>5.2635494109771752E-3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4.8227498979213079E-3</v>
      </c>
      <c r="X45" s="110">
        <f t="shared" si="0"/>
        <v>4.8512475198063676E-3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4.5117462856480994E-3</v>
      </c>
      <c r="X46" s="110">
        <f t="shared" si="0"/>
        <v>4.4602499221609859E-3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4.213605347749505E-3</v>
      </c>
      <c r="X47" s="110">
        <f t="shared" si="0"/>
        <v>4.0897881457675478E-3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3.9277481706641026E-3</v>
      </c>
      <c r="X48" s="110">
        <f t="shared" si="0"/>
        <v>3.7391484009330345E-3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3.65365033109466E-3</v>
      </c>
      <c r="X49" s="110">
        <f t="shared" si="0"/>
        <v>3.4076660925265179E-3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3.3908370027928569E-3</v>
      </c>
      <c r="X50" s="110">
        <f t="shared" si="0"/>
        <v>3.0947209905425321E-3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3.1388787928012807E-3</v>
      </c>
      <c r="X51" s="110">
        <f t="shared" si="0"/>
        <v>2.7997329634247281E-3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2.8973882247040894E-3</v>
      </c>
      <c r="X52" s="110">
        <f t="shared" si="0"/>
        <v>2.5221581936100135E-3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2.6660168062020428E-3</v>
      </c>
      <c r="X53" s="110">
        <f t="shared" si="0"/>
        <v>2.261485807145025E-3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2.4444526364723052E-3</v>
      </c>
      <c r="X54" s="110">
        <f t="shared" si="0"/>
        <v>2.0172348593104905E-3</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2.2324185264545049E-3</v>
      </c>
      <c r="X55" s="110">
        <f t="shared" si="0"/>
        <v>1.7889516263267513E-3</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2.0296706236290207E-3</v>
      </c>
      <c r="X56" s="110">
        <f t="shared" si="0"/>
        <v>1.5762071597448246E-3</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1.8359975536366147E-3</v>
      </c>
      <c r="X57" s="110">
        <f t="shared" si="0"/>
        <v>1.3785950652596135E-3</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1.6512201163536577E-3</v>
      </c>
      <c r="X58" s="110">
        <f t="shared" si="0"/>
        <v>1.19572947152502E-3</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1.4751916070381288E-3</v>
      </c>
      <c r="X59" s="110">
        <f t="shared" si="0"/>
        <v>1.0272431571457519E-3</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1.3077988789297335E-3</v>
      </c>
      <c r="X60" s="110">
        <f t="shared" si="0"/>
        <v>8.7278580528926675E-4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1.1489643306540342E-3</v>
      </c>
      <c r="X61" s="110">
        <f t="shared" si="0"/>
        <v>7.3202235501224067E-4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9.9864910441194166E-4</v>
      </c>
      <c r="X62" s="110">
        <f t="shared" si="0"/>
        <v>6.0463141594546688E-4</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8.5685794552037287E-4</v>
      </c>
      <c r="X63" s="110">
        <f t="shared" si="0"/>
        <v>4.9030370736669049E-4</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7.2364645025146945E-4</v>
      </c>
      <c r="X64" s="110">
        <f t="shared" si="0"/>
        <v>3.8874047205550433E-4</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5.9913191744043193E-4</v>
      </c>
      <c r="X65" s="110">
        <f t="shared" si="0"/>
        <v>2.9965179589863666E-4</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4.835099355623429E-4</v>
      </c>
      <c r="X66" s="110">
        <f t="shared" si="0"/>
        <v>2.2275472843036326E-4</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3.7708068397490635E-4</v>
      </c>
      <c r="X67" s="110">
        <f t="shared" si="0"/>
        <v>1.5777103059710917E-4</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2.8029300611931429E-4</v>
      </c>
      <c r="X68" s="110">
        <f t="shared" si="0"/>
        <v>1.0442423374934506E-4</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1.9382448293381316E-4</v>
      </c>
      <c r="X69" s="110">
        <f t="shared" si="0"/>
        <v>6.2435368491930987E-5</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1.1874587089377719E-4</v>
      </c>
      <c r="X70" s="110">
        <f t="shared" si="0"/>
        <v>3.1515858524233664E-5</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5.6936108925098594E-5</v>
      </c>
      <c r="X71" s="110">
        <f t="shared" si="0"/>
        <v>1.1353170172645477E-5</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1.2793185617754332E-5</v>
      </c>
      <c r="X72" s="110">
        <f t="shared" si="0"/>
        <v>1.5686172596396375E-6</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disablePrompts="1"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38"/>
      <c r="B1" s="339"/>
      <c r="C1" s="340" t="s">
        <v>240</v>
      </c>
      <c r="D1" s="341"/>
      <c r="E1" s="341"/>
      <c r="F1" s="341"/>
      <c r="G1" s="341"/>
      <c r="H1" s="342"/>
      <c r="I1" s="340" t="s">
        <v>239</v>
      </c>
      <c r="J1" s="341"/>
      <c r="K1" s="341"/>
      <c r="L1" s="341"/>
      <c r="M1" s="341"/>
      <c r="N1" s="342"/>
      <c r="O1" s="98"/>
      <c r="P1" s="287" t="s">
        <v>11</v>
      </c>
      <c r="Q1" s="287"/>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43" t="s">
        <v>149</v>
      </c>
      <c r="Q2" s="344"/>
      <c r="R2" s="76"/>
    </row>
    <row r="3" spans="1:18" x14ac:dyDescent="0.25">
      <c r="A3" s="335"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36"/>
      <c r="B4" s="101" t="s">
        <v>317</v>
      </c>
      <c r="C4" s="89">
        <v>0</v>
      </c>
      <c r="D4" s="48">
        <v>0</v>
      </c>
      <c r="E4" s="48">
        <v>0</v>
      </c>
      <c r="F4" s="48">
        <v>0</v>
      </c>
      <c r="G4" s="48">
        <v>0</v>
      </c>
      <c r="H4" s="84">
        <v>1</v>
      </c>
      <c r="I4" s="89">
        <v>1</v>
      </c>
      <c r="J4" s="48">
        <v>2</v>
      </c>
      <c r="K4" s="48">
        <v>1</v>
      </c>
      <c r="L4" s="48">
        <v>1</v>
      </c>
      <c r="M4" s="48">
        <v>1</v>
      </c>
      <c r="N4" s="84">
        <v>1</v>
      </c>
      <c r="O4" s="20"/>
      <c r="P4" s="345" t="s">
        <v>148</v>
      </c>
      <c r="Q4" s="346"/>
      <c r="R4" s="76"/>
    </row>
    <row r="5" spans="1:18" x14ac:dyDescent="0.25">
      <c r="A5" s="336"/>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36"/>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36"/>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37"/>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35"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36"/>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36"/>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36"/>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36"/>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37"/>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B38" sqref="B38"/>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75" zoomScaleNormal="75" workbookViewId="0">
      <pane ySplit="1" topLeftCell="A2" activePane="bottomLeft" state="frozen"/>
      <selection pane="bottomLeft" activeCell="G15" sqref="G15"/>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1.2348709177094099</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0.63881809950113999</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5" t="s">
        <v>234</v>
      </c>
      <c r="B1" s="297"/>
      <c r="C1" s="297"/>
      <c r="D1" s="297"/>
      <c r="E1" s="297"/>
      <c r="F1" s="297"/>
      <c r="G1" s="297"/>
      <c r="H1" s="297"/>
      <c r="I1" s="297"/>
    </row>
    <row r="2" spans="1:9" x14ac:dyDescent="0.25">
      <c r="A2" s="3"/>
      <c r="B2" s="295" t="s">
        <v>31</v>
      </c>
      <c r="C2" s="297"/>
      <c r="D2" s="297"/>
      <c r="E2" s="297"/>
      <c r="F2" s="295" t="s">
        <v>32</v>
      </c>
      <c r="G2" s="297"/>
      <c r="H2" s="297"/>
      <c r="I2" s="297"/>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47"/>
      <c r="B10" s="299"/>
      <c r="C10" s="299"/>
      <c r="D10" s="299"/>
      <c r="E10" s="299"/>
      <c r="F10" s="299"/>
      <c r="G10" s="299"/>
      <c r="H10" s="299"/>
      <c r="I10" s="294"/>
    </row>
    <row r="11" spans="1:9" x14ac:dyDescent="0.25">
      <c r="A11" s="295" t="s">
        <v>92</v>
      </c>
      <c r="B11" s="297"/>
      <c r="C11" s="297"/>
      <c r="D11" s="297"/>
      <c r="E11" s="297"/>
      <c r="F11" s="297"/>
      <c r="G11" s="297"/>
      <c r="H11" s="297"/>
      <c r="I11" s="297"/>
    </row>
    <row r="12" spans="1:9" x14ac:dyDescent="0.25">
      <c r="A12" s="3"/>
      <c r="B12" s="295" t="s">
        <v>31</v>
      </c>
      <c r="C12" s="297"/>
      <c r="D12" s="297"/>
      <c r="E12" s="297"/>
      <c r="F12" s="295" t="s">
        <v>32</v>
      </c>
      <c r="G12" s="297"/>
      <c r="H12" s="297"/>
      <c r="I12" s="297"/>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47"/>
      <c r="B20" s="299"/>
      <c r="C20" s="299"/>
      <c r="D20" s="299"/>
      <c r="E20" s="299"/>
      <c r="F20" s="299"/>
      <c r="G20" s="299"/>
      <c r="H20" s="299"/>
      <c r="I20" s="294"/>
    </row>
    <row r="21" spans="1:9" x14ac:dyDescent="0.25">
      <c r="A21" s="295" t="s">
        <v>93</v>
      </c>
      <c r="B21" s="297"/>
      <c r="C21" s="297"/>
      <c r="D21" s="297"/>
      <c r="E21" s="297"/>
      <c r="F21" s="297"/>
      <c r="G21" s="297"/>
      <c r="H21" s="297"/>
      <c r="I21" s="297"/>
    </row>
    <row r="22" spans="1:9" x14ac:dyDescent="0.25">
      <c r="A22" s="8"/>
      <c r="B22" s="295" t="s">
        <v>31</v>
      </c>
      <c r="C22" s="297"/>
      <c r="D22" s="297"/>
      <c r="E22" s="297"/>
      <c r="F22" s="295" t="s">
        <v>32</v>
      </c>
      <c r="G22" s="297"/>
      <c r="H22" s="297"/>
      <c r="I22" s="297"/>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47"/>
      <c r="B31" s="299"/>
      <c r="C31" s="299"/>
      <c r="D31" s="299"/>
      <c r="E31" s="299"/>
      <c r="F31" s="299"/>
      <c r="G31" s="299"/>
      <c r="H31" s="299"/>
      <c r="I31" s="294"/>
    </row>
    <row r="32" spans="1:9" x14ac:dyDescent="0.25">
      <c r="A32" s="295" t="s">
        <v>242</v>
      </c>
      <c r="B32" s="297"/>
      <c r="C32" s="297"/>
      <c r="D32" s="297"/>
      <c r="E32" s="297"/>
      <c r="F32" s="297"/>
      <c r="G32" s="297"/>
      <c r="H32" s="297"/>
      <c r="I32" s="297"/>
    </row>
    <row r="33" spans="1:9" x14ac:dyDescent="0.25">
      <c r="A33" s="8"/>
      <c r="B33" s="295" t="s">
        <v>31</v>
      </c>
      <c r="C33" s="297"/>
      <c r="D33" s="297"/>
      <c r="E33" s="297"/>
      <c r="F33" s="295" t="s">
        <v>32</v>
      </c>
      <c r="G33" s="297"/>
      <c r="H33" s="297"/>
      <c r="I33" s="297"/>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47"/>
      <c r="B42" s="299"/>
      <c r="C42" s="299"/>
      <c r="D42" s="299"/>
      <c r="E42" s="299"/>
      <c r="F42" s="299"/>
      <c r="G42" s="299"/>
      <c r="H42" s="299"/>
      <c r="I42" s="294"/>
    </row>
    <row r="43" spans="1:9" x14ac:dyDescent="0.25">
      <c r="A43" s="295" t="s">
        <v>243</v>
      </c>
      <c r="B43" s="297"/>
      <c r="C43" s="297"/>
      <c r="D43" s="297"/>
      <c r="E43" s="297"/>
      <c r="F43" s="297"/>
      <c r="G43" s="297"/>
      <c r="H43" s="297"/>
      <c r="I43" s="297"/>
    </row>
    <row r="44" spans="1:9" x14ac:dyDescent="0.25">
      <c r="A44" s="8"/>
      <c r="B44" s="295" t="s">
        <v>31</v>
      </c>
      <c r="C44" s="297"/>
      <c r="D44" s="297"/>
      <c r="E44" s="297"/>
      <c r="F44" s="295" t="s">
        <v>32</v>
      </c>
      <c r="G44" s="297"/>
      <c r="H44" s="297"/>
      <c r="I44" s="297"/>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47"/>
      <c r="B53" s="299"/>
      <c r="C53" s="299"/>
      <c r="D53" s="299"/>
      <c r="E53" s="299"/>
      <c r="F53" s="299"/>
      <c r="G53" s="299"/>
      <c r="H53" s="299"/>
      <c r="I53" s="294"/>
    </row>
    <row r="54" spans="1:9" x14ac:dyDescent="0.25">
      <c r="A54" s="295" t="s">
        <v>244</v>
      </c>
      <c r="B54" s="297"/>
      <c r="C54" s="297"/>
      <c r="D54" s="297"/>
      <c r="E54" s="297"/>
      <c r="F54" s="297"/>
      <c r="G54" s="297"/>
      <c r="H54" s="297"/>
      <c r="I54" s="297"/>
    </row>
    <row r="55" spans="1:9" x14ac:dyDescent="0.25">
      <c r="A55" s="8"/>
      <c r="B55" s="295" t="s">
        <v>31</v>
      </c>
      <c r="C55" s="297"/>
      <c r="D55" s="297"/>
      <c r="E55" s="297"/>
      <c r="F55" s="295" t="s">
        <v>32</v>
      </c>
      <c r="G55" s="297"/>
      <c r="H55" s="297"/>
      <c r="I55" s="297"/>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G42" sqref="G42"/>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48"/>
      <c r="B9" s="349"/>
      <c r="C9" s="349"/>
      <c r="D9" s="349"/>
      <c r="E9" s="349"/>
      <c r="F9" s="349"/>
      <c r="G9" s="349"/>
      <c r="H9" s="349"/>
      <c r="I9" s="349"/>
      <c r="J9" s="349"/>
      <c r="K9" s="349"/>
      <c r="L9" s="349"/>
      <c r="M9" s="349"/>
      <c r="N9" s="349"/>
      <c r="O9" s="349"/>
      <c r="P9" s="349"/>
      <c r="Q9" s="349"/>
      <c r="R9" s="349"/>
      <c r="S9" s="349"/>
      <c r="T9" s="349"/>
      <c r="U9" s="349"/>
      <c r="V9" s="349"/>
      <c r="W9" s="349"/>
      <c r="X9" s="349"/>
      <c r="Y9" s="349"/>
      <c r="Z9" s="349"/>
      <c r="AA9" s="349"/>
      <c r="AB9" s="349"/>
      <c r="AC9" s="349"/>
      <c r="AD9" s="349"/>
      <c r="AE9" s="349"/>
      <c r="AF9" s="349"/>
      <c r="AG9" s="349"/>
      <c r="AH9" s="349"/>
      <c r="AI9" s="349"/>
      <c r="AJ9" s="349"/>
      <c r="AK9" s="349"/>
      <c r="AL9" s="349"/>
      <c r="AM9" s="349"/>
      <c r="AN9" s="349"/>
      <c r="AO9" s="349"/>
      <c r="AP9" s="349"/>
      <c r="AQ9" s="349"/>
      <c r="AR9" s="349"/>
      <c r="AS9" s="349"/>
      <c r="AT9" s="349"/>
      <c r="AU9" s="349"/>
      <c r="AV9" s="349"/>
      <c r="AW9" s="349"/>
      <c r="AX9" s="349"/>
      <c r="AY9" s="349"/>
      <c r="AZ9" s="349"/>
      <c r="BA9" s="349"/>
      <c r="BB9" s="349"/>
      <c r="BC9" s="349"/>
      <c r="BD9" s="349"/>
      <c r="BE9" s="349"/>
      <c r="BF9" s="349"/>
      <c r="BG9" s="349"/>
      <c r="BH9" s="349"/>
      <c r="BI9" s="349"/>
      <c r="BJ9" s="349"/>
      <c r="BK9" s="349"/>
      <c r="BL9" s="349"/>
      <c r="BM9" s="349"/>
      <c r="BN9" s="349"/>
      <c r="BO9" s="349"/>
      <c r="BP9" s="349"/>
      <c r="BQ9" s="349"/>
      <c r="BR9" s="349"/>
      <c r="BS9" s="349"/>
      <c r="BT9" s="349"/>
      <c r="BU9" s="349"/>
      <c r="BV9" s="349"/>
      <c r="BW9" s="349"/>
      <c r="BX9" s="349"/>
      <c r="BY9" s="349"/>
      <c r="BZ9" s="349"/>
      <c r="CA9" s="349"/>
      <c r="CB9" s="349"/>
      <c r="CC9" s="349"/>
      <c r="CD9" s="349"/>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47"/>
      <c r="B18" s="35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1"/>
      <c r="B27" s="352"/>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1.21407496765421</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48"/>
      <c r="B30" s="348"/>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A40" sqref="A40"/>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31" sqref="A31"/>
    </sheetView>
  </sheetViews>
  <sheetFormatPr defaultRowHeight="15" x14ac:dyDescent="0.25"/>
  <sheetData>
    <row r="1" spans="1:82" x14ac:dyDescent="0.25">
      <c r="A1" s="353" t="s">
        <v>91</v>
      </c>
      <c r="B1" s="354"/>
      <c r="C1" s="354"/>
      <c r="D1" s="354"/>
      <c r="E1" s="354"/>
      <c r="F1" s="354"/>
      <c r="G1" s="354"/>
      <c r="H1" s="354"/>
      <c r="I1" s="354"/>
      <c r="J1" s="354"/>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4"/>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c r="CA1" s="354"/>
      <c r="CB1" s="354"/>
      <c r="CC1" s="354"/>
      <c r="CD1" s="354"/>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2" activePane="bottomRight" state="frozen"/>
      <selection pane="topRight" activeCell="D1" sqref="D1"/>
      <selection pane="bottomLeft" activeCell="A3" sqref="A3"/>
      <selection pane="bottomRight" activeCell="A67" sqref="A6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5" t="s">
        <v>109</v>
      </c>
      <c r="B1" s="296"/>
      <c r="C1" s="296"/>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C33" sqref="C33"/>
    </sheetView>
  </sheetViews>
  <sheetFormatPr defaultRowHeight="15" x14ac:dyDescent="0.25"/>
  <cols>
    <col min="1" max="1" width="30.7109375" customWidth="1"/>
    <col min="2" max="2" width="9.140625" style="150"/>
    <col min="3" max="3" width="120.7109375" customWidth="1"/>
    <col min="4" max="4" width="16.7109375" customWidth="1"/>
  </cols>
  <sheetData>
    <row r="1" spans="1:4" x14ac:dyDescent="0.25">
      <c r="A1" s="5" t="s">
        <v>22</v>
      </c>
      <c r="B1" s="253" t="s">
        <v>5</v>
      </c>
      <c r="C1" s="7" t="s">
        <v>11</v>
      </c>
      <c r="D1" s="5" t="s">
        <v>4</v>
      </c>
    </row>
    <row r="2" spans="1:4" x14ac:dyDescent="0.25">
      <c r="A2" s="252" t="s">
        <v>326</v>
      </c>
      <c r="B2" s="39">
        <v>0.27638433345688701</v>
      </c>
      <c r="C2" s="8" t="s">
        <v>330</v>
      </c>
      <c r="D2" s="8" t="s">
        <v>328</v>
      </c>
    </row>
    <row r="3" spans="1:4" x14ac:dyDescent="0.25">
      <c r="A3" s="252" t="s">
        <v>327</v>
      </c>
      <c r="B3" s="39">
        <v>-0.29819846184811499</v>
      </c>
      <c r="C3" s="8" t="s">
        <v>329</v>
      </c>
      <c r="D3" s="8" t="s">
        <v>331</v>
      </c>
    </row>
    <row r="4" spans="1:4" x14ac:dyDescent="0.25">
      <c r="A4" s="252" t="s">
        <v>332</v>
      </c>
      <c r="B4" s="39">
        <v>1.0629361617630799E-2</v>
      </c>
      <c r="C4" s="8" t="s">
        <v>336</v>
      </c>
      <c r="D4" s="8" t="s">
        <v>334</v>
      </c>
    </row>
    <row r="5" spans="1:4" x14ac:dyDescent="0.25">
      <c r="A5" s="252" t="s">
        <v>333</v>
      </c>
      <c r="B5" s="39">
        <v>1.69372458432083E-3</v>
      </c>
      <c r="C5" s="8" t="s">
        <v>337</v>
      </c>
      <c r="D5" s="8" t="s">
        <v>335</v>
      </c>
    </row>
    <row r="6" spans="1:4" x14ac:dyDescent="0.25">
      <c r="A6" s="38"/>
      <c r="B6" s="254"/>
      <c r="C6" s="8"/>
      <c r="D6"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68"/>
  <sheetViews>
    <sheetView tabSelected="1" zoomScale="75" zoomScaleNormal="75" workbookViewId="0">
      <selection activeCell="L23" sqref="L23"/>
    </sheetView>
  </sheetViews>
  <sheetFormatPr defaultRowHeight="15" x14ac:dyDescent="0.25"/>
  <cols>
    <col min="1" max="1" width="65.28515625" bestFit="1" customWidth="1"/>
    <col min="2" max="6" width="14.7109375" style="150"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6" t="s">
        <v>22</v>
      </c>
      <c r="B1" s="267" t="s">
        <v>356</v>
      </c>
      <c r="C1" s="267" t="s">
        <v>357</v>
      </c>
      <c r="D1" s="267" t="s">
        <v>364</v>
      </c>
      <c r="E1" s="267" t="s">
        <v>365</v>
      </c>
      <c r="F1" s="267" t="s">
        <v>363</v>
      </c>
      <c r="G1" s="268" t="s">
        <v>11</v>
      </c>
      <c r="H1" s="269" t="s">
        <v>4</v>
      </c>
      <c r="I1" s="270"/>
      <c r="J1" s="271" t="s">
        <v>148</v>
      </c>
      <c r="K1" s="272" t="s">
        <v>364</v>
      </c>
      <c r="L1" s="272" t="s">
        <v>365</v>
      </c>
      <c r="M1" s="273" t="s">
        <v>11</v>
      </c>
      <c r="N1" s="270"/>
      <c r="O1" s="357" t="s">
        <v>396</v>
      </c>
      <c r="P1" s="357"/>
      <c r="Q1" s="357"/>
      <c r="R1" s="357"/>
      <c r="S1" s="357"/>
      <c r="T1" s="274"/>
    </row>
    <row r="2" spans="1:20" x14ac:dyDescent="0.25">
      <c r="A2" s="275" t="s">
        <v>347</v>
      </c>
      <c r="B2" s="256"/>
      <c r="C2" s="254"/>
      <c r="D2" s="254"/>
      <c r="E2" s="254"/>
      <c r="F2" s="254"/>
      <c r="G2" s="8"/>
      <c r="H2" s="8"/>
      <c r="I2" s="263"/>
      <c r="J2" s="8" t="s">
        <v>360</v>
      </c>
      <c r="K2" s="254" t="s">
        <v>366</v>
      </c>
      <c r="L2" s="254" t="s">
        <v>366</v>
      </c>
      <c r="M2" s="8" t="s">
        <v>369</v>
      </c>
      <c r="N2" s="263"/>
      <c r="O2" s="261" t="s">
        <v>392</v>
      </c>
      <c r="P2" s="261" t="s">
        <v>107</v>
      </c>
      <c r="Q2" s="261" t="s">
        <v>393</v>
      </c>
      <c r="R2" s="261" t="s">
        <v>394</v>
      </c>
      <c r="S2" s="261" t="s">
        <v>395</v>
      </c>
      <c r="T2" s="276"/>
    </row>
    <row r="3" spans="1:20" x14ac:dyDescent="0.25">
      <c r="A3" s="277" t="s">
        <v>382</v>
      </c>
      <c r="B3" s="39">
        <f>0.01*EpiInputs!B19</f>
        <v>6.3881809950113999E-3</v>
      </c>
      <c r="C3" s="254" t="s">
        <v>360</v>
      </c>
      <c r="D3" s="39">
        <v>6.75</v>
      </c>
      <c r="E3" s="39">
        <v>4600</v>
      </c>
      <c r="F3" s="39" t="b">
        <v>1</v>
      </c>
      <c r="G3" s="8" t="s">
        <v>383</v>
      </c>
      <c r="H3" s="8" t="s">
        <v>232</v>
      </c>
      <c r="I3" s="263"/>
      <c r="J3" s="8" t="s">
        <v>359</v>
      </c>
      <c r="K3" s="254" t="s">
        <v>366</v>
      </c>
      <c r="L3" s="254" t="s">
        <v>368</v>
      </c>
      <c r="M3" s="8" t="s">
        <v>370</v>
      </c>
      <c r="N3" s="263"/>
      <c r="O3" s="258">
        <v>0</v>
      </c>
      <c r="P3" s="259">
        <f t="shared" ref="P3:P36" si="0">O3*($C$35-$C$34)/$O$36+$C$34</f>
        <v>0.53580467651260266</v>
      </c>
      <c r="Q3" s="259">
        <f t="shared" ref="Q3:Q36" si="1">IF($C$27="Beta",_xlfn.BETA.DIST(P3,$C$28,$C$29,TRUE),IF($C$27="Lognormal",_xlfn.LOGNORM.DIST(P3,$C$28,$C$29,TRUE),IF($C$27="Gamma",_xlfn.GAMMA.DIST(P3,$C$28,1/$C$29,TRUE),IF($C$27="Normal",_xlfn.NORM.DIST(P3,$C$28,$C$29,TRUE),"Panic"))))</f>
        <v>2.4999999999999998E-2</v>
      </c>
      <c r="R3" s="259">
        <f>Q4-Q3</f>
        <v>2.0734564318429339E-2</v>
      </c>
      <c r="S3" s="259">
        <f>0.5*SUM(P3:P4)</f>
        <v>0.56662892117267627</v>
      </c>
      <c r="T3" s="276"/>
    </row>
    <row r="4" spans="1:20" x14ac:dyDescent="0.25">
      <c r="A4" s="278" t="s">
        <v>346</v>
      </c>
      <c r="B4" s="257">
        <f>EpiInputs!B4</f>
        <v>1.2348709177094099</v>
      </c>
      <c r="C4" s="254" t="s">
        <v>372</v>
      </c>
      <c r="D4" s="39">
        <f>LN(1)+E4*E4</f>
        <v>1</v>
      </c>
      <c r="E4" s="39">
        <v>1</v>
      </c>
      <c r="F4" s="39" t="b">
        <v>1</v>
      </c>
      <c r="G4" s="8"/>
      <c r="H4" s="8" t="s">
        <v>181</v>
      </c>
      <c r="I4" s="263"/>
      <c r="J4" s="8" t="s">
        <v>361</v>
      </c>
      <c r="K4" s="254" t="s">
        <v>235</v>
      </c>
      <c r="L4" s="254" t="s">
        <v>367</v>
      </c>
      <c r="M4" s="8" t="s">
        <v>371</v>
      </c>
      <c r="N4" s="263"/>
      <c r="O4" s="258">
        <v>1</v>
      </c>
      <c r="P4" s="259">
        <f t="shared" si="0"/>
        <v>0.59745316583274999</v>
      </c>
      <c r="Q4" s="259">
        <f t="shared" si="1"/>
        <v>4.5734564318429337E-2</v>
      </c>
      <c r="R4" s="259">
        <f t="shared" ref="R4:R35" si="2">Q5-Q4</f>
        <v>2.8889297420128586E-2</v>
      </c>
      <c r="S4" s="259">
        <f t="shared" ref="S4:S33" si="3">0.5*SUM(P4:P5)</f>
        <v>0.62827741049282371</v>
      </c>
      <c r="T4" s="276"/>
    </row>
    <row r="5" spans="1:20" x14ac:dyDescent="0.25">
      <c r="A5" s="278" t="s">
        <v>354</v>
      </c>
      <c r="B5" s="39">
        <f>HIVFertilityInputs!B29</f>
        <v>1.21407496765421</v>
      </c>
      <c r="C5" s="254" t="s">
        <v>372</v>
      </c>
      <c r="D5" s="39">
        <f>LN(1)+E5*E5</f>
        <v>0.16000000000000003</v>
      </c>
      <c r="E5" s="39">
        <v>0.4</v>
      </c>
      <c r="F5" s="39" t="b">
        <v>1</v>
      </c>
      <c r="G5" s="8"/>
      <c r="H5" s="8" t="s">
        <v>355</v>
      </c>
      <c r="I5" s="263"/>
      <c r="J5" s="8" t="s">
        <v>372</v>
      </c>
      <c r="K5" s="254" t="s">
        <v>235</v>
      </c>
      <c r="L5" s="254" t="s">
        <v>367</v>
      </c>
      <c r="M5" s="8" t="s">
        <v>373</v>
      </c>
      <c r="N5" s="263"/>
      <c r="O5" s="258">
        <f>O4+1</f>
        <v>2</v>
      </c>
      <c r="P5" s="259">
        <f t="shared" si="0"/>
        <v>0.65910165515289731</v>
      </c>
      <c r="Q5" s="259">
        <f t="shared" si="1"/>
        <v>7.4623861738557923E-2</v>
      </c>
      <c r="R5" s="259">
        <f t="shared" si="2"/>
        <v>3.6863368269684796E-2</v>
      </c>
      <c r="S5" s="259">
        <f t="shared" si="3"/>
        <v>0.68992589981297092</v>
      </c>
      <c r="T5" s="276"/>
    </row>
    <row r="6" spans="1:20" x14ac:dyDescent="0.25">
      <c r="A6" s="275"/>
      <c r="B6" s="254"/>
      <c r="C6" s="254"/>
      <c r="D6" s="254"/>
      <c r="E6" s="254"/>
      <c r="F6" s="254"/>
      <c r="G6" s="8"/>
      <c r="H6" s="8"/>
      <c r="I6" s="263"/>
      <c r="J6" s="263"/>
      <c r="K6" s="263"/>
      <c r="L6" s="263"/>
      <c r="M6" s="263"/>
      <c r="N6" s="263"/>
      <c r="O6" s="258">
        <f t="shared" ref="O6:O34" si="4">O5+1</f>
        <v>3</v>
      </c>
      <c r="P6" s="259">
        <f t="shared" si="0"/>
        <v>0.72075014447304464</v>
      </c>
      <c r="Q6" s="259">
        <f t="shared" si="1"/>
        <v>0.11148723000824272</v>
      </c>
      <c r="R6" s="259">
        <f t="shared" si="2"/>
        <v>4.3928894800695353E-2</v>
      </c>
      <c r="S6" s="259">
        <f t="shared" si="3"/>
        <v>0.75157438913311836</v>
      </c>
      <c r="T6" s="276"/>
    </row>
    <row r="7" spans="1:20" x14ac:dyDescent="0.25">
      <c r="A7" s="275" t="s">
        <v>349</v>
      </c>
      <c r="B7" s="254"/>
      <c r="C7" s="254"/>
      <c r="D7" s="254"/>
      <c r="E7" s="254"/>
      <c r="F7" s="254"/>
      <c r="G7" s="8"/>
      <c r="H7" s="8"/>
      <c r="I7" s="263"/>
      <c r="J7" s="263"/>
      <c r="K7" s="263"/>
      <c r="L7" s="263"/>
      <c r="M7" s="263"/>
      <c r="N7" s="263"/>
      <c r="O7" s="258">
        <f t="shared" si="4"/>
        <v>4</v>
      </c>
      <c r="P7" s="259">
        <f t="shared" si="0"/>
        <v>0.78239863379319208</v>
      </c>
      <c r="Q7" s="259">
        <f t="shared" si="1"/>
        <v>0.15541612480893807</v>
      </c>
      <c r="R7" s="259">
        <f t="shared" si="2"/>
        <v>4.9591333045382824E-2</v>
      </c>
      <c r="S7" s="259">
        <f t="shared" si="3"/>
        <v>0.8132228784532658</v>
      </c>
      <c r="T7" s="276"/>
    </row>
    <row r="8" spans="1:20" x14ac:dyDescent="0.25">
      <c r="A8" s="278" t="s">
        <v>350</v>
      </c>
      <c r="B8" s="4">
        <f>AVERAGE(PartnershipInputs!B2:CD2)</f>
        <v>71.207684735325557</v>
      </c>
      <c r="C8" s="127" t="s">
        <v>359</v>
      </c>
      <c r="D8" s="39">
        <v>6.25</v>
      </c>
      <c r="E8" s="39">
        <v>0.16</v>
      </c>
      <c r="F8" s="39" t="b">
        <v>1</v>
      </c>
      <c r="G8" s="355" t="s">
        <v>362</v>
      </c>
      <c r="H8" s="8" t="s">
        <v>352</v>
      </c>
      <c r="I8" s="263"/>
      <c r="J8" s="263"/>
      <c r="K8" s="263"/>
      <c r="L8" s="263"/>
      <c r="M8" s="263"/>
      <c r="N8" s="263"/>
      <c r="O8" s="258">
        <f t="shared" si="4"/>
        <v>5</v>
      </c>
      <c r="P8" s="259">
        <f t="shared" si="0"/>
        <v>0.8440471231133394</v>
      </c>
      <c r="Q8" s="259">
        <f t="shared" si="1"/>
        <v>0.2050074578543209</v>
      </c>
      <c r="R8" s="259">
        <f t="shared" si="2"/>
        <v>5.3604688225769082E-2</v>
      </c>
      <c r="S8" s="259">
        <f t="shared" si="3"/>
        <v>0.87487136777341301</v>
      </c>
      <c r="T8" s="276"/>
    </row>
    <row r="9" spans="1:20" x14ac:dyDescent="0.25">
      <c r="A9" s="278" t="s">
        <v>351</v>
      </c>
      <c r="B9" s="4">
        <f>AVERAGE(PartnershipInputs!B3:CD3)</f>
        <v>62.772146754503957</v>
      </c>
      <c r="C9" s="127" t="s">
        <v>359</v>
      </c>
      <c r="D9" s="39">
        <v>6.25</v>
      </c>
      <c r="E9" s="39">
        <v>0.16</v>
      </c>
      <c r="F9" s="39" t="b">
        <v>1</v>
      </c>
      <c r="G9" s="356"/>
      <c r="H9" s="8" t="s">
        <v>353</v>
      </c>
      <c r="I9" s="263"/>
      <c r="J9" s="263"/>
      <c r="K9" s="263"/>
      <c r="L9" s="263"/>
      <c r="M9" s="263"/>
      <c r="N9" s="263"/>
      <c r="O9" s="258">
        <f t="shared" si="4"/>
        <v>6</v>
      </c>
      <c r="P9" s="259">
        <f t="shared" si="0"/>
        <v>0.90569561243348673</v>
      </c>
      <c r="Q9" s="259">
        <f t="shared" si="1"/>
        <v>0.25861214608008998</v>
      </c>
      <c r="R9" s="259">
        <f t="shared" si="2"/>
        <v>5.5934832529961731E-2</v>
      </c>
      <c r="S9" s="259">
        <f t="shared" si="3"/>
        <v>0.93651985709356045</v>
      </c>
      <c r="T9" s="276"/>
    </row>
    <row r="10" spans="1:20" x14ac:dyDescent="0.25">
      <c r="A10" s="278" t="s">
        <v>409</v>
      </c>
      <c r="B10" s="39">
        <f>(PartnershipInputs!B6-15)/(80-15)</f>
        <v>0.16769882225556304</v>
      </c>
      <c r="C10" s="127" t="s">
        <v>360</v>
      </c>
      <c r="D10" s="39">
        <v>300</v>
      </c>
      <c r="E10" s="39">
        <v>800</v>
      </c>
      <c r="F10" s="39" t="b">
        <v>1</v>
      </c>
      <c r="G10" s="358" t="s">
        <v>406</v>
      </c>
      <c r="H10" s="8" t="s">
        <v>401</v>
      </c>
      <c r="I10" s="263"/>
      <c r="J10" s="263"/>
      <c r="K10" s="263"/>
      <c r="L10" s="263"/>
      <c r="M10" s="263"/>
      <c r="N10" s="263"/>
      <c r="O10" s="258">
        <f t="shared" si="4"/>
        <v>7</v>
      </c>
      <c r="P10" s="259">
        <f t="shared" si="0"/>
        <v>0.96734410175363406</v>
      </c>
      <c r="Q10" s="259">
        <f t="shared" si="1"/>
        <v>0.31454697861005171</v>
      </c>
      <c r="R10" s="259">
        <f t="shared" si="2"/>
        <v>5.6701186895461275E-2</v>
      </c>
      <c r="S10" s="259">
        <f t="shared" si="3"/>
        <v>0.99816834641370766</v>
      </c>
      <c r="T10" s="276"/>
    </row>
    <row r="11" spans="1:20" x14ac:dyDescent="0.25">
      <c r="A11" s="278" t="s">
        <v>410</v>
      </c>
      <c r="B11" s="39">
        <f>(PartnershipInputs!C6-15)/(80-15)</f>
        <v>0.181476087213853</v>
      </c>
      <c r="C11" s="127" t="s">
        <v>360</v>
      </c>
      <c r="D11" s="39">
        <v>130</v>
      </c>
      <c r="E11" s="39">
        <v>350</v>
      </c>
      <c r="F11" s="39" t="b">
        <v>1</v>
      </c>
      <c r="G11" s="359"/>
      <c r="H11" s="8" t="s">
        <v>402</v>
      </c>
      <c r="I11" s="263"/>
      <c r="J11" s="263"/>
      <c r="K11" s="263"/>
      <c r="L11" s="263"/>
      <c r="M11" s="263"/>
      <c r="N11" s="263"/>
      <c r="O11" s="258">
        <f t="shared" si="4"/>
        <v>8</v>
      </c>
      <c r="P11" s="259">
        <f t="shared" si="0"/>
        <v>1.0289925910737814</v>
      </c>
      <c r="Q11" s="259">
        <f t="shared" si="1"/>
        <v>0.37124816550551298</v>
      </c>
      <c r="R11" s="259">
        <f t="shared" si="2"/>
        <v>5.6117173882842208E-2</v>
      </c>
      <c r="S11" s="259">
        <f t="shared" si="3"/>
        <v>1.0598168357338551</v>
      </c>
      <c r="T11" s="276"/>
    </row>
    <row r="12" spans="1:20" x14ac:dyDescent="0.25">
      <c r="A12" s="278" t="s">
        <v>411</v>
      </c>
      <c r="B12" s="4">
        <f>PartnershipInputs!B7</f>
        <v>2.9295039815460702</v>
      </c>
      <c r="C12" s="127" t="s">
        <v>359</v>
      </c>
      <c r="D12" s="39">
        <v>140</v>
      </c>
      <c r="E12" s="39">
        <v>35</v>
      </c>
      <c r="F12" s="39" t="b">
        <v>1</v>
      </c>
      <c r="G12" s="255"/>
      <c r="H12" s="8" t="s">
        <v>403</v>
      </c>
      <c r="I12" s="263"/>
      <c r="J12" s="263"/>
      <c r="K12" s="263"/>
      <c r="L12" s="263"/>
      <c r="M12" s="263"/>
      <c r="N12" s="263"/>
      <c r="O12" s="258">
        <f t="shared" si="4"/>
        <v>9</v>
      </c>
      <c r="P12" s="259">
        <f t="shared" si="0"/>
        <v>1.0906410803939288</v>
      </c>
      <c r="Q12" s="259">
        <f t="shared" si="1"/>
        <v>0.42736533938835519</v>
      </c>
      <c r="R12" s="259">
        <f t="shared" si="2"/>
        <v>5.4440122008675595E-2</v>
      </c>
      <c r="S12" s="259">
        <f t="shared" si="3"/>
        <v>1.1214653250540025</v>
      </c>
      <c r="T12" s="276"/>
    </row>
    <row r="13" spans="1:20" x14ac:dyDescent="0.25">
      <c r="A13" s="278" t="s">
        <v>412</v>
      </c>
      <c r="B13" s="4">
        <f>PartnershipInputs!C7</f>
        <v>3.7099464039112799</v>
      </c>
      <c r="C13" s="127" t="s">
        <v>359</v>
      </c>
      <c r="D13" s="39">
        <v>54</v>
      </c>
      <c r="E13" s="39">
        <v>12</v>
      </c>
      <c r="F13" s="39" t="b">
        <v>1</v>
      </c>
      <c r="G13" s="255"/>
      <c r="H13" s="8" t="s">
        <v>405</v>
      </c>
      <c r="I13" s="263"/>
      <c r="J13" s="263"/>
      <c r="K13" s="263"/>
      <c r="L13" s="263"/>
      <c r="M13" s="263"/>
      <c r="N13" s="263"/>
      <c r="O13" s="258">
        <f t="shared" si="4"/>
        <v>10</v>
      </c>
      <c r="P13" s="259">
        <f t="shared" si="0"/>
        <v>1.152289569714076</v>
      </c>
      <c r="Q13" s="259">
        <f t="shared" si="1"/>
        <v>0.48180546139703079</v>
      </c>
      <c r="R13" s="259">
        <f t="shared" si="2"/>
        <v>5.1934323941611293E-2</v>
      </c>
      <c r="S13" s="259">
        <f t="shared" si="3"/>
        <v>1.1831138143741498</v>
      </c>
      <c r="T13" s="276"/>
    </row>
    <row r="14" spans="1:20" x14ac:dyDescent="0.25">
      <c r="A14" s="278" t="s">
        <v>413</v>
      </c>
      <c r="B14" s="4">
        <f>PartnershipInputs!B14</f>
        <v>43.863667951740297</v>
      </c>
      <c r="C14" s="127" t="s">
        <v>372</v>
      </c>
      <c r="D14" s="39">
        <f>LN(100)+E14*E14</f>
        <v>4.8551701859880918</v>
      </c>
      <c r="E14" s="39">
        <v>0.5</v>
      </c>
      <c r="F14" s="39" t="b">
        <v>1</v>
      </c>
      <c r="G14" s="361" t="s">
        <v>408</v>
      </c>
      <c r="H14" s="8" t="s">
        <v>415</v>
      </c>
      <c r="I14" s="263"/>
      <c r="J14" s="263"/>
      <c r="K14" s="263"/>
      <c r="L14" s="263"/>
      <c r="M14" s="263"/>
      <c r="N14" s="263"/>
      <c r="O14" s="258">
        <f t="shared" si="4"/>
        <v>11</v>
      </c>
      <c r="P14" s="259">
        <f t="shared" si="0"/>
        <v>1.2139380590342235</v>
      </c>
      <c r="Q14" s="259">
        <f t="shared" si="1"/>
        <v>0.53373978533864208</v>
      </c>
      <c r="R14" s="259">
        <f t="shared" si="2"/>
        <v>4.8846886881456664E-2</v>
      </c>
      <c r="S14" s="259">
        <f t="shared" si="3"/>
        <v>1.2447623036942972</v>
      </c>
      <c r="T14" s="276"/>
    </row>
    <row r="15" spans="1:20" x14ac:dyDescent="0.25">
      <c r="A15" s="278" t="s">
        <v>414</v>
      </c>
      <c r="B15" s="4">
        <f>PartnershipInputs!C14</f>
        <v>8</v>
      </c>
      <c r="C15" s="127" t="s">
        <v>372</v>
      </c>
      <c r="D15" s="39">
        <f>LN(8)+E15*E15</f>
        <v>2.3294415416798357</v>
      </c>
      <c r="E15" s="39">
        <v>0.5</v>
      </c>
      <c r="F15" s="39" t="b">
        <v>0</v>
      </c>
      <c r="G15" s="362"/>
      <c r="H15" s="8" t="s">
        <v>416</v>
      </c>
      <c r="I15" s="263"/>
      <c r="J15" s="263"/>
      <c r="K15" s="263"/>
      <c r="L15" s="263"/>
      <c r="M15" s="263"/>
      <c r="N15" s="263"/>
      <c r="O15" s="258">
        <f t="shared" si="4"/>
        <v>12</v>
      </c>
      <c r="P15" s="259">
        <f t="shared" si="0"/>
        <v>1.2755865483543709</v>
      </c>
      <c r="Q15" s="259">
        <f t="shared" si="1"/>
        <v>0.58258667222009874</v>
      </c>
      <c r="R15" s="259">
        <f t="shared" si="2"/>
        <v>4.5394138747752444E-2</v>
      </c>
      <c r="S15" s="259">
        <f t="shared" si="3"/>
        <v>1.3064107930144444</v>
      </c>
      <c r="T15" s="276"/>
    </row>
    <row r="16" spans="1:20" x14ac:dyDescent="0.25">
      <c r="A16" s="275"/>
      <c r="B16" s="254"/>
      <c r="C16" s="254"/>
      <c r="D16" s="254"/>
      <c r="E16" s="254"/>
      <c r="F16" s="254"/>
      <c r="G16" s="8"/>
      <c r="H16" s="8"/>
      <c r="I16" s="263"/>
      <c r="J16" s="263"/>
      <c r="K16" s="263"/>
      <c r="L16" s="263"/>
      <c r="M16" s="263"/>
      <c r="N16" s="263"/>
      <c r="O16" s="258">
        <f t="shared" si="4"/>
        <v>13</v>
      </c>
      <c r="P16" s="259">
        <f t="shared" si="0"/>
        <v>1.3372350376745181</v>
      </c>
      <c r="Q16" s="259">
        <f t="shared" si="1"/>
        <v>0.62798081096785119</v>
      </c>
      <c r="R16" s="259">
        <f t="shared" si="2"/>
        <v>4.1755838999998796E-2</v>
      </c>
      <c r="S16" s="259">
        <f t="shared" si="3"/>
        <v>1.3680592823345918</v>
      </c>
      <c r="T16" s="276"/>
    </row>
    <row r="17" spans="1:20" x14ac:dyDescent="0.25">
      <c r="A17" s="275" t="s">
        <v>348</v>
      </c>
      <c r="B17" s="254"/>
      <c r="C17" s="254"/>
      <c r="D17" s="254"/>
      <c r="E17" s="254"/>
      <c r="F17" s="254"/>
      <c r="G17" s="8"/>
      <c r="H17" s="8"/>
      <c r="I17" s="263"/>
      <c r="J17" s="263"/>
      <c r="K17" s="263"/>
      <c r="L17" s="263"/>
      <c r="M17" s="263"/>
      <c r="N17" s="263"/>
      <c r="O17" s="258">
        <f t="shared" si="4"/>
        <v>14</v>
      </c>
      <c r="P17" s="259">
        <f t="shared" si="0"/>
        <v>1.3988835269946653</v>
      </c>
      <c r="Q17" s="259">
        <f t="shared" si="1"/>
        <v>0.66973664996784998</v>
      </c>
      <c r="R17" s="259">
        <f t="shared" si="2"/>
        <v>3.8074640141355087E-2</v>
      </c>
      <c r="S17" s="259">
        <f t="shared" si="3"/>
        <v>1.4297077716547391</v>
      </c>
      <c r="T17" s="276"/>
    </row>
    <row r="18" spans="1:20" x14ac:dyDescent="0.25">
      <c r="A18" s="278" t="s">
        <v>326</v>
      </c>
      <c r="B18" s="39">
        <f>LikelihoodInputs!B2</f>
        <v>0.27638433345688701</v>
      </c>
      <c r="C18" s="254" t="s">
        <v>361</v>
      </c>
      <c r="D18" s="39">
        <v>0.15</v>
      </c>
      <c r="E18" s="39">
        <v>1</v>
      </c>
      <c r="F18" s="39" t="b">
        <v>1</v>
      </c>
      <c r="G18" s="8"/>
      <c r="H18" s="8" t="s">
        <v>328</v>
      </c>
      <c r="I18" s="263"/>
      <c r="J18" s="263"/>
      <c r="K18" s="263"/>
      <c r="L18" s="263"/>
      <c r="M18" s="263"/>
      <c r="N18" s="263"/>
      <c r="O18" s="258">
        <f t="shared" si="4"/>
        <v>15</v>
      </c>
      <c r="P18" s="259">
        <f t="shared" si="0"/>
        <v>1.4605320163148128</v>
      </c>
      <c r="Q18" s="259">
        <f t="shared" si="1"/>
        <v>0.70781129010920507</v>
      </c>
      <c r="R18" s="259">
        <f t="shared" si="2"/>
        <v>3.4458734495538601E-2</v>
      </c>
      <c r="S18" s="259">
        <f t="shared" si="3"/>
        <v>1.4913562609748865</v>
      </c>
      <c r="T18" s="276"/>
    </row>
    <row r="19" spans="1:20" x14ac:dyDescent="0.25">
      <c r="A19" s="278" t="s">
        <v>327</v>
      </c>
      <c r="B19" s="39">
        <f>LikelihoodInputs!B3</f>
        <v>-0.29819846184811499</v>
      </c>
      <c r="C19" s="254" t="s">
        <v>361</v>
      </c>
      <c r="D19" s="39">
        <v>0</v>
      </c>
      <c r="E19" s="39">
        <v>1</v>
      </c>
      <c r="F19" s="39" t="b">
        <v>1</v>
      </c>
      <c r="G19" s="8"/>
      <c r="H19" s="8" t="s">
        <v>331</v>
      </c>
      <c r="I19" s="263"/>
      <c r="J19" s="263"/>
      <c r="K19" s="263"/>
      <c r="L19" s="263"/>
      <c r="M19" s="263"/>
      <c r="N19" s="263"/>
      <c r="O19" s="258">
        <f t="shared" si="4"/>
        <v>16</v>
      </c>
      <c r="P19" s="259">
        <f t="shared" si="0"/>
        <v>1.5221805056349602</v>
      </c>
      <c r="Q19" s="259">
        <f t="shared" si="1"/>
        <v>0.74227002460474367</v>
      </c>
      <c r="R19" s="259">
        <f t="shared" si="2"/>
        <v>3.0986163693584534E-2</v>
      </c>
      <c r="S19" s="259">
        <f t="shared" si="3"/>
        <v>1.5530047502950337</v>
      </c>
      <c r="T19" s="276"/>
    </row>
    <row r="20" spans="1:20" x14ac:dyDescent="0.25">
      <c r="A20" s="278" t="s">
        <v>332</v>
      </c>
      <c r="B20" s="39">
        <f>LikelihoodInputs!B4</f>
        <v>1.0629361617630799E-2</v>
      </c>
      <c r="C20" s="254" t="s">
        <v>359</v>
      </c>
      <c r="D20" s="39">
        <v>1</v>
      </c>
      <c r="E20" s="39">
        <f>1/0.015</f>
        <v>66.666666666666671</v>
      </c>
      <c r="F20" s="39" t="b">
        <v>1</v>
      </c>
      <c r="G20" s="8"/>
      <c r="H20" s="8" t="s">
        <v>334</v>
      </c>
      <c r="I20" s="263"/>
      <c r="J20" s="263"/>
      <c r="K20" s="263"/>
      <c r="L20" s="263"/>
      <c r="M20" s="263"/>
      <c r="N20" s="263"/>
      <c r="O20" s="258">
        <f t="shared" si="4"/>
        <v>17</v>
      </c>
      <c r="P20" s="259">
        <f t="shared" si="0"/>
        <v>1.5838289949551072</v>
      </c>
      <c r="Q20" s="259">
        <f t="shared" si="1"/>
        <v>0.77325618829832821</v>
      </c>
      <c r="R20" s="259">
        <f t="shared" si="2"/>
        <v>2.7709751892976753E-2</v>
      </c>
      <c r="S20" s="259">
        <f t="shared" si="3"/>
        <v>1.6146532396151811</v>
      </c>
      <c r="T20" s="276"/>
    </row>
    <row r="21" spans="1:20" x14ac:dyDescent="0.25">
      <c r="A21" s="278" t="s">
        <v>333</v>
      </c>
      <c r="B21" s="39">
        <f>LikelihoodInputs!B5</f>
        <v>1.69372458432083E-3</v>
      </c>
      <c r="C21" s="254" t="s">
        <v>359</v>
      </c>
      <c r="D21" s="39">
        <v>1</v>
      </c>
      <c r="E21" s="39">
        <f>1/0.015</f>
        <v>66.666666666666671</v>
      </c>
      <c r="F21" s="39" t="b">
        <v>1</v>
      </c>
      <c r="G21" s="8"/>
      <c r="H21" s="8" t="s">
        <v>335</v>
      </c>
      <c r="I21" s="263"/>
      <c r="J21" s="263"/>
      <c r="K21" s="263"/>
      <c r="L21" s="263"/>
      <c r="M21" s="263"/>
      <c r="N21" s="263"/>
      <c r="O21" s="258">
        <f t="shared" si="4"/>
        <v>18</v>
      </c>
      <c r="P21" s="259">
        <f t="shared" si="0"/>
        <v>1.6454774842752551</v>
      </c>
      <c r="Q21" s="259">
        <f t="shared" si="1"/>
        <v>0.80096594019130496</v>
      </c>
      <c r="R21" s="259">
        <f t="shared" si="2"/>
        <v>2.4662007485654613E-2</v>
      </c>
      <c r="S21" s="259">
        <f t="shared" si="3"/>
        <v>1.6763017289353286</v>
      </c>
      <c r="T21" s="276"/>
    </row>
    <row r="22" spans="1:20" x14ac:dyDescent="0.25">
      <c r="A22" s="275"/>
      <c r="B22" s="254"/>
      <c r="C22" s="254"/>
      <c r="D22" s="254"/>
      <c r="E22" s="254"/>
      <c r="F22" s="254"/>
      <c r="G22" s="8"/>
      <c r="H22" s="8"/>
      <c r="I22" s="263"/>
      <c r="J22" s="263"/>
      <c r="K22" s="263"/>
      <c r="L22" s="263"/>
      <c r="M22" s="263"/>
      <c r="N22" s="263"/>
      <c r="O22" s="258">
        <f t="shared" si="4"/>
        <v>19</v>
      </c>
      <c r="P22" s="259">
        <f t="shared" si="0"/>
        <v>1.7071259735954021</v>
      </c>
      <c r="Q22" s="259">
        <f t="shared" si="1"/>
        <v>0.82562794767695957</v>
      </c>
      <c r="R22" s="259">
        <f t="shared" si="2"/>
        <v>2.1859619476370495E-2</v>
      </c>
      <c r="S22" s="259">
        <f t="shared" si="3"/>
        <v>1.7379502182554758</v>
      </c>
      <c r="T22" s="276"/>
    </row>
    <row r="23" spans="1:20" x14ac:dyDescent="0.25">
      <c r="A23" s="279"/>
      <c r="B23" s="264"/>
      <c r="C23" s="264"/>
      <c r="D23" s="264"/>
      <c r="E23" s="264"/>
      <c r="F23" s="264"/>
      <c r="G23" s="263"/>
      <c r="H23" s="263"/>
      <c r="I23" s="263"/>
      <c r="J23" s="263"/>
      <c r="K23" s="263"/>
      <c r="L23" s="263"/>
      <c r="M23" s="263"/>
      <c r="N23" s="263"/>
      <c r="O23" s="258">
        <f t="shared" si="4"/>
        <v>20</v>
      </c>
      <c r="P23" s="259">
        <f t="shared" si="0"/>
        <v>1.7687744629155495</v>
      </c>
      <c r="Q23" s="259">
        <f t="shared" si="1"/>
        <v>0.84748756715333007</v>
      </c>
      <c r="R23" s="259">
        <f t="shared" si="2"/>
        <v>1.930736816590306E-2</v>
      </c>
      <c r="S23" s="259">
        <f t="shared" si="3"/>
        <v>1.7995987075756232</v>
      </c>
      <c r="T23" s="276"/>
    </row>
    <row r="24" spans="1:20" x14ac:dyDescent="0.25">
      <c r="A24" s="280" t="s">
        <v>397</v>
      </c>
      <c r="B24" s="360" t="s">
        <v>355</v>
      </c>
      <c r="C24" s="294"/>
      <c r="D24" s="264"/>
      <c r="E24" s="264"/>
      <c r="F24" s="264"/>
      <c r="G24" s="263"/>
      <c r="H24" s="263"/>
      <c r="I24" s="263"/>
      <c r="J24" s="263"/>
      <c r="K24" s="263"/>
      <c r="L24" s="263"/>
      <c r="M24" s="263"/>
      <c r="N24" s="263"/>
      <c r="O24" s="258">
        <f t="shared" si="4"/>
        <v>21</v>
      </c>
      <c r="P24" s="259">
        <f t="shared" si="0"/>
        <v>1.830422952235697</v>
      </c>
      <c r="Q24" s="259">
        <f t="shared" si="1"/>
        <v>0.86679493531923313</v>
      </c>
      <c r="R24" s="259">
        <f t="shared" si="2"/>
        <v>1.7001394603355813E-2</v>
      </c>
      <c r="S24" s="259">
        <f t="shared" si="3"/>
        <v>1.8612471968957705</v>
      </c>
      <c r="T24" s="276"/>
    </row>
    <row r="25" spans="1:20" x14ac:dyDescent="0.25">
      <c r="A25" s="279"/>
      <c r="B25" s="264"/>
      <c r="C25" s="264"/>
      <c r="D25" s="264"/>
      <c r="E25" s="264"/>
      <c r="F25" s="264"/>
      <c r="G25" s="263"/>
      <c r="H25" s="263"/>
      <c r="I25" s="263"/>
      <c r="J25" s="263"/>
      <c r="K25" s="263"/>
      <c r="L25" s="263"/>
      <c r="M25" s="263"/>
      <c r="N25" s="263"/>
      <c r="O25" s="258">
        <f t="shared" si="4"/>
        <v>22</v>
      </c>
      <c r="P25" s="259">
        <f t="shared" si="0"/>
        <v>1.8920714415558439</v>
      </c>
      <c r="Q25" s="259">
        <f t="shared" si="1"/>
        <v>0.88379632992258894</v>
      </c>
      <c r="R25" s="259">
        <f t="shared" si="2"/>
        <v>1.4931848067694986E-2</v>
      </c>
      <c r="S25" s="259">
        <f t="shared" si="3"/>
        <v>1.9228956862159179</v>
      </c>
      <c r="T25" s="276"/>
    </row>
    <row r="26" spans="1:20" x14ac:dyDescent="0.25">
      <c r="A26" s="279"/>
      <c r="B26" s="253" t="s">
        <v>398</v>
      </c>
      <c r="C26" s="253" t="s">
        <v>5</v>
      </c>
      <c r="D26" s="264"/>
      <c r="E26" s="264"/>
      <c r="F26" s="264"/>
      <c r="G26" s="263"/>
      <c r="H26" s="263"/>
      <c r="I26" s="263"/>
      <c r="J26" s="263"/>
      <c r="K26" s="263"/>
      <c r="L26" s="263"/>
      <c r="M26" s="263"/>
      <c r="N26" s="263"/>
      <c r="O26" s="258">
        <f t="shared" si="4"/>
        <v>23</v>
      </c>
      <c r="P26" s="259">
        <f t="shared" si="0"/>
        <v>1.9537199308759918</v>
      </c>
      <c r="Q26" s="259">
        <f t="shared" si="1"/>
        <v>0.89872817799028393</v>
      </c>
      <c r="R26" s="259">
        <f t="shared" si="2"/>
        <v>1.3084971113014876E-2</v>
      </c>
      <c r="S26" s="259">
        <f t="shared" si="3"/>
        <v>1.9845441755360653</v>
      </c>
      <c r="T26" s="276"/>
    </row>
    <row r="27" spans="1:20" x14ac:dyDescent="0.25">
      <c r="A27" s="279"/>
      <c r="B27" s="259" t="s">
        <v>358</v>
      </c>
      <c r="C27" s="259" t="str">
        <f>_xlfn.XLOOKUP($B$24,H3:H21,C3:C21)</f>
        <v>Lognormal</v>
      </c>
      <c r="D27" s="264"/>
      <c r="E27" s="264"/>
      <c r="F27" s="264"/>
      <c r="G27" s="263"/>
      <c r="H27" s="263"/>
      <c r="I27" s="263"/>
      <c r="J27" s="263"/>
      <c r="K27" s="263"/>
      <c r="L27" s="263"/>
      <c r="M27" s="263"/>
      <c r="N27" s="263"/>
      <c r="O27" s="258">
        <f t="shared" si="4"/>
        <v>24</v>
      </c>
      <c r="P27" s="259">
        <f t="shared" si="0"/>
        <v>2.0153684201961388</v>
      </c>
      <c r="Q27" s="259">
        <f t="shared" si="1"/>
        <v>0.9118131491032988</v>
      </c>
      <c r="R27" s="259">
        <f t="shared" si="2"/>
        <v>1.1444699383377221E-2</v>
      </c>
      <c r="S27" s="259">
        <f t="shared" si="3"/>
        <v>2.0461926648562123</v>
      </c>
      <c r="T27" s="276"/>
    </row>
    <row r="28" spans="1:20" x14ac:dyDescent="0.25">
      <c r="A28" s="279"/>
      <c r="B28" s="259" t="s">
        <v>387</v>
      </c>
      <c r="C28" s="259">
        <f>_xlfn.XLOOKUP($B$24,H3:H21,D3:D21)</f>
        <v>0.16000000000000003</v>
      </c>
      <c r="D28" s="264"/>
      <c r="E28" s="264"/>
      <c r="F28" s="264"/>
      <c r="G28" s="263"/>
      <c r="H28" s="263"/>
      <c r="I28" s="263"/>
      <c r="J28" s="263"/>
      <c r="K28" s="263"/>
      <c r="L28" s="263"/>
      <c r="M28" s="263"/>
      <c r="N28" s="263"/>
      <c r="O28" s="258">
        <f t="shared" si="4"/>
        <v>25</v>
      </c>
      <c r="P28" s="259">
        <f t="shared" si="0"/>
        <v>2.0770169095162863</v>
      </c>
      <c r="Q28" s="259">
        <f t="shared" si="1"/>
        <v>0.92325784848667602</v>
      </c>
      <c r="R28" s="259">
        <f t="shared" si="2"/>
        <v>9.9938571104047913E-3</v>
      </c>
      <c r="S28" s="259">
        <f t="shared" si="3"/>
        <v>2.1078411541763602</v>
      </c>
      <c r="T28" s="276"/>
    </row>
    <row r="29" spans="1:20" x14ac:dyDescent="0.25">
      <c r="A29" s="279"/>
      <c r="B29" s="259" t="s">
        <v>388</v>
      </c>
      <c r="C29" s="259">
        <f>_xlfn.XLOOKUP($B$24,H3:H21,E3:E21)</f>
        <v>0.4</v>
      </c>
      <c r="D29" s="264"/>
      <c r="E29" s="264"/>
      <c r="F29" s="264"/>
      <c r="G29" s="263"/>
      <c r="H29" s="263"/>
      <c r="I29" s="263"/>
      <c r="J29" s="263"/>
      <c r="K29" s="263"/>
      <c r="L29" s="263"/>
      <c r="M29" s="263"/>
      <c r="N29" s="263"/>
      <c r="O29" s="258">
        <f t="shared" si="4"/>
        <v>26</v>
      </c>
      <c r="P29" s="259">
        <f t="shared" si="0"/>
        <v>2.1386653988364337</v>
      </c>
      <c r="Q29" s="259">
        <f t="shared" si="1"/>
        <v>0.93325170559708082</v>
      </c>
      <c r="R29" s="259">
        <f t="shared" si="2"/>
        <v>8.7150249209695385E-3</v>
      </c>
      <c r="S29" s="259">
        <f t="shared" si="3"/>
        <v>2.1694896434965072</v>
      </c>
      <c r="T29" s="276"/>
    </row>
    <row r="30" spans="1:20" x14ac:dyDescent="0.25">
      <c r="A30" s="279"/>
      <c r="B30" s="259" t="s">
        <v>391</v>
      </c>
      <c r="C30" s="259">
        <f>_xlfn.XLOOKUP($B$24,H3:H21,B3:B21)</f>
        <v>1.21407496765421</v>
      </c>
      <c r="D30" s="264"/>
      <c r="E30" s="264"/>
      <c r="F30" s="264"/>
      <c r="G30" s="263"/>
      <c r="H30" s="263"/>
      <c r="I30" s="263"/>
      <c r="J30" s="263"/>
      <c r="K30" s="263"/>
      <c r="L30" s="263"/>
      <c r="M30" s="263"/>
      <c r="N30" s="263"/>
      <c r="O30" s="258">
        <f t="shared" si="4"/>
        <v>27</v>
      </c>
      <c r="P30" s="259">
        <f t="shared" si="0"/>
        <v>2.2003138881565807</v>
      </c>
      <c r="Q30" s="259">
        <f t="shared" si="1"/>
        <v>0.94196673051805035</v>
      </c>
      <c r="R30" s="259">
        <f t="shared" si="2"/>
        <v>7.5911482509571915E-3</v>
      </c>
      <c r="S30" s="259">
        <f t="shared" si="3"/>
        <v>2.2311381328166542</v>
      </c>
      <c r="T30" s="276"/>
    </row>
    <row r="31" spans="1:20" x14ac:dyDescent="0.25">
      <c r="A31" s="279"/>
      <c r="B31" s="259" t="s">
        <v>235</v>
      </c>
      <c r="C31" s="259">
        <f>IF(C27="Beta",C28/(C28+C29),IF(C27="Lognormal",EXP(C28+0.5*C29*C29),IF(C27="Gamma",C28/C29,IF(C27="Normal",C28,"Panic"))))</f>
        <v>1.2712491503214047</v>
      </c>
      <c r="D31" s="264"/>
      <c r="E31" s="264"/>
      <c r="F31" s="264"/>
      <c r="G31" s="263"/>
      <c r="H31" s="263"/>
      <c r="I31" s="263"/>
      <c r="J31" s="263"/>
      <c r="K31" s="263"/>
      <c r="L31" s="263"/>
      <c r="M31" s="263"/>
      <c r="N31" s="263"/>
      <c r="O31" s="258">
        <f t="shared" si="4"/>
        <v>28</v>
      </c>
      <c r="P31" s="259">
        <f t="shared" si="0"/>
        <v>2.2619623774767281</v>
      </c>
      <c r="Q31" s="259">
        <f t="shared" si="1"/>
        <v>0.94955787876900755</v>
      </c>
      <c r="R31" s="259">
        <f t="shared" si="2"/>
        <v>6.6059447738009425E-3</v>
      </c>
      <c r="S31" s="259">
        <f t="shared" si="3"/>
        <v>2.2927866221368021</v>
      </c>
      <c r="T31" s="276"/>
    </row>
    <row r="32" spans="1:20" x14ac:dyDescent="0.25">
      <c r="A32" s="279"/>
      <c r="B32" s="259" t="s">
        <v>399</v>
      </c>
      <c r="C32" s="259">
        <f>IF(C27="Beta",(C28-1)/(C28+C29-2),IF(C27="Lognormal",EXP(C28-C29*C29),IF(C27="Gamma",(C28-1)/C29,IF(C27="Normal",C28,"Panic"))))</f>
        <v>1</v>
      </c>
      <c r="D32" s="264"/>
      <c r="E32" s="264"/>
      <c r="F32" s="264"/>
      <c r="G32" s="263"/>
      <c r="H32" s="263"/>
      <c r="I32" s="263"/>
      <c r="J32" s="263"/>
      <c r="K32" s="263"/>
      <c r="L32" s="263"/>
      <c r="M32" s="263"/>
      <c r="N32" s="263"/>
      <c r="O32" s="258">
        <f t="shared" si="4"/>
        <v>29</v>
      </c>
      <c r="P32" s="259">
        <f t="shared" si="0"/>
        <v>2.3236108667968756</v>
      </c>
      <c r="Q32" s="259">
        <f t="shared" si="1"/>
        <v>0.95616382354280849</v>
      </c>
      <c r="R32" s="259">
        <f t="shared" si="2"/>
        <v>5.7441592905145278E-3</v>
      </c>
      <c r="S32" s="259">
        <f t="shared" si="3"/>
        <v>2.3544351114569491</v>
      </c>
      <c r="T32" s="276"/>
    </row>
    <row r="33" spans="1:20" x14ac:dyDescent="0.25">
      <c r="A33" s="279"/>
      <c r="B33" s="259" t="s">
        <v>288</v>
      </c>
      <c r="C33" s="259">
        <f>IF(C27="Beta",_xlfn.BETA.INV(0.5,C28,C29),IF(C27="Lognormal",_xlfn.LOGNORM.INV(0.5,C28,C29),IF(C27="Gamma",_xlfn.GAMMA.INV(0.5,C28,1/C29),IF(C27="Normal",_xlfn.NORM.INV(0.5,C28,C29),"Panic"))))</f>
        <v>1.1735108709918103</v>
      </c>
      <c r="D33" s="264"/>
      <c r="E33" s="264"/>
      <c r="F33" s="264"/>
      <c r="G33" s="263"/>
      <c r="H33" s="263"/>
      <c r="I33" s="263"/>
      <c r="J33" s="263"/>
      <c r="K33" s="263"/>
      <c r="L33" s="263"/>
      <c r="M33" s="263"/>
      <c r="N33" s="263"/>
      <c r="O33" s="258">
        <f t="shared" si="4"/>
        <v>30</v>
      </c>
      <c r="P33" s="259">
        <f t="shared" si="0"/>
        <v>2.385259356117023</v>
      </c>
      <c r="Q33" s="259">
        <f t="shared" si="1"/>
        <v>0.96190798283332302</v>
      </c>
      <c r="R33" s="259">
        <f t="shared" si="2"/>
        <v>4.9917053012573653E-3</v>
      </c>
      <c r="S33" s="259">
        <f t="shared" si="3"/>
        <v>2.4160836007770969</v>
      </c>
      <c r="T33" s="276"/>
    </row>
    <row r="34" spans="1:20" x14ac:dyDescent="0.25">
      <c r="A34" s="279"/>
      <c r="B34" s="259" t="s">
        <v>390</v>
      </c>
      <c r="C34" s="259">
        <f>IF(C27="Beta",_xlfn.BETA.INV(0.025,C28,C29),IF(C27="Lognormal",_xlfn.LOGNORM.INV(0.025,C28,C29),IF(C27="Gamma",_xlfn.GAMMA.INV(0.025,C28,1/C29),IF(C27="Normal",_xlfn.NORM.INV(0.025,C28,C29),"Panic"))))</f>
        <v>0.53580467651260266</v>
      </c>
      <c r="D34" s="264"/>
      <c r="E34" s="264"/>
      <c r="F34" s="264"/>
      <c r="G34" s="263"/>
      <c r="H34" s="263"/>
      <c r="I34" s="263"/>
      <c r="J34" s="263"/>
      <c r="K34" s="263"/>
      <c r="L34" s="263"/>
      <c r="M34" s="263"/>
      <c r="N34" s="263"/>
      <c r="O34" s="258">
        <f t="shared" si="4"/>
        <v>31</v>
      </c>
      <c r="P34" s="259">
        <f t="shared" si="0"/>
        <v>2.4469078454371704</v>
      </c>
      <c r="Q34" s="259">
        <f t="shared" si="1"/>
        <v>0.96689968813458038</v>
      </c>
      <c r="R34" s="259">
        <f t="shared" si="2"/>
        <v>4.3357243676124257E-3</v>
      </c>
      <c r="S34" s="259">
        <f t="shared" ref="S34" si="5">0.5*SUM(P34:P35)</f>
        <v>2.4777320900972439</v>
      </c>
      <c r="T34" s="276"/>
    </row>
    <row r="35" spans="1:20" x14ac:dyDescent="0.25">
      <c r="A35" s="279"/>
      <c r="B35" s="259" t="s">
        <v>389</v>
      </c>
      <c r="C35" s="259">
        <f>IF(C27="Beta",_xlfn.BETA.INV(0.975,C28,C29),IF(C27="Lognormal",_xlfn.LOGNORM.INV(0.975,C28,C29),IF(C27="Gamma",_xlfn.GAMMA.INV(0.975,C28,1/C29),IF(C27="Normal",_xlfn.NORM.INV(0.975,C28,C29),"Panic"))))</f>
        <v>2.5702048240774649</v>
      </c>
      <c r="D35" s="264"/>
      <c r="E35" s="264"/>
      <c r="F35" s="264"/>
      <c r="G35" s="263"/>
      <c r="H35" s="263"/>
      <c r="I35" s="263"/>
      <c r="J35" s="263"/>
      <c r="K35" s="263"/>
      <c r="L35" s="263"/>
      <c r="M35" s="263"/>
      <c r="N35" s="263"/>
      <c r="O35" s="258">
        <f t="shared" ref="O35:O36" si="6">O34+1</f>
        <v>32</v>
      </c>
      <c r="P35" s="259">
        <f t="shared" si="0"/>
        <v>2.5085563347573174</v>
      </c>
      <c r="Q35" s="259">
        <f t="shared" si="1"/>
        <v>0.97123541250219281</v>
      </c>
      <c r="R35" s="259">
        <f t="shared" si="2"/>
        <v>3.7645874978071703E-3</v>
      </c>
      <c r="S35" s="259">
        <f t="shared" ref="S35" si="7">0.5*SUM(P35:P36)</f>
        <v>2.5393805794173909</v>
      </c>
      <c r="T35" s="276"/>
    </row>
    <row r="36" spans="1:20" x14ac:dyDescent="0.25">
      <c r="A36" s="279"/>
      <c r="B36" s="264"/>
      <c r="C36" s="264"/>
      <c r="D36" s="264"/>
      <c r="E36" s="264"/>
      <c r="F36" s="264"/>
      <c r="G36" s="263"/>
      <c r="H36" s="263"/>
      <c r="I36" s="263"/>
      <c r="J36" s="263"/>
      <c r="K36" s="263"/>
      <c r="L36" s="263"/>
      <c r="M36" s="263"/>
      <c r="N36" s="263"/>
      <c r="O36" s="258">
        <f t="shared" si="6"/>
        <v>33</v>
      </c>
      <c r="P36" s="259">
        <f t="shared" si="0"/>
        <v>2.5702048240774649</v>
      </c>
      <c r="Q36" s="259">
        <f t="shared" si="1"/>
        <v>0.97499999999999998</v>
      </c>
      <c r="R36" s="259"/>
      <c r="S36" s="260"/>
      <c r="T36" s="276"/>
    </row>
    <row r="37" spans="1:20" x14ac:dyDescent="0.25">
      <c r="A37" s="279"/>
      <c r="B37" s="264"/>
      <c r="C37" s="264"/>
      <c r="D37" s="264"/>
      <c r="E37" s="264"/>
      <c r="F37" s="264"/>
      <c r="G37" s="263"/>
      <c r="H37" s="263"/>
      <c r="I37" s="263"/>
      <c r="J37" s="263"/>
      <c r="K37" s="263"/>
      <c r="L37" s="263"/>
      <c r="M37" s="263"/>
      <c r="N37" s="263"/>
      <c r="O37" s="263"/>
      <c r="P37" s="263"/>
      <c r="Q37" s="263"/>
      <c r="R37" s="263"/>
      <c r="S37" s="263"/>
      <c r="T37" s="276"/>
    </row>
    <row r="38" spans="1:20" x14ac:dyDescent="0.25">
      <c r="A38" s="279"/>
      <c r="B38" s="264"/>
      <c r="C38" s="264"/>
      <c r="D38" s="264"/>
      <c r="E38" s="264"/>
      <c r="F38" s="264"/>
      <c r="G38" s="263"/>
      <c r="H38" s="263"/>
      <c r="I38" s="263"/>
      <c r="J38" s="263"/>
      <c r="K38" s="263"/>
      <c r="L38" s="263"/>
      <c r="M38" s="263"/>
      <c r="N38" s="263"/>
      <c r="O38" s="263"/>
      <c r="P38" s="263"/>
      <c r="Q38" s="263"/>
      <c r="R38" s="263"/>
      <c r="S38" s="263"/>
      <c r="T38" s="276"/>
    </row>
    <row r="39" spans="1:20" x14ac:dyDescent="0.25">
      <c r="A39" s="279"/>
      <c r="B39" s="264"/>
      <c r="C39" s="264"/>
      <c r="D39" s="264"/>
      <c r="E39" s="264"/>
      <c r="F39" s="264"/>
      <c r="G39" s="263"/>
      <c r="H39" s="263"/>
      <c r="I39" s="263"/>
      <c r="J39" s="263"/>
      <c r="K39" s="263"/>
      <c r="L39" s="263"/>
      <c r="M39" s="263"/>
      <c r="N39" s="263"/>
      <c r="O39" s="263"/>
      <c r="P39" s="263"/>
      <c r="Q39" s="263"/>
      <c r="R39" s="263"/>
      <c r="S39" s="263"/>
      <c r="T39" s="276"/>
    </row>
    <row r="40" spans="1:20" x14ac:dyDescent="0.25">
      <c r="A40" s="279"/>
      <c r="B40" s="264"/>
      <c r="C40" s="264"/>
      <c r="D40" s="264"/>
      <c r="E40" s="264"/>
      <c r="F40" s="264"/>
      <c r="G40" s="263"/>
      <c r="H40" s="263"/>
      <c r="I40" s="263"/>
      <c r="J40" s="263"/>
      <c r="K40" s="263"/>
      <c r="L40" s="263"/>
      <c r="M40" s="263"/>
      <c r="N40" s="263"/>
      <c r="O40" s="263"/>
      <c r="P40" s="263"/>
      <c r="Q40" s="263"/>
      <c r="R40" s="263"/>
      <c r="S40" s="263"/>
      <c r="T40" s="276"/>
    </row>
    <row r="41" spans="1:20" x14ac:dyDescent="0.25">
      <c r="A41" s="279"/>
      <c r="B41" s="264"/>
      <c r="C41" s="264"/>
      <c r="D41" s="264"/>
      <c r="E41" s="264"/>
      <c r="F41" s="264"/>
      <c r="G41" s="263"/>
      <c r="H41" s="263"/>
      <c r="I41" s="263"/>
      <c r="J41" s="263"/>
      <c r="K41" s="263"/>
      <c r="L41" s="263"/>
      <c r="M41" s="263"/>
      <c r="N41" s="263"/>
      <c r="O41" s="263"/>
      <c r="P41" s="263"/>
      <c r="Q41" s="263"/>
      <c r="R41" s="263"/>
      <c r="S41" s="263"/>
      <c r="T41" s="276"/>
    </row>
    <row r="42" spans="1:20" x14ac:dyDescent="0.25">
      <c r="A42" s="279"/>
      <c r="B42" s="264"/>
      <c r="C42" s="264"/>
      <c r="D42" s="264"/>
      <c r="E42" s="264"/>
      <c r="F42" s="264"/>
      <c r="G42" s="263"/>
      <c r="H42" s="263"/>
      <c r="I42" s="263"/>
      <c r="J42" s="263"/>
      <c r="K42" s="263"/>
      <c r="L42" s="263"/>
      <c r="M42" s="263"/>
      <c r="N42" s="263"/>
      <c r="O42" s="263"/>
      <c r="P42" s="263"/>
      <c r="Q42" s="263"/>
      <c r="R42" s="263"/>
      <c r="S42" s="263"/>
      <c r="T42" s="276"/>
    </row>
    <row r="43" spans="1:20" x14ac:dyDescent="0.25">
      <c r="A43" s="279"/>
      <c r="B43" s="264"/>
      <c r="C43" s="264"/>
      <c r="D43" s="264"/>
      <c r="E43" s="265" t="str">
        <f>_xlfn.XLOOKUP($B$24,H3:H21,A3:A21)</f>
        <v>HIV fertility reduction local adjustment factor</v>
      </c>
      <c r="F43" s="264"/>
      <c r="G43" s="263"/>
      <c r="H43" s="263"/>
      <c r="I43" s="263"/>
      <c r="J43" s="263"/>
      <c r="K43" s="263"/>
      <c r="L43" s="263"/>
      <c r="M43" s="263"/>
      <c r="N43" s="263"/>
      <c r="O43" s="263"/>
      <c r="P43" s="263"/>
      <c r="Q43" s="263"/>
      <c r="R43" s="263"/>
      <c r="S43" s="263"/>
      <c r="T43" s="276"/>
    </row>
    <row r="44" spans="1:20" x14ac:dyDescent="0.25">
      <c r="A44" s="281"/>
      <c r="B44" s="282"/>
      <c r="C44" s="282"/>
      <c r="D44" s="282"/>
      <c r="E44" s="282"/>
      <c r="F44" s="282"/>
      <c r="G44" s="283"/>
      <c r="H44" s="283"/>
      <c r="I44" s="283"/>
      <c r="J44" s="283"/>
      <c r="K44" s="283"/>
      <c r="L44" s="283"/>
      <c r="M44" s="283"/>
      <c r="N44" s="283"/>
      <c r="O44" s="283"/>
      <c r="P44" s="283"/>
      <c r="Q44" s="283"/>
      <c r="R44" s="283"/>
      <c r="S44" s="283"/>
      <c r="T44" s="284"/>
    </row>
    <row r="46" spans="1:20" x14ac:dyDescent="0.25">
      <c r="A46" s="43" t="s">
        <v>419</v>
      </c>
    </row>
    <row r="47" spans="1:20" x14ac:dyDescent="0.25">
      <c r="A47" t="s">
        <v>420</v>
      </c>
      <c r="H47">
        <f>_xlfn.GAMMA.INV(0.025, D21,E21)</f>
        <v>1.6878538656193252</v>
      </c>
    </row>
    <row r="48" spans="1:20" x14ac:dyDescent="0.25">
      <c r="A48" t="s">
        <v>421</v>
      </c>
    </row>
    <row r="49" spans="1:3" x14ac:dyDescent="0.25">
      <c r="A49" t="s">
        <v>422</v>
      </c>
    </row>
    <row r="50" spans="1:3" x14ac:dyDescent="0.25">
      <c r="A50" t="s">
        <v>423</v>
      </c>
    </row>
    <row r="51" spans="1:3" x14ac:dyDescent="0.25">
      <c r="A51" t="s">
        <v>424</v>
      </c>
    </row>
    <row r="53" spans="1:3" x14ac:dyDescent="0.25">
      <c r="A53" s="43" t="s">
        <v>374</v>
      </c>
    </row>
    <row r="54" spans="1:3" x14ac:dyDescent="0.25">
      <c r="A54" t="s">
        <v>232</v>
      </c>
      <c r="B54" s="150" t="s">
        <v>384</v>
      </c>
      <c r="C54" s="150" t="s">
        <v>385</v>
      </c>
    </row>
    <row r="55" spans="1:3" x14ac:dyDescent="0.25">
      <c r="A55" t="s">
        <v>181</v>
      </c>
      <c r="B55" s="150" t="s">
        <v>375</v>
      </c>
      <c r="C55" s="150" t="s">
        <v>376</v>
      </c>
    </row>
    <row r="56" spans="1:3" x14ac:dyDescent="0.25">
      <c r="A56" t="s">
        <v>355</v>
      </c>
      <c r="C56" s="150" t="s">
        <v>377</v>
      </c>
    </row>
    <row r="57" spans="1:3" x14ac:dyDescent="0.25">
      <c r="A57" t="s">
        <v>352</v>
      </c>
      <c r="C57" s="262" t="s">
        <v>378</v>
      </c>
    </row>
    <row r="58" spans="1:3" x14ac:dyDescent="0.25">
      <c r="A58" t="s">
        <v>353</v>
      </c>
      <c r="C58" s="262" t="s">
        <v>378</v>
      </c>
    </row>
    <row r="59" spans="1:3" x14ac:dyDescent="0.25">
      <c r="A59" t="s">
        <v>401</v>
      </c>
      <c r="C59" s="150" t="s">
        <v>404</v>
      </c>
    </row>
    <row r="60" spans="1:3" x14ac:dyDescent="0.25">
      <c r="A60" t="s">
        <v>402</v>
      </c>
      <c r="C60" s="150" t="s">
        <v>404</v>
      </c>
    </row>
    <row r="61" spans="1:3" x14ac:dyDescent="0.25">
      <c r="A61" t="s">
        <v>403</v>
      </c>
      <c r="C61" s="150" t="s">
        <v>404</v>
      </c>
    </row>
    <row r="62" spans="1:3" x14ac:dyDescent="0.25">
      <c r="A62" t="s">
        <v>405</v>
      </c>
      <c r="C62" s="150" t="s">
        <v>404</v>
      </c>
    </row>
    <row r="63" spans="1:3" x14ac:dyDescent="0.25">
      <c r="A63" t="s">
        <v>415</v>
      </c>
      <c r="C63" s="262" t="s">
        <v>417</v>
      </c>
    </row>
    <row r="64" spans="1:3" x14ac:dyDescent="0.25">
      <c r="A64" t="s">
        <v>416</v>
      </c>
      <c r="C64" s="262" t="s">
        <v>418</v>
      </c>
    </row>
    <row r="65" spans="1:2" x14ac:dyDescent="0.25">
      <c r="A65" t="s">
        <v>328</v>
      </c>
      <c r="B65" s="150" t="s">
        <v>379</v>
      </c>
    </row>
    <row r="66" spans="1:2" x14ac:dyDescent="0.25">
      <c r="A66" t="s">
        <v>331</v>
      </c>
      <c r="B66" s="150" t="s">
        <v>379</v>
      </c>
    </row>
    <row r="67" spans="1:2" x14ac:dyDescent="0.25">
      <c r="A67" t="s">
        <v>334</v>
      </c>
      <c r="B67" s="150" t="s">
        <v>380</v>
      </c>
    </row>
    <row r="68" spans="1:2" x14ac:dyDescent="0.25">
      <c r="A68" t="s">
        <v>335</v>
      </c>
      <c r="B68" s="150" t="s">
        <v>380</v>
      </c>
    </row>
  </sheetData>
  <mergeCells count="5">
    <mergeCell ref="G8:G9"/>
    <mergeCell ref="O1:S1"/>
    <mergeCell ref="G10:G11"/>
    <mergeCell ref="B24:C24"/>
    <mergeCell ref="G14:G15"/>
  </mergeCells>
  <conditionalFormatting sqref="F2:F22">
    <cfRule type="cellIs" dxfId="0" priority="1" operator="equal">
      <formula>TRUE</formula>
    </cfRule>
  </conditionalFormatting>
  <dataValidations count="1">
    <dataValidation type="list" allowBlank="1" showInputMessage="1" showErrorMessage="1" sqref="B24" xr:uid="{083C4D6C-AE81-4D46-84F0-7BA0ED9C6656}">
      <formula1>$H$3:$H$21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C18:C21 C3:C5 C8:C15</xm:sqref>
        </x14:dataValidation>
        <x14:dataValidation type="list" allowBlank="1" showInputMessage="1" showErrorMessage="1" xr:uid="{6CB8173A-A059-4CC0-AD4C-FA5C6ACF6FD6}">
          <x14:formula1>
            <xm:f>SheetData!$B$3:$C$3</xm:f>
          </x14:formula1>
          <xm:sqref>F3:F5 F18:F21 F8:F15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F22" sqref="F22"/>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358</v>
      </c>
      <c r="B4" s="8" t="s">
        <v>360</v>
      </c>
      <c r="C4" s="8" t="s">
        <v>359</v>
      </c>
      <c r="D4" s="8" t="s">
        <v>361</v>
      </c>
      <c r="E4" s="8" t="s">
        <v>372</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S37" sqref="S37"/>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5">10*(1-EXP(-C62*0.1))</f>
        <v>0.18177754753725739</v>
      </c>
      <c r="D16" s="147">
        <f t="shared" si="5"/>
        <v>0.22282005783594405</v>
      </c>
      <c r="E16" s="147">
        <f t="shared" si="5"/>
        <v>0.28234734416597407</v>
      </c>
      <c r="F16" s="147">
        <f t="shared" si="5"/>
        <v>0.15191428153302433</v>
      </c>
      <c r="G16" s="147">
        <f t="shared" si="5"/>
        <v>0.18177754753725739</v>
      </c>
      <c r="H16" s="147">
        <f t="shared" si="5"/>
        <v>0.22282005783594405</v>
      </c>
      <c r="I16" s="147">
        <f t="shared" si="5"/>
        <v>0.28234734416597407</v>
      </c>
      <c r="K16" t="s">
        <v>252</v>
      </c>
      <c r="L16" s="147">
        <f>B16</f>
        <v>0.15191428153302433</v>
      </c>
      <c r="M16" s="147">
        <f t="shared" ref="M16:S17" si="6">C16</f>
        <v>0.18177754753725739</v>
      </c>
      <c r="N16" s="147">
        <f t="shared" si="6"/>
        <v>0.22282005783594405</v>
      </c>
      <c r="O16" s="147">
        <f t="shared" si="6"/>
        <v>0.28234734416597407</v>
      </c>
      <c r="P16" s="147">
        <f t="shared" si="6"/>
        <v>0.15191428153302433</v>
      </c>
      <c r="Q16" s="147">
        <f t="shared" si="6"/>
        <v>0.18177754753725739</v>
      </c>
      <c r="R16" s="147">
        <f t="shared" si="6"/>
        <v>0.22282005783594405</v>
      </c>
      <c r="S16" s="147">
        <f t="shared" si="6"/>
        <v>0.28234734416597407</v>
      </c>
      <c r="U16" t="s">
        <v>95</v>
      </c>
      <c r="V16" s="147">
        <v>4</v>
      </c>
      <c r="W16" s="147">
        <v>4</v>
      </c>
      <c r="X16" s="147">
        <v>4</v>
      </c>
      <c r="Y16" s="147">
        <v>4</v>
      </c>
      <c r="Z16" s="147">
        <v>4</v>
      </c>
      <c r="AA16" s="147">
        <v>4</v>
      </c>
      <c r="AB16" s="147">
        <v>4</v>
      </c>
      <c r="AC16" s="147">
        <v>4</v>
      </c>
    </row>
    <row r="17" spans="1:29" x14ac:dyDescent="0.25">
      <c r="A17" t="s">
        <v>253</v>
      </c>
      <c r="B17" s="147">
        <f t="shared" ref="B17:I17" si="7">10*(1-EXP(-B63*0.1))</f>
        <v>0.24828572146566197</v>
      </c>
      <c r="C17" s="147">
        <f t="shared" si="7"/>
        <v>0.28192947611767383</v>
      </c>
      <c r="D17" s="147">
        <f t="shared" si="7"/>
        <v>0.32785511543484858</v>
      </c>
      <c r="E17" s="147">
        <f t="shared" si="7"/>
        <v>0.39412305445974516</v>
      </c>
      <c r="F17" s="147">
        <f t="shared" si="7"/>
        <v>0.24828572146566197</v>
      </c>
      <c r="G17" s="147">
        <f t="shared" si="7"/>
        <v>0.28192947611767383</v>
      </c>
      <c r="H17" s="147">
        <f t="shared" si="7"/>
        <v>0.32785511543484858</v>
      </c>
      <c r="I17" s="147">
        <f t="shared" si="7"/>
        <v>0.39412305445974516</v>
      </c>
      <c r="K17" t="s">
        <v>100</v>
      </c>
      <c r="L17" s="147">
        <f>B17</f>
        <v>0.24828572146566197</v>
      </c>
      <c r="M17" s="147">
        <f t="shared" si="6"/>
        <v>0.28192947611767383</v>
      </c>
      <c r="N17" s="147">
        <f t="shared" si="6"/>
        <v>0.32785511543484858</v>
      </c>
      <c r="O17" s="147">
        <f t="shared" si="6"/>
        <v>0.39412305445974516</v>
      </c>
      <c r="P17" s="147">
        <f t="shared" si="6"/>
        <v>0.24828572146566197</v>
      </c>
      <c r="Q17" s="147">
        <f t="shared" si="6"/>
        <v>0.28192947611767383</v>
      </c>
      <c r="R17" s="147">
        <f t="shared" si="6"/>
        <v>0.32785511543484858</v>
      </c>
      <c r="S17" s="147">
        <f t="shared" si="6"/>
        <v>0.39412305445974516</v>
      </c>
      <c r="U17" t="s">
        <v>252</v>
      </c>
      <c r="V17" s="147">
        <f>V$62*L16</f>
        <v>0.15427726221266302</v>
      </c>
      <c r="W17" s="147">
        <f t="shared" ref="W17:AC21" si="8">W$62*M16</f>
        <v>0.18518197326506441</v>
      </c>
      <c r="X17" s="147">
        <f t="shared" si="8"/>
        <v>0.22791543869493422</v>
      </c>
      <c r="Y17" s="147">
        <f t="shared" si="8"/>
        <v>0.29043604752002056</v>
      </c>
      <c r="Z17" s="147">
        <f t="shared" si="8"/>
        <v>0.15427726221266302</v>
      </c>
      <c r="AA17" s="147">
        <f t="shared" si="8"/>
        <v>0.18518197326506441</v>
      </c>
      <c r="AB17" s="147">
        <f t="shared" si="8"/>
        <v>0.22791543869493422</v>
      </c>
      <c r="AC17" s="147">
        <f t="shared" si="8"/>
        <v>0.29043604752002056</v>
      </c>
    </row>
    <row r="18" spans="1:29" x14ac:dyDescent="0.25">
      <c r="A18" t="s">
        <v>254</v>
      </c>
      <c r="B18" s="147">
        <f t="shared" ref="B18:I18" si="9">10*(1-EXP(-B64*0.1))</f>
        <v>0.34167639804744687</v>
      </c>
      <c r="C18" s="147">
        <f t="shared" si="9"/>
        <v>0.38772340956881757</v>
      </c>
      <c r="D18" s="147">
        <f t="shared" si="9"/>
        <v>0.45047807534488116</v>
      </c>
      <c r="E18" s="147">
        <f t="shared" si="9"/>
        <v>0.54083518718984203</v>
      </c>
      <c r="F18" s="147">
        <f t="shared" si="9"/>
        <v>0.34167639804744687</v>
      </c>
      <c r="G18" s="147">
        <f t="shared" si="9"/>
        <v>0.38772340956881757</v>
      </c>
      <c r="H18" s="147">
        <f t="shared" si="9"/>
        <v>0.45047807534488116</v>
      </c>
      <c r="I18" s="147">
        <f t="shared" si="9"/>
        <v>0.54083518718984203</v>
      </c>
      <c r="K18" t="s">
        <v>99</v>
      </c>
      <c r="L18" s="147">
        <f>L73/L68</f>
        <v>0.22542544086766569</v>
      </c>
      <c r="M18" s="147">
        <f t="shared" ref="M18:S18" si="10">M73/M68</f>
        <v>0.25612483934863767</v>
      </c>
      <c r="N18" s="147">
        <f t="shared" si="10"/>
        <v>0.29819597239029144</v>
      </c>
      <c r="O18" s="147">
        <f t="shared" si="10"/>
        <v>0.35909588567744799</v>
      </c>
      <c r="P18" s="147">
        <f t="shared" si="10"/>
        <v>0.22542544086766569</v>
      </c>
      <c r="Q18" s="147">
        <f t="shared" si="10"/>
        <v>0.25612483934863767</v>
      </c>
      <c r="R18" s="147">
        <f t="shared" si="10"/>
        <v>0.29819597239029144</v>
      </c>
      <c r="S18" s="147">
        <f t="shared" si="10"/>
        <v>0.35909588567744799</v>
      </c>
      <c r="U18" t="s">
        <v>100</v>
      </c>
      <c r="V18" s="147">
        <f>V$62*L17</f>
        <v>0.2521477307312357</v>
      </c>
      <c r="W18" s="147">
        <f t="shared" si="8"/>
        <v>0.2872095999554401</v>
      </c>
      <c r="X18" s="147">
        <f t="shared" si="8"/>
        <v>0.33535240583111409</v>
      </c>
      <c r="Y18" s="147">
        <f t="shared" si="8"/>
        <v>0.4054139149490919</v>
      </c>
      <c r="Z18" s="147">
        <f t="shared" si="8"/>
        <v>0.2521477307312357</v>
      </c>
      <c r="AA18" s="147">
        <f t="shared" si="8"/>
        <v>0.2872095999554401</v>
      </c>
      <c r="AB18" s="147">
        <f t="shared" si="8"/>
        <v>0.33535240583111409</v>
      </c>
      <c r="AC18" s="147">
        <f t="shared" si="8"/>
        <v>0.4054139149490919</v>
      </c>
    </row>
    <row r="19" spans="1:29" x14ac:dyDescent="0.25">
      <c r="A19" t="s">
        <v>255</v>
      </c>
      <c r="B19" s="147">
        <f t="shared" ref="B19:I19" si="11">10*(1-EXP(-B65*0.1))</f>
        <v>0.62979388824450644</v>
      </c>
      <c r="C19" s="147">
        <f t="shared" si="11"/>
        <v>0.71319948075856954</v>
      </c>
      <c r="D19" s="147">
        <f t="shared" si="11"/>
        <v>0.82633303933666302</v>
      </c>
      <c r="E19" s="147">
        <f t="shared" si="11"/>
        <v>0.98808948489420789</v>
      </c>
      <c r="F19" s="147">
        <f t="shared" si="11"/>
        <v>0.62979388824450644</v>
      </c>
      <c r="G19" s="147">
        <f t="shared" si="11"/>
        <v>0.71319948075856954</v>
      </c>
      <c r="H19" s="147">
        <f t="shared" si="11"/>
        <v>0.82633303933666302</v>
      </c>
      <c r="I19" s="147">
        <f t="shared" si="11"/>
        <v>0.98808948489420789</v>
      </c>
      <c r="K19" t="s">
        <v>98</v>
      </c>
      <c r="L19" s="147">
        <f>B20</f>
        <v>0.29004067810700751</v>
      </c>
      <c r="M19" s="147">
        <f t="shared" ref="M19:S20" si="12">C20</f>
        <v>0.3292478040222413</v>
      </c>
      <c r="N19" s="147">
        <f t="shared" si="12"/>
        <v>0.38272372593670778</v>
      </c>
      <c r="O19" s="147">
        <f t="shared" si="12"/>
        <v>0.45983202264823664</v>
      </c>
      <c r="P19" s="147">
        <f t="shared" si="12"/>
        <v>0.29004067810700751</v>
      </c>
      <c r="Q19" s="147">
        <f t="shared" si="12"/>
        <v>0.3292478040222413</v>
      </c>
      <c r="R19" s="147">
        <f t="shared" si="12"/>
        <v>0.38272372593670778</v>
      </c>
      <c r="S19" s="147">
        <f t="shared" si="12"/>
        <v>0.45983202264823664</v>
      </c>
      <c r="U19" t="s">
        <v>99</v>
      </c>
      <c r="V19" s="147">
        <f>V$62*L18</f>
        <v>0.22893186538611052</v>
      </c>
      <c r="W19" s="147">
        <f t="shared" si="8"/>
        <v>0.26092168034700258</v>
      </c>
      <c r="X19" s="147">
        <f t="shared" si="8"/>
        <v>0.30501502658452456</v>
      </c>
      <c r="Y19" s="147">
        <f t="shared" si="8"/>
        <v>0.36938328577141177</v>
      </c>
      <c r="Z19" s="147">
        <f t="shared" si="8"/>
        <v>0.22893186538611052</v>
      </c>
      <c r="AA19" s="147">
        <f t="shared" si="8"/>
        <v>0.26092168034700258</v>
      </c>
      <c r="AB19" s="147">
        <f t="shared" si="8"/>
        <v>0.30501502658452456</v>
      </c>
      <c r="AC19" s="147">
        <f t="shared" si="8"/>
        <v>0.36938328577141177</v>
      </c>
    </row>
    <row r="20" spans="1:29" x14ac:dyDescent="0.25">
      <c r="A20" t="s">
        <v>256</v>
      </c>
      <c r="B20" s="147">
        <f t="shared" ref="B20:I20" si="13">10*(1-EXP(-B66*0.1))</f>
        <v>0.29004067810700751</v>
      </c>
      <c r="C20" s="147">
        <f t="shared" si="13"/>
        <v>0.3292478040222413</v>
      </c>
      <c r="D20" s="147">
        <f t="shared" si="13"/>
        <v>0.38272372593670778</v>
      </c>
      <c r="E20" s="147">
        <f t="shared" si="13"/>
        <v>0.45983202264823664</v>
      </c>
      <c r="F20" s="147">
        <f t="shared" si="13"/>
        <v>0.29004067810700751</v>
      </c>
      <c r="G20" s="147">
        <f t="shared" si="13"/>
        <v>0.3292478040222413</v>
      </c>
      <c r="H20" s="147">
        <f t="shared" si="13"/>
        <v>0.38272372593670778</v>
      </c>
      <c r="I20" s="147">
        <f t="shared" si="13"/>
        <v>0.45983202264823664</v>
      </c>
      <c r="K20" t="s">
        <v>97</v>
      </c>
      <c r="L20" s="147">
        <f>B21</f>
        <v>0.48816233415863275</v>
      </c>
      <c r="M20" s="147">
        <f t="shared" si="12"/>
        <v>0.55336972749480795</v>
      </c>
      <c r="N20" s="147">
        <f t="shared" si="12"/>
        <v>0.64203274779560227</v>
      </c>
      <c r="O20" s="147">
        <f t="shared" si="12"/>
        <v>0.7692426983904177</v>
      </c>
      <c r="P20" s="147">
        <f t="shared" si="12"/>
        <v>0.48816233415863275</v>
      </c>
      <c r="Q20" s="147">
        <f t="shared" si="12"/>
        <v>0.55336972749480795</v>
      </c>
      <c r="R20" s="147">
        <f t="shared" si="12"/>
        <v>0.64203274779560227</v>
      </c>
      <c r="S20" s="147">
        <f t="shared" si="12"/>
        <v>0.7692426983904177</v>
      </c>
      <c r="U20" t="s">
        <v>98</v>
      </c>
      <c r="V20" s="147">
        <f>V$62*L19</f>
        <v>0.29455217308799236</v>
      </c>
      <c r="W20" s="147">
        <f t="shared" si="8"/>
        <v>0.33541413044716761</v>
      </c>
      <c r="X20" s="147">
        <f t="shared" si="8"/>
        <v>0.39147573491812149</v>
      </c>
      <c r="Y20" s="147">
        <f t="shared" si="8"/>
        <v>0.47300531753039549</v>
      </c>
      <c r="Z20" s="147">
        <f t="shared" si="8"/>
        <v>0.29455217308799236</v>
      </c>
      <c r="AA20" s="147">
        <f t="shared" si="8"/>
        <v>0.33541413044716761</v>
      </c>
      <c r="AB20" s="147">
        <f t="shared" si="8"/>
        <v>0.39147573491812149</v>
      </c>
      <c r="AC20" s="147">
        <f t="shared" si="8"/>
        <v>0.47300531753039549</v>
      </c>
    </row>
    <row r="21" spans="1:29" x14ac:dyDescent="0.25">
      <c r="A21" t="s">
        <v>257</v>
      </c>
      <c r="B21" s="147">
        <f t="shared" ref="B21:I21" si="14">10*(1-EXP(-B67*0.1))</f>
        <v>0.48816233415863275</v>
      </c>
      <c r="C21" s="147">
        <f t="shared" si="14"/>
        <v>0.55336972749480795</v>
      </c>
      <c r="D21" s="147">
        <f t="shared" si="14"/>
        <v>0.64203274779560227</v>
      </c>
      <c r="E21" s="147">
        <f t="shared" si="14"/>
        <v>0.7692426983904177</v>
      </c>
      <c r="F21" s="147">
        <f t="shared" si="14"/>
        <v>0.48816233415863275</v>
      </c>
      <c r="G21" s="147">
        <f t="shared" si="14"/>
        <v>0.55336972749480795</v>
      </c>
      <c r="H21" s="147">
        <f t="shared" si="14"/>
        <v>0.64203274779560227</v>
      </c>
      <c r="I21" s="147">
        <f t="shared" si="14"/>
        <v>0.7692426983904177</v>
      </c>
      <c r="L21" s="147"/>
      <c r="M21" s="147"/>
      <c r="N21" s="147"/>
      <c r="O21" s="147"/>
      <c r="P21" s="147"/>
      <c r="Q21" s="147"/>
      <c r="R21" s="147"/>
      <c r="S21" s="147"/>
      <c r="U21" t="s">
        <v>97</v>
      </c>
      <c r="V21" s="147">
        <f>V$62*L20</f>
        <v>0.49575555154743639</v>
      </c>
      <c r="W21" s="147">
        <f t="shared" si="8"/>
        <v>0.56373352744038019</v>
      </c>
      <c r="X21" s="147">
        <f t="shared" si="8"/>
        <v>0.65671455609300078</v>
      </c>
      <c r="Y21" s="147">
        <f t="shared" si="8"/>
        <v>0.79128000854442682</v>
      </c>
      <c r="Z21" s="147">
        <f t="shared" si="8"/>
        <v>0.49575555154743639</v>
      </c>
      <c r="AA21" s="147">
        <f t="shared" si="8"/>
        <v>0.56373352744038019</v>
      </c>
      <c r="AB21" s="147">
        <f t="shared" si="8"/>
        <v>0.65671455609300078</v>
      </c>
      <c r="AC21" s="147">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5">C27</f>
        <v>0</v>
      </c>
      <c r="N27" s="147">
        <f t="shared" si="15"/>
        <v>1.0000000000000001E-5</v>
      </c>
      <c r="O27" s="147">
        <f t="shared" si="15"/>
        <v>1.0000000000000001E-5</v>
      </c>
      <c r="P27" s="147">
        <f t="shared" si="15"/>
        <v>0</v>
      </c>
      <c r="Q27" s="147">
        <f t="shared" si="15"/>
        <v>0</v>
      </c>
      <c r="R27" s="147">
        <f t="shared" si="15"/>
        <v>1.0000000000000001E-5</v>
      </c>
      <c r="S27" s="147">
        <f t="shared" si="15"/>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B28</f>
        <v>1.1E-4</v>
      </c>
      <c r="M28" s="147">
        <f t="shared" si="15"/>
        <v>1.4999999999999999E-4</v>
      </c>
      <c r="N28" s="147">
        <f t="shared" si="15"/>
        <v>1.9000000000000001E-4</v>
      </c>
      <c r="O28" s="147">
        <f t="shared" si="15"/>
        <v>2.3000000000000001E-4</v>
      </c>
      <c r="P28" s="147">
        <f t="shared" si="15"/>
        <v>1.1E-4</v>
      </c>
      <c r="Q28" s="147">
        <f t="shared" si="15"/>
        <v>1.4999999999999999E-4</v>
      </c>
      <c r="R28" s="147">
        <f t="shared" si="15"/>
        <v>1.9000000000000001E-4</v>
      </c>
      <c r="S28" s="147">
        <f t="shared" si="15"/>
        <v>2.3000000000000001E-4</v>
      </c>
      <c r="U28" t="s">
        <v>252</v>
      </c>
      <c r="V28" s="147">
        <f t="shared" ref="V28:V33" si="16">V$62*L27</f>
        <v>0</v>
      </c>
      <c r="W28" s="147">
        <f t="shared" ref="W28:AC33" si="17">W$62*M27</f>
        <v>0</v>
      </c>
      <c r="X28" s="147">
        <f t="shared" si="17"/>
        <v>1.0228676938175009E-5</v>
      </c>
      <c r="Y28" s="147">
        <f t="shared" si="17"/>
        <v>1.0286480589287629E-5</v>
      </c>
      <c r="Z28" s="147">
        <f t="shared" si="17"/>
        <v>0</v>
      </c>
      <c r="AA28" s="147">
        <f t="shared" si="17"/>
        <v>0</v>
      </c>
      <c r="AB28" s="147">
        <f t="shared" si="17"/>
        <v>1.0228676938175009E-5</v>
      </c>
      <c r="AC28" s="147">
        <f t="shared" si="17"/>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18">(1-M73)/M68</f>
        <v>4.8983254373320614E-3</v>
      </c>
      <c r="N29" s="147">
        <f t="shared" si="18"/>
        <v>6.1601010850262832E-3</v>
      </c>
      <c r="O29" s="147">
        <f t="shared" si="18"/>
        <v>7.4384086064811818E-3</v>
      </c>
      <c r="P29" s="147">
        <f t="shared" si="18"/>
        <v>3.6467625818373504E-3</v>
      </c>
      <c r="Q29" s="147">
        <f t="shared" si="18"/>
        <v>4.8983254373320614E-3</v>
      </c>
      <c r="R29" s="147">
        <f t="shared" si="18"/>
        <v>6.1601010850262832E-3</v>
      </c>
      <c r="S29" s="147">
        <f t="shared" si="18"/>
        <v>7.4384086064811818E-3</v>
      </c>
      <c r="U29" t="s">
        <v>100</v>
      </c>
      <c r="V29" s="147">
        <f t="shared" si="16"/>
        <v>1.1171101671374953E-4</v>
      </c>
      <c r="W29" s="147">
        <f t="shared" si="17"/>
        <v>1.5280927906713223E-4</v>
      </c>
      <c r="X29" s="147">
        <f t="shared" si="17"/>
        <v>1.9434486182532516E-4</v>
      </c>
      <c r="Y29" s="147">
        <f t="shared" si="17"/>
        <v>2.3658905355361545E-4</v>
      </c>
      <c r="Z29" s="147">
        <f t="shared" si="17"/>
        <v>1.1171101671374953E-4</v>
      </c>
      <c r="AA29" s="147">
        <f t="shared" si="17"/>
        <v>1.5280927906713223E-4</v>
      </c>
      <c r="AB29" s="147">
        <f t="shared" si="17"/>
        <v>1.9434486182532516E-4</v>
      </c>
      <c r="AC29" s="147">
        <f t="shared" si="17"/>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19">C31</f>
        <v>6.4149999999999999E-2</v>
      </c>
      <c r="N30" s="147">
        <f t="shared" si="19"/>
        <v>8.0449999999999994E-2</v>
      </c>
      <c r="O30" s="147">
        <f t="shared" si="19"/>
        <v>9.6740000000000007E-2</v>
      </c>
      <c r="P30" s="147">
        <f t="shared" si="19"/>
        <v>4.786E-2</v>
      </c>
      <c r="Q30" s="147">
        <f t="shared" si="19"/>
        <v>6.4149999999999999E-2</v>
      </c>
      <c r="R30" s="147">
        <f t="shared" si="19"/>
        <v>8.0449999999999994E-2</v>
      </c>
      <c r="S30" s="147">
        <f t="shared" si="19"/>
        <v>9.6740000000000007E-2</v>
      </c>
      <c r="U30" t="s">
        <v>99</v>
      </c>
      <c r="V30" s="147">
        <f t="shared" si="16"/>
        <v>3.7034868702791692E-3</v>
      </c>
      <c r="W30" s="147">
        <f t="shared" si="17"/>
        <v>4.9900638580993844E-3</v>
      </c>
      <c r="X30" s="147">
        <f t="shared" si="17"/>
        <v>6.3009683905235186E-3</v>
      </c>
      <c r="Y30" s="147">
        <f t="shared" si="17"/>
        <v>7.6515045745758712E-3</v>
      </c>
      <c r="Z30" s="147">
        <f t="shared" si="17"/>
        <v>3.7034868702791692E-3</v>
      </c>
      <c r="AA30" s="147">
        <f t="shared" si="17"/>
        <v>4.9900638580993844E-3</v>
      </c>
      <c r="AB30" s="147">
        <f t="shared" si="17"/>
        <v>6.3009683905235186E-3</v>
      </c>
      <c r="AC30" s="147">
        <f t="shared" si="17"/>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19"/>
        <v>0.30464999999999998</v>
      </c>
      <c r="N31" s="147">
        <f t="shared" si="19"/>
        <v>0.38202999999999998</v>
      </c>
      <c r="O31" s="147">
        <f t="shared" si="19"/>
        <v>0.45940999999999999</v>
      </c>
      <c r="P31" s="147">
        <f t="shared" si="19"/>
        <v>0.22727</v>
      </c>
      <c r="Q31" s="147">
        <f t="shared" si="19"/>
        <v>0.30464999999999998</v>
      </c>
      <c r="R31" s="147">
        <f t="shared" si="19"/>
        <v>0.38202999999999998</v>
      </c>
      <c r="S31" s="147">
        <f t="shared" si="19"/>
        <v>0.45940999999999999</v>
      </c>
      <c r="U31" t="s">
        <v>98</v>
      </c>
      <c r="V31" s="147">
        <f t="shared" si="16"/>
        <v>4.8604447817455022E-2</v>
      </c>
      <c r="W31" s="147">
        <f t="shared" si="17"/>
        <v>6.5351435014376888E-2</v>
      </c>
      <c r="X31" s="147">
        <f t="shared" si="17"/>
        <v>8.2289705967617935E-2</v>
      </c>
      <c r="Y31" s="147">
        <f t="shared" si="17"/>
        <v>9.9511413220768521E-2</v>
      </c>
      <c r="Z31" s="147">
        <f t="shared" si="17"/>
        <v>4.8604447817455022E-2</v>
      </c>
      <c r="AA31" s="147">
        <f t="shared" si="17"/>
        <v>6.5351435014376888E-2</v>
      </c>
      <c r="AB31" s="147">
        <f t="shared" si="17"/>
        <v>8.2289705967617935E-2</v>
      </c>
      <c r="AC31" s="147">
        <f t="shared" si="17"/>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19"/>
        <v>0.95428000000000002</v>
      </c>
      <c r="N32" s="147">
        <f t="shared" si="19"/>
        <v>1.1966600000000001</v>
      </c>
      <c r="O32" s="147">
        <f t="shared" si="19"/>
        <v>1.4390400000000001</v>
      </c>
      <c r="P32" s="147">
        <f t="shared" si="19"/>
        <v>0.71189999999999998</v>
      </c>
      <c r="Q32" s="147">
        <f t="shared" si="19"/>
        <v>0.95428000000000002</v>
      </c>
      <c r="R32" s="147">
        <f t="shared" si="19"/>
        <v>1.1966600000000001</v>
      </c>
      <c r="S32" s="147">
        <f t="shared" si="19"/>
        <v>1.4390400000000001</v>
      </c>
      <c r="U32" t="s">
        <v>97</v>
      </c>
      <c r="V32" s="147">
        <f t="shared" si="16"/>
        <v>0.2308051160775805</v>
      </c>
      <c r="W32" s="147">
        <f t="shared" si="17"/>
        <v>0.31035564578534558</v>
      </c>
      <c r="X32" s="147">
        <f t="shared" si="17"/>
        <v>0.39076614506909979</v>
      </c>
      <c r="Y32" s="147">
        <f t="shared" si="17"/>
        <v>0.47257120475246289</v>
      </c>
      <c r="Z32" s="147">
        <f t="shared" si="17"/>
        <v>0.2308051160775805</v>
      </c>
      <c r="AA32" s="147">
        <f t="shared" si="17"/>
        <v>0.31035564578534558</v>
      </c>
      <c r="AB32" s="147">
        <f t="shared" si="17"/>
        <v>0.39076614506909979</v>
      </c>
      <c r="AC32" s="147">
        <f t="shared" si="17"/>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16"/>
        <v>0.72297338907743891</v>
      </c>
      <c r="W33" s="147">
        <f t="shared" si="17"/>
        <v>0.97215225885455314</v>
      </c>
      <c r="X33" s="147">
        <f t="shared" si="17"/>
        <v>1.2240248544836505</v>
      </c>
      <c r="Y33" s="147">
        <f t="shared" si="17"/>
        <v>1.4802657027208468</v>
      </c>
      <c r="Z33" s="147">
        <f t="shared" si="17"/>
        <v>0.72297338907743891</v>
      </c>
      <c r="AA33" s="147">
        <f t="shared" si="17"/>
        <v>0.97215225885455314</v>
      </c>
      <c r="AB33" s="147">
        <f t="shared" si="17"/>
        <v>1.2240248544836505</v>
      </c>
      <c r="AC33" s="147">
        <f t="shared" si="17"/>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0">1/(B16+B27)</f>
        <v>6.5826595755752697</v>
      </c>
      <c r="C37" s="147">
        <f t="shared" si="20"/>
        <v>5.5012294617685855</v>
      </c>
      <c r="D37" s="147">
        <f t="shared" si="20"/>
        <v>4.4877249044033274</v>
      </c>
      <c r="E37" s="147">
        <f t="shared" si="20"/>
        <v>3.541611439057113</v>
      </c>
      <c r="F37" s="147">
        <f t="shared" si="20"/>
        <v>6.5826595755752697</v>
      </c>
      <c r="G37" s="147">
        <f t="shared" si="20"/>
        <v>5.5012294617685855</v>
      </c>
      <c r="H37" s="147">
        <f t="shared" si="20"/>
        <v>4.4877249044033274</v>
      </c>
      <c r="I37" s="147">
        <f t="shared" si="20"/>
        <v>3.541611439057113</v>
      </c>
      <c r="K37" t="s">
        <v>252</v>
      </c>
      <c r="L37" s="147">
        <f t="shared" ref="L37:S41" si="21">1/(L16+L27)</f>
        <v>6.5826595755752697</v>
      </c>
      <c r="M37" s="147">
        <f t="shared" si="21"/>
        <v>5.5012294617685855</v>
      </c>
      <c r="N37" s="147">
        <f t="shared" si="21"/>
        <v>4.4877249044033274</v>
      </c>
      <c r="O37" s="147">
        <f t="shared" si="21"/>
        <v>3.541611439057113</v>
      </c>
      <c r="P37" s="147">
        <f t="shared" si="21"/>
        <v>6.5826595755752697</v>
      </c>
      <c r="Q37" s="147">
        <f t="shared" si="21"/>
        <v>5.5012294617685855</v>
      </c>
      <c r="R37" s="147">
        <f t="shared" si="21"/>
        <v>4.4877249044033274</v>
      </c>
      <c r="S37" s="147">
        <f t="shared" si="21"/>
        <v>3.541611439057113</v>
      </c>
      <c r="U37" t="s">
        <v>95</v>
      </c>
      <c r="V37" s="147">
        <f>1/(V16+V27)</f>
        <v>0.25</v>
      </c>
      <c r="W37" s="147">
        <f t="shared" ref="W37:AC37" si="22">1/(W16+W27)</f>
        <v>0.25</v>
      </c>
      <c r="X37" s="147">
        <f t="shared" si="22"/>
        <v>0.25</v>
      </c>
      <c r="Y37" s="147">
        <f t="shared" si="22"/>
        <v>0.25</v>
      </c>
      <c r="Z37" s="147">
        <f t="shared" si="22"/>
        <v>0.25</v>
      </c>
      <c r="AA37" s="147">
        <f t="shared" si="22"/>
        <v>0.25</v>
      </c>
      <c r="AB37" s="147">
        <f t="shared" si="22"/>
        <v>0.25</v>
      </c>
      <c r="AC37" s="147">
        <f t="shared" si="22"/>
        <v>0.25</v>
      </c>
    </row>
    <row r="38" spans="1:29" x14ac:dyDescent="0.25">
      <c r="A38" t="str">
        <f t="shared" ref="A38:A43" si="23">A28</f>
        <v>350 - 500</v>
      </c>
      <c r="B38" s="147">
        <f t="shared" si="20"/>
        <v>4.0258342378020355</v>
      </c>
      <c r="C38" s="147">
        <f t="shared" si="20"/>
        <v>3.5451001744729367</v>
      </c>
      <c r="D38" s="147">
        <f t="shared" si="20"/>
        <v>3.0483611946924567</v>
      </c>
      <c r="E38" s="147">
        <f t="shared" si="20"/>
        <v>2.5357987942301539</v>
      </c>
      <c r="F38" s="147">
        <f t="shared" si="20"/>
        <v>4.0258342378020355</v>
      </c>
      <c r="G38" s="147">
        <f t="shared" si="20"/>
        <v>3.5451001744729367</v>
      </c>
      <c r="H38" s="147">
        <f t="shared" si="20"/>
        <v>3.0483611946924567</v>
      </c>
      <c r="I38" s="147">
        <f t="shared" si="20"/>
        <v>2.5357987942301539</v>
      </c>
      <c r="K38" t="s">
        <v>100</v>
      </c>
      <c r="L38" s="147">
        <f t="shared" si="21"/>
        <v>4.0258342378020355</v>
      </c>
      <c r="M38" s="147">
        <f t="shared" si="21"/>
        <v>3.5451001744729367</v>
      </c>
      <c r="N38" s="147">
        <f t="shared" si="21"/>
        <v>3.0483611946924567</v>
      </c>
      <c r="O38" s="147">
        <f t="shared" si="21"/>
        <v>2.5357987942301539</v>
      </c>
      <c r="P38" s="147">
        <f t="shared" si="21"/>
        <v>4.0258342378020355</v>
      </c>
      <c r="Q38" s="147">
        <f t="shared" si="21"/>
        <v>3.5451001744729367</v>
      </c>
      <c r="R38" s="147">
        <f t="shared" si="21"/>
        <v>3.0483611946924567</v>
      </c>
      <c r="S38" s="147">
        <f t="shared" si="21"/>
        <v>2.5357987942301539</v>
      </c>
      <c r="U38" t="s">
        <v>252</v>
      </c>
      <c r="V38" s="147">
        <f t="shared" ref="V38:AC42" si="24">1/(V17+V28)</f>
        <v>6.4818365691604836</v>
      </c>
      <c r="W38" s="147">
        <f t="shared" si="24"/>
        <v>5.4000936612152159</v>
      </c>
      <c r="X38" s="147">
        <f t="shared" si="24"/>
        <v>4.3873952922048431</v>
      </c>
      <c r="Y38" s="147">
        <f t="shared" si="24"/>
        <v>3.4429768357754531</v>
      </c>
      <c r="Z38" s="147">
        <f t="shared" si="24"/>
        <v>6.4818365691604836</v>
      </c>
      <c r="AA38" s="147">
        <f t="shared" si="24"/>
        <v>5.4000936612152159</v>
      </c>
      <c r="AB38" s="147">
        <f t="shared" si="24"/>
        <v>4.3873952922048431</v>
      </c>
      <c r="AC38" s="147">
        <f t="shared" si="24"/>
        <v>3.4429768357754531</v>
      </c>
    </row>
    <row r="39" spans="1:29" x14ac:dyDescent="0.25">
      <c r="A39" t="str">
        <f t="shared" si="23"/>
        <v>250 - 349</v>
      </c>
      <c r="B39" s="147">
        <f t="shared" si="20"/>
        <v>2.9134439286994445</v>
      </c>
      <c r="C39" s="147">
        <f t="shared" si="20"/>
        <v>2.5653299128578602</v>
      </c>
      <c r="D39" s="147">
        <f t="shared" si="20"/>
        <v>2.2070276931519466</v>
      </c>
      <c r="E39" s="147">
        <f t="shared" si="20"/>
        <v>1.8382853495806977</v>
      </c>
      <c r="F39" s="147">
        <f t="shared" si="20"/>
        <v>2.9134439286994445</v>
      </c>
      <c r="G39" s="147">
        <f t="shared" si="20"/>
        <v>2.5653299128578602</v>
      </c>
      <c r="H39" s="147">
        <f t="shared" si="20"/>
        <v>2.2070276931519466</v>
      </c>
      <c r="I39" s="147">
        <f t="shared" si="20"/>
        <v>1.8382853495806977</v>
      </c>
      <c r="K39" t="s">
        <v>99</v>
      </c>
      <c r="L39" s="147">
        <f t="shared" si="21"/>
        <v>4.365435809938595</v>
      </c>
      <c r="M39" s="147">
        <f t="shared" si="21"/>
        <v>3.83107760117753</v>
      </c>
      <c r="N39" s="147">
        <f t="shared" si="21"/>
        <v>3.2856252499955341</v>
      </c>
      <c r="O39" s="147">
        <f t="shared" si="21"/>
        <v>2.7282576708234783</v>
      </c>
      <c r="P39" s="147">
        <f t="shared" si="21"/>
        <v>4.365435809938595</v>
      </c>
      <c r="Q39" s="147">
        <f t="shared" si="21"/>
        <v>3.83107760117753</v>
      </c>
      <c r="R39" s="147">
        <f t="shared" si="21"/>
        <v>3.2856252499955341</v>
      </c>
      <c r="S39" s="147">
        <f t="shared" si="21"/>
        <v>2.7282576708234783</v>
      </c>
      <c r="U39" t="s">
        <v>100</v>
      </c>
      <c r="V39" s="147">
        <f t="shared" si="24"/>
        <v>3.9641727305460854</v>
      </c>
      <c r="W39" s="147">
        <f t="shared" si="24"/>
        <v>3.479926280768102</v>
      </c>
      <c r="X39" s="147">
        <f t="shared" si="24"/>
        <v>2.9802106500357834</v>
      </c>
      <c r="Y39" s="147">
        <f t="shared" si="24"/>
        <v>2.4651762789218137</v>
      </c>
      <c r="Z39" s="147">
        <f t="shared" si="24"/>
        <v>3.9641727305460854</v>
      </c>
      <c r="AA39" s="147">
        <f t="shared" si="24"/>
        <v>3.479926280768102</v>
      </c>
      <c r="AB39" s="147">
        <f t="shared" si="24"/>
        <v>2.9802106500357834</v>
      </c>
      <c r="AC39" s="147">
        <f t="shared" si="24"/>
        <v>2.4651762789218137</v>
      </c>
    </row>
    <row r="40" spans="1:29" x14ac:dyDescent="0.25">
      <c r="A40" t="str">
        <f t="shared" si="23"/>
        <v>200 - 249</v>
      </c>
      <c r="B40" s="147">
        <f t="shared" si="20"/>
        <v>1.5694056589457739</v>
      </c>
      <c r="C40" s="147">
        <f t="shared" si="20"/>
        <v>1.3829164554044593</v>
      </c>
      <c r="D40" s="147">
        <f t="shared" si="20"/>
        <v>1.1922318379584911</v>
      </c>
      <c r="E40" s="147">
        <f t="shared" si="20"/>
        <v>0.99696972557911967</v>
      </c>
      <c r="F40" s="147">
        <f t="shared" si="20"/>
        <v>1.5694056589457739</v>
      </c>
      <c r="G40" s="147">
        <f t="shared" si="20"/>
        <v>1.3829164554044593</v>
      </c>
      <c r="H40" s="147">
        <f t="shared" si="20"/>
        <v>1.1922318379584911</v>
      </c>
      <c r="I40" s="147">
        <f t="shared" si="20"/>
        <v>0.99696972557911967</v>
      </c>
      <c r="K40" t="s">
        <v>98</v>
      </c>
      <c r="L40" s="147">
        <f t="shared" si="21"/>
        <v>2.9594495210906815</v>
      </c>
      <c r="M40" s="147">
        <f t="shared" si="21"/>
        <v>2.5419562330435981</v>
      </c>
      <c r="N40" s="147">
        <f t="shared" si="21"/>
        <v>2.1590171117276391</v>
      </c>
      <c r="O40" s="147">
        <f t="shared" si="21"/>
        <v>1.7967126612686704</v>
      </c>
      <c r="P40" s="147">
        <f t="shared" si="21"/>
        <v>2.9594495210906815</v>
      </c>
      <c r="Q40" s="147">
        <f t="shared" si="21"/>
        <v>2.5419562330435981</v>
      </c>
      <c r="R40" s="147">
        <f t="shared" si="21"/>
        <v>2.1590171117276391</v>
      </c>
      <c r="S40" s="147">
        <f t="shared" si="21"/>
        <v>1.7967126612686704</v>
      </c>
      <c r="U40" t="s">
        <v>99</v>
      </c>
      <c r="V40" s="147">
        <f t="shared" si="24"/>
        <v>4.2985728106272099</v>
      </c>
      <c r="W40" s="147">
        <f t="shared" si="24"/>
        <v>3.7606462361763313</v>
      </c>
      <c r="X40" s="147">
        <f t="shared" si="24"/>
        <v>3.2121703225693552</v>
      </c>
      <c r="Y40" s="147">
        <f t="shared" si="24"/>
        <v>2.6522751364200254</v>
      </c>
      <c r="Z40" s="147">
        <f t="shared" si="24"/>
        <v>4.2985728106272099</v>
      </c>
      <c r="AA40" s="147">
        <f t="shared" si="24"/>
        <v>3.7606462361763313</v>
      </c>
      <c r="AB40" s="147">
        <f t="shared" si="24"/>
        <v>3.2121703225693552</v>
      </c>
      <c r="AC40" s="147">
        <f t="shared" si="24"/>
        <v>2.6522751364200254</v>
      </c>
    </row>
    <row r="41" spans="1:29" x14ac:dyDescent="0.25">
      <c r="A41" t="str">
        <f t="shared" si="23"/>
        <v>100 - 199</v>
      </c>
      <c r="B41" s="147">
        <f t="shared" si="20"/>
        <v>2.9594495210906815</v>
      </c>
      <c r="C41" s="147">
        <f t="shared" si="20"/>
        <v>2.5419562330435981</v>
      </c>
      <c r="D41" s="147">
        <f t="shared" si="20"/>
        <v>2.1590171117276391</v>
      </c>
      <c r="E41" s="147">
        <f t="shared" si="20"/>
        <v>1.7967126612686704</v>
      </c>
      <c r="F41" s="147">
        <f t="shared" si="20"/>
        <v>2.9594495210906815</v>
      </c>
      <c r="G41" s="147">
        <f t="shared" si="20"/>
        <v>2.5419562330435981</v>
      </c>
      <c r="H41" s="147">
        <f t="shared" si="20"/>
        <v>2.1590171117276391</v>
      </c>
      <c r="I41" s="147">
        <f t="shared" si="20"/>
        <v>1.7967126612686704</v>
      </c>
      <c r="K41" t="s">
        <v>97</v>
      </c>
      <c r="L41" s="147">
        <f t="shared" si="21"/>
        <v>1.3977562269058279</v>
      </c>
      <c r="M41" s="147">
        <f t="shared" si="21"/>
        <v>1.1654743684270956</v>
      </c>
      <c r="N41" s="147">
        <f t="shared" si="21"/>
        <v>0.97650266270558161</v>
      </c>
      <c r="O41" s="147">
        <f t="shared" si="21"/>
        <v>0.81389964903022505</v>
      </c>
      <c r="P41" s="147">
        <f t="shared" si="21"/>
        <v>1.3977562269058279</v>
      </c>
      <c r="Q41" s="147">
        <f t="shared" si="21"/>
        <v>1.1654743684270956</v>
      </c>
      <c r="R41" s="147">
        <f t="shared" si="21"/>
        <v>0.97650266270558161</v>
      </c>
      <c r="S41" s="147">
        <f t="shared" si="21"/>
        <v>0.81389964903022505</v>
      </c>
      <c r="U41" t="s">
        <v>98</v>
      </c>
      <c r="V41" s="147">
        <f t="shared" si="24"/>
        <v>2.9141212469146494</v>
      </c>
      <c r="W41" s="147">
        <f t="shared" si="24"/>
        <v>2.4952243560355365</v>
      </c>
      <c r="X41" s="147">
        <f t="shared" si="24"/>
        <v>2.1107491465194808</v>
      </c>
      <c r="Y41" s="147">
        <f t="shared" si="24"/>
        <v>1.7466738459991578</v>
      </c>
      <c r="Z41" s="147">
        <f t="shared" si="24"/>
        <v>2.9141212469146494</v>
      </c>
      <c r="AA41" s="147">
        <f t="shared" si="24"/>
        <v>2.4952243560355365</v>
      </c>
      <c r="AB41" s="147">
        <f t="shared" si="24"/>
        <v>2.1107491465194808</v>
      </c>
      <c r="AC41" s="147">
        <f t="shared" si="24"/>
        <v>1.7466738459991578</v>
      </c>
    </row>
    <row r="42" spans="1:29" x14ac:dyDescent="0.25">
      <c r="A42" t="str">
        <f t="shared" si="23"/>
        <v>50 - 99</v>
      </c>
      <c r="B42" s="147">
        <f t="shared" si="20"/>
        <v>1.3977562269058279</v>
      </c>
      <c r="C42" s="147">
        <f t="shared" si="20"/>
        <v>1.1654743684270956</v>
      </c>
      <c r="D42" s="147">
        <f t="shared" si="20"/>
        <v>0.97650266270558161</v>
      </c>
      <c r="E42" s="147">
        <f t="shared" si="20"/>
        <v>0.81389964903022505</v>
      </c>
      <c r="F42" s="147">
        <f t="shared" si="20"/>
        <v>1.3977562269058279</v>
      </c>
      <c r="G42" s="147">
        <f t="shared" si="20"/>
        <v>1.1654743684270956</v>
      </c>
      <c r="H42" s="147">
        <f t="shared" si="20"/>
        <v>0.97650266270558161</v>
      </c>
      <c r="I42" s="147">
        <f t="shared" si="20"/>
        <v>0.81389964903022505</v>
      </c>
      <c r="K42" t="s">
        <v>96</v>
      </c>
      <c r="L42" s="147">
        <f>1/L32</f>
        <v>1.4046916701783958</v>
      </c>
      <c r="M42" s="147">
        <f t="shared" ref="M42:S42" si="25">1/M32</f>
        <v>1.0479104665297396</v>
      </c>
      <c r="N42" s="147">
        <f t="shared" si="25"/>
        <v>0.83565925158357424</v>
      </c>
      <c r="O42" s="147">
        <f t="shared" si="25"/>
        <v>0.69490771625528125</v>
      </c>
      <c r="P42" s="147">
        <f t="shared" si="25"/>
        <v>1.4046916701783958</v>
      </c>
      <c r="Q42" s="147">
        <f t="shared" si="25"/>
        <v>1.0479104665297396</v>
      </c>
      <c r="R42" s="147">
        <f t="shared" si="25"/>
        <v>0.83565925158357424</v>
      </c>
      <c r="S42" s="147">
        <f t="shared" si="25"/>
        <v>0.69490771625528125</v>
      </c>
      <c r="U42" t="s">
        <v>97</v>
      </c>
      <c r="V42" s="147">
        <f t="shared" si="24"/>
        <v>1.3763475571404136</v>
      </c>
      <c r="W42" s="147">
        <f t="shared" si="24"/>
        <v>1.1440480338059957</v>
      </c>
      <c r="X42" s="147">
        <f t="shared" si="24"/>
        <v>0.95467152654037035</v>
      </c>
      <c r="Y42" s="147">
        <f t="shared" si="24"/>
        <v>0.79123237726013185</v>
      </c>
      <c r="Z42" s="147">
        <f t="shared" si="24"/>
        <v>1.3763475571404136</v>
      </c>
      <c r="AA42" s="147">
        <f t="shared" si="24"/>
        <v>1.1440480338059957</v>
      </c>
      <c r="AB42" s="147">
        <f t="shared" si="24"/>
        <v>0.95467152654037035</v>
      </c>
      <c r="AC42" s="147">
        <f t="shared" si="24"/>
        <v>0.79123237726013185</v>
      </c>
    </row>
    <row r="43" spans="1:29" x14ac:dyDescent="0.25">
      <c r="A43" t="str">
        <f t="shared" si="23"/>
        <v>&lt; 50</v>
      </c>
      <c r="B43" s="147">
        <f>1/B33</f>
        <v>1.4046916701783958</v>
      </c>
      <c r="C43" s="147">
        <f t="shared" ref="C43:I43" si="26">1/C33</f>
        <v>1.0479104665297396</v>
      </c>
      <c r="D43" s="147">
        <f t="shared" si="26"/>
        <v>0.83565925158357424</v>
      </c>
      <c r="E43" s="147">
        <f t="shared" si="26"/>
        <v>0.69490771625528125</v>
      </c>
      <c r="F43" s="147">
        <f t="shared" si="26"/>
        <v>1.4046916701783958</v>
      </c>
      <c r="G43" s="147">
        <f t="shared" si="26"/>
        <v>1.0479104665297396</v>
      </c>
      <c r="H43" s="147">
        <f t="shared" si="26"/>
        <v>0.83565925158357424</v>
      </c>
      <c r="I43" s="147">
        <f t="shared" si="26"/>
        <v>0.69490771625528125</v>
      </c>
      <c r="L43" s="147"/>
      <c r="M43" s="147"/>
      <c r="N43" s="147"/>
      <c r="O43" s="147"/>
      <c r="P43" s="147"/>
      <c r="Q43" s="147"/>
      <c r="R43" s="147"/>
      <c r="S43" s="147"/>
      <c r="U43" t="s">
        <v>96</v>
      </c>
      <c r="V43" s="147">
        <f>1/V33</f>
        <v>1.3831767740110947</v>
      </c>
      <c r="W43" s="147">
        <f t="shared" ref="W43:AC43" si="27">1/W33</f>
        <v>1.0286454522856932</v>
      </c>
      <c r="X43" s="147">
        <f t="shared" si="27"/>
        <v>0.81697687456015389</v>
      </c>
      <c r="Y43" s="147">
        <f t="shared" si="27"/>
        <v>0.67555439416175078</v>
      </c>
      <c r="Z43" s="147">
        <f t="shared" si="27"/>
        <v>1.3831767740110947</v>
      </c>
      <c r="AA43" s="147">
        <f t="shared" si="27"/>
        <v>1.0286454522856932</v>
      </c>
      <c r="AB43" s="147">
        <f t="shared" si="27"/>
        <v>0.81697687456015389</v>
      </c>
      <c r="AC43" s="147">
        <f t="shared" si="27"/>
        <v>0.67555439416175078</v>
      </c>
    </row>
    <row r="44" spans="1:29" x14ac:dyDescent="0.25">
      <c r="V44" s="147"/>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5">M57-C57</f>
        <v>0</v>
      </c>
      <c r="N59" s="149">
        <f t="shared" si="35"/>
        <v>0</v>
      </c>
      <c r="O59" s="149">
        <f t="shared" si="35"/>
        <v>0</v>
      </c>
      <c r="P59" s="149">
        <f t="shared" si="35"/>
        <v>0</v>
      </c>
      <c r="Q59" s="149">
        <f t="shared" si="35"/>
        <v>0</v>
      </c>
      <c r="R59" s="149">
        <f t="shared" si="35"/>
        <v>0</v>
      </c>
      <c r="S59" s="149">
        <f t="shared" si="35"/>
        <v>0</v>
      </c>
      <c r="V59" s="148">
        <f>V57-B57</f>
        <v>0</v>
      </c>
      <c r="W59" s="148">
        <f t="shared" ref="W59:AC59" si="36">W57-C57</f>
        <v>0</v>
      </c>
      <c r="X59" s="148">
        <f t="shared" si="36"/>
        <v>0</v>
      </c>
      <c r="Y59" s="148">
        <f t="shared" si="36"/>
        <v>0</v>
      </c>
      <c r="Z59" s="148">
        <f t="shared" si="36"/>
        <v>0</v>
      </c>
      <c r="AA59" s="148">
        <f t="shared" si="36"/>
        <v>0</v>
      </c>
      <c r="AB59" s="148">
        <f t="shared" si="36"/>
        <v>0</v>
      </c>
      <c r="AC59" s="148">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50">
        <f t="shared" ref="V62:AC62" si="38">L57/(L57-1/V16)</f>
        <v>1.015554697397723</v>
      </c>
      <c r="W62" s="150">
        <f t="shared" si="38"/>
        <v>1.018728527114215</v>
      </c>
      <c r="X62" s="150">
        <f t="shared" si="38"/>
        <v>1.0228676938175008</v>
      </c>
      <c r="Y62" s="150">
        <f t="shared" si="38"/>
        <v>1.0286480589287628</v>
      </c>
      <c r="Z62" s="150">
        <f t="shared" si="38"/>
        <v>1.015554697397723</v>
      </c>
      <c r="AA62" s="150">
        <f t="shared" si="38"/>
        <v>1.018728527114215</v>
      </c>
      <c r="AB62" s="150">
        <f t="shared" si="38"/>
        <v>1.0228676938175008</v>
      </c>
      <c r="AC62" s="150">
        <f t="shared" si="38"/>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7">
        <f>SUMPRODUCT(L62:L63,L66:L67)/SUM(L62:L63)</f>
        <v>4.365435809938595</v>
      </c>
      <c r="M68" s="147">
        <f t="shared" ref="M68:S68" si="42">SUMPRODUCT(M62:M63,M66:M67)/SUM(M62:M63)</f>
        <v>3.8310776011775296</v>
      </c>
      <c r="N68" s="147">
        <f t="shared" si="42"/>
        <v>3.2856252499955341</v>
      </c>
      <c r="O68" s="147">
        <f t="shared" si="42"/>
        <v>2.7282576708234783</v>
      </c>
      <c r="P68" s="147">
        <f t="shared" si="42"/>
        <v>4.365435809938595</v>
      </c>
      <c r="Q68" s="147">
        <f t="shared" si="42"/>
        <v>3.8310776011775296</v>
      </c>
      <c r="R68" s="147">
        <f t="shared" si="42"/>
        <v>3.2856252499955341</v>
      </c>
      <c r="S68" s="147">
        <f t="shared" si="42"/>
        <v>2.7282576708234783</v>
      </c>
    </row>
    <row r="70" spans="1:19" x14ac:dyDescent="0.25">
      <c r="K70" s="43" t="s">
        <v>274</v>
      </c>
    </row>
    <row r="71" spans="1:19" x14ac:dyDescent="0.25">
      <c r="K71" t="s">
        <v>270</v>
      </c>
      <c r="L71" s="147">
        <f>(B18/(B18+B29))*(B19/(B19+B30))</f>
        <v>0.9839098318240509</v>
      </c>
      <c r="M71" s="147">
        <f t="shared" ref="M71:S71" si="43">(C18/(C18+C29))*(C19/(C19+C30))</f>
        <v>0.98100723671081436</v>
      </c>
      <c r="N71" s="147">
        <f t="shared" si="43"/>
        <v>0.97948383782414261</v>
      </c>
      <c r="O71" s="147">
        <f t="shared" si="43"/>
        <v>0.97939101087503955</v>
      </c>
      <c r="P71" s="147">
        <f t="shared" si="43"/>
        <v>0.9839098318240509</v>
      </c>
      <c r="Q71" s="147">
        <f t="shared" si="43"/>
        <v>0.98100723671081436</v>
      </c>
      <c r="R71" s="147">
        <f t="shared" si="43"/>
        <v>0.97948383782414261</v>
      </c>
      <c r="S71" s="147">
        <f t="shared" si="43"/>
        <v>0.97939101087503955</v>
      </c>
    </row>
    <row r="72" spans="1:19" x14ac:dyDescent="0.25">
      <c r="K72" t="s">
        <v>271</v>
      </c>
      <c r="L72" s="147">
        <f>B19/(B19+B30)</f>
        <v>0.98840209218039077</v>
      </c>
      <c r="M72" s="147">
        <f t="shared" ref="M72:S72" si="44">C19/(C19+C30)</f>
        <v>0.98629529792694182</v>
      </c>
      <c r="N72" s="147">
        <f t="shared" si="44"/>
        <v>0.98518055825417594</v>
      </c>
      <c r="O72" s="147">
        <f t="shared" si="44"/>
        <v>0.98509530260259215</v>
      </c>
      <c r="P72" s="147">
        <f t="shared" si="44"/>
        <v>0.98840209218039077</v>
      </c>
      <c r="Q72" s="147">
        <f t="shared" si="44"/>
        <v>0.98629529792694182</v>
      </c>
      <c r="R72" s="147">
        <f t="shared" si="44"/>
        <v>0.98518055825417594</v>
      </c>
      <c r="S72" s="147">
        <f t="shared" si="44"/>
        <v>0.98509530260259215</v>
      </c>
    </row>
    <row r="73" spans="1:19" x14ac:dyDescent="0.25">
      <c r="K73" t="s">
        <v>273</v>
      </c>
      <c r="L73" s="150">
        <f>SUMPRODUCT(L71:L72,L62:L63)/SUM(L62:L63)</f>
        <v>0.9840802920349031</v>
      </c>
      <c r="M73" s="150">
        <f t="shared" ref="M73:S73" si="45">SUMPRODUCT(M71:M72,M62:M63)/SUM(M62:M63)</f>
        <v>0.98123413513375901</v>
      </c>
      <c r="N73" s="150">
        <f t="shared" si="45"/>
        <v>0.97976021633251276</v>
      </c>
      <c r="O73" s="150">
        <f t="shared" si="45"/>
        <v>0.97970610466064834</v>
      </c>
      <c r="P73" s="150">
        <f t="shared" si="45"/>
        <v>0.9840802920349031</v>
      </c>
      <c r="Q73" s="150">
        <f t="shared" si="45"/>
        <v>0.98123413513375901</v>
      </c>
      <c r="R73" s="150">
        <f t="shared" si="45"/>
        <v>0.97976021633251276</v>
      </c>
      <c r="S73" s="150">
        <f t="shared" si="45"/>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2023-08-17T18:41:32Z</dcterms:modified>
</cp:coreProperties>
</file>