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719A7689-B2C4-4089-88EF-B52D29B2CC47}" xr6:coauthVersionLast="47" xr6:coauthVersionMax="47" xr10:uidLastSave="{00000000-0000-0000-0000-000000000000}"/>
  <bookViews>
    <workbookView xWindow="-28920" yWindow="-120" windowWidth="29040" windowHeight="15720" activeTab="1"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LikelihoodInputs" sheetId="27" r:id="rId17"/>
    <sheet name="FittingInputs" sheetId="30" r:id="rId18"/>
    <sheet name="SheetData" sheetId="3" r:id="rId19"/>
    <sheet name="ProgMapping" sheetId="20" r:id="rId20"/>
  </sheets>
  <externalReferences>
    <externalReference r:id="rId2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2" i="30" l="1"/>
  <c r="B21" i="30"/>
  <c r="B20" i="30"/>
  <c r="B19" i="30"/>
  <c r="B16" i="30"/>
  <c r="B15" i="30"/>
  <c r="B14" i="30"/>
  <c r="B13" i="30"/>
  <c r="B12" i="30"/>
  <c r="B11" i="30"/>
  <c r="B10" i="30"/>
  <c r="B9" i="30"/>
  <c r="B6" i="30"/>
  <c r="B5" i="30"/>
  <c r="B4" i="30"/>
  <c r="B3" i="30"/>
  <c r="E44" i="30"/>
  <c r="C31" i="30"/>
  <c r="C30" i="30"/>
  <c r="C28" i="30"/>
  <c r="E22" i="30"/>
  <c r="E21" i="30"/>
  <c r="D16" i="30"/>
  <c r="C29" i="30" s="1"/>
  <c r="D15" i="30"/>
  <c r="D6" i="30"/>
  <c r="O5" i="30"/>
  <c r="O6" i="30" s="1"/>
  <c r="D5" i="30"/>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C34" i="30" l="1"/>
  <c r="O7" i="30"/>
  <c r="C35" i="30"/>
  <c r="C32" i="30"/>
  <c r="C36" i="30"/>
  <c r="C33" i="30"/>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30"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30"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30"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30"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30" l="1"/>
  <c r="AE22" i="24"/>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30" l="1"/>
  <c r="X15" i="24"/>
  <c r="W15" i="24"/>
  <c r="V16" i="24"/>
  <c r="Y17" i="24"/>
  <c r="AC23" i="24"/>
  <c r="J13" i="22"/>
  <c r="X49" i="20"/>
  <c r="X48" i="20" s="1"/>
  <c r="X47" i="20" s="1" a="1"/>
  <c r="X47" i="20" s="1"/>
  <c r="X57" i="20" s="1"/>
  <c r="X59" i="20" s="1"/>
  <c r="O14" i="30" l="1"/>
  <c r="AC15" i="24"/>
  <c r="AD23" i="24"/>
  <c r="AF23" i="24" s="1"/>
  <c r="AE23" i="24"/>
  <c r="AC16" i="24"/>
  <c r="Y18" i="24"/>
  <c r="Z17" i="24"/>
  <c r="X16" i="24"/>
  <c r="W16" i="24"/>
  <c r="V17" i="24"/>
  <c r="J14" i="22"/>
  <c r="O15" i="30" l="1"/>
  <c r="V18" i="24"/>
  <c r="X17" i="24"/>
  <c r="W17" i="24"/>
  <c r="Z18" i="24"/>
  <c r="Y19" i="24"/>
  <c r="Z8" i="24"/>
  <c r="Z10" i="24"/>
  <c r="Z9" i="24"/>
  <c r="Z11" i="24"/>
  <c r="Z12" i="24"/>
  <c r="Z13" i="24"/>
  <c r="Z14" i="24"/>
  <c r="Z15" i="24"/>
  <c r="Z16" i="24"/>
  <c r="J15" i="22"/>
  <c r="O16" i="30" l="1"/>
  <c r="Y20" i="24"/>
  <c r="Z19" i="24"/>
  <c r="W18" i="24"/>
  <c r="V19" i="24"/>
  <c r="X18" i="24"/>
  <c r="J16" i="22"/>
  <c r="O17" i="30" l="1"/>
  <c r="W19" i="24"/>
  <c r="V20" i="24"/>
  <c r="X19" i="24"/>
  <c r="Y21" i="24"/>
  <c r="Z20" i="24"/>
  <c r="J17" i="22"/>
  <c r="O18" i="30" l="1"/>
  <c r="Y22" i="24"/>
  <c r="Z21" i="24"/>
  <c r="V21" i="24"/>
  <c r="X20" i="24"/>
  <c r="W20" i="24"/>
  <c r="J18" i="22"/>
  <c r="O19" i="30" l="1"/>
  <c r="W21" i="24"/>
  <c r="X21" i="24"/>
  <c r="V22" i="24"/>
  <c r="Y23" i="24"/>
  <c r="Z22" i="24"/>
  <c r="J19" i="22"/>
  <c r="O20" i="30" l="1"/>
  <c r="Z23" i="24"/>
  <c r="Y24" i="24"/>
  <c r="V23" i="24"/>
  <c r="X22" i="24"/>
  <c r="W22" i="24"/>
  <c r="J20" i="22"/>
  <c r="O21" i="30" l="1"/>
  <c r="Y25" i="24"/>
  <c r="Z24" i="24"/>
  <c r="X23" i="24"/>
  <c r="W23" i="24"/>
  <c r="V24" i="24"/>
  <c r="J21" i="22"/>
  <c r="O22" i="30" l="1"/>
  <c r="V25" i="24"/>
  <c r="W24" i="24"/>
  <c r="X24" i="24"/>
  <c r="Y26" i="24"/>
  <c r="Z25" i="24"/>
  <c r="J22" i="22"/>
  <c r="O23" i="30"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30" l="1"/>
  <c r="Y28" i="24"/>
  <c r="Z27" i="24"/>
  <c r="V27" i="24"/>
  <c r="X26" i="24"/>
  <c r="W26" i="24"/>
  <c r="J24" i="22"/>
  <c r="O25" i="30" l="1"/>
  <c r="W27" i="24"/>
  <c r="X27" i="24"/>
  <c r="V28" i="24"/>
  <c r="Y29" i="24"/>
  <c r="Z28" i="24"/>
  <c r="J25" i="22"/>
  <c r="O26" i="30" l="1"/>
  <c r="Y30" i="24"/>
  <c r="Z29" i="24"/>
  <c r="X28" i="24"/>
  <c r="W28" i="24"/>
  <c r="V29" i="24"/>
  <c r="J26" i="22"/>
  <c r="O27" i="30" l="1"/>
  <c r="V30" i="24"/>
  <c r="X29" i="24"/>
  <c r="W29" i="24"/>
  <c r="Z30" i="24"/>
  <c r="Y31" i="24"/>
  <c r="J27" i="22"/>
  <c r="O28" i="30" l="1"/>
  <c r="Y32" i="24"/>
  <c r="Z31" i="24"/>
  <c r="X30" i="24"/>
  <c r="W30" i="24"/>
  <c r="V31" i="24"/>
  <c r="J28" i="22"/>
  <c r="O29" i="30" l="1"/>
  <c r="W31" i="24"/>
  <c r="V32" i="24"/>
  <c r="X31" i="24"/>
  <c r="Y33" i="24"/>
  <c r="Z32" i="24"/>
  <c r="J29" i="22"/>
  <c r="O30" i="30" l="1"/>
  <c r="Y34" i="24"/>
  <c r="Z33" i="24"/>
  <c r="W32" i="24"/>
  <c r="X32" i="24"/>
  <c r="V33" i="24"/>
  <c r="J30" i="22"/>
  <c r="O31" i="30" l="1"/>
  <c r="V34" i="24"/>
  <c r="X33" i="24"/>
  <c r="W33" i="24"/>
  <c r="Z34" i="24"/>
  <c r="Y35" i="24"/>
  <c r="J31" i="22"/>
  <c r="O32" i="30" l="1"/>
  <c r="Y36" i="24"/>
  <c r="Z35" i="24"/>
  <c r="X34" i="24"/>
  <c r="V35" i="24"/>
  <c r="W34" i="24"/>
  <c r="J32" i="22"/>
  <c r="O33" i="30" l="1"/>
  <c r="W35" i="24"/>
  <c r="V36" i="24"/>
  <c r="X35" i="24"/>
  <c r="Y37" i="24"/>
  <c r="Z36" i="24"/>
  <c r="J33" i="22"/>
  <c r="O34" i="30" l="1"/>
  <c r="Y38" i="24"/>
  <c r="Z37" i="24"/>
  <c r="X36" i="24"/>
  <c r="V37" i="24"/>
  <c r="W36" i="24"/>
  <c r="J34" i="22"/>
  <c r="O35" i="30" l="1"/>
  <c r="V38" i="24"/>
  <c r="X37" i="24"/>
  <c r="W37" i="24"/>
  <c r="Z38" i="24"/>
  <c r="Y39" i="24"/>
  <c r="J35" i="22"/>
  <c r="O36" i="30" l="1"/>
  <c r="P35" i="30"/>
  <c r="Y40" i="24"/>
  <c r="Z39" i="24"/>
  <c r="X38" i="24"/>
  <c r="V39" i="24"/>
  <c r="W38" i="24"/>
  <c r="J36" i="22"/>
  <c r="Q35" i="30" l="1"/>
  <c r="P36" i="30"/>
  <c r="Q36" i="30" s="1"/>
  <c r="P7" i="30"/>
  <c r="P4" i="30"/>
  <c r="P3" i="30"/>
  <c r="P5" i="30"/>
  <c r="P6" i="30"/>
  <c r="P8" i="30"/>
  <c r="P9" i="30"/>
  <c r="P10" i="30"/>
  <c r="P11" i="30"/>
  <c r="P12" i="30"/>
  <c r="P13" i="30"/>
  <c r="P14" i="30"/>
  <c r="P15" i="30"/>
  <c r="P16" i="30"/>
  <c r="P17" i="30"/>
  <c r="P18" i="30"/>
  <c r="P19" i="30"/>
  <c r="P20" i="30"/>
  <c r="P21" i="30"/>
  <c r="P22" i="30"/>
  <c r="P23" i="30"/>
  <c r="P24" i="30"/>
  <c r="P25" i="30"/>
  <c r="P26" i="30"/>
  <c r="P27" i="30"/>
  <c r="P28" i="30"/>
  <c r="P29" i="30"/>
  <c r="P30" i="30"/>
  <c r="P31" i="30"/>
  <c r="P32" i="30"/>
  <c r="P33" i="30"/>
  <c r="P34" i="30"/>
  <c r="W39" i="24"/>
  <c r="X39" i="24"/>
  <c r="V40" i="24"/>
  <c r="Y41" i="24"/>
  <c r="Z40" i="24"/>
  <c r="J37" i="22"/>
  <c r="S31" i="30" l="1"/>
  <c r="Q31" i="30"/>
  <c r="S12" i="30"/>
  <c r="Q12" i="30"/>
  <c r="S19" i="30"/>
  <c r="Q19" i="30"/>
  <c r="S34" i="30"/>
  <c r="Q34" i="30"/>
  <c r="R33" i="30" s="1"/>
  <c r="S28" i="30"/>
  <c r="Q28" i="30"/>
  <c r="R27" i="30" s="1"/>
  <c r="S18" i="30"/>
  <c r="Q18" i="30"/>
  <c r="S16" i="30"/>
  <c r="Q16" i="30"/>
  <c r="R15" i="30" s="1"/>
  <c r="S14" i="30"/>
  <c r="Q14" i="30"/>
  <c r="R13" i="30" s="1"/>
  <c r="R35" i="30"/>
  <c r="S17" i="30"/>
  <c r="Q17" i="30"/>
  <c r="R16" i="30" s="1"/>
  <c r="S15" i="30"/>
  <c r="Q15" i="30"/>
  <c r="S33" i="30"/>
  <c r="Q33" i="30"/>
  <c r="S13" i="30"/>
  <c r="Q13" i="30"/>
  <c r="R12" i="30" s="1"/>
  <c r="S32" i="30"/>
  <c r="Q32" i="30"/>
  <c r="R31" i="30" s="1"/>
  <c r="S11" i="30"/>
  <c r="Q11" i="30"/>
  <c r="S30" i="30"/>
  <c r="Q30" i="30"/>
  <c r="S10" i="30"/>
  <c r="Q10" i="30"/>
  <c r="S29" i="30"/>
  <c r="Q29" i="30"/>
  <c r="R28" i="30" s="1"/>
  <c r="S9" i="30"/>
  <c r="Q9" i="30"/>
  <c r="S8" i="30"/>
  <c r="Q8" i="30"/>
  <c r="S27" i="30"/>
  <c r="Q27" i="30"/>
  <c r="S6" i="30"/>
  <c r="Q6" i="30"/>
  <c r="S26" i="30"/>
  <c r="Q26" i="30"/>
  <c r="S5" i="30"/>
  <c r="Q5" i="30"/>
  <c r="S25" i="30"/>
  <c r="Q25" i="30"/>
  <c r="S3" i="30"/>
  <c r="Q3" i="30"/>
  <c r="S24" i="30"/>
  <c r="Q24" i="30"/>
  <c r="S4" i="30"/>
  <c r="Q4" i="30"/>
  <c r="R3" i="30" s="1"/>
  <c r="S23" i="30"/>
  <c r="Q23" i="30"/>
  <c r="R22" i="30" s="1"/>
  <c r="S7" i="30"/>
  <c r="Q7" i="30"/>
  <c r="R6" i="30" s="1"/>
  <c r="S22" i="30"/>
  <c r="Q22" i="30"/>
  <c r="S21" i="30"/>
  <c r="Q21" i="30"/>
  <c r="S20" i="30"/>
  <c r="Q20" i="30"/>
  <c r="S35" i="30"/>
  <c r="V41" i="24"/>
  <c r="X40" i="24"/>
  <c r="W40" i="24"/>
  <c r="Y42" i="24"/>
  <c r="Z41" i="24"/>
  <c r="J38" i="22"/>
  <c r="R34" i="30" l="1"/>
  <c r="R19" i="30"/>
  <c r="R9" i="30"/>
  <c r="R8" i="30"/>
  <c r="R5" i="30"/>
  <c r="R23" i="30"/>
  <c r="R29" i="30"/>
  <c r="R24" i="30"/>
  <c r="R18" i="30"/>
  <c r="R11" i="30"/>
  <c r="R7" i="30"/>
  <c r="R17" i="30"/>
  <c r="R4" i="30"/>
  <c r="R25" i="30"/>
  <c r="R20" i="30"/>
  <c r="R32" i="30"/>
  <c r="R21" i="30"/>
  <c r="R14" i="30"/>
  <c r="R30" i="30"/>
  <c r="R10" i="30"/>
  <c r="R26" i="30"/>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<sst xmlns="http://schemas.openxmlformats.org/spreadsheetml/2006/main" count="1211" uniqueCount="411">
  <si>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</si>
  <si>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</si>
  <si>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</si>
  <si>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</si>
  <si>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</si>
  <si>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</si>
  <si>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</si>
  <si>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</si>
  <si>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</si>
  <si>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</si>
  <si>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</si>
  <si>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</si>
  <si>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</si>
  <si>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</si>
  <si>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</si>
  <si>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</si>
  <si>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</si>
  <si>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</si>
  <si>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</si>
  <si>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</si>
  <si>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</si>
  <si>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</si>
  <si>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</si>
  <si>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</si>
  <si>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</si>
  <si>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</si>
  <si>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</si>
  <si>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</si>
  <si>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</si>
  <si>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</si>
  <si>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</si>
  <si>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</si>
  <si>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</si>
  <si>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</si>
  <si>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</si>
  <si>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</si>
  <si>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</si>
  <si>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</si>
  <si>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</si>
  <si>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</si>
  <si>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</si>
  <si>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</si>
  <si>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</si>
  <si>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</si>
  <si>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</si>
  <si>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</si>
  <si>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</si>
  <si>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</si>
  <si>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</si>
  <si>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</si>
  <si>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</si>
  <si>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</si>
  <si>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</si>
  <si>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</si>
  <si>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</si>
  <si>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</si>
  <si>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</si>
  <si>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</si>
  <si>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</si>
  <si>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</si>
  <si>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</si>
  <si>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</si>
  <si>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</si>
  <si>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</si>
  <si>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</si>
  <si>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</si>
  <si>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</si>
  <si>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</si>
  <si>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</si>
  <si>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</si>
  <si>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</si>
  <si>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</si>
  <si>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</si>
  <si>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</si>
  <si>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</si>
  <si>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</si>
  <si>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</si>
  <si>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</si>
  <si>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</si>
  <si>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</si>
  <si>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</si>
  <si>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</si>
  <si>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</si>
  <si>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</si>
  <si>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</si>
  <si>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</si>
  <si>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</si>
  <si>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</si>
  <si>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</si>
  <si>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</si>
  <si>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</si>
  <si>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</si>
  <si>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</si>
  <si>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</si>
  <si>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</si>
  <si>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</si>
  <si>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</si>
  <si>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</si>
  <si>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</si>
  <si>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</si>
  <si>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</si>
  <si>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</si>
  <si>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</si>
  <si>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</si>
  <si>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</si>
  <si>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</si>
  <si>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</si>
  <si>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</si>
  <si>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</si>
  <si>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</si>
  <si>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</si>
  <si>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</si>
  <si>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</si>
  <si>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</si>
  <si>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</si>
  <si>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</si>
  <si>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</si>
  <si>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</si>
  <si>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</si>
  <si>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</si>
  <si>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</si>
  <si>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</si>
  <si>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</si>
  <si>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</si>
  <si>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</si>
  <si>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</si>
  <si>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</si>
  <si>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</si>
  <si>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</si>
  <si>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</si>
  <si>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</si>
  <si>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</si>
  <si>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</si>
  <si>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</si>
  <si>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</si>
  <si>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</si>
  <si>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</si>
  <si>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</si>
  <si>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</si>
  <si>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</si>
  <si>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</si>
  <si>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</si>
  <si>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</si>
  <si>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</si>
  <si>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</si>
  <si>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</si>
  <si>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</si>
  <si>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</si>
  <si>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</si>
  <si>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</si>
  <si>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</si>
  <si>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</si>
  <si>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</si>
  <si>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</si>
  <si>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</si>
  <si>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</si>
  <si>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</si>
  <si>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</si>
  <si>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</si>
  <si>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</si>
  <si>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</si>
  <si>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</si>
  <si>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</si>
  <si>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</si>
  <si>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</si>
  <si>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</si>
  <si>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</si>
  <si>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</si>
  <si>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</si>
  <si>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</si>
  <si>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</si>
  <si>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</si>
  <si>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</si>
  <si>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</si>
  <si>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</si>
  <si>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</si>
  <si>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</si>
  <si>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</si>
  <si>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</si>
  <si>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</si>
  <si>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</si>
  <si>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</si>
  <si>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</si>
  <si>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</si>
  <si>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</si>
  <si>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</si>
  <si>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</si>
  <si>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</si>
  <si>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</si>
  <si>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</si>
  <si>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</si>
  <si>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</si>
  <si>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</si>
  <si>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</si>
  <si>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</si>
  <si>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</si>
  <si>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</si>
  <si>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</si>
  <si>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</si>
  <si>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</si>
  <si>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</si>
  <si>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</si>
  <si>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</si>
  <si>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</si>
  <si>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</si>
  <si>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</si>
  <si>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</si>
  <si>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</si>
  <si>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</si>
  <si>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</si>
  <si>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</si>
  <si>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</si>
  <si>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</si>
  <si>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</si>
  <si>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</si>
  <si>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</si>
  <si>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</si>
  <si>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</si>
  <si>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</si>
  <si>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</si>
  <si>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</si>
  <si>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</si>
  <si>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</si>
  <si>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</si>
  <si>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</si>
  <si>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</si>
  <si>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</si>
  <si>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</si>
  <si>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</si>
  <si>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</si>
  <si>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</si>
  <si>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</si>
  <si>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</si>
  <si>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</si>
  <si>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</si>
  <si>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</si>
  <si>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</si>
  <si>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</si>
  <si>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</si>
  <si>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</si>
  <si>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</si>
  <si>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</si>
  <si>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</si>
  <si>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</si>
  <si>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</si>
  <si>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</si>
  <si>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</si>
  <si>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</si>
  <si>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</si>
  <si>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</si>
  <si>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</si>
  <si>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</si>
  <si>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</si>
  <si>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</si>
  <si>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</si>
  <si>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</si>
  <si>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</si>
  <si>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</si>
  <si>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</si>
  <si>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</si>
  <si>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</si>
  <si>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</si>
  <si>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</si>
  <si>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</si>
  <si>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</si>
  <si>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</si>
  <si>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</si>
  <si>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</si>
  <si>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</si>
  <si>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</si>
  <si>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</si>
  <si>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</si>
  <si>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</si>
  <si>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</si>
  <si>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</si>
  <si>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</si>
  <si>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</si>
  <si>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</si>
  <si>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</si>
  <si>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</si>
  <si>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</si>
  <si>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</si>
  <si>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</si>
  <si>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</si>
  <si>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</si>
  <si>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</si>
  <si>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</si>
  <si>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</si>
  <si>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</si>
  <si>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</si>
  <si>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</si>
  <si>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</si>
  <si>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</si>
  <si>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</si>
  <si>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</si>
  <si>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</si>
  <si>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</si>
  <si>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</si>
  <si>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</si>
  <si>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</si>
  <si>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</si>
  <si>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</si>
  <si>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</si>
  <si>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</si>
  <si>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</si>
  <si>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</si>
  <si>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</si>
  <si>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</si>
  <si>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</si>
  <si>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</si>
  <si>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</si>
  <si>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</si>
  <si>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</si>
  <si>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</si>
  <si>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</si>
  <si>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</si>
  <si>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</si>
  <si>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</si>
  <si>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</si>
  <si>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</si>
  <si>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</si>
  <si>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</si>
  <si>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</si>
  <si>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</si>
  <si>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</si>
  <si>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</si>
  <si>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</si>
  <si>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</si>
  <si>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</si>
  <si>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</si>
  <si>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</si>
  <si>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</si>
  <si>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</si>
  <si>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</si>
  <si>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</si>
  <si>
    <t>LikelihoodInputs</t>
  </si>
  <si>
    <t>Parameters needed for model fitting, but not used for HIV epidemic model simulation otherwise.</t>
  </si>
  <si>
    <t>FittingInputs</t>
  </si>
  <si>
    <t>Tab used for initializing model fitting</t>
  </si>
  <si>
    <t>Renamed "FittingParams" to "FittingInputs" for consistency with other tab names.</t>
  </si>
  <si>
    <t>Added an "LikelihoodInputs" to store ANC likelihood inputs separate from the "FittingInputs" tab.</t>
  </si>
  <si>
    <t>Sorted this sheet so that the newest items are on top.</t>
  </si>
  <si>
    <t>INITIAL VALUE</t>
  </si>
  <si>
    <t>PRIOR</t>
  </si>
  <si>
    <t>PARAMETER 1</t>
  </si>
  <si>
    <t>PARAMETER 2</t>
  </si>
  <si>
    <t>USE IN FIT?</t>
  </si>
  <si>
    <t>VISUALIZATION DATA</t>
  </si>
  <si>
    <t>Epidemiological inputs</t>
  </si>
  <si>
    <t>Beta</t>
  </si>
  <si>
    <t>Shape</t>
  </si>
  <si>
    <t>Used for proportions</t>
  </si>
  <si>
    <t>Index</t>
  </si>
  <si>
    <t>CDF</t>
  </si>
  <si>
    <t>Prob</t>
  </si>
  <si>
    <t>Label</t>
  </si>
  <si>
    <t>Initial epidemic pulse</t>
  </si>
  <si>
    <t>This must be expressed as a proportion, not a percentage</t>
  </si>
  <si>
    <t>Gamma</t>
  </si>
  <si>
    <t>Rate</t>
  </si>
  <si>
    <t>Used for non-negative values</t>
  </si>
  <si>
    <t>Odds ratio of male-to-female transmission relative to female-to-male</t>
  </si>
  <si>
    <t>Lognormal</t>
  </si>
  <si>
    <t>Normal</t>
  </si>
  <si>
    <t>Std. Dev.</t>
  </si>
  <si>
    <t>Used for values that can be positive or negative</t>
  </si>
  <si>
    <t>HIV fertility reduction local adjustment factor</t>
  </si>
  <si>
    <t>hiv.frr.laf</t>
  </si>
  <si>
    <t>Used for non-negative values. Mean and standard deviation are on log scale.</t>
  </si>
  <si>
    <t>Behavioral inputs</t>
  </si>
  <si>
    <t>lt.partner.f</t>
  </si>
  <si>
    <t>lt.partner.m</t>
  </si>
  <si>
    <t>Likelihood model parameters</t>
  </si>
  <si>
    <t>Select a parameter to display</t>
  </si>
  <si>
    <t>ATTRIBUTE</t>
  </si>
  <si>
    <t>Distribution</t>
  </si>
  <si>
    <t>Parameter 1</t>
  </si>
  <si>
    <t>Parameter 2</t>
  </si>
  <si>
    <t>Initial value</t>
  </si>
  <si>
    <t>Mode</t>
  </si>
  <si>
    <t>Q02.5%</t>
  </si>
  <si>
    <t>Q97.5%</t>
  </si>
  <si>
    <t>Overhauled the FittingInputs tab.</t>
  </si>
  <si>
    <t>Average age at partner acquisition, rescaled from [15,80) to [0,1).</t>
  </si>
  <si>
    <t>partner.age.mean.f</t>
  </si>
  <si>
    <t>partner.age.mean.m</t>
  </si>
  <si>
    <t>partner.age.scale.f</t>
  </si>
  <si>
    <t>partner.age.scale.m</t>
  </si>
  <si>
    <t>Expanded the set of parameters that can be adjusted via the FittingInputs tab.</t>
  </si>
  <si>
    <t>Female-to-male transmission probability per coital act</t>
  </si>
  <si>
    <t>Lifetime exposure to non-cohabiting partners, women</t>
  </si>
  <si>
    <t>Fitting sets this constant over time.</t>
  </si>
  <si>
    <t>Lifetime exposure to non-cohabiting partners, men</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</si>
  <si>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</si>
  <si>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</si>
  <si>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</si>
  <si>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</si>
  <si>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</si>
  <si>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Expressed as a rate ratio relative to never married people of the same gender.</t>
  </si>
  <si>
    <t>partner.pop.fsw</t>
  </si>
  <si>
    <t>Partnership exposure by population, male clients of FSW</t>
  </si>
  <si>
    <t>partner.pop.client</t>
  </si>
  <si>
    <t>The denominator should include men and women</t>
  </si>
  <si>
    <t>Changed notes from sex to gender in PopSizeInputs.</t>
  </si>
  <si>
    <t>Added the transmission probability per coital act to the FittingInputs tab.</t>
  </si>
  <si>
    <t>PopSizeInputs: fixed tooltips for FWID and MWID.</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</si>
  <si>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</si>
  <si>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</si>
  <si>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ProgMapping</t>
  </si>
  <si>
    <t>Mapping of HIV disease progression and mortality rates from AIM to Goals ARM CD4 categories</t>
  </si>
  <si>
    <t>Added a description of the ProgMapping tab to the README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</si>
</sst>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b/>
      <i/>
      <sz val="11"/>
      <color theme="2" tint="-0.499984740745262"/>
      <name val="Calibri"/>
      <family val="2"/>
      <scheme val="minor"/>
    </font>
    <font>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362">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xf numFmtId="167" fontId="0" fillId="3" borderId="7" xfId="0" applyNumberFormat="1" applyFill="1" applyBorder="1"/>
    <xf numFmtId="0" fontId="0" fillId="2" borderId="0" xfId="0" applyFill="1"/>
    <xf numFmtId="0" fontId="23" fillId="3" borderId="1" xfId="0" applyFont="1" applyFill="1" applyBorder="1"/>
    <xf numFmtId="0" fontId="24" fillId="3" borderId="1" xfId="0" applyFont="1" applyFill="1" applyBorder="1"/>
    <xf numFmtId="167" fontId="24" fillId="0" borderId="1" xfId="0" applyNumberFormat="1" applyFont="1" applyBorder="1"/>
    <xf numFmtId="167" fontId="0" fillId="0" borderId="9" xfId="0" applyNumberFormat="1" applyBorder="1"/>
    <xf numFmtId="0" fontId="0" fillId="3" borderId="1" xfId="0" applyFill="1" applyBorder="1" applyAlignment="1">
      <alignment vertical="top"/>
    </xf>
    <xf numFmtId="167" fontId="0" fillId="2" borderId="0" xfId="0" applyNumberFormat="1" applyFill="1"/>
    <xf numFmtId="0" fontId="24" fillId="0" borderId="1" xfId="0" applyFont="1" applyBorder="1"/>
    <xf numFmtId="167" fontId="4" fillId="2" borderId="0" xfId="0" applyNumberFormat="1" applyFont="1" applyFill="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2" fillId="4" borderId="55" xfId="0" applyFont="1" applyFill="1" applyBorder="1" applyAlignment="1">
      <alignment horizontal="center"/>
    </xf>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3" borderId="7" xfId="0" applyFill="1" applyBorder="1" applyAlignment="1">
      <alignment vertical="top" wrapText="1"/>
    </xf>
    <xf numFmtId="0" fontId="0" fillId="0" borderId="9" xfId="0" applyBorder="1" applyAlignment="1">
      <alignment vertical="top" wrapText="1"/>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0" fillId="2" borderId="63" xfId="0" applyFill="1" applyBorder="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FittingInputs!$E$44</c:f>
              <c:strCache>
                <c:ptCount val="1"/>
                <c:pt idx="0">
                  <c:v>Initial epidemic pulse</c:v>
                </c:pt>
              </c:strCache>
            </c:strRef>
          </c:tx>
          <c:spPr>
            <a:solidFill>
              <a:schemeClr val="accent1"/>
            </a:solidFill>
            <a:ln>
              <a:solidFill>
                <a:schemeClr val="tx1"/>
              </a:solidFill>
            </a:ln>
            <a:effectLst/>
          </c:spPr>
          <c:invertIfNegative val="0"/>
          <c:cat>
            <c:numRef>
              <c:f>FittingInputs!$S$3:$S$35</c:f>
              <c:numCache>
                <c:formatCode>0.0000</c:formatCode>
                <c:ptCount val="33"/>
                <c:pt idx="0">
                  <c:v>6.1045037973449017E-4</c:v>
                </c:pt>
                <c:pt idx="1">
                  <c:v>6.7654410594725971E-4</c:v>
                </c:pt>
                <c:pt idx="2">
                  <c:v>7.4263783216002913E-4</c:v>
                </c:pt>
                <c:pt idx="3">
                  <c:v>8.0873155837279855E-4</c:v>
                </c:pt>
                <c:pt idx="4">
                  <c:v>8.7482528458556808E-4</c:v>
                </c:pt>
                <c:pt idx="5">
                  <c:v>9.4091901079833751E-4</c:v>
                </c:pt>
                <c:pt idx="6">
                  <c:v>1.0070127370111069E-3</c:v>
                </c:pt>
                <c:pt idx="7">
                  <c:v>1.0731064632238762E-3</c:v>
                </c:pt>
                <c:pt idx="8">
                  <c:v>1.139200189436646E-3</c:v>
                </c:pt>
                <c:pt idx="9">
                  <c:v>1.2052939156494153E-3</c:v>
                </c:pt>
                <c:pt idx="10">
                  <c:v>1.2713876418621846E-3</c:v>
                </c:pt>
                <c:pt idx="11">
                  <c:v>1.3374813680749542E-3</c:v>
                </c:pt>
                <c:pt idx="12">
                  <c:v>1.4035750942877237E-3</c:v>
                </c:pt>
                <c:pt idx="13">
                  <c:v>1.469668820500493E-3</c:v>
                </c:pt>
                <c:pt idx="14">
                  <c:v>1.5357625467132623E-3</c:v>
                </c:pt>
                <c:pt idx="15">
                  <c:v>1.6018562729260321E-3</c:v>
                </c:pt>
                <c:pt idx="16">
                  <c:v>1.6679499991388014E-3</c:v>
                </c:pt>
                <c:pt idx="17">
                  <c:v>1.7340437253515707E-3</c:v>
                </c:pt>
                <c:pt idx="18">
                  <c:v>1.8001374515643404E-3</c:v>
                </c:pt>
                <c:pt idx="19">
                  <c:v>1.8662311777771098E-3</c:v>
                </c:pt>
                <c:pt idx="20">
                  <c:v>1.9323249039898791E-3</c:v>
                </c:pt>
                <c:pt idx="21">
                  <c:v>1.9984186302026484E-3</c:v>
                </c:pt>
                <c:pt idx="22">
                  <c:v>2.0645123564154181E-3</c:v>
                </c:pt>
                <c:pt idx="23">
                  <c:v>2.1306060826281874E-3</c:v>
                </c:pt>
                <c:pt idx="24">
                  <c:v>2.1966998088409572E-3</c:v>
                </c:pt>
                <c:pt idx="25">
                  <c:v>2.2627935350537265E-3</c:v>
                </c:pt>
                <c:pt idx="26">
                  <c:v>2.3288872612664958E-3</c:v>
                </c:pt>
                <c:pt idx="27">
                  <c:v>2.3949809874792651E-3</c:v>
                </c:pt>
                <c:pt idx="28">
                  <c:v>2.4610747136920349E-3</c:v>
                </c:pt>
                <c:pt idx="29">
                  <c:v>2.5271684399048042E-3</c:v>
                </c:pt>
                <c:pt idx="30">
                  <c:v>2.5932621661175735E-3</c:v>
                </c:pt>
                <c:pt idx="31">
                  <c:v>2.6593558923303428E-3</c:v>
                </c:pt>
                <c:pt idx="32">
                  <c:v>2.7254496185431126E-3</c:v>
                </c:pt>
              </c:numCache>
            </c:numRef>
          </c:cat>
          <c:val>
            <c:numRef>
              <c:f>FittingInputs!$R$3:$R$35</c:f>
              <c:numCache>
                <c:formatCode>0.0000</c:formatCode>
                <c:ptCount val="33"/>
                <c:pt idx="0">
                  <c:v>1.5415730033570222E-2</c:v>
                </c:pt>
                <c:pt idx="1">
                  <c:v>2.0519906316789863E-2</c:v>
                </c:pt>
                <c:pt idx="2">
                  <c:v>2.5857414078457396E-2</c:v>
                </c:pt>
                <c:pt idx="3">
                  <c:v>3.1133363545912632E-2</c:v>
                </c:pt>
                <c:pt idx="4">
                  <c:v>3.6073451053717995E-2</c:v>
                </c:pt>
                <c:pt idx="5">
                  <c:v>4.0447214994619202E-2</c:v>
                </c:pt>
                <c:pt idx="6">
                  <c:v>4.4081605804349444E-2</c:v>
                </c:pt>
                <c:pt idx="7">
                  <c:v>4.6865842776108113E-2</c:v>
                </c:pt>
                <c:pt idx="8">
                  <c:v>4.8749368218499955E-2</c:v>
                </c:pt>
                <c:pt idx="9">
                  <c:v>4.9734981585511207E-2</c:v>
                </c:pt>
                <c:pt idx="10">
                  <c:v>4.9869133855728109E-2</c:v>
                </c:pt>
                <c:pt idx="11">
                  <c:v>4.9231050205557514E-2</c:v>
                </c:pt>
                <c:pt idx="12">
                  <c:v>4.7921950828864579E-2</c:v>
                </c:pt>
                <c:pt idx="13">
                  <c:v>4.6055238728349712E-2</c:v>
                </c:pt>
                <c:pt idx="14">
                  <c:v>4.3748168214965855E-2</c:v>
                </c:pt>
                <c:pt idx="15">
                  <c:v>4.1115221673177715E-2</c:v>
                </c:pt>
                <c:pt idx="16">
                  <c:v>3.8263210303302486E-2</c:v>
                </c:pt>
                <c:pt idx="17">
                  <c:v>3.528797176794285E-2</c:v>
                </c:pt>
                <c:pt idx="18">
                  <c:v>3.2272453146632518E-2</c:v>
                </c:pt>
                <c:pt idx="19">
                  <c:v>2.9285928567310604E-2</c:v>
                </c:pt>
                <c:pt idx="20">
                  <c:v>2.6384094825308235E-2</c:v>
                </c:pt>
                <c:pt idx="21">
                  <c:v>2.3609804211707552E-2</c:v>
                </c:pt>
                <c:pt idx="22">
                  <c:v>2.0994222687083064E-2</c:v>
                </c:pt>
                <c:pt idx="23">
                  <c:v>1.8558236618922086E-2</c:v>
                </c:pt>
                <c:pt idx="24">
                  <c:v>1.6313967676561791E-2</c:v>
                </c:pt>
                <c:pt idx="25">
                  <c:v>1.4266289928920872E-2</c:v>
                </c:pt>
                <c:pt idx="26">
                  <c:v>1.2414273815273602E-2</c:v>
                </c:pt>
                <c:pt idx="27">
                  <c:v>1.0752507538952516E-2</c:v>
                </c:pt>
                <c:pt idx="28">
                  <c:v>9.2722673416507639E-3</c:v>
                </c:pt>
                <c:pt idx="29">
                  <c:v>7.9625242788594619E-3</c:v>
                </c:pt>
                <c:pt idx="30">
                  <c:v>6.8107870294500383E-3</c:v>
                </c:pt>
                <c:pt idx="31">
                  <c:v>5.8037885599682149E-3</c:v>
                </c:pt>
                <c:pt idx="32">
                  <c:v>4.92802978797513E-3</c:v>
                </c:pt>
              </c:numCache>
            </c:numRef>
          </c:val>
          <c:extLst>
            <c:ext xmlns:c16="http://schemas.microsoft.com/office/drawing/2014/chart" uri="{C3380CC4-5D6E-409C-BE32-E72D297353CC}">
              <c16:uniqueId val="{00000000-A168-44CF-B6E1-704A72D2DC4D}"/>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24</xdr:row>
      <xdr:rowOff>0</xdr:rowOff>
    </xdr:from>
    <xdr:to>
      <xdr:col>8</xdr:col>
      <xdr:colOff>0</xdr:colOff>
      <xdr:row>43</xdr:row>
      <xdr:rowOff>0</xdr:rowOff>
    </xdr:to>
    <xdr:graphicFrame macro="">
      <xdr:nvGraphicFramePr>
        <xdr:cNvPr id="2" name="Chart 1">
          <a:extLst>
            <a:ext uri="{FF2B5EF4-FFF2-40B4-BE49-F238E27FC236}">
              <a16:creationId xmlns:a16="http://schemas.microsoft.com/office/drawing/2014/main" id="{BAFB5068-3A28-41FA-8998-7C26DFBBC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Proj\Repositories\GoalsARMPython\inputs\mwi-2023-inputs.xlsx" TargetMode="External"/><Relationship Id="rId1" Type="http://schemas.openxmlformats.org/officeDocument/2006/relationships/externalLinkPath" Target="mwi-2023-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Changelog"/>
      <sheetName val="Config"/>
      <sheetName val="FertilityInputs"/>
      <sheetName val="MigrInputs"/>
      <sheetName val="PopSizeInputs"/>
      <sheetName val="DirectIncidenceInputs"/>
      <sheetName val="PartnershipInputs"/>
      <sheetName val="MixingMatrix"/>
      <sheetName val="ContactInputs"/>
      <sheetName val="EpiInputs"/>
      <sheetName val="HIVDiseaseInputs"/>
      <sheetName val="HIVFertilityInputs"/>
      <sheetName val="ARTAdultInputs"/>
      <sheetName val="MCInputs"/>
      <sheetName val="DirectCLHIV"/>
      <sheetName val="LikelihoodInputs"/>
      <sheetName val="FittingInputs"/>
      <sheetName val="SheetData"/>
      <sheetName val="ProgMapp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3">
          <cell r="R3">
            <v>2.7532235106397029E-2</v>
          </cell>
          <cell r="S3">
            <v>4.2116141048316962</v>
          </cell>
        </row>
        <row r="4">
          <cell r="R4">
            <v>3.9084134808305859E-2</v>
          </cell>
          <cell r="S4">
            <v>4.9241596224102215</v>
          </cell>
        </row>
        <row r="5">
          <cell r="R5">
            <v>4.8966071857450097E-2</v>
          </cell>
          <cell r="S5">
            <v>5.6367051399887469</v>
          </cell>
        </row>
        <row r="6">
          <cell r="R6">
            <v>5.6241684602195807E-2</v>
          </cell>
          <cell r="S6">
            <v>6.3492506575672714</v>
          </cell>
        </row>
        <row r="7">
          <cell r="R7">
            <v>6.0684418778486932E-2</v>
          </cell>
          <cell r="S7">
            <v>7.0617961751457967</v>
          </cell>
        </row>
        <row r="8">
          <cell r="R8">
            <v>6.2523180512375043E-2</v>
          </cell>
          <cell r="S8">
            <v>7.7743416927243212</v>
          </cell>
        </row>
        <row r="9">
          <cell r="R9">
            <v>6.221150184429286E-2</v>
          </cell>
          <cell r="S9">
            <v>8.4868872103028465</v>
          </cell>
        </row>
        <row r="10">
          <cell r="R10">
            <v>6.0267647792073886E-2</v>
          </cell>
          <cell r="S10">
            <v>9.1994327278813728</v>
          </cell>
        </row>
        <row r="11">
          <cell r="R11">
            <v>5.7182071878098983E-2</v>
          </cell>
          <cell r="S11">
            <v>9.9119782454598955</v>
          </cell>
        </row>
        <row r="12">
          <cell r="R12">
            <v>5.3373618812891377E-2</v>
          </cell>
          <cell r="S12">
            <v>10.624523763038422</v>
          </cell>
        </row>
        <row r="13">
          <cell r="R13">
            <v>4.9176057791754491E-2</v>
          </cell>
          <cell r="S13">
            <v>11.337069280616948</v>
          </cell>
        </row>
        <row r="14">
          <cell r="R14">
            <v>4.4841202258204205E-2</v>
          </cell>
          <cell r="S14">
            <v>12.049614798195472</v>
          </cell>
        </row>
        <row r="15">
          <cell r="R15">
            <v>4.0549698799889566E-2</v>
          </cell>
          <cell r="S15">
            <v>12.762160315773997</v>
          </cell>
        </row>
        <row r="16">
          <cell r="R16">
            <v>3.6424258288796141E-2</v>
          </cell>
          <cell r="S16">
            <v>13.474705833352523</v>
          </cell>
        </row>
        <row r="17">
          <cell r="R17">
            <v>3.2542564619831849E-2</v>
          </cell>
          <cell r="S17">
            <v>14.187251350931048</v>
          </cell>
        </row>
        <row r="18">
          <cell r="R18">
            <v>2.8948599692643184E-2</v>
          </cell>
          <cell r="S18">
            <v>14.899796868509572</v>
          </cell>
        </row>
        <row r="19">
          <cell r="R19">
            <v>2.5661973462067889E-2</v>
          </cell>
          <cell r="S19">
            <v>15.612342386088097</v>
          </cell>
        </row>
        <row r="20">
          <cell r="R20">
            <v>2.2685288430832617E-2</v>
          </cell>
          <cell r="S20">
            <v>16.324887903666621</v>
          </cell>
        </row>
        <row r="21">
          <cell r="R21">
            <v>2.0009767433474712E-2</v>
          </cell>
          <cell r="S21">
            <v>17.037433421245147</v>
          </cell>
        </row>
        <row r="22">
          <cell r="R22">
            <v>1.7619439743416399E-2</v>
          </cell>
          <cell r="S22">
            <v>17.749978938823674</v>
          </cell>
        </row>
        <row r="23">
          <cell r="R23">
            <v>1.5494178542982517E-2</v>
          </cell>
          <cell r="S23">
            <v>18.4625244564022</v>
          </cell>
        </row>
        <row r="24">
          <cell r="R24">
            <v>1.3611850062258291E-2</v>
          </cell>
          <cell r="S24">
            <v>19.175069973980722</v>
          </cell>
        </row>
        <row r="25">
          <cell r="R25">
            <v>1.1949791610722849E-2</v>
          </cell>
          <cell r="S25">
            <v>19.887615491559249</v>
          </cell>
        </row>
        <row r="26">
          <cell r="R26">
            <v>1.0485792638901703E-2</v>
          </cell>
          <cell r="S26">
            <v>20.600161009137771</v>
          </cell>
        </row>
        <row r="27">
          <cell r="R27">
            <v>9.1987145308597418E-3</v>
          </cell>
          <cell r="S27">
            <v>21.312706526716298</v>
          </cell>
        </row>
        <row r="28">
          <cell r="R28">
            <v>8.0688526287665541E-3</v>
          </cell>
          <cell r="S28">
            <v>22.025252044294824</v>
          </cell>
        </row>
        <row r="29">
          <cell r="R29">
            <v>7.0781180667579546E-3</v>
          </cell>
          <cell r="S29">
            <v>22.73779756187335</v>
          </cell>
        </row>
        <row r="30">
          <cell r="R30">
            <v>6.2100966853526618E-3</v>
          </cell>
          <cell r="S30">
            <v>23.450343079451873</v>
          </cell>
        </row>
        <row r="31">
          <cell r="R31">
            <v>5.4500267123535062E-3</v>
          </cell>
          <cell r="S31">
            <v>24.162888597030395</v>
          </cell>
        </row>
        <row r="32">
          <cell r="R32">
            <v>4.7847251234387489E-3</v>
          </cell>
          <cell r="S32">
            <v>24.875434114608922</v>
          </cell>
        </row>
        <row r="33">
          <cell r="R33">
            <v>4.2024838201418779E-3</v>
          </cell>
          <cell r="S33">
            <v>25.587979632187448</v>
          </cell>
        </row>
        <row r="34">
          <cell r="R34">
            <v>3.6929502978825246E-3</v>
          </cell>
          <cell r="S34">
            <v>26.300525149765971</v>
          </cell>
        </row>
        <row r="35">
          <cell r="R35">
            <v>3.247002766102125E-3</v>
          </cell>
          <cell r="S35">
            <v>27.013070667344497</v>
          </cell>
        </row>
        <row r="44">
          <cell r="E44" t="str">
            <v>Partnership exposure by population, male clients of FSW</v>
          </cell>
        </row>
      </sheetData>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4"/>
  <sheetViews>
    <sheetView workbookViewId="0">
      <selection activeCell="A20" sqref="A20:B20"/>
    </sheetView>
  </sheetViews>
  <sheetFormatPr defaultRowHeight="15" x14ac:dyDescent="0.25"/>
  <cols>
    <col min="1" max="1" width="20.7109375" customWidth="1"/>
    <col min="2" max="2" width="200.7109375" customWidth="1"/>
  </cols>
  <sheetData>
    <row r="1" spans="1:2" x14ac:dyDescent="0.25">
      <c r="A1" s="267" t="s">
        <v>13</v>
      </c>
      <c r="B1" s="268"/>
    </row>
    <row r="2" spans="1:2" x14ac:dyDescent="0.25">
      <c r="A2" s="270" t="s">
        <v>173</v>
      </c>
      <c r="B2" s="271"/>
    </row>
    <row r="3" spans="1:2" x14ac:dyDescent="0.25">
      <c r="A3" s="272" t="s">
        <v>175</v>
      </c>
      <c r="B3" s="273"/>
    </row>
    <row r="4" spans="1:2" x14ac:dyDescent="0.25">
      <c r="A4" s="272" t="s">
        <v>174</v>
      </c>
      <c r="B4" s="274"/>
    </row>
    <row r="5" spans="1:2" x14ac:dyDescent="0.25">
      <c r="A5" s="265" t="s">
        <v>16</v>
      </c>
      <c r="B5" s="266"/>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335</v>
      </c>
      <c r="B18" s="13" t="s">
        <v>336</v>
      </c>
    </row>
    <row r="19" spans="1:2" x14ac:dyDescent="0.25">
      <c r="A19" s="12" t="s">
        <v>337</v>
      </c>
      <c r="B19" s="13" t="s">
        <v>338</v>
      </c>
    </row>
    <row r="20" spans="1:2" x14ac:dyDescent="0.25">
      <c r="A20" s="12" t="s">
        <v>408</v>
      </c>
      <c r="B20" s="13" t="s">
        <v>409</v>
      </c>
    </row>
    <row r="21" spans="1:2" x14ac:dyDescent="0.25">
      <c r="A21" s="12" t="s">
        <v>17</v>
      </c>
      <c r="B21" s="13" t="s">
        <v>18</v>
      </c>
    </row>
    <row r="22" spans="1:2" x14ac:dyDescent="0.25">
      <c r="A22" s="265" t="s">
        <v>24</v>
      </c>
      <c r="B22" s="269"/>
    </row>
    <row r="23" spans="1:2" x14ac:dyDescent="0.25">
      <c r="A23" s="12" t="s">
        <v>23</v>
      </c>
      <c r="B23" s="13" t="s">
        <v>27</v>
      </c>
    </row>
    <row r="24" spans="1:2" x14ac:dyDescent="0.25">
      <c r="A24" s="14" t="s">
        <v>25</v>
      </c>
      <c r="B24" s="15" t="s">
        <v>26</v>
      </c>
    </row>
  </sheetData>
  <mergeCells count="6">
    <mergeCell ref="A5:B5"/>
    <mergeCell ref="A1:B1"/>
    <mergeCell ref="A22:B22"/>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18"/>
  <sheetViews>
    <sheetView tabSelected="1" zoomScale="75" zoomScaleNormal="75" workbookViewId="0">
      <selection activeCell="A28" sqref="A28"/>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x14ac:dyDescent="0.25">
      <c r="A2" s="156">
        <v>45175</v>
      </c>
      <c r="B2" s="157" t="s">
        <v>281</v>
      </c>
      <c r="C2" s="146" t="s">
        <v>410</v>
      </c>
    </row>
    <row r="3" spans="1:3" x14ac:dyDescent="0.25">
      <c r="A3" s="156">
        <v>45175</v>
      </c>
      <c r="B3" s="157" t="s">
        <v>281</v>
      </c>
      <c r="C3" s="146" t="s">
        <v>403</v>
      </c>
    </row>
    <row r="4" spans="1:3" x14ac:dyDescent="0.25">
      <c r="A4" s="156">
        <v>45175</v>
      </c>
      <c r="B4" s="157" t="s">
        <v>281</v>
      </c>
      <c r="C4" s="146" t="s">
        <v>404</v>
      </c>
    </row>
    <row r="5" spans="1:3" x14ac:dyDescent="0.25">
      <c r="A5" s="156">
        <v>45175</v>
      </c>
      <c r="B5" s="157" t="s">
        <v>281</v>
      </c>
      <c r="C5" s="146" t="s">
        <v>405</v>
      </c>
    </row>
    <row r="6" spans="1:3" x14ac:dyDescent="0.25">
      <c r="A6" s="156">
        <v>45175</v>
      </c>
      <c r="B6" s="157" t="s">
        <v>281</v>
      </c>
      <c r="C6" s="146" t="s">
        <v>407</v>
      </c>
    </row>
    <row r="7" spans="1:3" x14ac:dyDescent="0.25">
      <c r="A7" s="156">
        <v>45175</v>
      </c>
      <c r="B7" s="157" t="s">
        <v>281</v>
      </c>
      <c r="C7" s="146" t="s">
        <v>406</v>
      </c>
    </row>
    <row r="8" spans="1:3" x14ac:dyDescent="0.25">
      <c r="A8" s="156">
        <v>45153</v>
      </c>
      <c r="B8" s="157" t="s">
        <v>281</v>
      </c>
      <c r="C8" s="146" t="s">
        <v>388</v>
      </c>
    </row>
    <row r="9" spans="1:3" x14ac:dyDescent="0.25">
      <c r="A9" s="156">
        <v>45149</v>
      </c>
      <c r="B9" s="157" t="s">
        <v>281</v>
      </c>
      <c r="C9" s="146" t="s">
        <v>382</v>
      </c>
    </row>
    <row r="10" spans="1:3" x14ac:dyDescent="0.25">
      <c r="A10" s="156">
        <v>45148</v>
      </c>
      <c r="B10" s="157" t="s">
        <v>281</v>
      </c>
      <c r="C10" s="146" t="s">
        <v>341</v>
      </c>
    </row>
    <row r="11" spans="1:3" x14ac:dyDescent="0.25">
      <c r="A11" s="156">
        <v>45148</v>
      </c>
      <c r="B11" s="157" t="s">
        <v>281</v>
      </c>
      <c r="C11" s="146" t="s">
        <v>339</v>
      </c>
    </row>
    <row r="12" spans="1:3" x14ac:dyDescent="0.25">
      <c r="A12" s="156">
        <v>45148</v>
      </c>
      <c r="B12" s="157" t="s">
        <v>281</v>
      </c>
      <c r="C12" s="146" t="s">
        <v>340</v>
      </c>
    </row>
    <row r="13" spans="1:3" x14ac:dyDescent="0.25">
      <c r="A13" s="156">
        <v>45145</v>
      </c>
      <c r="B13" s="157" t="s">
        <v>281</v>
      </c>
      <c r="C13" s="146" t="s">
        <v>322</v>
      </c>
    </row>
    <row r="14" spans="1:3" x14ac:dyDescent="0.25">
      <c r="A14" s="156">
        <v>45141</v>
      </c>
      <c r="B14" s="157" t="s">
        <v>281</v>
      </c>
      <c r="C14" s="146" t="s">
        <v>321</v>
      </c>
    </row>
    <row r="15" spans="1:3" x14ac:dyDescent="0.25">
      <c r="A15" s="156">
        <v>45103</v>
      </c>
      <c r="B15" s="157" t="s">
        <v>281</v>
      </c>
      <c r="C15" s="146" t="s">
        <v>320</v>
      </c>
    </row>
    <row r="16" spans="1:3" x14ac:dyDescent="0.25">
      <c r="A16" s="156">
        <v>45096</v>
      </c>
      <c r="B16" s="157" t="s">
        <v>281</v>
      </c>
      <c r="C16" s="146" t="s">
        <v>317</v>
      </c>
    </row>
    <row r="17" spans="1:3" x14ac:dyDescent="0.25">
      <c r="A17" s="156">
        <v>45089</v>
      </c>
      <c r="B17" s="157" t="s">
        <v>281</v>
      </c>
      <c r="C17" s="146" t="s">
        <v>316</v>
      </c>
    </row>
    <row r="18" spans="1:3" ht="30" x14ac:dyDescent="0.25">
      <c r="A18" s="156">
        <v>45086</v>
      </c>
      <c r="B18" s="157" t="s">
        <v>281</v>
      </c>
      <c r="C18" s="146" t="s">
        <v>283</v>
      </c>
    </row>
  </sheetData>
  <sortState xmlns:xlrd2="http://schemas.microsoft.com/office/spreadsheetml/2017/richdata2" ref="A10:C18">
    <sortCondition descending="1" ref="A11:A1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7" sqref="B1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A28" sqref="A28"/>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67" t="s">
        <v>284</v>
      </c>
      <c r="B1" s="267"/>
      <c r="C1" s="267"/>
      <c r="D1" s="267"/>
      <c r="E1" s="267"/>
      <c r="F1" s="267"/>
      <c r="G1" s="267"/>
      <c r="H1" s="267"/>
      <c r="I1" s="98"/>
      <c r="J1" s="278" t="s">
        <v>63</v>
      </c>
      <c r="K1" s="279"/>
      <c r="L1" s="279"/>
      <c r="M1" s="274"/>
      <c r="N1" s="99"/>
    </row>
    <row r="2" spans="1:14" x14ac:dyDescent="0.25">
      <c r="A2" s="22" t="s">
        <v>285</v>
      </c>
      <c r="B2" s="159" t="s">
        <v>240</v>
      </c>
      <c r="C2" s="160" t="s">
        <v>239</v>
      </c>
      <c r="D2" s="275" t="s">
        <v>142</v>
      </c>
      <c r="E2" s="268"/>
      <c r="F2" s="268"/>
      <c r="G2" s="268"/>
      <c r="H2" s="268"/>
      <c r="I2" s="20"/>
      <c r="J2" s="280" t="s">
        <v>286</v>
      </c>
      <c r="K2" s="280"/>
      <c r="L2" s="161" t="s">
        <v>143</v>
      </c>
      <c r="M2" s="162" t="s">
        <v>107</v>
      </c>
      <c r="N2" s="76"/>
    </row>
    <row r="3" spans="1:14" x14ac:dyDescent="0.25">
      <c r="A3" s="62" t="s">
        <v>53</v>
      </c>
      <c r="B3" s="71">
        <v>18</v>
      </c>
      <c r="C3" s="72">
        <v>17.399999999999999</v>
      </c>
      <c r="D3" s="281"/>
      <c r="E3" s="277"/>
      <c r="F3" s="277"/>
      <c r="G3" s="277"/>
      <c r="H3" s="277"/>
      <c r="I3" s="20"/>
      <c r="J3" s="164" t="s">
        <v>90</v>
      </c>
      <c r="K3" s="165" t="s">
        <v>287</v>
      </c>
      <c r="L3" s="166" t="s">
        <v>288</v>
      </c>
      <c r="M3" s="167">
        <f>HLOOKUP($B$16,$B$9:$G$14,5,FALSE)</f>
        <v>27</v>
      </c>
      <c r="N3" s="76"/>
    </row>
    <row r="4" spans="1:14" x14ac:dyDescent="0.25">
      <c r="A4" s="62" t="s">
        <v>289</v>
      </c>
      <c r="B4" s="73">
        <v>20.2</v>
      </c>
      <c r="C4" s="74">
        <v>25</v>
      </c>
      <c r="D4" s="281"/>
      <c r="E4" s="277"/>
      <c r="F4" s="277"/>
      <c r="G4" s="277"/>
      <c r="H4" s="277"/>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75" t="s">
        <v>142</v>
      </c>
      <c r="D6" s="268"/>
      <c r="E6" s="268"/>
      <c r="F6" s="268"/>
      <c r="G6" s="268"/>
      <c r="H6" s="268"/>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76"/>
      <c r="D7" s="277"/>
      <c r="E7" s="277"/>
      <c r="F7" s="277"/>
      <c r="G7" s="277"/>
      <c r="H7" s="277"/>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402</v>
      </c>
      <c r="I10" s="20"/>
      <c r="J10" s="168">
        <f t="shared" si="0"/>
        <v>21</v>
      </c>
      <c r="K10" s="173">
        <f t="shared" si="1"/>
        <v>5.8612099986026789E-2</v>
      </c>
      <c r="L10" s="20"/>
      <c r="M10" s="20"/>
      <c r="N10" s="76"/>
    </row>
    <row r="11" spans="1:14" x14ac:dyDescent="0.25">
      <c r="A11" s="62" t="s">
        <v>297</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298</v>
      </c>
      <c r="B12" s="69">
        <v>10</v>
      </c>
      <c r="C12" s="25">
        <v>10</v>
      </c>
      <c r="D12" s="25">
        <v>11.6</v>
      </c>
      <c r="E12" s="25"/>
      <c r="F12" s="25"/>
      <c r="G12" s="70"/>
      <c r="H12" s="163" t="s">
        <v>299</v>
      </c>
      <c r="I12" s="20"/>
      <c r="J12" s="168">
        <f t="shared" si="0"/>
        <v>23</v>
      </c>
      <c r="K12" s="173">
        <f t="shared" si="1"/>
        <v>5.547905271543304E-2</v>
      </c>
      <c r="L12" s="20"/>
      <c r="M12" s="20"/>
      <c r="N12" s="76"/>
    </row>
    <row r="13" spans="1:14" x14ac:dyDescent="0.25">
      <c r="A13" s="62" t="s">
        <v>300</v>
      </c>
      <c r="B13" s="69">
        <v>33</v>
      </c>
      <c r="C13" s="25">
        <v>33</v>
      </c>
      <c r="D13" s="25">
        <v>27</v>
      </c>
      <c r="E13" s="25"/>
      <c r="F13" s="25"/>
      <c r="G13" s="70"/>
      <c r="H13" s="163" t="s">
        <v>299</v>
      </c>
      <c r="I13" s="20"/>
      <c r="J13" s="168">
        <f t="shared" si="0"/>
        <v>24</v>
      </c>
      <c r="K13" s="173">
        <f t="shared" si="1"/>
        <v>5.2364088488073418E-2</v>
      </c>
      <c r="L13" s="20"/>
      <c r="M13" s="20"/>
      <c r="N13" s="76"/>
    </row>
    <row r="14" spans="1:14" x14ac:dyDescent="0.25">
      <c r="A14" s="62" t="s">
        <v>301</v>
      </c>
      <c r="B14" s="181">
        <v>0.47899999999999998</v>
      </c>
      <c r="C14" s="182">
        <v>0.47899999999999998</v>
      </c>
      <c r="D14" s="182">
        <v>0.77800000000000002</v>
      </c>
      <c r="E14" s="182"/>
      <c r="F14" s="182"/>
      <c r="G14" s="183"/>
      <c r="H14" s="163" t="s">
        <v>299</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302</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303</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A2" sqref="A2"/>
    </sheetView>
  </sheetViews>
  <sheetFormatPr defaultRowHeight="15" x14ac:dyDescent="0.25"/>
  <cols>
    <col min="1" max="1" width="50.7109375" customWidth="1"/>
    <col min="26" max="26" width="9.140625" customWidth="1"/>
  </cols>
  <sheetData>
    <row r="1" spans="1:82" x14ac:dyDescent="0.25">
      <c r="A1" s="3" t="s">
        <v>304</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239</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305</v>
      </c>
      <c r="B5" s="57" t="s">
        <v>240</v>
      </c>
      <c r="C5" s="57" t="s">
        <v>239</v>
      </c>
      <c r="D5" s="275" t="s">
        <v>142</v>
      </c>
      <c r="E5" s="275"/>
      <c r="F5" s="275"/>
      <c r="G5" s="275"/>
      <c r="H5" s="275"/>
      <c r="I5" s="275"/>
      <c r="J5" s="275"/>
      <c r="K5" s="275"/>
      <c r="L5" s="20"/>
      <c r="M5" s="20"/>
      <c r="N5" s="20"/>
      <c r="O5" s="20"/>
      <c r="P5" s="20"/>
      <c r="Q5" s="20"/>
      <c r="R5" s="20"/>
      <c r="S5" s="20"/>
      <c r="T5" s="20"/>
      <c r="U5" s="20"/>
      <c r="V5" s="293" t="s">
        <v>63</v>
      </c>
      <c r="W5" s="294"/>
      <c r="X5" s="294"/>
      <c r="Y5" s="294"/>
      <c r="Z5" s="295"/>
      <c r="AA5" s="20"/>
      <c r="AB5" s="293" t="s">
        <v>163</v>
      </c>
      <c r="AC5" s="294"/>
      <c r="AD5" s="295"/>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296" t="s">
        <v>306</v>
      </c>
      <c r="E6" s="296"/>
      <c r="F6" s="296"/>
      <c r="G6" s="296"/>
      <c r="H6" s="296"/>
      <c r="I6" s="296"/>
      <c r="J6" s="296"/>
      <c r="K6" s="297"/>
      <c r="L6" s="20"/>
      <c r="M6" s="20"/>
      <c r="N6" s="20"/>
      <c r="O6" s="20"/>
      <c r="P6" s="20"/>
      <c r="Q6" s="20"/>
      <c r="R6" s="20"/>
      <c r="S6" s="20"/>
      <c r="T6" s="20"/>
      <c r="U6" s="20"/>
      <c r="V6" s="300" t="s">
        <v>162</v>
      </c>
      <c r="W6" s="301"/>
      <c r="X6" s="302"/>
      <c r="Y6" s="300" t="s">
        <v>164</v>
      </c>
      <c r="Z6" s="303"/>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298"/>
      <c r="E7" s="298"/>
      <c r="F7" s="298"/>
      <c r="G7" s="298"/>
      <c r="H7" s="298"/>
      <c r="I7" s="298"/>
      <c r="J7" s="298"/>
      <c r="K7" s="299"/>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307</v>
      </c>
      <c r="B9" s="160" t="s">
        <v>240</v>
      </c>
      <c r="C9" s="160" t="s">
        <v>239</v>
      </c>
      <c r="D9" s="282" t="s">
        <v>142</v>
      </c>
      <c r="E9" s="282"/>
      <c r="F9" s="282"/>
      <c r="G9" s="282"/>
      <c r="H9" s="282"/>
      <c r="I9" s="282"/>
      <c r="J9" s="282"/>
      <c r="K9" s="282"/>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07" t="s">
        <v>308</v>
      </c>
      <c r="E10" s="284"/>
      <c r="F10" s="284"/>
      <c r="G10" s="284"/>
      <c r="H10" s="284"/>
      <c r="I10" s="284"/>
      <c r="J10" s="284"/>
      <c r="K10" s="285"/>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287"/>
      <c r="E11" s="287"/>
      <c r="F11" s="287"/>
      <c r="G11" s="287"/>
      <c r="H11" s="287"/>
      <c r="I11" s="287"/>
      <c r="J11" s="287"/>
      <c r="K11" s="288"/>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287"/>
      <c r="E12" s="287"/>
      <c r="F12" s="287"/>
      <c r="G12" s="287"/>
      <c r="H12" s="287"/>
      <c r="I12" s="287"/>
      <c r="J12" s="287"/>
      <c r="K12" s="288"/>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309</v>
      </c>
      <c r="B13" s="227">
        <v>0.8</v>
      </c>
      <c r="C13" s="228">
        <v>0.8</v>
      </c>
      <c r="D13" s="287"/>
      <c r="E13" s="287"/>
      <c r="F13" s="287"/>
      <c r="G13" s="287"/>
      <c r="H13" s="287"/>
      <c r="I13" s="287"/>
      <c r="J13" s="287"/>
      <c r="K13" s="288"/>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310</v>
      </c>
      <c r="B14" s="227">
        <v>100</v>
      </c>
      <c r="C14" s="228">
        <v>8</v>
      </c>
      <c r="D14" s="287"/>
      <c r="E14" s="287"/>
      <c r="F14" s="287"/>
      <c r="G14" s="287"/>
      <c r="H14" s="287"/>
      <c r="I14" s="287"/>
      <c r="J14" s="287"/>
      <c r="K14" s="288"/>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287"/>
      <c r="E15" s="287"/>
      <c r="F15" s="287"/>
      <c r="G15" s="287"/>
      <c r="H15" s="287"/>
      <c r="I15" s="287"/>
      <c r="J15" s="287"/>
      <c r="K15" s="288"/>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290"/>
      <c r="E16" s="290"/>
      <c r="F16" s="290"/>
      <c r="G16" s="290"/>
      <c r="H16" s="290"/>
      <c r="I16" s="290"/>
      <c r="J16" s="290"/>
      <c r="K16" s="291"/>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08" t="s">
        <v>142</v>
      </c>
      <c r="D18" s="309"/>
      <c r="E18" s="309"/>
      <c r="F18" s="309"/>
      <c r="G18" s="309"/>
      <c r="H18" s="309"/>
      <c r="I18" s="309"/>
      <c r="J18" s="309"/>
      <c r="K18" s="310"/>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11" t="s">
        <v>172</v>
      </c>
      <c r="D19" s="311"/>
      <c r="E19" s="311"/>
      <c r="F19" s="311"/>
      <c r="G19" s="311"/>
      <c r="H19" s="311"/>
      <c r="I19" s="311"/>
      <c r="J19" s="311"/>
      <c r="K19" s="311"/>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11"/>
      <c r="D20" s="311"/>
      <c r="E20" s="311"/>
      <c r="F20" s="311"/>
      <c r="G20" s="311"/>
      <c r="H20" s="311"/>
      <c r="I20" s="311"/>
      <c r="J20" s="311"/>
      <c r="K20" s="311"/>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12" t="s">
        <v>176</v>
      </c>
      <c r="D21" s="313"/>
      <c r="E21" s="313"/>
      <c r="F21" s="313"/>
      <c r="G21" s="313"/>
      <c r="H21" s="313"/>
      <c r="I21" s="313"/>
      <c r="J21" s="313"/>
      <c r="K21" s="314"/>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282" t="s">
        <v>142</v>
      </c>
      <c r="E23" s="282"/>
      <c r="F23" s="282"/>
      <c r="G23" s="282"/>
      <c r="H23" s="282"/>
      <c r="I23" s="282"/>
      <c r="J23" s="282"/>
      <c r="K23" s="282"/>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283" t="s">
        <v>311</v>
      </c>
      <c r="E24" s="284"/>
      <c r="F24" s="284"/>
      <c r="G24" s="284"/>
      <c r="H24" s="284"/>
      <c r="I24" s="284"/>
      <c r="J24" s="284"/>
      <c r="K24" s="285"/>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304" t="s">
        <v>166</v>
      </c>
      <c r="AC24" s="305"/>
      <c r="AD24" s="305"/>
      <c r="AE24" s="305"/>
      <c r="AF24" s="305"/>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286"/>
      <c r="E25" s="287"/>
      <c r="F25" s="287"/>
      <c r="G25" s="287"/>
      <c r="H25" s="287"/>
      <c r="I25" s="287"/>
      <c r="J25" s="287"/>
      <c r="K25" s="288"/>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306"/>
      <c r="AC25" s="306"/>
      <c r="AD25" s="306"/>
      <c r="AE25" s="306"/>
      <c r="AF25" s="306"/>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286"/>
      <c r="E26" s="287"/>
      <c r="F26" s="287"/>
      <c r="G26" s="287"/>
      <c r="H26" s="287"/>
      <c r="I26" s="287"/>
      <c r="J26" s="287"/>
      <c r="K26" s="288"/>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306"/>
      <c r="AC26" s="306"/>
      <c r="AD26" s="306"/>
      <c r="AE26" s="306"/>
      <c r="AF26" s="306"/>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309</v>
      </c>
      <c r="B27" s="238">
        <v>80</v>
      </c>
      <c r="C27" s="239">
        <v>80</v>
      </c>
      <c r="D27" s="286"/>
      <c r="E27" s="287"/>
      <c r="F27" s="287"/>
      <c r="G27" s="287"/>
      <c r="H27" s="287"/>
      <c r="I27" s="287"/>
      <c r="J27" s="287"/>
      <c r="K27" s="288"/>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306"/>
      <c r="AC27" s="306"/>
      <c r="AD27" s="306"/>
      <c r="AE27" s="306"/>
      <c r="AF27" s="306"/>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310</v>
      </c>
      <c r="B28" s="238">
        <v>80</v>
      </c>
      <c r="C28" s="239">
        <v>80</v>
      </c>
      <c r="D28" s="286"/>
      <c r="E28" s="287"/>
      <c r="F28" s="287"/>
      <c r="G28" s="287"/>
      <c r="H28" s="287"/>
      <c r="I28" s="287"/>
      <c r="J28" s="287"/>
      <c r="K28" s="288"/>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306"/>
      <c r="AC28" s="306"/>
      <c r="AD28" s="306"/>
      <c r="AE28" s="306"/>
      <c r="AF28" s="306"/>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286"/>
      <c r="E29" s="287"/>
      <c r="F29" s="287"/>
      <c r="G29" s="287"/>
      <c r="H29" s="287"/>
      <c r="I29" s="287"/>
      <c r="J29" s="287"/>
      <c r="K29" s="288"/>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306"/>
      <c r="AC29" s="306"/>
      <c r="AD29" s="306"/>
      <c r="AE29" s="306"/>
      <c r="AF29" s="306"/>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289"/>
      <c r="E30" s="290"/>
      <c r="F30" s="290"/>
      <c r="G30" s="290"/>
      <c r="H30" s="290"/>
      <c r="I30" s="290"/>
      <c r="J30" s="290"/>
      <c r="K30" s="291"/>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312</v>
      </c>
      <c r="B32" s="245" t="s">
        <v>240</v>
      </c>
      <c r="C32" s="245" t="s">
        <v>239</v>
      </c>
      <c r="D32" s="282" t="s">
        <v>142</v>
      </c>
      <c r="E32" s="282"/>
      <c r="F32" s="282"/>
      <c r="G32" s="282"/>
      <c r="H32" s="282"/>
      <c r="I32" s="282"/>
      <c r="J32" s="282"/>
      <c r="K32" s="282"/>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309</v>
      </c>
      <c r="B33" s="236">
        <v>60</v>
      </c>
      <c r="C33" s="237">
        <v>60</v>
      </c>
      <c r="D33" s="283" t="s">
        <v>313</v>
      </c>
      <c r="E33" s="284"/>
      <c r="F33" s="284"/>
      <c r="G33" s="284"/>
      <c r="H33" s="284"/>
      <c r="I33" s="284"/>
      <c r="J33" s="284"/>
      <c r="K33" s="285"/>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310</v>
      </c>
      <c r="B34" s="238">
        <v>20</v>
      </c>
      <c r="C34" s="239">
        <v>40</v>
      </c>
      <c r="D34" s="286"/>
      <c r="E34" s="287"/>
      <c r="F34" s="287"/>
      <c r="G34" s="287"/>
      <c r="H34" s="287"/>
      <c r="I34" s="287"/>
      <c r="J34" s="287"/>
      <c r="K34" s="288"/>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286"/>
      <c r="E35" s="287"/>
      <c r="F35" s="287"/>
      <c r="G35" s="287"/>
      <c r="H35" s="287"/>
      <c r="I35" s="287"/>
      <c r="J35" s="287"/>
      <c r="K35" s="288"/>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289"/>
      <c r="E36" s="290"/>
      <c r="F36" s="290"/>
      <c r="G36" s="290"/>
      <c r="H36" s="290"/>
      <c r="I36" s="290"/>
      <c r="J36" s="290"/>
      <c r="K36" s="291"/>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75" t="s">
        <v>142</v>
      </c>
      <c r="B38" s="275"/>
      <c r="C38" s="275"/>
      <c r="D38" s="275"/>
      <c r="E38" s="275"/>
      <c r="F38" s="275"/>
      <c r="G38" s="275"/>
      <c r="H38" s="275"/>
      <c r="I38" s="275"/>
      <c r="J38" s="275"/>
      <c r="K38" s="275"/>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292" t="s">
        <v>314</v>
      </c>
      <c r="B39" s="292"/>
      <c r="C39" s="292"/>
      <c r="D39" s="292"/>
      <c r="E39" s="292"/>
      <c r="F39" s="292"/>
      <c r="G39" s="292"/>
      <c r="H39" s="292"/>
      <c r="I39" s="292"/>
      <c r="J39" s="292"/>
      <c r="K39" s="292"/>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292"/>
      <c r="B40" s="292"/>
      <c r="C40" s="292"/>
      <c r="D40" s="292"/>
      <c r="E40" s="292"/>
      <c r="F40" s="292"/>
      <c r="G40" s="292"/>
      <c r="H40" s="292"/>
      <c r="I40" s="292"/>
      <c r="J40" s="292"/>
      <c r="K40" s="292"/>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18"/>
      <c r="B1" s="319"/>
      <c r="C1" s="320" t="s">
        <v>240</v>
      </c>
      <c r="D1" s="321"/>
      <c r="E1" s="321"/>
      <c r="F1" s="321"/>
      <c r="G1" s="321"/>
      <c r="H1" s="322"/>
      <c r="I1" s="320" t="s">
        <v>239</v>
      </c>
      <c r="J1" s="321"/>
      <c r="K1" s="321"/>
      <c r="L1" s="321"/>
      <c r="M1" s="321"/>
      <c r="N1" s="322"/>
      <c r="O1" s="98"/>
      <c r="P1" s="267" t="s">
        <v>11</v>
      </c>
      <c r="Q1" s="267"/>
      <c r="R1" s="99"/>
    </row>
    <row r="2" spans="1:18" ht="144.94999999999999" customHeight="1" thickBot="1" x14ac:dyDescent="0.3">
      <c r="A2" s="81"/>
      <c r="B2" s="87"/>
      <c r="C2" s="91" t="s">
        <v>77</v>
      </c>
      <c r="D2" s="92" t="s">
        <v>315</v>
      </c>
      <c r="E2" s="92" t="s">
        <v>78</v>
      </c>
      <c r="F2" s="92" t="s">
        <v>309</v>
      </c>
      <c r="G2" s="92" t="s">
        <v>83</v>
      </c>
      <c r="H2" s="93" t="s">
        <v>138</v>
      </c>
      <c r="I2" s="94" t="s">
        <v>77</v>
      </c>
      <c r="J2" s="92" t="s">
        <v>315</v>
      </c>
      <c r="K2" s="95" t="s">
        <v>78</v>
      </c>
      <c r="L2" s="92" t="s">
        <v>309</v>
      </c>
      <c r="M2" s="95" t="s">
        <v>303</v>
      </c>
      <c r="N2" s="96" t="s">
        <v>81</v>
      </c>
      <c r="O2" s="20"/>
      <c r="P2" s="323" t="s">
        <v>149</v>
      </c>
      <c r="Q2" s="324"/>
      <c r="R2" s="76"/>
    </row>
    <row r="3" spans="1:18" x14ac:dyDescent="0.25">
      <c r="A3" s="315"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16"/>
      <c r="B4" s="101" t="s">
        <v>315</v>
      </c>
      <c r="C4" s="89">
        <v>0</v>
      </c>
      <c r="D4" s="48">
        <v>0</v>
      </c>
      <c r="E4" s="48">
        <v>0</v>
      </c>
      <c r="F4" s="48">
        <v>0</v>
      </c>
      <c r="G4" s="48">
        <v>0</v>
      </c>
      <c r="H4" s="84">
        <v>1</v>
      </c>
      <c r="I4" s="89">
        <v>1</v>
      </c>
      <c r="J4" s="48">
        <v>2</v>
      </c>
      <c r="K4" s="48">
        <v>1</v>
      </c>
      <c r="L4" s="48">
        <v>1</v>
      </c>
      <c r="M4" s="48">
        <v>1</v>
      </c>
      <c r="N4" s="84">
        <v>1</v>
      </c>
      <c r="O4" s="20"/>
      <c r="P4" s="325" t="s">
        <v>148</v>
      </c>
      <c r="Q4" s="326"/>
      <c r="R4" s="76"/>
    </row>
    <row r="5" spans="1:18" x14ac:dyDescent="0.25">
      <c r="A5" s="316"/>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16"/>
      <c r="B6" s="101" t="s">
        <v>309</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16"/>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17"/>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15"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16"/>
      <c r="B10" s="101" t="s">
        <v>315</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16"/>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16"/>
      <c r="B12" s="101" t="s">
        <v>309</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16"/>
      <c r="B13" s="101" t="s">
        <v>303</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17"/>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A44" sqref="A44"/>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318</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319</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27" sqref="A2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275" t="s">
        <v>234</v>
      </c>
      <c r="B1" s="277"/>
      <c r="C1" s="277"/>
      <c r="D1" s="277"/>
      <c r="E1" s="277"/>
      <c r="F1" s="277"/>
      <c r="G1" s="277"/>
      <c r="H1" s="277"/>
      <c r="I1" s="277"/>
    </row>
    <row r="2" spans="1:9" x14ac:dyDescent="0.25">
      <c r="A2" s="3"/>
      <c r="B2" s="275" t="s">
        <v>31</v>
      </c>
      <c r="C2" s="277"/>
      <c r="D2" s="277"/>
      <c r="E2" s="277"/>
      <c r="F2" s="275" t="s">
        <v>32</v>
      </c>
      <c r="G2" s="277"/>
      <c r="H2" s="277"/>
      <c r="I2" s="277"/>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27"/>
      <c r="B10" s="279"/>
      <c r="C10" s="279"/>
      <c r="D10" s="279"/>
      <c r="E10" s="279"/>
      <c r="F10" s="279"/>
      <c r="G10" s="279"/>
      <c r="H10" s="279"/>
      <c r="I10" s="274"/>
    </row>
    <row r="11" spans="1:9" x14ac:dyDescent="0.25">
      <c r="A11" s="275" t="s">
        <v>92</v>
      </c>
      <c r="B11" s="277"/>
      <c r="C11" s="277"/>
      <c r="D11" s="277"/>
      <c r="E11" s="277"/>
      <c r="F11" s="277"/>
      <c r="G11" s="277"/>
      <c r="H11" s="277"/>
      <c r="I11" s="277"/>
    </row>
    <row r="12" spans="1:9" x14ac:dyDescent="0.25">
      <c r="A12" s="3"/>
      <c r="B12" s="275" t="s">
        <v>31</v>
      </c>
      <c r="C12" s="277"/>
      <c r="D12" s="277"/>
      <c r="E12" s="277"/>
      <c r="F12" s="275" t="s">
        <v>32</v>
      </c>
      <c r="G12" s="277"/>
      <c r="H12" s="277"/>
      <c r="I12" s="277"/>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27"/>
      <c r="B20" s="279"/>
      <c r="C20" s="279"/>
      <c r="D20" s="279"/>
      <c r="E20" s="279"/>
      <c r="F20" s="279"/>
      <c r="G20" s="279"/>
      <c r="H20" s="279"/>
      <c r="I20" s="274"/>
    </row>
    <row r="21" spans="1:9" x14ac:dyDescent="0.25">
      <c r="A21" s="275" t="s">
        <v>93</v>
      </c>
      <c r="B21" s="277"/>
      <c r="C21" s="277"/>
      <c r="D21" s="277"/>
      <c r="E21" s="277"/>
      <c r="F21" s="277"/>
      <c r="G21" s="277"/>
      <c r="H21" s="277"/>
      <c r="I21" s="277"/>
    </row>
    <row r="22" spans="1:9" x14ac:dyDescent="0.25">
      <c r="A22" s="8"/>
      <c r="B22" s="275" t="s">
        <v>31</v>
      </c>
      <c r="C22" s="277"/>
      <c r="D22" s="277"/>
      <c r="E22" s="277"/>
      <c r="F22" s="275" t="s">
        <v>32</v>
      </c>
      <c r="G22" s="277"/>
      <c r="H22" s="277"/>
      <c r="I22" s="277"/>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27"/>
      <c r="B31" s="279"/>
      <c r="C31" s="279"/>
      <c r="D31" s="279"/>
      <c r="E31" s="279"/>
      <c r="F31" s="279"/>
      <c r="G31" s="279"/>
      <c r="H31" s="279"/>
      <c r="I31" s="274"/>
    </row>
    <row r="32" spans="1:9" x14ac:dyDescent="0.25">
      <c r="A32" s="275" t="s">
        <v>242</v>
      </c>
      <c r="B32" s="277"/>
      <c r="C32" s="277"/>
      <c r="D32" s="277"/>
      <c r="E32" s="277"/>
      <c r="F32" s="277"/>
      <c r="G32" s="277"/>
      <c r="H32" s="277"/>
      <c r="I32" s="277"/>
    </row>
    <row r="33" spans="1:9" x14ac:dyDescent="0.25">
      <c r="A33" s="8"/>
      <c r="B33" s="275" t="s">
        <v>31</v>
      </c>
      <c r="C33" s="277"/>
      <c r="D33" s="277"/>
      <c r="E33" s="277"/>
      <c r="F33" s="275" t="s">
        <v>32</v>
      </c>
      <c r="G33" s="277"/>
      <c r="H33" s="277"/>
      <c r="I33" s="277"/>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27"/>
      <c r="B42" s="279"/>
      <c r="C42" s="279"/>
      <c r="D42" s="279"/>
      <c r="E42" s="279"/>
      <c r="F42" s="279"/>
      <c r="G42" s="279"/>
      <c r="H42" s="279"/>
      <c r="I42" s="274"/>
    </row>
    <row r="43" spans="1:9" x14ac:dyDescent="0.25">
      <c r="A43" s="275" t="s">
        <v>243</v>
      </c>
      <c r="B43" s="277"/>
      <c r="C43" s="277"/>
      <c r="D43" s="277"/>
      <c r="E43" s="277"/>
      <c r="F43" s="277"/>
      <c r="G43" s="277"/>
      <c r="H43" s="277"/>
      <c r="I43" s="277"/>
    </row>
    <row r="44" spans="1:9" x14ac:dyDescent="0.25">
      <c r="A44" s="8"/>
      <c r="B44" s="275" t="s">
        <v>31</v>
      </c>
      <c r="C44" s="277"/>
      <c r="D44" s="277"/>
      <c r="E44" s="277"/>
      <c r="F44" s="275" t="s">
        <v>32</v>
      </c>
      <c r="G44" s="277"/>
      <c r="H44" s="277"/>
      <c r="I44" s="277"/>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27"/>
      <c r="B53" s="279"/>
      <c r="C53" s="279"/>
      <c r="D53" s="279"/>
      <c r="E53" s="279"/>
      <c r="F53" s="279"/>
      <c r="G53" s="279"/>
      <c r="H53" s="279"/>
      <c r="I53" s="274"/>
    </row>
    <row r="54" spans="1:9" x14ac:dyDescent="0.25">
      <c r="A54" s="275" t="s">
        <v>244</v>
      </c>
      <c r="B54" s="277"/>
      <c r="C54" s="277"/>
      <c r="D54" s="277"/>
      <c r="E54" s="277"/>
      <c r="F54" s="277"/>
      <c r="G54" s="277"/>
      <c r="H54" s="277"/>
      <c r="I54" s="277"/>
    </row>
    <row r="55" spans="1:9" x14ac:dyDescent="0.25">
      <c r="A55" s="8"/>
      <c r="B55" s="275" t="s">
        <v>31</v>
      </c>
      <c r="C55" s="277"/>
      <c r="D55" s="277"/>
      <c r="E55" s="277"/>
      <c r="F55" s="275" t="s">
        <v>32</v>
      </c>
      <c r="G55" s="277"/>
      <c r="H55" s="277"/>
      <c r="I55" s="277"/>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F38" sqref="F38"/>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28"/>
      <c r="B9" s="329"/>
      <c r="C9" s="329"/>
      <c r="D9" s="329"/>
      <c r="E9" s="329"/>
      <c r="F9" s="329"/>
      <c r="G9" s="329"/>
      <c r="H9" s="329"/>
      <c r="I9" s="329"/>
      <c r="J9" s="329"/>
      <c r="K9" s="329"/>
      <c r="L9" s="329"/>
      <c r="M9" s="329"/>
      <c r="N9" s="329"/>
      <c r="O9" s="329"/>
      <c r="P9" s="329"/>
      <c r="Q9" s="329"/>
      <c r="R9" s="329"/>
      <c r="S9" s="329"/>
      <c r="T9" s="329"/>
      <c r="U9" s="329"/>
      <c r="V9" s="329"/>
      <c r="W9" s="329"/>
      <c r="X9" s="329"/>
      <c r="Y9" s="329"/>
      <c r="Z9" s="329"/>
      <c r="AA9" s="329"/>
      <c r="AB9" s="329"/>
      <c r="AC9" s="329"/>
      <c r="AD9" s="329"/>
      <c r="AE9" s="329"/>
      <c r="AF9" s="329"/>
      <c r="AG9" s="329"/>
      <c r="AH9" s="329"/>
      <c r="AI9" s="329"/>
      <c r="AJ9" s="329"/>
      <c r="AK9" s="329"/>
      <c r="AL9" s="329"/>
      <c r="AM9" s="329"/>
      <c r="AN9" s="329"/>
      <c r="AO9" s="329"/>
      <c r="AP9" s="329"/>
      <c r="AQ9" s="329"/>
      <c r="AR9" s="329"/>
      <c r="AS9" s="329"/>
      <c r="AT9" s="329"/>
      <c r="AU9" s="329"/>
      <c r="AV9" s="329"/>
      <c r="AW9" s="329"/>
      <c r="AX9" s="329"/>
      <c r="AY9" s="329"/>
      <c r="AZ9" s="329"/>
      <c r="BA9" s="329"/>
      <c r="BB9" s="329"/>
      <c r="BC9" s="329"/>
      <c r="BD9" s="329"/>
      <c r="BE9" s="329"/>
      <c r="BF9" s="329"/>
      <c r="BG9" s="329"/>
      <c r="BH9" s="329"/>
      <c r="BI9" s="329"/>
      <c r="BJ9" s="329"/>
      <c r="BK9" s="329"/>
      <c r="BL9" s="329"/>
      <c r="BM9" s="329"/>
      <c r="BN9" s="329"/>
      <c r="BO9" s="329"/>
      <c r="BP9" s="329"/>
      <c r="BQ9" s="329"/>
      <c r="BR9" s="329"/>
      <c r="BS9" s="329"/>
      <c r="BT9" s="329"/>
      <c r="BU9" s="329"/>
      <c r="BV9" s="329"/>
      <c r="BW9" s="329"/>
      <c r="BX9" s="329"/>
      <c r="BY9" s="329"/>
      <c r="BZ9" s="329"/>
      <c r="CA9" s="329"/>
      <c r="CB9" s="329"/>
      <c r="CC9" s="329"/>
      <c r="CD9" s="329"/>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27"/>
      <c r="B18" s="33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31"/>
      <c r="B27" s="332"/>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28"/>
      <c r="B30" s="328"/>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V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33" t="s">
        <v>91</v>
      </c>
      <c r="B1" s="334"/>
      <c r="C1" s="334"/>
      <c r="D1" s="334"/>
      <c r="E1" s="334"/>
      <c r="F1" s="334"/>
      <c r="G1" s="334"/>
      <c r="H1" s="334"/>
      <c r="I1" s="334"/>
      <c r="J1" s="334"/>
      <c r="K1" s="334"/>
      <c r="L1" s="334"/>
      <c r="M1" s="334"/>
      <c r="N1" s="334"/>
      <c r="O1" s="334"/>
      <c r="P1" s="334"/>
      <c r="Q1" s="334"/>
      <c r="R1" s="334"/>
      <c r="S1" s="334"/>
      <c r="T1" s="334"/>
      <c r="U1" s="334"/>
      <c r="V1" s="334"/>
      <c r="W1" s="334"/>
      <c r="X1" s="334"/>
      <c r="Y1" s="334"/>
      <c r="Z1" s="334"/>
      <c r="AA1" s="334"/>
      <c r="AB1" s="334"/>
      <c r="AC1" s="334"/>
      <c r="AD1" s="334"/>
      <c r="AE1" s="334"/>
      <c r="AF1" s="334"/>
      <c r="AG1" s="334"/>
      <c r="AH1" s="334"/>
      <c r="AI1" s="334"/>
      <c r="AJ1" s="334"/>
      <c r="AK1" s="334"/>
      <c r="AL1" s="334"/>
      <c r="AM1" s="334"/>
      <c r="AN1" s="334"/>
      <c r="AO1" s="334"/>
      <c r="AP1" s="334"/>
      <c r="AQ1" s="334"/>
      <c r="AR1" s="334"/>
      <c r="AS1" s="334"/>
      <c r="AT1" s="334"/>
      <c r="AU1" s="334"/>
      <c r="AV1" s="334"/>
      <c r="AW1" s="334"/>
      <c r="AX1" s="334"/>
      <c r="AY1" s="334"/>
      <c r="AZ1" s="334"/>
      <c r="BA1" s="334"/>
      <c r="BB1" s="334"/>
      <c r="BC1" s="334"/>
      <c r="BD1" s="334"/>
      <c r="BE1" s="334"/>
      <c r="BF1" s="334"/>
      <c r="BG1" s="334"/>
      <c r="BH1" s="334"/>
      <c r="BI1" s="334"/>
      <c r="BJ1" s="334"/>
      <c r="BK1" s="334"/>
      <c r="BL1" s="334"/>
      <c r="BM1" s="334"/>
      <c r="BN1" s="334"/>
      <c r="BO1" s="334"/>
      <c r="BP1" s="334"/>
      <c r="BQ1" s="334"/>
      <c r="BR1" s="334"/>
      <c r="BS1" s="334"/>
      <c r="BT1" s="334"/>
      <c r="BU1" s="334"/>
      <c r="BV1" s="334"/>
      <c r="BW1" s="334"/>
      <c r="BX1" s="334"/>
      <c r="BY1" s="334"/>
      <c r="BZ1" s="334"/>
      <c r="CA1" s="334"/>
      <c r="CB1" s="334"/>
      <c r="CC1" s="334"/>
      <c r="CD1" s="334"/>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75" t="s">
        <v>109</v>
      </c>
      <c r="B1" s="276"/>
      <c r="C1" s="276"/>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BA0-98B3-4747-BB3D-994137E516F6}">
  <dimension ref="A1:D6"/>
  <sheetViews>
    <sheetView workbookViewId="0">
      <selection activeCell="C42" sqref="C42"/>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323</v>
      </c>
      <c r="B2" s="39">
        <v>0.15</v>
      </c>
      <c r="C2" s="8" t="s">
        <v>324</v>
      </c>
      <c r="D2" s="8" t="s">
        <v>325</v>
      </c>
    </row>
    <row r="3" spans="1:4" x14ac:dyDescent="0.25">
      <c r="A3" s="253" t="s">
        <v>326</v>
      </c>
      <c r="B3" s="39">
        <v>0</v>
      </c>
      <c r="C3" s="8" t="s">
        <v>327</v>
      </c>
      <c r="D3" s="8" t="s">
        <v>328</v>
      </c>
    </row>
    <row r="4" spans="1:4" x14ac:dyDescent="0.25">
      <c r="A4" s="253" t="s">
        <v>329</v>
      </c>
      <c r="B4" s="39">
        <v>0.2</v>
      </c>
      <c r="C4" s="8" t="s">
        <v>330</v>
      </c>
      <c r="D4" s="8" t="s">
        <v>331</v>
      </c>
    </row>
    <row r="5" spans="1:4" x14ac:dyDescent="0.25">
      <c r="A5" s="253" t="s">
        <v>332</v>
      </c>
      <c r="B5" s="39">
        <v>0</v>
      </c>
      <c r="C5" s="8" t="s">
        <v>333</v>
      </c>
      <c r="D5" s="8" t="s">
        <v>334</v>
      </c>
    </row>
    <row r="6" spans="1:4" x14ac:dyDescent="0.25">
      <c r="A6" s="38"/>
      <c r="B6" s="254"/>
      <c r="C6" s="8"/>
      <c r="D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9DFBA-BE36-48FC-A4D4-D6941BC108F4}">
  <dimension ref="A1:T45"/>
  <sheetViews>
    <sheetView zoomScale="75" zoomScaleNormal="75" workbookViewId="0">
      <selection activeCell="A34" sqref="A34"/>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340" t="s">
        <v>22</v>
      </c>
      <c r="B1" s="341" t="s">
        <v>342</v>
      </c>
      <c r="C1" s="341" t="s">
        <v>343</v>
      </c>
      <c r="D1" s="341" t="s">
        <v>344</v>
      </c>
      <c r="E1" s="341" t="s">
        <v>345</v>
      </c>
      <c r="F1" s="341" t="s">
        <v>346</v>
      </c>
      <c r="G1" s="342" t="s">
        <v>11</v>
      </c>
      <c r="H1" s="343" t="s">
        <v>4</v>
      </c>
      <c r="I1" s="344"/>
      <c r="J1" s="345" t="s">
        <v>148</v>
      </c>
      <c r="K1" s="346" t="s">
        <v>344</v>
      </c>
      <c r="L1" s="346" t="s">
        <v>345</v>
      </c>
      <c r="M1" s="347" t="s">
        <v>11</v>
      </c>
      <c r="N1" s="344"/>
      <c r="O1" s="348" t="s">
        <v>347</v>
      </c>
      <c r="P1" s="348"/>
      <c r="Q1" s="348"/>
      <c r="R1" s="348"/>
      <c r="S1" s="348"/>
      <c r="T1" s="349"/>
    </row>
    <row r="2" spans="1:20" x14ac:dyDescent="0.25">
      <c r="A2" s="350" t="s">
        <v>348</v>
      </c>
      <c r="B2" s="255"/>
      <c r="C2" s="254"/>
      <c r="D2" s="254"/>
      <c r="E2" s="254"/>
      <c r="F2" s="254"/>
      <c r="G2" s="8"/>
      <c r="H2" s="8"/>
      <c r="I2" s="256"/>
      <c r="J2" s="8" t="s">
        <v>349</v>
      </c>
      <c r="K2" s="254" t="s">
        <v>350</v>
      </c>
      <c r="L2" s="254" t="s">
        <v>350</v>
      </c>
      <c r="M2" s="8" t="s">
        <v>351</v>
      </c>
      <c r="N2" s="256"/>
      <c r="O2" s="257" t="s">
        <v>352</v>
      </c>
      <c r="P2" s="257" t="s">
        <v>107</v>
      </c>
      <c r="Q2" s="257" t="s">
        <v>353</v>
      </c>
      <c r="R2" s="257" t="s">
        <v>354</v>
      </c>
      <c r="S2" s="257" t="s">
        <v>355</v>
      </c>
      <c r="T2" s="351"/>
    </row>
    <row r="3" spans="1:20" x14ac:dyDescent="0.25">
      <c r="A3" s="352" t="s">
        <v>356</v>
      </c>
      <c r="B3" s="39">
        <f>0.01*EpiInputs!B19</f>
        <v>1E-4</v>
      </c>
      <c r="C3" s="254" t="s">
        <v>349</v>
      </c>
      <c r="D3" s="39">
        <v>6.75</v>
      </c>
      <c r="E3" s="39">
        <v>4600</v>
      </c>
      <c r="F3" s="39" t="b">
        <v>1</v>
      </c>
      <c r="G3" s="8" t="s">
        <v>357</v>
      </c>
      <c r="H3" s="8" t="s">
        <v>232</v>
      </c>
      <c r="I3" s="256"/>
      <c r="J3" s="8" t="s">
        <v>358</v>
      </c>
      <c r="K3" s="254" t="s">
        <v>350</v>
      </c>
      <c r="L3" s="254" t="s">
        <v>359</v>
      </c>
      <c r="M3" s="8" t="s">
        <v>360</v>
      </c>
      <c r="N3" s="256"/>
      <c r="O3" s="258">
        <v>0</v>
      </c>
      <c r="P3" s="259">
        <f t="shared" ref="P3:P36" si="0">O3*($C$36-$C$35)/$O$36+$C$35</f>
        <v>5.7740351662810552E-4</v>
      </c>
      <c r="Q3" s="259">
        <f t="shared" ref="Q3:Q36" si="1">IF($C$28="Beta",_xlfn.BETA.DIST(P3,$C$29,$C$30,TRUE),IF($C$28="Lognormal",_xlfn.LOGNORM.DIST(P3,$C$29,$C$30,TRUE),IF($C$28="Gamma",_xlfn.GAMMA.DIST(P3,$C$29,1/$C$30,TRUE),IF($C$28="Normal",_xlfn.NORM.DIST(P3,$C$29,$C$30,TRUE),"Panic"))))</f>
        <v>2.5000000000000012E-2</v>
      </c>
      <c r="R3" s="259">
        <f>Q4-Q3</f>
        <v>1.5415730033570222E-2</v>
      </c>
      <c r="S3" s="259">
        <f>0.5*SUM(P3:P4)</f>
        <v>6.1045037973449017E-4</v>
      </c>
      <c r="T3" s="351"/>
    </row>
    <row r="4" spans="1:20" x14ac:dyDescent="0.25">
      <c r="A4" s="352" t="s">
        <v>389</v>
      </c>
      <c r="B4" s="260">
        <f>0.01*EpiInputs!B3</f>
        <v>1E-3</v>
      </c>
      <c r="C4" s="254" t="s">
        <v>349</v>
      </c>
      <c r="D4" s="39">
        <v>8.1999999999999993</v>
      </c>
      <c r="E4" s="39">
        <v>9991.7999999999993</v>
      </c>
      <c r="F4" s="39" t="b">
        <v>1</v>
      </c>
      <c r="G4" s="8" t="s">
        <v>357</v>
      </c>
      <c r="H4" s="8" t="s">
        <v>180</v>
      </c>
      <c r="I4" s="256"/>
      <c r="J4" s="8" t="s">
        <v>363</v>
      </c>
      <c r="K4" s="254" t="s">
        <v>235</v>
      </c>
      <c r="L4" s="254" t="s">
        <v>364</v>
      </c>
      <c r="M4" s="8" t="s">
        <v>365</v>
      </c>
      <c r="N4" s="256"/>
      <c r="O4" s="258">
        <v>1</v>
      </c>
      <c r="P4" s="259">
        <f t="shared" si="0"/>
        <v>6.4349724284087494E-4</v>
      </c>
      <c r="Q4" s="259">
        <f t="shared" si="1"/>
        <v>4.0415730033570234E-2</v>
      </c>
      <c r="R4" s="259">
        <f t="shared" ref="R4:R35" si="2">Q5-Q4</f>
        <v>2.0519906316789863E-2</v>
      </c>
      <c r="S4" s="259">
        <f t="shared" ref="S4:S33" si="3">0.5*SUM(P4:P5)</f>
        <v>6.7654410594725971E-4</v>
      </c>
      <c r="T4" s="351"/>
    </row>
    <row r="5" spans="1:20" x14ac:dyDescent="0.25">
      <c r="A5" s="353" t="s">
        <v>361</v>
      </c>
      <c r="B5" s="260">
        <f>EpiInputs!B4</f>
        <v>1</v>
      </c>
      <c r="C5" s="254" t="s">
        <v>362</v>
      </c>
      <c r="D5" s="39">
        <f>LN(1)+E5*E5</f>
        <v>1</v>
      </c>
      <c r="E5" s="39">
        <v>1</v>
      </c>
      <c r="F5" s="39" t="b">
        <v>1</v>
      </c>
      <c r="G5" s="8"/>
      <c r="H5" s="8" t="s">
        <v>181</v>
      </c>
      <c r="I5" s="256"/>
      <c r="J5" s="8" t="s">
        <v>362</v>
      </c>
      <c r="K5" s="254" t="s">
        <v>235</v>
      </c>
      <c r="L5" s="254" t="s">
        <v>364</v>
      </c>
      <c r="M5" s="8" t="s">
        <v>368</v>
      </c>
      <c r="N5" s="256"/>
      <c r="O5" s="258">
        <f>O4+1</f>
        <v>2</v>
      </c>
      <c r="P5" s="259">
        <f t="shared" si="0"/>
        <v>7.0959096905364436E-4</v>
      </c>
      <c r="Q5" s="259">
        <f t="shared" si="1"/>
        <v>6.0935636350360096E-2</v>
      </c>
      <c r="R5" s="259">
        <f t="shared" si="2"/>
        <v>2.5857414078457396E-2</v>
      </c>
      <c r="S5" s="259">
        <f t="shared" si="3"/>
        <v>7.4263783216002913E-4</v>
      </c>
      <c r="T5" s="351"/>
    </row>
    <row r="6" spans="1:20" x14ac:dyDescent="0.25">
      <c r="A6" s="353" t="s">
        <v>366</v>
      </c>
      <c r="B6" s="39">
        <f>HIVFertilityInputs!B29</f>
        <v>0.92</v>
      </c>
      <c r="C6" s="254" t="s">
        <v>362</v>
      </c>
      <c r="D6" s="39">
        <f>LN(1)+E6*E6</f>
        <v>0.16000000000000003</v>
      </c>
      <c r="E6" s="39">
        <v>0.4</v>
      </c>
      <c r="F6" s="39" t="b">
        <v>1</v>
      </c>
      <c r="G6" s="8"/>
      <c r="H6" s="8" t="s">
        <v>367</v>
      </c>
      <c r="I6" s="256"/>
      <c r="J6" s="256"/>
      <c r="K6" s="256"/>
      <c r="L6" s="256"/>
      <c r="M6" s="256"/>
      <c r="N6" s="256"/>
      <c r="O6" s="258">
        <f t="shared" ref="O6:O36" si="4">O5+1</f>
        <v>3</v>
      </c>
      <c r="P6" s="259">
        <f t="shared" si="0"/>
        <v>7.7568469526641389E-4</v>
      </c>
      <c r="Q6" s="259">
        <f t="shared" si="1"/>
        <v>8.6793050428817492E-2</v>
      </c>
      <c r="R6" s="259">
        <f t="shared" si="2"/>
        <v>3.1133363545912632E-2</v>
      </c>
      <c r="S6" s="259">
        <f t="shared" si="3"/>
        <v>8.0873155837279855E-4</v>
      </c>
      <c r="T6" s="351"/>
    </row>
    <row r="7" spans="1:20" x14ac:dyDescent="0.25">
      <c r="A7" s="350"/>
      <c r="B7" s="254"/>
      <c r="C7" s="254"/>
      <c r="D7" s="254"/>
      <c r="E7" s="254"/>
      <c r="F7" s="254"/>
      <c r="G7" s="8"/>
      <c r="H7" s="8"/>
      <c r="I7" s="256"/>
      <c r="J7" s="256"/>
      <c r="K7" s="256"/>
      <c r="L7" s="256"/>
      <c r="M7" s="256"/>
      <c r="N7" s="256"/>
      <c r="O7" s="258">
        <f t="shared" si="4"/>
        <v>4</v>
      </c>
      <c r="P7" s="259">
        <f t="shared" si="0"/>
        <v>8.4177842147918332E-4</v>
      </c>
      <c r="Q7" s="259">
        <f t="shared" si="1"/>
        <v>0.11792641397473012</v>
      </c>
      <c r="R7" s="259">
        <f t="shared" si="2"/>
        <v>3.6073451053717995E-2</v>
      </c>
      <c r="S7" s="259">
        <f t="shared" si="3"/>
        <v>8.7482528458556808E-4</v>
      </c>
      <c r="T7" s="351"/>
    </row>
    <row r="8" spans="1:20" x14ac:dyDescent="0.25">
      <c r="A8" s="350" t="s">
        <v>369</v>
      </c>
      <c r="B8" s="254"/>
      <c r="C8" s="254"/>
      <c r="D8" s="254"/>
      <c r="E8" s="254"/>
      <c r="F8" s="254"/>
      <c r="G8" s="8"/>
      <c r="H8" s="8"/>
      <c r="I8" s="256"/>
      <c r="J8" s="256"/>
      <c r="K8" s="256"/>
      <c r="L8" s="256"/>
      <c r="M8" s="256"/>
      <c r="N8" s="256"/>
      <c r="O8" s="258">
        <f t="shared" si="4"/>
        <v>5</v>
      </c>
      <c r="P8" s="259">
        <f t="shared" si="0"/>
        <v>9.0787214769195274E-4</v>
      </c>
      <c r="Q8" s="259">
        <f t="shared" si="1"/>
        <v>0.15399986502844812</v>
      </c>
      <c r="R8" s="259">
        <f t="shared" si="2"/>
        <v>4.0447214994619202E-2</v>
      </c>
      <c r="S8" s="259">
        <f t="shared" si="3"/>
        <v>9.4091901079833751E-4</v>
      </c>
      <c r="T8" s="351"/>
    </row>
    <row r="9" spans="1:20" x14ac:dyDescent="0.25">
      <c r="A9" s="353" t="s">
        <v>390</v>
      </c>
      <c r="B9" s="4">
        <f>AVERAGE(PartnershipInputs!B2:CD2)</f>
        <v>100</v>
      </c>
      <c r="C9" s="127" t="s">
        <v>358</v>
      </c>
      <c r="D9" s="39">
        <v>6.25</v>
      </c>
      <c r="E9" s="39">
        <v>0.16</v>
      </c>
      <c r="F9" s="39" t="b">
        <v>1</v>
      </c>
      <c r="G9" s="335" t="s">
        <v>391</v>
      </c>
      <c r="H9" s="8" t="s">
        <v>370</v>
      </c>
      <c r="I9" s="256"/>
      <c r="J9" s="256"/>
      <c r="K9" s="256"/>
      <c r="L9" s="256"/>
      <c r="M9" s="256"/>
      <c r="N9" s="256"/>
      <c r="O9" s="258">
        <f t="shared" si="4"/>
        <v>6</v>
      </c>
      <c r="P9" s="259">
        <f t="shared" si="0"/>
        <v>9.7396587390472227E-4</v>
      </c>
      <c r="Q9" s="259">
        <f t="shared" si="1"/>
        <v>0.19444708002306732</v>
      </c>
      <c r="R9" s="259">
        <f t="shared" si="2"/>
        <v>4.4081605804349444E-2</v>
      </c>
      <c r="S9" s="259">
        <f t="shared" si="3"/>
        <v>1.0070127370111069E-3</v>
      </c>
      <c r="T9" s="351"/>
    </row>
    <row r="10" spans="1:20" x14ac:dyDescent="0.25">
      <c r="A10" s="353" t="s">
        <v>392</v>
      </c>
      <c r="B10" s="4">
        <f>AVERAGE(PartnershipInputs!B3:CD3)</f>
        <v>100</v>
      </c>
      <c r="C10" s="127" t="s">
        <v>358</v>
      </c>
      <c r="D10" s="39">
        <v>6.25</v>
      </c>
      <c r="E10" s="39">
        <v>0.16</v>
      </c>
      <c r="F10" s="39" t="b">
        <v>1</v>
      </c>
      <c r="G10" s="336"/>
      <c r="H10" s="8" t="s">
        <v>371</v>
      </c>
      <c r="I10" s="256"/>
      <c r="J10" s="256"/>
      <c r="K10" s="256"/>
      <c r="L10" s="256"/>
      <c r="M10" s="256"/>
      <c r="N10" s="256"/>
      <c r="O10" s="258">
        <f t="shared" si="4"/>
        <v>7</v>
      </c>
      <c r="P10" s="259">
        <f t="shared" si="0"/>
        <v>1.0400596001174916E-3</v>
      </c>
      <c r="Q10" s="259">
        <f t="shared" si="1"/>
        <v>0.23852868582741676</v>
      </c>
      <c r="R10" s="259">
        <f t="shared" si="2"/>
        <v>4.6865842776108113E-2</v>
      </c>
      <c r="S10" s="259">
        <f t="shared" si="3"/>
        <v>1.0731064632238762E-3</v>
      </c>
      <c r="T10" s="351"/>
    </row>
    <row r="11" spans="1:20" x14ac:dyDescent="0.25">
      <c r="A11" s="353" t="s">
        <v>393</v>
      </c>
      <c r="B11" s="39">
        <f>(PartnershipInputs!B6-15)/(80-15)</f>
        <v>0.18707692307692309</v>
      </c>
      <c r="C11" s="127" t="s">
        <v>349</v>
      </c>
      <c r="D11" s="39">
        <v>300</v>
      </c>
      <c r="E11" s="39">
        <v>800</v>
      </c>
      <c r="F11" s="39" t="b">
        <v>1</v>
      </c>
      <c r="G11" s="337" t="s">
        <v>383</v>
      </c>
      <c r="H11" s="8" t="s">
        <v>384</v>
      </c>
      <c r="I11" s="256"/>
      <c r="J11" s="256"/>
      <c r="K11" s="256"/>
      <c r="L11" s="256"/>
      <c r="M11" s="256"/>
      <c r="N11" s="256"/>
      <c r="O11" s="258">
        <f t="shared" si="4"/>
        <v>8</v>
      </c>
      <c r="P11" s="259">
        <f t="shared" si="0"/>
        <v>1.1061533263302611E-3</v>
      </c>
      <c r="Q11" s="259">
        <f t="shared" si="1"/>
        <v>0.28539452860352488</v>
      </c>
      <c r="R11" s="259">
        <f t="shared" si="2"/>
        <v>4.8749368218499955E-2</v>
      </c>
      <c r="S11" s="259">
        <f t="shared" si="3"/>
        <v>1.139200189436646E-3</v>
      </c>
      <c r="T11" s="351"/>
    </row>
    <row r="12" spans="1:20" x14ac:dyDescent="0.25">
      <c r="A12" s="353" t="s">
        <v>394</v>
      </c>
      <c r="B12" s="39">
        <f>(PartnershipInputs!C6-15)/(80-15)</f>
        <v>0.21784615384615386</v>
      </c>
      <c r="C12" s="127" t="s">
        <v>349</v>
      </c>
      <c r="D12" s="39">
        <v>130</v>
      </c>
      <c r="E12" s="39">
        <v>350</v>
      </c>
      <c r="F12" s="39" t="b">
        <v>1</v>
      </c>
      <c r="G12" s="338"/>
      <c r="H12" s="8" t="s">
        <v>385</v>
      </c>
      <c r="I12" s="256"/>
      <c r="J12" s="256"/>
      <c r="K12" s="256"/>
      <c r="L12" s="256"/>
      <c r="M12" s="256"/>
      <c r="N12" s="256"/>
      <c r="O12" s="258">
        <f t="shared" si="4"/>
        <v>9</v>
      </c>
      <c r="P12" s="259">
        <f t="shared" si="0"/>
        <v>1.1722470525430306E-3</v>
      </c>
      <c r="Q12" s="259">
        <f t="shared" si="1"/>
        <v>0.33414389682202483</v>
      </c>
      <c r="R12" s="259">
        <f t="shared" si="2"/>
        <v>4.9734981585511207E-2</v>
      </c>
      <c r="S12" s="259">
        <f t="shared" si="3"/>
        <v>1.2052939156494153E-3</v>
      </c>
      <c r="T12" s="351"/>
    </row>
    <row r="13" spans="1:20" x14ac:dyDescent="0.25">
      <c r="A13" s="353" t="s">
        <v>395</v>
      </c>
      <c r="B13" s="4">
        <f>PartnershipInputs!B7</f>
        <v>6.83</v>
      </c>
      <c r="C13" s="127" t="s">
        <v>358</v>
      </c>
      <c r="D13" s="39">
        <v>140</v>
      </c>
      <c r="E13" s="39">
        <v>35</v>
      </c>
      <c r="F13" s="39" t="b">
        <v>1</v>
      </c>
      <c r="G13" s="261"/>
      <c r="H13" s="8" t="s">
        <v>386</v>
      </c>
      <c r="I13" s="256"/>
      <c r="J13" s="256"/>
      <c r="K13" s="256"/>
      <c r="L13" s="256"/>
      <c r="M13" s="256"/>
      <c r="N13" s="256"/>
      <c r="O13" s="258">
        <f t="shared" si="4"/>
        <v>10</v>
      </c>
      <c r="P13" s="259">
        <f t="shared" si="0"/>
        <v>1.2383407787558E-3</v>
      </c>
      <c r="Q13" s="259">
        <f t="shared" si="1"/>
        <v>0.38387887840753604</v>
      </c>
      <c r="R13" s="259">
        <f t="shared" si="2"/>
        <v>4.9869133855728109E-2</v>
      </c>
      <c r="S13" s="259">
        <f t="shared" si="3"/>
        <v>1.2713876418621846E-3</v>
      </c>
      <c r="T13" s="351"/>
    </row>
    <row r="14" spans="1:20" x14ac:dyDescent="0.25">
      <c r="A14" s="353" t="s">
        <v>396</v>
      </c>
      <c r="B14" s="4">
        <f>PartnershipInputs!C7</f>
        <v>6.54</v>
      </c>
      <c r="C14" s="127" t="s">
        <v>358</v>
      </c>
      <c r="D14" s="39">
        <v>54</v>
      </c>
      <c r="E14" s="39">
        <v>12</v>
      </c>
      <c r="F14" s="39" t="b">
        <v>1</v>
      </c>
      <c r="G14" s="261"/>
      <c r="H14" s="8" t="s">
        <v>387</v>
      </c>
      <c r="I14" s="256"/>
      <c r="J14" s="256"/>
      <c r="K14" s="256"/>
      <c r="L14" s="256"/>
      <c r="M14" s="256"/>
      <c r="N14" s="256"/>
      <c r="O14" s="258">
        <f t="shared" si="4"/>
        <v>11</v>
      </c>
      <c r="P14" s="259">
        <f t="shared" si="0"/>
        <v>1.3044345049685693E-3</v>
      </c>
      <c r="Q14" s="259">
        <f t="shared" si="1"/>
        <v>0.43374801226326415</v>
      </c>
      <c r="R14" s="259">
        <f t="shared" si="2"/>
        <v>4.9231050205557514E-2</v>
      </c>
      <c r="S14" s="259">
        <f t="shared" si="3"/>
        <v>1.3374813680749542E-3</v>
      </c>
      <c r="T14" s="351"/>
    </row>
    <row r="15" spans="1:20" x14ac:dyDescent="0.25">
      <c r="A15" s="353" t="s">
        <v>397</v>
      </c>
      <c r="B15" s="4">
        <f>PartnershipInputs!B14</f>
        <v>100</v>
      </c>
      <c r="C15" s="127" t="s">
        <v>362</v>
      </c>
      <c r="D15" s="39">
        <f>LN(100)+E15*E15</f>
        <v>4.8551701859880918</v>
      </c>
      <c r="E15" s="39">
        <v>0.5</v>
      </c>
      <c r="F15" s="39" t="b">
        <v>1</v>
      </c>
      <c r="G15" s="354" t="s">
        <v>398</v>
      </c>
      <c r="H15" s="8" t="s">
        <v>399</v>
      </c>
      <c r="I15" s="256"/>
      <c r="J15" s="256"/>
      <c r="K15" s="256"/>
      <c r="L15" s="256"/>
      <c r="M15" s="256"/>
      <c r="N15" s="256"/>
      <c r="O15" s="258">
        <f t="shared" si="4"/>
        <v>12</v>
      </c>
      <c r="P15" s="259">
        <f t="shared" si="0"/>
        <v>1.370528231181339E-3</v>
      </c>
      <c r="Q15" s="259">
        <f t="shared" si="1"/>
        <v>0.48297906246882166</v>
      </c>
      <c r="R15" s="259">
        <f t="shared" si="2"/>
        <v>4.7921950828864579E-2</v>
      </c>
      <c r="S15" s="259">
        <f t="shared" si="3"/>
        <v>1.4035750942877237E-3</v>
      </c>
      <c r="T15" s="351"/>
    </row>
    <row r="16" spans="1:20" x14ac:dyDescent="0.25">
      <c r="A16" s="353" t="s">
        <v>400</v>
      </c>
      <c r="B16" s="4">
        <f>PartnershipInputs!C14</f>
        <v>8</v>
      </c>
      <c r="C16" s="127" t="s">
        <v>362</v>
      </c>
      <c r="D16" s="39">
        <f>LN(8)+E16*E16</f>
        <v>2.3294415416798357</v>
      </c>
      <c r="E16" s="39">
        <v>0.5</v>
      </c>
      <c r="F16" s="39" t="b">
        <v>1</v>
      </c>
      <c r="G16" s="355"/>
      <c r="H16" s="8" t="s">
        <v>401</v>
      </c>
      <c r="I16" s="256"/>
      <c r="J16" s="256"/>
      <c r="K16" s="256"/>
      <c r="L16" s="256"/>
      <c r="M16" s="256"/>
      <c r="N16" s="256"/>
      <c r="O16" s="258">
        <f t="shared" si="4"/>
        <v>13</v>
      </c>
      <c r="P16" s="259">
        <f t="shared" si="0"/>
        <v>1.4366219573941083E-3</v>
      </c>
      <c r="Q16" s="259">
        <f t="shared" si="1"/>
        <v>0.53090101329768624</v>
      </c>
      <c r="R16" s="259">
        <f t="shared" si="2"/>
        <v>4.6055238728349712E-2</v>
      </c>
      <c r="S16" s="259">
        <f t="shared" si="3"/>
        <v>1.469668820500493E-3</v>
      </c>
      <c r="T16" s="351"/>
    </row>
    <row r="17" spans="1:20" x14ac:dyDescent="0.25">
      <c r="A17" s="350"/>
      <c r="B17" s="254"/>
      <c r="C17" s="254"/>
      <c r="D17" s="254"/>
      <c r="E17" s="254"/>
      <c r="F17" s="254"/>
      <c r="G17" s="8"/>
      <c r="H17" s="8"/>
      <c r="I17" s="256"/>
      <c r="J17" s="256"/>
      <c r="K17" s="256"/>
      <c r="L17" s="256"/>
      <c r="M17" s="256"/>
      <c r="N17" s="256"/>
      <c r="O17" s="258">
        <f t="shared" si="4"/>
        <v>14</v>
      </c>
      <c r="P17" s="259">
        <f t="shared" si="0"/>
        <v>1.5027156836068777E-3</v>
      </c>
      <c r="Q17" s="259">
        <f t="shared" si="1"/>
        <v>0.57695625202603595</v>
      </c>
      <c r="R17" s="259">
        <f t="shared" si="2"/>
        <v>4.3748168214965855E-2</v>
      </c>
      <c r="S17" s="259">
        <f t="shared" si="3"/>
        <v>1.5357625467132623E-3</v>
      </c>
      <c r="T17" s="351"/>
    </row>
    <row r="18" spans="1:20" x14ac:dyDescent="0.25">
      <c r="A18" s="350" t="s">
        <v>372</v>
      </c>
      <c r="B18" s="254"/>
      <c r="C18" s="254"/>
      <c r="D18" s="254"/>
      <c r="E18" s="254"/>
      <c r="F18" s="254"/>
      <c r="G18" s="8"/>
      <c r="H18" s="8"/>
      <c r="I18" s="256"/>
      <c r="J18" s="256"/>
      <c r="K18" s="256"/>
      <c r="L18" s="256"/>
      <c r="M18" s="256"/>
      <c r="N18" s="256"/>
      <c r="O18" s="258">
        <f t="shared" si="4"/>
        <v>15</v>
      </c>
      <c r="P18" s="259">
        <f t="shared" si="0"/>
        <v>1.5688094098196472E-3</v>
      </c>
      <c r="Q18" s="259">
        <f t="shared" si="1"/>
        <v>0.62070442024100181</v>
      </c>
      <c r="R18" s="259">
        <f t="shared" si="2"/>
        <v>4.1115221673177715E-2</v>
      </c>
      <c r="S18" s="259">
        <f t="shared" si="3"/>
        <v>1.6018562729260321E-3</v>
      </c>
      <c r="T18" s="351"/>
    </row>
    <row r="19" spans="1:20" x14ac:dyDescent="0.25">
      <c r="A19" s="353" t="s">
        <v>323</v>
      </c>
      <c r="B19" s="39">
        <f>LikelihoodInputs!B2</f>
        <v>0.15</v>
      </c>
      <c r="C19" s="254" t="s">
        <v>363</v>
      </c>
      <c r="D19" s="39">
        <v>0.15</v>
      </c>
      <c r="E19" s="39">
        <v>1</v>
      </c>
      <c r="F19" s="39" t="b">
        <v>1</v>
      </c>
      <c r="G19" s="8"/>
      <c r="H19" s="8" t="s">
        <v>325</v>
      </c>
      <c r="I19" s="256"/>
      <c r="J19" s="256"/>
      <c r="K19" s="256"/>
      <c r="L19" s="256"/>
      <c r="M19" s="256"/>
      <c r="N19" s="256"/>
      <c r="O19" s="258">
        <f t="shared" si="4"/>
        <v>16</v>
      </c>
      <c r="P19" s="259">
        <f t="shared" si="0"/>
        <v>1.6349031360324167E-3</v>
      </c>
      <c r="Q19" s="259">
        <f t="shared" si="1"/>
        <v>0.66181964191417952</v>
      </c>
      <c r="R19" s="259">
        <f t="shared" si="2"/>
        <v>3.8263210303302486E-2</v>
      </c>
      <c r="S19" s="259">
        <f t="shared" si="3"/>
        <v>1.6679499991388014E-3</v>
      </c>
      <c r="T19" s="351"/>
    </row>
    <row r="20" spans="1:20" x14ac:dyDescent="0.25">
      <c r="A20" s="353" t="s">
        <v>326</v>
      </c>
      <c r="B20" s="39">
        <f>LikelihoodInputs!B3</f>
        <v>0</v>
      </c>
      <c r="C20" s="254" t="s">
        <v>363</v>
      </c>
      <c r="D20" s="39">
        <v>0</v>
      </c>
      <c r="E20" s="39">
        <v>1</v>
      </c>
      <c r="F20" s="39" t="b">
        <v>1</v>
      </c>
      <c r="G20" s="8"/>
      <c r="H20" s="8" t="s">
        <v>328</v>
      </c>
      <c r="I20" s="256"/>
      <c r="J20" s="256"/>
      <c r="K20" s="256"/>
      <c r="L20" s="256"/>
      <c r="M20" s="256"/>
      <c r="N20" s="256"/>
      <c r="O20" s="258">
        <f t="shared" si="4"/>
        <v>17</v>
      </c>
      <c r="P20" s="259">
        <f t="shared" si="0"/>
        <v>1.700996862245186E-3</v>
      </c>
      <c r="Q20" s="259">
        <f t="shared" si="1"/>
        <v>0.70008285221748201</v>
      </c>
      <c r="R20" s="259">
        <f t="shared" si="2"/>
        <v>3.528797176794285E-2</v>
      </c>
      <c r="S20" s="259">
        <f t="shared" si="3"/>
        <v>1.7340437253515707E-3</v>
      </c>
      <c r="T20" s="351"/>
    </row>
    <row r="21" spans="1:20" x14ac:dyDescent="0.25">
      <c r="A21" s="353" t="s">
        <v>329</v>
      </c>
      <c r="B21" s="39">
        <f>LikelihoodInputs!B4</f>
        <v>0.2</v>
      </c>
      <c r="C21" s="254" t="s">
        <v>358</v>
      </c>
      <c r="D21" s="39">
        <v>1</v>
      </c>
      <c r="E21" s="39">
        <f>1/0.015</f>
        <v>66.666666666666671</v>
      </c>
      <c r="F21" s="39" t="b">
        <v>1</v>
      </c>
      <c r="G21" s="8"/>
      <c r="H21" s="8" t="s">
        <v>331</v>
      </c>
      <c r="I21" s="256"/>
      <c r="J21" s="256"/>
      <c r="K21" s="256"/>
      <c r="L21" s="256"/>
      <c r="M21" s="256"/>
      <c r="N21" s="256"/>
      <c r="O21" s="258">
        <f t="shared" si="4"/>
        <v>18</v>
      </c>
      <c r="P21" s="259">
        <f t="shared" si="0"/>
        <v>1.7670905884579556E-3</v>
      </c>
      <c r="Q21" s="259">
        <f t="shared" si="1"/>
        <v>0.73537082398542486</v>
      </c>
      <c r="R21" s="259">
        <f t="shared" si="2"/>
        <v>3.2272453146632518E-2</v>
      </c>
      <c r="S21" s="259">
        <f t="shared" si="3"/>
        <v>1.8001374515643404E-3</v>
      </c>
      <c r="T21" s="351"/>
    </row>
    <row r="22" spans="1:20" x14ac:dyDescent="0.25">
      <c r="A22" s="353" t="s">
        <v>332</v>
      </c>
      <c r="B22" s="39">
        <f>LikelihoodInputs!B5</f>
        <v>0</v>
      </c>
      <c r="C22" s="254" t="s">
        <v>358</v>
      </c>
      <c r="D22" s="39">
        <v>1</v>
      </c>
      <c r="E22" s="39">
        <f>1/0.015</f>
        <v>66.666666666666671</v>
      </c>
      <c r="F22" s="39" t="b">
        <v>1</v>
      </c>
      <c r="G22" s="8"/>
      <c r="H22" s="8" t="s">
        <v>334</v>
      </c>
      <c r="I22" s="256"/>
      <c r="J22" s="256"/>
      <c r="K22" s="256"/>
      <c r="L22" s="256"/>
      <c r="M22" s="256"/>
      <c r="N22" s="256"/>
      <c r="O22" s="258">
        <f t="shared" si="4"/>
        <v>19</v>
      </c>
      <c r="P22" s="259">
        <f t="shared" si="0"/>
        <v>1.8331843146707251E-3</v>
      </c>
      <c r="Q22" s="259">
        <f t="shared" si="1"/>
        <v>0.76764327713205738</v>
      </c>
      <c r="R22" s="259">
        <f t="shared" si="2"/>
        <v>2.9285928567310604E-2</v>
      </c>
      <c r="S22" s="259">
        <f t="shared" si="3"/>
        <v>1.8662311777771098E-3</v>
      </c>
      <c r="T22" s="351"/>
    </row>
    <row r="23" spans="1:20" x14ac:dyDescent="0.25">
      <c r="A23" s="350"/>
      <c r="B23" s="254"/>
      <c r="C23" s="254"/>
      <c r="D23" s="254"/>
      <c r="E23" s="254"/>
      <c r="F23" s="254"/>
      <c r="G23" s="8"/>
      <c r="H23" s="8"/>
      <c r="I23" s="256"/>
      <c r="J23" s="256"/>
      <c r="K23" s="256"/>
      <c r="L23" s="256"/>
      <c r="M23" s="256"/>
      <c r="N23" s="256"/>
      <c r="O23" s="258">
        <f t="shared" si="4"/>
        <v>20</v>
      </c>
      <c r="P23" s="259">
        <f t="shared" si="0"/>
        <v>1.8992780408834944E-3</v>
      </c>
      <c r="Q23" s="259">
        <f t="shared" si="1"/>
        <v>0.79692920569936798</v>
      </c>
      <c r="R23" s="259">
        <f t="shared" si="2"/>
        <v>2.6384094825308235E-2</v>
      </c>
      <c r="S23" s="259">
        <f t="shared" si="3"/>
        <v>1.9323249039898791E-3</v>
      </c>
      <c r="T23" s="351"/>
    </row>
    <row r="24" spans="1:20" x14ac:dyDescent="0.25">
      <c r="A24" s="356"/>
      <c r="B24" s="262"/>
      <c r="C24" s="262"/>
      <c r="D24" s="262"/>
      <c r="E24" s="262"/>
      <c r="F24" s="262"/>
      <c r="G24" s="256"/>
      <c r="H24" s="256"/>
      <c r="I24" s="256"/>
      <c r="J24" s="256"/>
      <c r="K24" s="256"/>
      <c r="L24" s="256"/>
      <c r="M24" s="256"/>
      <c r="N24" s="256"/>
      <c r="O24" s="258">
        <f t="shared" si="4"/>
        <v>21</v>
      </c>
      <c r="P24" s="259">
        <f t="shared" si="0"/>
        <v>1.9653717670962637E-3</v>
      </c>
      <c r="Q24" s="259">
        <f t="shared" si="1"/>
        <v>0.82331330052467622</v>
      </c>
      <c r="R24" s="259">
        <f t="shared" si="2"/>
        <v>2.3609804211707552E-2</v>
      </c>
      <c r="S24" s="259">
        <f t="shared" si="3"/>
        <v>1.9984186302026484E-3</v>
      </c>
      <c r="T24" s="351"/>
    </row>
    <row r="25" spans="1:20" x14ac:dyDescent="0.25">
      <c r="A25" s="357" t="s">
        <v>373</v>
      </c>
      <c r="B25" s="339" t="s">
        <v>232</v>
      </c>
      <c r="C25" s="274"/>
      <c r="D25" s="262"/>
      <c r="E25" s="262"/>
      <c r="F25" s="262"/>
      <c r="G25" s="256"/>
      <c r="H25" s="256"/>
      <c r="I25" s="256"/>
      <c r="J25" s="256"/>
      <c r="K25" s="256"/>
      <c r="L25" s="256"/>
      <c r="M25" s="256"/>
      <c r="N25" s="256"/>
      <c r="O25" s="258">
        <f t="shared" si="4"/>
        <v>22</v>
      </c>
      <c r="P25" s="259">
        <f t="shared" si="0"/>
        <v>2.031465493309033E-3</v>
      </c>
      <c r="Q25" s="259">
        <f t="shared" si="1"/>
        <v>0.84692310473638377</v>
      </c>
      <c r="R25" s="259">
        <f t="shared" si="2"/>
        <v>2.0994222687083064E-2</v>
      </c>
      <c r="S25" s="259">
        <f t="shared" si="3"/>
        <v>2.0645123564154181E-3</v>
      </c>
      <c r="T25" s="351"/>
    </row>
    <row r="26" spans="1:20" x14ac:dyDescent="0.25">
      <c r="A26" s="356"/>
      <c r="B26" s="262"/>
      <c r="C26" s="262"/>
      <c r="D26" s="262"/>
      <c r="E26" s="262"/>
      <c r="F26" s="262"/>
      <c r="G26" s="256"/>
      <c r="H26" s="256"/>
      <c r="I26" s="256"/>
      <c r="J26" s="256"/>
      <c r="K26" s="256"/>
      <c r="L26" s="256"/>
      <c r="M26" s="256"/>
      <c r="N26" s="256"/>
      <c r="O26" s="258">
        <f t="shared" si="4"/>
        <v>23</v>
      </c>
      <c r="P26" s="259">
        <f t="shared" si="0"/>
        <v>2.0975592195218028E-3</v>
      </c>
      <c r="Q26" s="259">
        <f t="shared" si="1"/>
        <v>0.86791732742346683</v>
      </c>
      <c r="R26" s="259">
        <f t="shared" si="2"/>
        <v>1.8558236618922086E-2</v>
      </c>
      <c r="S26" s="259">
        <f t="shared" si="3"/>
        <v>2.1306060826281874E-3</v>
      </c>
      <c r="T26" s="351"/>
    </row>
    <row r="27" spans="1:20" x14ac:dyDescent="0.25">
      <c r="A27" s="356"/>
      <c r="B27" s="252" t="s">
        <v>374</v>
      </c>
      <c r="C27" s="252" t="s">
        <v>5</v>
      </c>
      <c r="D27" s="262"/>
      <c r="E27" s="262"/>
      <c r="F27" s="262"/>
      <c r="G27" s="256"/>
      <c r="H27" s="256"/>
      <c r="I27" s="256"/>
      <c r="J27" s="256"/>
      <c r="K27" s="256"/>
      <c r="L27" s="256"/>
      <c r="M27" s="256"/>
      <c r="N27" s="256"/>
      <c r="O27" s="258">
        <f t="shared" si="4"/>
        <v>24</v>
      </c>
      <c r="P27" s="259">
        <f t="shared" si="0"/>
        <v>2.1636529457345725E-3</v>
      </c>
      <c r="Q27" s="259">
        <f t="shared" si="1"/>
        <v>0.88647556404238892</v>
      </c>
      <c r="R27" s="259">
        <f t="shared" si="2"/>
        <v>1.6313967676561791E-2</v>
      </c>
      <c r="S27" s="259">
        <f t="shared" si="3"/>
        <v>2.1966998088409572E-3</v>
      </c>
      <c r="T27" s="351"/>
    </row>
    <row r="28" spans="1:20" x14ac:dyDescent="0.25">
      <c r="A28" s="356"/>
      <c r="B28" s="259" t="s">
        <v>375</v>
      </c>
      <c r="C28" s="259" t="str">
        <f>_xlfn.XLOOKUP($B$25,H3:H22,C3:C22)</f>
        <v>Beta</v>
      </c>
      <c r="D28" s="262"/>
      <c r="E28" s="262"/>
      <c r="F28" s="262"/>
      <c r="G28" s="256"/>
      <c r="H28" s="256"/>
      <c r="I28" s="256"/>
      <c r="J28" s="256"/>
      <c r="K28" s="256"/>
      <c r="L28" s="256"/>
      <c r="M28" s="256"/>
      <c r="N28" s="256"/>
      <c r="O28" s="258">
        <f t="shared" si="4"/>
        <v>25</v>
      </c>
      <c r="P28" s="259">
        <f t="shared" si="0"/>
        <v>2.2297466719473419E-3</v>
      </c>
      <c r="Q28" s="259">
        <f t="shared" si="1"/>
        <v>0.90278953171895071</v>
      </c>
      <c r="R28" s="259">
        <f t="shared" si="2"/>
        <v>1.4266289928920872E-2</v>
      </c>
      <c r="S28" s="259">
        <f t="shared" si="3"/>
        <v>2.2627935350537265E-3</v>
      </c>
      <c r="T28" s="351"/>
    </row>
    <row r="29" spans="1:20" x14ac:dyDescent="0.25">
      <c r="A29" s="356"/>
      <c r="B29" s="259" t="s">
        <v>376</v>
      </c>
      <c r="C29" s="259">
        <f>_xlfn.XLOOKUP($B$25,H3:H22,D3:D22)</f>
        <v>6.75</v>
      </c>
      <c r="D29" s="262"/>
      <c r="E29" s="262"/>
      <c r="F29" s="262"/>
      <c r="G29" s="256"/>
      <c r="H29" s="256"/>
      <c r="I29" s="256"/>
      <c r="J29" s="256"/>
      <c r="K29" s="256"/>
      <c r="L29" s="256"/>
      <c r="M29" s="256"/>
      <c r="N29" s="256"/>
      <c r="O29" s="258">
        <f t="shared" si="4"/>
        <v>26</v>
      </c>
      <c r="P29" s="259">
        <f t="shared" si="0"/>
        <v>2.2958403981601112E-3</v>
      </c>
      <c r="Q29" s="259">
        <f t="shared" si="1"/>
        <v>0.91705582164787158</v>
      </c>
      <c r="R29" s="259">
        <f t="shared" si="2"/>
        <v>1.2414273815273602E-2</v>
      </c>
      <c r="S29" s="259">
        <f t="shared" si="3"/>
        <v>2.3288872612664958E-3</v>
      </c>
      <c r="T29" s="351"/>
    </row>
    <row r="30" spans="1:20" x14ac:dyDescent="0.25">
      <c r="A30" s="356"/>
      <c r="B30" s="259" t="s">
        <v>377</v>
      </c>
      <c r="C30" s="259">
        <f>_xlfn.XLOOKUP($B$25,H3:H22,E3:E22)</f>
        <v>4600</v>
      </c>
      <c r="D30" s="262"/>
      <c r="E30" s="262"/>
      <c r="F30" s="262"/>
      <c r="G30" s="256"/>
      <c r="H30" s="256"/>
      <c r="I30" s="256"/>
      <c r="J30" s="256"/>
      <c r="K30" s="256"/>
      <c r="L30" s="256"/>
      <c r="M30" s="256"/>
      <c r="N30" s="256"/>
      <c r="O30" s="258">
        <f t="shared" si="4"/>
        <v>27</v>
      </c>
      <c r="P30" s="259">
        <f t="shared" si="0"/>
        <v>2.3619341243728805E-3</v>
      </c>
      <c r="Q30" s="259">
        <f t="shared" si="1"/>
        <v>0.92947009546314519</v>
      </c>
      <c r="R30" s="259">
        <f t="shared" si="2"/>
        <v>1.0752507538952516E-2</v>
      </c>
      <c r="S30" s="259">
        <f t="shared" si="3"/>
        <v>2.3949809874792651E-3</v>
      </c>
      <c r="T30" s="351"/>
    </row>
    <row r="31" spans="1:20" x14ac:dyDescent="0.25">
      <c r="A31" s="356"/>
      <c r="B31" s="259" t="s">
        <v>378</v>
      </c>
      <c r="C31" s="259">
        <f>_xlfn.XLOOKUP($B$25,H3:H22,B3:B22)</f>
        <v>1E-4</v>
      </c>
      <c r="D31" s="262"/>
      <c r="E31" s="262"/>
      <c r="F31" s="262"/>
      <c r="G31" s="256"/>
      <c r="H31" s="256"/>
      <c r="I31" s="256"/>
      <c r="J31" s="256"/>
      <c r="K31" s="256"/>
      <c r="L31" s="256"/>
      <c r="M31" s="256"/>
      <c r="N31" s="256"/>
      <c r="O31" s="258">
        <f t="shared" si="4"/>
        <v>28</v>
      </c>
      <c r="P31" s="259">
        <f t="shared" si="0"/>
        <v>2.4280278505856498E-3</v>
      </c>
      <c r="Q31" s="259">
        <f t="shared" si="1"/>
        <v>0.9402226030020977</v>
      </c>
      <c r="R31" s="259">
        <f t="shared" si="2"/>
        <v>9.2722673416507639E-3</v>
      </c>
      <c r="S31" s="259">
        <f t="shared" si="3"/>
        <v>2.4610747136920349E-3</v>
      </c>
      <c r="T31" s="351"/>
    </row>
    <row r="32" spans="1:20" x14ac:dyDescent="0.25">
      <c r="A32" s="356"/>
      <c r="B32" s="259" t="s">
        <v>235</v>
      </c>
      <c r="C32" s="259">
        <f>IF(C28="Beta",C29/(C29+C30),IF(C28="Lognormal",EXP(C29+0.5*C30*C30),IF(C28="Gamma",C29/C30,IF(C28="Normal",C29,"Panic"))))</f>
        <v>1.4652412221197156E-3</v>
      </c>
      <c r="D32" s="262"/>
      <c r="E32" s="262"/>
      <c r="F32" s="262"/>
      <c r="G32" s="256"/>
      <c r="H32" s="256"/>
      <c r="I32" s="256"/>
      <c r="J32" s="256"/>
      <c r="K32" s="256"/>
      <c r="L32" s="256"/>
      <c r="M32" s="256"/>
      <c r="N32" s="256"/>
      <c r="O32" s="258">
        <f t="shared" si="4"/>
        <v>29</v>
      </c>
      <c r="P32" s="259">
        <f t="shared" si="0"/>
        <v>2.4941215767984195E-3</v>
      </c>
      <c r="Q32" s="259">
        <f t="shared" si="1"/>
        <v>0.94949487034374846</v>
      </c>
      <c r="R32" s="259">
        <f t="shared" si="2"/>
        <v>7.9625242788594619E-3</v>
      </c>
      <c r="S32" s="259">
        <f t="shared" si="3"/>
        <v>2.5271684399048042E-3</v>
      </c>
      <c r="T32" s="351"/>
    </row>
    <row r="33" spans="1:20" x14ac:dyDescent="0.25">
      <c r="A33" s="356"/>
      <c r="B33" s="259" t="s">
        <v>379</v>
      </c>
      <c r="C33" s="259">
        <f>IF(C28="Beta",(C29-1)/(C29+C30-2),IF(C28="Lognormal",EXP(C29-C30*C30),IF(C28="Gamma",(C29-1)/C30,IF(C28="Normal",C29,"Panic"))))</f>
        <v>1.2487105706064389E-3</v>
      </c>
      <c r="D33" s="262"/>
      <c r="E33" s="262"/>
      <c r="F33" s="262"/>
      <c r="G33" s="256"/>
      <c r="H33" s="256"/>
      <c r="I33" s="256"/>
      <c r="J33" s="256"/>
      <c r="K33" s="256"/>
      <c r="L33" s="256"/>
      <c r="M33" s="256"/>
      <c r="N33" s="256"/>
      <c r="O33" s="258">
        <f t="shared" si="4"/>
        <v>30</v>
      </c>
      <c r="P33" s="259">
        <f t="shared" si="0"/>
        <v>2.5602153030111889E-3</v>
      </c>
      <c r="Q33" s="259">
        <f t="shared" si="1"/>
        <v>0.95745739462260793</v>
      </c>
      <c r="R33" s="259">
        <f t="shared" si="2"/>
        <v>6.8107870294500383E-3</v>
      </c>
      <c r="S33" s="259">
        <f t="shared" si="3"/>
        <v>2.5932621661175735E-3</v>
      </c>
      <c r="T33" s="351"/>
    </row>
    <row r="34" spans="1:20" x14ac:dyDescent="0.25">
      <c r="A34" s="356"/>
      <c r="B34" s="259" t="s">
        <v>288</v>
      </c>
      <c r="C34" s="259">
        <f>IF(C28="Beta",_xlfn.BETA.INV(0.5,C29,C30),IF(C28="Lognormal",_xlfn.LOGNORM.INV(0.5,C29,C30),IF(C28="Gamma",_xlfn.GAMMA.INV(0.5,C29,1/C30),IF(C28="Normal",_xlfn.NORM.INV(0.5,C29,C30),"Panic"))))</f>
        <v>1.3937547801935461E-3</v>
      </c>
      <c r="D34" s="262"/>
      <c r="E34" s="262"/>
      <c r="F34" s="262"/>
      <c r="G34" s="256"/>
      <c r="H34" s="256"/>
      <c r="I34" s="256"/>
      <c r="J34" s="256"/>
      <c r="K34" s="256"/>
      <c r="L34" s="256"/>
      <c r="M34" s="256"/>
      <c r="N34" s="256"/>
      <c r="O34" s="258">
        <f t="shared" si="4"/>
        <v>31</v>
      </c>
      <c r="P34" s="259">
        <f t="shared" si="0"/>
        <v>2.6263090292239582E-3</v>
      </c>
      <c r="Q34" s="259">
        <f t="shared" si="1"/>
        <v>0.96426818165205797</v>
      </c>
      <c r="R34" s="259">
        <f t="shared" si="2"/>
        <v>5.8037885599682149E-3</v>
      </c>
      <c r="S34" s="259">
        <f t="shared" ref="S34" si="5">0.5*SUM(P34:P35)</f>
        <v>2.6593558923303428E-3</v>
      </c>
      <c r="T34" s="351"/>
    </row>
    <row r="35" spans="1:20" x14ac:dyDescent="0.25">
      <c r="A35" s="356"/>
      <c r="B35" s="259" t="s">
        <v>380</v>
      </c>
      <c r="C35" s="259">
        <f>IF(C28="Beta",_xlfn.BETA.INV(0.025,C29,C30),IF(C28="Lognormal",_xlfn.LOGNORM.INV(0.025,C29,C30),IF(C28="Gamma",_xlfn.GAMMA.INV(0.025,C29,1/C30),IF(C28="Normal",_xlfn.NORM.INV(0.025,C29,C30),"Panic"))))</f>
        <v>5.7740351662810552E-4</v>
      </c>
      <c r="D35" s="262"/>
      <c r="E35" s="262"/>
      <c r="F35" s="262"/>
      <c r="G35" s="256"/>
      <c r="H35" s="256"/>
      <c r="I35" s="256"/>
      <c r="J35" s="256"/>
      <c r="K35" s="256"/>
      <c r="L35" s="256"/>
      <c r="M35" s="256"/>
      <c r="N35" s="256"/>
      <c r="O35" s="258">
        <f t="shared" si="4"/>
        <v>32</v>
      </c>
      <c r="P35" s="259">
        <f t="shared" si="0"/>
        <v>2.6924027554367279E-3</v>
      </c>
      <c r="Q35" s="259">
        <f t="shared" si="1"/>
        <v>0.97007197021202618</v>
      </c>
      <c r="R35" s="259">
        <f t="shared" si="2"/>
        <v>4.92802978797513E-3</v>
      </c>
      <c r="S35" s="259">
        <f t="shared" ref="S35" si="6">0.5*SUM(P35:P36)</f>
        <v>2.7254496185431126E-3</v>
      </c>
      <c r="T35" s="351"/>
    </row>
    <row r="36" spans="1:20" x14ac:dyDescent="0.25">
      <c r="A36" s="356"/>
      <c r="B36" s="259" t="s">
        <v>381</v>
      </c>
      <c r="C36" s="259">
        <f>IF(C28="Beta",_xlfn.BETA.INV(0.975,C29,C30),IF(C28="Lognormal",_xlfn.LOGNORM.INV(0.975,C29,C30),IF(C28="Gamma",_xlfn.GAMMA.INV(0.975,C29,1/C30),IF(C28="Normal",_xlfn.NORM.INV(0.975,C29,C30),"Panic"))))</f>
        <v>2.7584964816494972E-3</v>
      </c>
      <c r="D36" s="262"/>
      <c r="E36" s="262"/>
      <c r="F36" s="262"/>
      <c r="G36" s="256"/>
      <c r="H36" s="256"/>
      <c r="I36" s="256"/>
      <c r="J36" s="256"/>
      <c r="K36" s="256"/>
      <c r="L36" s="256"/>
      <c r="M36" s="256"/>
      <c r="N36" s="256"/>
      <c r="O36" s="258">
        <f t="shared" si="4"/>
        <v>33</v>
      </c>
      <c r="P36" s="259">
        <f t="shared" si="0"/>
        <v>2.7584964816494972E-3</v>
      </c>
      <c r="Q36" s="259">
        <f t="shared" si="1"/>
        <v>0.97500000000000131</v>
      </c>
      <c r="R36" s="259"/>
      <c r="S36" s="263"/>
      <c r="T36" s="351"/>
    </row>
    <row r="37" spans="1:20" x14ac:dyDescent="0.25">
      <c r="A37" s="356"/>
      <c r="B37" s="262"/>
      <c r="C37" s="262"/>
      <c r="D37" s="262"/>
      <c r="E37" s="262"/>
      <c r="F37" s="262"/>
      <c r="G37" s="256"/>
      <c r="H37" s="256"/>
      <c r="I37" s="256"/>
      <c r="J37" s="256"/>
      <c r="K37" s="256"/>
      <c r="L37" s="256"/>
      <c r="M37" s="256"/>
      <c r="N37" s="256"/>
      <c r="O37" s="256"/>
      <c r="P37" s="256"/>
      <c r="Q37" s="256"/>
      <c r="R37" s="256"/>
      <c r="S37" s="256"/>
      <c r="T37" s="351"/>
    </row>
    <row r="38" spans="1:20" x14ac:dyDescent="0.25">
      <c r="A38" s="356"/>
      <c r="B38" s="262"/>
      <c r="C38" s="262"/>
      <c r="D38" s="262"/>
      <c r="E38" s="262"/>
      <c r="F38" s="262"/>
      <c r="G38" s="256"/>
      <c r="H38" s="256"/>
      <c r="I38" s="256"/>
      <c r="J38" s="256"/>
      <c r="K38" s="256"/>
      <c r="L38" s="256"/>
      <c r="M38" s="256"/>
      <c r="N38" s="256"/>
      <c r="O38" s="256"/>
      <c r="P38" s="256"/>
      <c r="Q38" s="256"/>
      <c r="R38" s="256"/>
      <c r="S38" s="256"/>
      <c r="T38" s="351"/>
    </row>
    <row r="39" spans="1:20" x14ac:dyDescent="0.25">
      <c r="A39" s="356"/>
      <c r="B39" s="262"/>
      <c r="C39" s="262"/>
      <c r="D39" s="262"/>
      <c r="E39" s="262"/>
      <c r="F39" s="262"/>
      <c r="G39" s="256"/>
      <c r="H39" s="256"/>
      <c r="I39" s="256"/>
      <c r="J39" s="256"/>
      <c r="K39" s="256"/>
      <c r="L39" s="256"/>
      <c r="M39" s="256"/>
      <c r="N39" s="256"/>
      <c r="O39" s="256"/>
      <c r="P39" s="256"/>
      <c r="Q39" s="256"/>
      <c r="R39" s="256"/>
      <c r="S39" s="256"/>
      <c r="T39" s="351"/>
    </row>
    <row r="40" spans="1:20" x14ac:dyDescent="0.25">
      <c r="A40" s="356"/>
      <c r="B40" s="262"/>
      <c r="C40" s="262"/>
      <c r="D40" s="262"/>
      <c r="E40" s="262"/>
      <c r="F40" s="262"/>
      <c r="G40" s="256"/>
      <c r="H40" s="256"/>
      <c r="I40" s="256"/>
      <c r="J40" s="256"/>
      <c r="K40" s="256"/>
      <c r="L40" s="256"/>
      <c r="M40" s="256"/>
      <c r="N40" s="256"/>
      <c r="O40" s="256"/>
      <c r="P40" s="256"/>
      <c r="Q40" s="256"/>
      <c r="R40" s="256"/>
      <c r="S40" s="256"/>
      <c r="T40" s="351"/>
    </row>
    <row r="41" spans="1:20" x14ac:dyDescent="0.25">
      <c r="A41" s="356"/>
      <c r="B41" s="262"/>
      <c r="C41" s="262"/>
      <c r="D41" s="262"/>
      <c r="E41" s="262"/>
      <c r="F41" s="262"/>
      <c r="G41" s="256"/>
      <c r="H41" s="256"/>
      <c r="I41" s="256"/>
      <c r="J41" s="256"/>
      <c r="K41" s="256"/>
      <c r="L41" s="256"/>
      <c r="M41" s="256"/>
      <c r="N41" s="256"/>
      <c r="O41" s="256"/>
      <c r="P41" s="256"/>
      <c r="Q41" s="256"/>
      <c r="R41" s="256"/>
      <c r="S41" s="256"/>
      <c r="T41" s="351"/>
    </row>
    <row r="42" spans="1:20" x14ac:dyDescent="0.25">
      <c r="A42" s="356"/>
      <c r="B42" s="262"/>
      <c r="C42" s="262"/>
      <c r="D42" s="262"/>
      <c r="E42" s="262"/>
      <c r="F42" s="262"/>
      <c r="G42" s="256"/>
      <c r="H42" s="256"/>
      <c r="I42" s="256"/>
      <c r="J42" s="256"/>
      <c r="K42" s="256"/>
      <c r="L42" s="256"/>
      <c r="M42" s="256"/>
      <c r="N42" s="256"/>
      <c r="O42" s="256"/>
      <c r="P42" s="256"/>
      <c r="Q42" s="256"/>
      <c r="R42" s="256"/>
      <c r="S42" s="256"/>
      <c r="T42" s="351"/>
    </row>
    <row r="43" spans="1:20" x14ac:dyDescent="0.25">
      <c r="A43" s="356"/>
      <c r="B43" s="262"/>
      <c r="C43" s="262"/>
      <c r="D43" s="262"/>
      <c r="E43" s="262"/>
      <c r="F43" s="262"/>
      <c r="G43" s="256"/>
      <c r="H43" s="256"/>
      <c r="I43" s="256"/>
      <c r="J43" s="256"/>
      <c r="K43" s="256"/>
      <c r="L43" s="256"/>
      <c r="M43" s="256"/>
      <c r="N43" s="256"/>
      <c r="O43" s="256"/>
      <c r="P43" s="256"/>
      <c r="Q43" s="256"/>
      <c r="R43" s="256"/>
      <c r="S43" s="256"/>
      <c r="T43" s="351"/>
    </row>
    <row r="44" spans="1:20" x14ac:dyDescent="0.25">
      <c r="A44" s="356"/>
      <c r="B44" s="262"/>
      <c r="C44" s="262"/>
      <c r="D44" s="262"/>
      <c r="E44" s="264" t="str">
        <f>_xlfn.XLOOKUP($B$25,H3:H22,A3:A22)</f>
        <v>Initial epidemic pulse</v>
      </c>
      <c r="F44" s="262"/>
      <c r="G44" s="256"/>
      <c r="H44" s="256"/>
      <c r="I44" s="256"/>
      <c r="J44" s="256"/>
      <c r="K44" s="256"/>
      <c r="L44" s="256"/>
      <c r="M44" s="256"/>
      <c r="N44" s="256"/>
      <c r="O44" s="256"/>
      <c r="P44" s="256"/>
      <c r="Q44" s="256"/>
      <c r="R44" s="256"/>
      <c r="S44" s="256"/>
      <c r="T44" s="351"/>
    </row>
    <row r="45" spans="1:20" x14ac:dyDescent="0.25">
      <c r="A45" s="358"/>
      <c r="B45" s="359"/>
      <c r="C45" s="359"/>
      <c r="D45" s="359"/>
      <c r="E45" s="359"/>
      <c r="F45" s="359"/>
      <c r="G45" s="360"/>
      <c r="H45" s="360"/>
      <c r="I45" s="360"/>
      <c r="J45" s="360"/>
      <c r="K45" s="360"/>
      <c r="L45" s="360"/>
      <c r="M45" s="360"/>
      <c r="N45" s="360"/>
      <c r="O45" s="360"/>
      <c r="P45" s="360"/>
      <c r="Q45" s="360"/>
      <c r="R45" s="360"/>
      <c r="S45" s="360"/>
      <c r="T45" s="361"/>
    </row>
  </sheetData>
  <mergeCells count="5">
    <mergeCell ref="O1:S1"/>
    <mergeCell ref="G9:G10"/>
    <mergeCell ref="G11:G12"/>
    <mergeCell ref="G15:G16"/>
    <mergeCell ref="B25:C25"/>
  </mergeCells>
  <conditionalFormatting sqref="F2:F23">
    <cfRule type="cellIs" dxfId="0" priority="1" operator="equal">
      <formula>TRUE</formula>
    </cfRule>
  </conditionalFormatting>
  <dataValidations count="1">
    <dataValidation type="list" allowBlank="1" showInputMessage="1" showErrorMessage="1" sqref="B25" xr:uid="{E9EECE7F-A404-4EF0-99D8-426866A77AD4}">
      <formula1>$H$3:$H$22</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E10" sqref="E10"/>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375</v>
      </c>
      <c r="B4" s="8" t="s">
        <v>349</v>
      </c>
      <c r="C4" s="8" t="s">
        <v>358</v>
      </c>
      <c r="D4" s="8" t="s">
        <v>363</v>
      </c>
      <c r="E4" s="8" t="s">
        <v>362</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2023-09-06T12:59:23Z</dcterms:modified>
</cp:coreProperties>
</file>