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very Tanner\Documents\Cod Data\"/>
    </mc:Choice>
  </mc:AlternateContent>
  <xr:revisionPtr revIDLastSave="0" documentId="13_ncr:1_{7AFFA7D9-741A-4B5E-9405-F06CE2A476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verall HP" sheetId="1" r:id="rId1"/>
    <sheet name="Overall SND" sheetId="2" r:id="rId2"/>
    <sheet name="Overall Control" sheetId="3" r:id="rId3"/>
    <sheet name="Faze Stats" sheetId="4" r:id="rId4"/>
    <sheet name="LAG Stats" sheetId="8" r:id="rId5"/>
    <sheet name="Breach Stats" sheetId="6" r:id="rId6"/>
    <sheet name="LAT Stats" sheetId="9" r:id="rId7"/>
    <sheet name="Legion Stats" sheetId="10" r:id="rId8"/>
    <sheet name="Mutineers Stats" sheetId="11" r:id="rId9"/>
    <sheet name="NYSL Stats" sheetId="12" r:id="rId10"/>
    <sheet name="Optic Stats" sheetId="13" r:id="rId11"/>
    <sheet name=" Royal Ravens Stats" sheetId="14" r:id="rId12"/>
    <sheet name="Rokkr Stats" sheetId="15" r:id="rId13"/>
    <sheet name="Surge Stats" sheetId="16" r:id="rId14"/>
    <sheet name="Ultra Stats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verall Control_c9d41735-5426-4d2b-9cd3-6e01c39ada8e" name="Overall Control" connection="Query - Overall Control"/>
          <x15:modelTable id="Overall HP_32a3b5ec-3853-472c-bf9d-d8705c7bed04" name="Overall HP" connection="Query - Overall HP"/>
          <x15:modelTable id="Overall SND_928f9f66-67b0-41ab-9519-62adbfa4cfa5" name="Overall SND" connection="Query - Overall SN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12" l="1"/>
  <c r="X6" i="12"/>
  <c r="W6" i="12"/>
  <c r="R6" i="12"/>
  <c r="Q6" i="12"/>
  <c r="Y5" i="12"/>
  <c r="X5" i="12"/>
  <c r="W5" i="12"/>
  <c r="R5" i="12"/>
  <c r="Q5" i="12"/>
  <c r="Y3" i="12"/>
  <c r="Y4" i="12"/>
  <c r="X4" i="12"/>
  <c r="W4" i="12"/>
  <c r="R4" i="12"/>
  <c r="Q4" i="12"/>
  <c r="Q9" i="12"/>
  <c r="Q8" i="12"/>
  <c r="X3" i="12"/>
  <c r="W3" i="12"/>
  <c r="R3" i="12"/>
  <c r="Q3" i="12"/>
  <c r="Q9" i="4"/>
  <c r="Q8" i="4"/>
  <c r="Y6" i="4"/>
  <c r="W6" i="4"/>
  <c r="R6" i="4"/>
  <c r="Q6" i="4"/>
  <c r="Y5" i="4"/>
  <c r="W5" i="4"/>
  <c r="R5" i="4"/>
  <c r="Q5" i="4"/>
  <c r="X4" i="4"/>
  <c r="W4" i="4"/>
  <c r="R4" i="4"/>
  <c r="Q4" i="4"/>
  <c r="Y3" i="4"/>
  <c r="Y4" i="4"/>
  <c r="X6" i="4"/>
  <c r="X5" i="4"/>
  <c r="X3" i="4"/>
  <c r="W3" i="4"/>
  <c r="R3" i="4"/>
  <c r="Q3" i="4"/>
  <c r="AH6" i="4"/>
  <c r="AE6" i="4"/>
  <c r="AD6" i="4"/>
  <c r="AH5" i="4"/>
  <c r="AE5" i="4"/>
  <c r="AD5" i="4"/>
  <c r="AH4" i="4"/>
  <c r="AE4" i="4"/>
  <c r="AD4" i="4"/>
  <c r="AH3" i="4"/>
  <c r="AD3" i="4"/>
  <c r="AH6" i="12"/>
  <c r="AE6" i="12"/>
  <c r="AD6" i="12"/>
  <c r="AH5" i="12"/>
  <c r="AE5" i="12"/>
  <c r="AD5" i="12"/>
  <c r="AH4" i="12"/>
  <c r="AE4" i="12"/>
  <c r="AD4" i="12"/>
  <c r="AH3" i="12"/>
  <c r="AE3" i="12"/>
  <c r="AD3" i="12"/>
  <c r="B8" i="12"/>
  <c r="N6" i="12"/>
  <c r="M6" i="12"/>
  <c r="H6" i="12"/>
  <c r="G6" i="12"/>
  <c r="C6" i="12"/>
  <c r="B6" i="12"/>
  <c r="N5" i="12"/>
  <c r="M5" i="12"/>
  <c r="H5" i="12"/>
  <c r="G5" i="12"/>
  <c r="C5" i="12"/>
  <c r="B5" i="12"/>
  <c r="N4" i="12"/>
  <c r="M4" i="12"/>
  <c r="H4" i="12"/>
  <c r="G4" i="12"/>
  <c r="C4" i="12"/>
  <c r="B4" i="12"/>
  <c r="N3" i="12"/>
  <c r="M3" i="12"/>
  <c r="H3" i="12"/>
  <c r="G3" i="12"/>
  <c r="C3" i="12"/>
  <c r="B3" i="12"/>
  <c r="B8" i="4"/>
  <c r="N6" i="4"/>
  <c r="M6" i="4"/>
  <c r="H6" i="4"/>
  <c r="G6" i="4"/>
  <c r="C6" i="4"/>
  <c r="B6" i="4"/>
  <c r="N5" i="4"/>
  <c r="M5" i="4"/>
  <c r="H5" i="4"/>
  <c r="G5" i="4"/>
  <c r="C5" i="4"/>
  <c r="B5" i="4"/>
  <c r="N4" i="4"/>
  <c r="N3" i="4"/>
  <c r="M3" i="4"/>
  <c r="H4" i="4"/>
  <c r="G4" i="4"/>
  <c r="C4" i="4"/>
  <c r="B4" i="4"/>
  <c r="H3" i="4"/>
  <c r="G3" i="4"/>
  <c r="C3" i="4"/>
  <c r="B3" i="4"/>
  <c r="AE3" i="4"/>
  <c r="M4" i="4"/>
  <c r="AH6" i="15"/>
  <c r="AE6" i="15"/>
  <c r="AD6" i="15"/>
  <c r="AH5" i="15"/>
  <c r="AE5" i="15"/>
  <c r="AD5" i="15"/>
  <c r="AH4" i="15"/>
  <c r="AE4" i="15"/>
  <c r="AD4" i="15"/>
  <c r="AH3" i="15"/>
  <c r="AE3" i="15"/>
  <c r="AD3" i="15"/>
  <c r="Q9" i="15"/>
  <c r="Q8" i="15"/>
  <c r="Y6" i="15"/>
  <c r="X6" i="15"/>
  <c r="W6" i="15"/>
  <c r="R6" i="15"/>
  <c r="Q6" i="15"/>
  <c r="Y5" i="15"/>
  <c r="X5" i="15"/>
  <c r="W5" i="15"/>
  <c r="R5" i="15"/>
  <c r="Q5" i="15"/>
  <c r="Y4" i="15"/>
  <c r="X4" i="15"/>
  <c r="W4" i="15"/>
  <c r="R4" i="15"/>
  <c r="Q4" i="15"/>
  <c r="Y3" i="15"/>
  <c r="X3" i="15"/>
  <c r="W3" i="15"/>
  <c r="R3" i="15"/>
  <c r="Q3" i="15"/>
  <c r="B8" i="15"/>
  <c r="N6" i="15"/>
  <c r="M6" i="15"/>
  <c r="H6" i="15"/>
  <c r="G6" i="15"/>
  <c r="C6" i="15"/>
  <c r="B6" i="15"/>
  <c r="N5" i="15"/>
  <c r="M5" i="15"/>
  <c r="H5" i="15"/>
  <c r="G5" i="15"/>
  <c r="C5" i="15"/>
  <c r="B5" i="15"/>
  <c r="N4" i="15"/>
  <c r="M4" i="15"/>
  <c r="H4" i="15"/>
  <c r="G4" i="15"/>
  <c r="C4" i="15"/>
  <c r="B4" i="15"/>
  <c r="N3" i="15"/>
  <c r="M3" i="15"/>
  <c r="H3" i="15"/>
  <c r="G3" i="15"/>
  <c r="C3" i="15"/>
  <c r="B3" i="15"/>
  <c r="Q9" i="17"/>
  <c r="Q8" i="17"/>
  <c r="Y6" i="17"/>
  <c r="X6" i="17"/>
  <c r="W6" i="17"/>
  <c r="R6" i="17"/>
  <c r="Q6" i="17"/>
  <c r="Y5" i="17"/>
  <c r="X5" i="17"/>
  <c r="W5" i="17"/>
  <c r="R5" i="17"/>
  <c r="Q5" i="17"/>
  <c r="Y4" i="17"/>
  <c r="X4" i="17"/>
  <c r="W4" i="17"/>
  <c r="R4" i="17"/>
  <c r="Q4" i="17"/>
  <c r="Y3" i="17"/>
  <c r="X3" i="17"/>
  <c r="W3" i="17"/>
  <c r="R3" i="17"/>
  <c r="Q3" i="17"/>
  <c r="B8" i="17"/>
  <c r="N6" i="17"/>
  <c r="M6" i="17"/>
  <c r="H6" i="17"/>
  <c r="G6" i="17"/>
  <c r="C6" i="17"/>
  <c r="B6" i="17"/>
  <c r="N5" i="17"/>
  <c r="M5" i="17"/>
  <c r="H5" i="17"/>
  <c r="G5" i="17"/>
  <c r="C5" i="17"/>
  <c r="B5" i="17"/>
  <c r="N4" i="17"/>
  <c r="M4" i="17"/>
  <c r="H4" i="17"/>
  <c r="G4" i="17"/>
  <c r="C4" i="17"/>
  <c r="B4" i="17"/>
  <c r="N3" i="17"/>
  <c r="M3" i="17"/>
  <c r="H3" i="17"/>
  <c r="G3" i="17"/>
  <c r="C3" i="17"/>
  <c r="B3" i="17"/>
  <c r="AH6" i="17"/>
  <c r="AE6" i="17"/>
  <c r="AD6" i="17"/>
  <c r="AH5" i="17"/>
  <c r="AE5" i="17"/>
  <c r="AD5" i="17"/>
  <c r="AH4" i="17"/>
  <c r="AE4" i="17"/>
  <c r="AD4" i="17"/>
  <c r="AH3" i="17"/>
  <c r="AE3" i="17"/>
  <c r="AD3" i="17"/>
  <c r="P7" i="1" l="1"/>
  <c r="P8" i="1"/>
  <c r="P9" i="1"/>
  <c r="P6" i="1"/>
  <c r="P47" i="1"/>
  <c r="P48" i="1"/>
  <c r="P49" i="1"/>
  <c r="P46" i="1"/>
  <c r="P26" i="1"/>
  <c r="P28" i="1"/>
  <c r="P27" i="1"/>
  <c r="P29" i="1"/>
  <c r="P39" i="1"/>
  <c r="P40" i="1"/>
  <c r="P41" i="1"/>
  <c r="P38" i="1"/>
  <c r="B8" i="16"/>
  <c r="B8" i="8"/>
  <c r="P12" i="1" l="1"/>
  <c r="P10" i="1"/>
  <c r="P11" i="1"/>
  <c r="P13" i="1"/>
  <c r="P44" i="1"/>
  <c r="P43" i="1"/>
  <c r="P45" i="1"/>
  <c r="P42" i="1"/>
  <c r="Q9" i="9"/>
  <c r="Q8" i="9"/>
  <c r="Y6" i="9"/>
  <c r="X6" i="9"/>
  <c r="W6" i="9"/>
  <c r="R6" i="9"/>
  <c r="Q6" i="9"/>
  <c r="Y5" i="9"/>
  <c r="X5" i="9"/>
  <c r="W5" i="9"/>
  <c r="R5" i="9"/>
  <c r="Q5" i="9"/>
  <c r="Y4" i="9"/>
  <c r="X4" i="9"/>
  <c r="W4" i="9"/>
  <c r="R4" i="9"/>
  <c r="Q4" i="9"/>
  <c r="Y3" i="9"/>
  <c r="X3" i="9"/>
  <c r="W3" i="9"/>
  <c r="R3" i="9"/>
  <c r="Q3" i="9"/>
  <c r="AE6" i="9" l="1"/>
  <c r="AD6" i="9"/>
  <c r="AH6" i="9"/>
  <c r="AH5" i="9"/>
  <c r="AE5" i="9"/>
  <c r="AD5" i="9"/>
  <c r="AH4" i="9"/>
  <c r="AE4" i="9"/>
  <c r="AD4" i="9"/>
  <c r="AH3" i="9"/>
  <c r="AE3" i="9"/>
  <c r="AD3" i="9"/>
  <c r="N6" i="9"/>
  <c r="M6" i="9"/>
  <c r="H6" i="9"/>
  <c r="G6" i="9"/>
  <c r="C6" i="9"/>
  <c r="B6" i="9"/>
  <c r="N5" i="9"/>
  <c r="M5" i="9"/>
  <c r="H5" i="9"/>
  <c r="G5" i="9"/>
  <c r="C5" i="9"/>
  <c r="B5" i="9"/>
  <c r="N4" i="9"/>
  <c r="M4" i="9"/>
  <c r="H4" i="9"/>
  <c r="G4" i="9"/>
  <c r="C4" i="9"/>
  <c r="B4" i="9"/>
  <c r="N3" i="9"/>
  <c r="M3" i="9"/>
  <c r="H3" i="9"/>
  <c r="G3" i="9"/>
  <c r="C3" i="9"/>
  <c r="B3" i="9"/>
  <c r="B8" i="9"/>
  <c r="AH6" i="11"/>
  <c r="AE6" i="11"/>
  <c r="AD6" i="11"/>
  <c r="AH5" i="11"/>
  <c r="AE5" i="11"/>
  <c r="AD5" i="11"/>
  <c r="AH4" i="11"/>
  <c r="AE4" i="11"/>
  <c r="AD4" i="11"/>
  <c r="AH3" i="11"/>
  <c r="AE3" i="11"/>
  <c r="AD3" i="11"/>
  <c r="Q3" i="11"/>
  <c r="Q9" i="11"/>
  <c r="X6" i="11"/>
  <c r="W6" i="11"/>
  <c r="R6" i="11"/>
  <c r="Q6" i="11"/>
  <c r="X5" i="11"/>
  <c r="W5" i="11"/>
  <c r="R5" i="11"/>
  <c r="Q5" i="11"/>
  <c r="X4" i="11"/>
  <c r="W4" i="11"/>
  <c r="R4" i="11"/>
  <c r="Q4" i="11"/>
  <c r="Y6" i="11"/>
  <c r="Y5" i="11"/>
  <c r="Y4" i="11"/>
  <c r="Y3" i="11"/>
  <c r="X3" i="11"/>
  <c r="W3" i="11"/>
  <c r="R3" i="11"/>
  <c r="Q8" i="11"/>
  <c r="N6" i="11"/>
  <c r="M6" i="11"/>
  <c r="H6" i="11"/>
  <c r="G6" i="11"/>
  <c r="C6" i="11"/>
  <c r="B6" i="11"/>
  <c r="N5" i="11"/>
  <c r="M5" i="11"/>
  <c r="H5" i="11"/>
  <c r="G5" i="11"/>
  <c r="C5" i="11"/>
  <c r="B5" i="11"/>
  <c r="M3" i="11"/>
  <c r="M4" i="11"/>
  <c r="H4" i="11"/>
  <c r="G4" i="11"/>
  <c r="C4" i="11"/>
  <c r="B4" i="11"/>
  <c r="N3" i="11"/>
  <c r="H3" i="11"/>
  <c r="G3" i="11"/>
  <c r="C3" i="11"/>
  <c r="B3" i="11"/>
  <c r="B8" i="11"/>
  <c r="K6" i="4"/>
  <c r="N4" i="11"/>
  <c r="AH6" i="10"/>
  <c r="AE6" i="10"/>
  <c r="AD6" i="10"/>
  <c r="AH5" i="10"/>
  <c r="AE5" i="10"/>
  <c r="AD5" i="10"/>
  <c r="AH4" i="10"/>
  <c r="AE4" i="10"/>
  <c r="AD4" i="10"/>
  <c r="AH3" i="10"/>
  <c r="AE3" i="10"/>
  <c r="AD3" i="10"/>
  <c r="Q9" i="10"/>
  <c r="Q8" i="10"/>
  <c r="Y6" i="10"/>
  <c r="X6" i="10"/>
  <c r="W6" i="10"/>
  <c r="R6" i="10"/>
  <c r="Q6" i="10"/>
  <c r="Y5" i="10"/>
  <c r="X5" i="10"/>
  <c r="W5" i="10"/>
  <c r="R5" i="10"/>
  <c r="Q5" i="10"/>
  <c r="Y4" i="10"/>
  <c r="X4" i="10"/>
  <c r="W4" i="10"/>
  <c r="R4" i="10"/>
  <c r="Q4" i="10"/>
  <c r="Y3" i="10"/>
  <c r="X3" i="10"/>
  <c r="W3" i="10"/>
  <c r="R3" i="10"/>
  <c r="Q3" i="10"/>
  <c r="N3" i="10"/>
  <c r="M3" i="10"/>
  <c r="H3" i="10"/>
  <c r="G3" i="10"/>
  <c r="C3" i="10"/>
  <c r="B3" i="10"/>
  <c r="N5" i="10"/>
  <c r="M5" i="10"/>
  <c r="H5" i="10"/>
  <c r="G5" i="10"/>
  <c r="C5" i="10"/>
  <c r="B5" i="10"/>
  <c r="N6" i="10"/>
  <c r="M6" i="10"/>
  <c r="H6" i="10"/>
  <c r="G6" i="10"/>
  <c r="C6" i="10"/>
  <c r="B6" i="10"/>
  <c r="N4" i="10"/>
  <c r="M4" i="10"/>
  <c r="H4" i="10"/>
  <c r="G4" i="10"/>
  <c r="C4" i="10"/>
  <c r="B4" i="10"/>
  <c r="B8" i="10"/>
  <c r="P23" i="1" l="1"/>
  <c r="P24" i="1"/>
  <c r="P25" i="1"/>
  <c r="P22" i="1"/>
  <c r="P15" i="1"/>
  <c r="P16" i="1"/>
  <c r="P17" i="1"/>
  <c r="P14" i="1"/>
  <c r="P20" i="1"/>
  <c r="P18" i="1"/>
  <c r="P19" i="1"/>
  <c r="P21" i="1"/>
  <c r="AH6" i="14"/>
  <c r="AE6" i="14"/>
  <c r="AD6" i="14"/>
  <c r="AH5" i="14"/>
  <c r="AE5" i="14"/>
  <c r="AD5" i="14"/>
  <c r="AH4" i="14"/>
  <c r="AE4" i="14"/>
  <c r="AD4" i="14"/>
  <c r="AE3" i="14"/>
  <c r="AH3" i="14"/>
  <c r="AD3" i="14"/>
  <c r="Q9" i="14"/>
  <c r="Q8" i="14"/>
  <c r="Y6" i="14"/>
  <c r="X6" i="14"/>
  <c r="W6" i="14"/>
  <c r="R6" i="14"/>
  <c r="Q6" i="14"/>
  <c r="Y5" i="14"/>
  <c r="X5" i="14"/>
  <c r="W5" i="14"/>
  <c r="R5" i="14"/>
  <c r="Q5" i="14"/>
  <c r="Y4" i="14"/>
  <c r="X4" i="14"/>
  <c r="W4" i="14"/>
  <c r="R4" i="14"/>
  <c r="Q4" i="14"/>
  <c r="Y3" i="14"/>
  <c r="X3" i="14"/>
  <c r="W3" i="14"/>
  <c r="R3" i="14"/>
  <c r="Q3" i="14"/>
  <c r="B8" i="14"/>
  <c r="N6" i="14"/>
  <c r="M6" i="14"/>
  <c r="H6" i="14"/>
  <c r="G6" i="14"/>
  <c r="C6" i="14"/>
  <c r="B6" i="14"/>
  <c r="N5" i="14"/>
  <c r="M5" i="14"/>
  <c r="H5" i="14"/>
  <c r="G5" i="14"/>
  <c r="C5" i="14"/>
  <c r="B5" i="14"/>
  <c r="N4" i="14"/>
  <c r="M4" i="14"/>
  <c r="H4" i="14"/>
  <c r="G4" i="14"/>
  <c r="C4" i="14"/>
  <c r="B4" i="14"/>
  <c r="N3" i="14"/>
  <c r="M3" i="14"/>
  <c r="H3" i="14"/>
  <c r="G3" i="14"/>
  <c r="C3" i="14"/>
  <c r="B3" i="14"/>
  <c r="AH6" i="16"/>
  <c r="AE6" i="16"/>
  <c r="AD6" i="16"/>
  <c r="AH5" i="16"/>
  <c r="AE5" i="16"/>
  <c r="AD5" i="16"/>
  <c r="AH4" i="16"/>
  <c r="AD4" i="16"/>
  <c r="AH3" i="16"/>
  <c r="AE3" i="16"/>
  <c r="AD3" i="16"/>
  <c r="Q9" i="16"/>
  <c r="Q8" i="16"/>
  <c r="Y6" i="16"/>
  <c r="X6" i="16"/>
  <c r="W6" i="16"/>
  <c r="R6" i="16"/>
  <c r="Q6" i="16"/>
  <c r="Y5" i="16"/>
  <c r="X5" i="16"/>
  <c r="W5" i="16"/>
  <c r="R5" i="16"/>
  <c r="Q5" i="16"/>
  <c r="Y4" i="16"/>
  <c r="X4" i="16"/>
  <c r="W4" i="16"/>
  <c r="R4" i="16"/>
  <c r="Q4" i="16"/>
  <c r="Y3" i="16"/>
  <c r="X3" i="16"/>
  <c r="W3" i="16"/>
  <c r="R3" i="16"/>
  <c r="Q3" i="16"/>
  <c r="N6" i="16"/>
  <c r="M6" i="16"/>
  <c r="H6" i="16"/>
  <c r="G6" i="16"/>
  <c r="C6" i="16"/>
  <c r="B6" i="16"/>
  <c r="N5" i="16"/>
  <c r="M5" i="16"/>
  <c r="H5" i="16"/>
  <c r="G5" i="16"/>
  <c r="C5" i="16"/>
  <c r="B5" i="16"/>
  <c r="N4" i="16"/>
  <c r="M4" i="16"/>
  <c r="H4" i="16"/>
  <c r="G4" i="16"/>
  <c r="C4" i="16"/>
  <c r="B4" i="16"/>
  <c r="N3" i="16"/>
  <c r="M3" i="16"/>
  <c r="H3" i="16"/>
  <c r="G3" i="16"/>
  <c r="C3" i="16"/>
  <c r="B3" i="16"/>
  <c r="AH6" i="13"/>
  <c r="AE6" i="13"/>
  <c r="AD6" i="13"/>
  <c r="AH5" i="13"/>
  <c r="AE5" i="13"/>
  <c r="AD5" i="13"/>
  <c r="AH4" i="13"/>
  <c r="AE4" i="13"/>
  <c r="AD4" i="13"/>
  <c r="AH3" i="13"/>
  <c r="AE3" i="13"/>
  <c r="AD3" i="13"/>
  <c r="R5" i="13"/>
  <c r="Q5" i="13"/>
  <c r="Y3" i="13"/>
  <c r="Y6" i="13"/>
  <c r="X6" i="13"/>
  <c r="W6" i="13"/>
  <c r="R6" i="13"/>
  <c r="Q6" i="13"/>
  <c r="Y5" i="13"/>
  <c r="X5" i="13"/>
  <c r="W5" i="13"/>
  <c r="Y4" i="13"/>
  <c r="X4" i="13"/>
  <c r="W4" i="13"/>
  <c r="R4" i="13"/>
  <c r="Q4" i="13"/>
  <c r="X3" i="13"/>
  <c r="W3" i="13"/>
  <c r="R3" i="13"/>
  <c r="Q3" i="13"/>
  <c r="Q8" i="13"/>
  <c r="Q9" i="13"/>
  <c r="B8" i="13"/>
  <c r="N6" i="13"/>
  <c r="M6" i="13"/>
  <c r="H6" i="13"/>
  <c r="G6" i="13"/>
  <c r="C6" i="13"/>
  <c r="B6" i="13"/>
  <c r="N5" i="13"/>
  <c r="M5" i="13"/>
  <c r="H5" i="13"/>
  <c r="G5" i="13"/>
  <c r="C5" i="13"/>
  <c r="B5" i="13"/>
  <c r="N4" i="13"/>
  <c r="M4" i="13"/>
  <c r="H4" i="13"/>
  <c r="G4" i="13"/>
  <c r="C4" i="13"/>
  <c r="B4" i="13"/>
  <c r="N3" i="13"/>
  <c r="M3" i="13"/>
  <c r="H3" i="13"/>
  <c r="G3" i="13"/>
  <c r="C3" i="13"/>
  <c r="B3" i="13"/>
  <c r="AH6" i="8"/>
  <c r="AE6" i="8"/>
  <c r="AD6" i="8"/>
  <c r="AH5" i="8"/>
  <c r="AE5" i="8"/>
  <c r="AD5" i="8"/>
  <c r="AH4" i="8"/>
  <c r="AE4" i="8"/>
  <c r="AD4" i="8"/>
  <c r="AH3" i="8"/>
  <c r="AE3" i="8"/>
  <c r="AD3" i="8"/>
  <c r="Y6" i="8"/>
  <c r="X6" i="8"/>
  <c r="W6" i="8"/>
  <c r="R6" i="8"/>
  <c r="Q6" i="8"/>
  <c r="Y5" i="8"/>
  <c r="X5" i="8"/>
  <c r="W5" i="8"/>
  <c r="R5" i="8"/>
  <c r="Q5" i="8"/>
  <c r="Y4" i="8"/>
  <c r="X4" i="8"/>
  <c r="W4" i="8"/>
  <c r="R4" i="8"/>
  <c r="Q4" i="8"/>
  <c r="Y3" i="8"/>
  <c r="X3" i="8"/>
  <c r="W3" i="8"/>
  <c r="R3" i="8"/>
  <c r="Q3" i="8"/>
  <c r="Q9" i="8"/>
  <c r="Q8" i="8"/>
  <c r="N3" i="8"/>
  <c r="N6" i="8"/>
  <c r="M6" i="8"/>
  <c r="H6" i="8"/>
  <c r="G6" i="8"/>
  <c r="C6" i="8"/>
  <c r="B6" i="8"/>
  <c r="N5" i="8"/>
  <c r="M5" i="8"/>
  <c r="H5" i="8"/>
  <c r="G5" i="8"/>
  <c r="C5" i="8"/>
  <c r="B5" i="8"/>
  <c r="N4" i="8"/>
  <c r="M4" i="8"/>
  <c r="H4" i="8"/>
  <c r="G4" i="8"/>
  <c r="B4" i="8"/>
  <c r="M3" i="8"/>
  <c r="H3" i="8"/>
  <c r="G3" i="8"/>
  <c r="C3" i="8"/>
  <c r="B3" i="8"/>
  <c r="B8" i="6"/>
  <c r="N6" i="6"/>
  <c r="M6" i="6"/>
  <c r="H6" i="6"/>
  <c r="G6" i="6"/>
  <c r="C6" i="6"/>
  <c r="B6" i="6"/>
  <c r="N5" i="6"/>
  <c r="M5" i="6"/>
  <c r="H5" i="6"/>
  <c r="G5" i="6"/>
  <c r="C5" i="6"/>
  <c r="B5" i="6"/>
  <c r="N4" i="6"/>
  <c r="M4" i="6"/>
  <c r="H4" i="6"/>
  <c r="G4" i="6"/>
  <c r="C4" i="6"/>
  <c r="B4" i="6"/>
  <c r="N3" i="6"/>
  <c r="M3" i="6"/>
  <c r="H3" i="6"/>
  <c r="G3" i="6"/>
  <c r="C3" i="6"/>
  <c r="B3" i="6"/>
  <c r="AH6" i="6"/>
  <c r="AE6" i="6"/>
  <c r="AD6" i="6"/>
  <c r="AH5" i="6"/>
  <c r="AE5" i="6"/>
  <c r="AD5" i="6"/>
  <c r="AH4" i="6"/>
  <c r="AE4" i="6"/>
  <c r="AD4" i="6"/>
  <c r="AH3" i="6"/>
  <c r="AE3" i="6"/>
  <c r="AD3" i="6"/>
  <c r="Q9" i="6"/>
  <c r="X6" i="6"/>
  <c r="W6" i="6"/>
  <c r="R6" i="6"/>
  <c r="Q6" i="6"/>
  <c r="X5" i="6"/>
  <c r="W5" i="6"/>
  <c r="R5" i="6"/>
  <c r="Q5" i="6"/>
  <c r="X4" i="6"/>
  <c r="W4" i="6"/>
  <c r="R4" i="6"/>
  <c r="Q4" i="6"/>
  <c r="Y6" i="6"/>
  <c r="Y5" i="6"/>
  <c r="Y4" i="6"/>
  <c r="Y3" i="6"/>
  <c r="X3" i="6"/>
  <c r="W3" i="6"/>
  <c r="R3" i="6"/>
  <c r="Q3" i="6"/>
  <c r="Q8" i="6"/>
  <c r="P36" i="1" l="1"/>
  <c r="P35" i="1"/>
  <c r="P34" i="1"/>
  <c r="P37" i="1"/>
  <c r="P4" i="1"/>
  <c r="P2" i="1"/>
  <c r="P3" i="1"/>
  <c r="P5" i="1"/>
  <c r="P31" i="1"/>
  <c r="P32" i="1"/>
  <c r="P33" i="1"/>
  <c r="P30" i="1"/>
  <c r="Y7" i="9"/>
  <c r="AG3" i="1" l="1"/>
  <c r="L3" i="11"/>
  <c r="C43" i="3"/>
  <c r="D3" i="13"/>
  <c r="E30" i="1" s="1"/>
  <c r="G47" i="3"/>
  <c r="G48" i="3"/>
  <c r="G49" i="3"/>
  <c r="D47" i="3"/>
  <c r="D48" i="3"/>
  <c r="D49" i="3"/>
  <c r="C47" i="3"/>
  <c r="C48" i="3"/>
  <c r="C49" i="3"/>
  <c r="G46" i="3"/>
  <c r="D46" i="3"/>
  <c r="C46" i="3"/>
  <c r="L47" i="2"/>
  <c r="L48" i="2"/>
  <c r="L49" i="2"/>
  <c r="I47" i="2"/>
  <c r="I48" i="2"/>
  <c r="I49" i="2"/>
  <c r="H47" i="2"/>
  <c r="H48" i="2"/>
  <c r="H49" i="2"/>
  <c r="D47" i="2"/>
  <c r="D48" i="2"/>
  <c r="D49" i="2"/>
  <c r="C47" i="2"/>
  <c r="C48" i="2"/>
  <c r="C49" i="2"/>
  <c r="L46" i="2"/>
  <c r="I46" i="2"/>
  <c r="H46" i="2"/>
  <c r="D46" i="2"/>
  <c r="C46" i="2"/>
  <c r="O47" i="1"/>
  <c r="O48" i="1"/>
  <c r="O49" i="1"/>
  <c r="N47" i="1"/>
  <c r="N48" i="1"/>
  <c r="N49" i="1"/>
  <c r="I47" i="1"/>
  <c r="I48" i="1"/>
  <c r="I49" i="1"/>
  <c r="H47" i="1"/>
  <c r="H48" i="1"/>
  <c r="H49" i="1"/>
  <c r="D47" i="1"/>
  <c r="D48" i="1"/>
  <c r="D49" i="1"/>
  <c r="C47" i="1"/>
  <c r="C48" i="1"/>
  <c r="C49" i="1"/>
  <c r="O46" i="1"/>
  <c r="N46" i="1"/>
  <c r="I43" i="1"/>
  <c r="I44" i="1"/>
  <c r="I45" i="1"/>
  <c r="I42" i="1"/>
  <c r="I46" i="1"/>
  <c r="H46" i="1"/>
  <c r="D46" i="1"/>
  <c r="C46" i="1"/>
  <c r="AH7" i="17"/>
  <c r="AE7" i="17"/>
  <c r="AD7" i="17"/>
  <c r="Y7" i="17"/>
  <c r="X7" i="17"/>
  <c r="W7" i="17"/>
  <c r="R7" i="17"/>
  <c r="V6" i="17" s="1"/>
  <c r="K49" i="2" s="1"/>
  <c r="Q7" i="17"/>
  <c r="U6" i="17" s="1"/>
  <c r="J49" i="2" s="1"/>
  <c r="H7" i="17"/>
  <c r="G7" i="17"/>
  <c r="C7" i="17"/>
  <c r="J5" i="17" s="1"/>
  <c r="K48" i="1" s="1"/>
  <c r="B7" i="17"/>
  <c r="I6" i="17" s="1"/>
  <c r="J49" i="1" s="1"/>
  <c r="AG6" i="17"/>
  <c r="F49" i="3" s="1"/>
  <c r="AF6" i="17"/>
  <c r="E49" i="3" s="1"/>
  <c r="AA6" i="17"/>
  <c r="G49" i="2" s="1"/>
  <c r="Z6" i="17"/>
  <c r="M49" i="2" s="1"/>
  <c r="T6" i="17"/>
  <c r="F49" i="2" s="1"/>
  <c r="S6" i="17"/>
  <c r="E49" i="2" s="1"/>
  <c r="L6" i="17"/>
  <c r="M49" i="1" s="1"/>
  <c r="K6" i="17"/>
  <c r="L49" i="1" s="1"/>
  <c r="F6" i="17"/>
  <c r="G49" i="1" s="1"/>
  <c r="E6" i="17"/>
  <c r="F49" i="1" s="1"/>
  <c r="D6" i="17"/>
  <c r="E49" i="1" s="1"/>
  <c r="AG5" i="17"/>
  <c r="F48" i="3" s="1"/>
  <c r="AF5" i="17"/>
  <c r="E48" i="3" s="1"/>
  <c r="AA5" i="17"/>
  <c r="G48" i="2" s="1"/>
  <c r="Z5" i="17"/>
  <c r="M48" i="2" s="1"/>
  <c r="T5" i="17"/>
  <c r="F48" i="2" s="1"/>
  <c r="S5" i="17"/>
  <c r="E48" i="2" s="1"/>
  <c r="L5" i="17"/>
  <c r="M48" i="1" s="1"/>
  <c r="K5" i="17"/>
  <c r="L48" i="1" s="1"/>
  <c r="F5" i="17"/>
  <c r="G48" i="1" s="1"/>
  <c r="E5" i="17"/>
  <c r="F48" i="1" s="1"/>
  <c r="D5" i="17"/>
  <c r="E48" i="1" s="1"/>
  <c r="AG4" i="17"/>
  <c r="F47" i="3" s="1"/>
  <c r="AF4" i="17"/>
  <c r="E47" i="3" s="1"/>
  <c r="AA4" i="17"/>
  <c r="G47" i="2" s="1"/>
  <c r="Z4" i="17"/>
  <c r="M47" i="2" s="1"/>
  <c r="T4" i="17"/>
  <c r="F47" i="2" s="1"/>
  <c r="S4" i="17"/>
  <c r="E47" i="2" s="1"/>
  <c r="L4" i="17"/>
  <c r="M47" i="1" s="1"/>
  <c r="K4" i="17"/>
  <c r="L47" i="1" s="1"/>
  <c r="F4" i="17"/>
  <c r="G47" i="1" s="1"/>
  <c r="E4" i="17"/>
  <c r="F47" i="1" s="1"/>
  <c r="D4" i="17"/>
  <c r="E47" i="1" s="1"/>
  <c r="AG3" i="17"/>
  <c r="AF3" i="17"/>
  <c r="E46" i="3" s="1"/>
  <c r="AA3" i="17"/>
  <c r="Z3" i="17"/>
  <c r="M46" i="2" s="1"/>
  <c r="T3" i="17"/>
  <c r="F46" i="2" s="1"/>
  <c r="S3" i="17"/>
  <c r="E46" i="2" s="1"/>
  <c r="L3" i="17"/>
  <c r="M46" i="1" s="1"/>
  <c r="K3" i="17"/>
  <c r="L46" i="1" s="1"/>
  <c r="F3" i="17"/>
  <c r="E3" i="17"/>
  <c r="F46" i="1" s="1"/>
  <c r="D3" i="17"/>
  <c r="E46" i="1" s="1"/>
  <c r="G43" i="3"/>
  <c r="G44" i="3"/>
  <c r="G45" i="3"/>
  <c r="D43" i="3"/>
  <c r="D44" i="3"/>
  <c r="D45" i="3"/>
  <c r="C44" i="3"/>
  <c r="C45" i="3"/>
  <c r="G42" i="3"/>
  <c r="D42" i="3"/>
  <c r="C42" i="3"/>
  <c r="L43" i="2"/>
  <c r="L44" i="2"/>
  <c r="L45" i="2"/>
  <c r="I45" i="2"/>
  <c r="I43" i="2"/>
  <c r="I44" i="2"/>
  <c r="H43" i="2"/>
  <c r="H44" i="2"/>
  <c r="H45" i="2"/>
  <c r="D43" i="2"/>
  <c r="D44" i="2"/>
  <c r="D45" i="2"/>
  <c r="C43" i="2"/>
  <c r="C44" i="2"/>
  <c r="C45" i="2"/>
  <c r="L42" i="2"/>
  <c r="I42" i="2"/>
  <c r="H42" i="2"/>
  <c r="G42" i="2"/>
  <c r="D42" i="2"/>
  <c r="C42" i="2"/>
  <c r="O43" i="1"/>
  <c r="O44" i="1"/>
  <c r="O45" i="1"/>
  <c r="N43" i="1"/>
  <c r="N44" i="1"/>
  <c r="N45" i="1"/>
  <c r="H45" i="1"/>
  <c r="H43" i="1"/>
  <c r="H44" i="1"/>
  <c r="F44" i="1"/>
  <c r="D43" i="1"/>
  <c r="D44" i="1"/>
  <c r="D45" i="1"/>
  <c r="C43" i="1"/>
  <c r="C44" i="1"/>
  <c r="C45" i="1"/>
  <c r="O42" i="1"/>
  <c r="N42" i="1"/>
  <c r="H42" i="1"/>
  <c r="D42" i="1"/>
  <c r="C42" i="1"/>
  <c r="AH7" i="16"/>
  <c r="AD7" i="16"/>
  <c r="AI4" i="16" s="1"/>
  <c r="H43" i="3" s="1"/>
  <c r="Y7" i="16"/>
  <c r="X7" i="16"/>
  <c r="W7" i="16"/>
  <c r="R7" i="16"/>
  <c r="V4" i="16" s="1"/>
  <c r="K43" i="2" s="1"/>
  <c r="Q7" i="16"/>
  <c r="U3" i="16" s="1"/>
  <c r="J42" i="2" s="1"/>
  <c r="H7" i="16"/>
  <c r="G7" i="16"/>
  <c r="C7" i="16"/>
  <c r="J3" i="16" s="1"/>
  <c r="K42" i="1" s="1"/>
  <c r="B7" i="16"/>
  <c r="I6" i="16" s="1"/>
  <c r="J45" i="1" s="1"/>
  <c r="AG6" i="16"/>
  <c r="F45" i="3" s="1"/>
  <c r="AF6" i="16"/>
  <c r="E45" i="3" s="1"/>
  <c r="AA6" i="16"/>
  <c r="G45" i="2" s="1"/>
  <c r="Z6" i="16"/>
  <c r="M45" i="2" s="1"/>
  <c r="T6" i="16"/>
  <c r="F45" i="2" s="1"/>
  <c r="S6" i="16"/>
  <c r="E45" i="2" s="1"/>
  <c r="L6" i="16"/>
  <c r="M45" i="1" s="1"/>
  <c r="K6" i="16"/>
  <c r="L45" i="1" s="1"/>
  <c r="F6" i="16"/>
  <c r="G45" i="1" s="1"/>
  <c r="E6" i="16"/>
  <c r="F45" i="1" s="1"/>
  <c r="D6" i="16"/>
  <c r="E45" i="1" s="1"/>
  <c r="AG5" i="16"/>
  <c r="F44" i="3" s="1"/>
  <c r="AF5" i="16"/>
  <c r="E44" i="3" s="1"/>
  <c r="AA5" i="16"/>
  <c r="G44" i="2" s="1"/>
  <c r="Z5" i="16"/>
  <c r="M44" i="2" s="1"/>
  <c r="T5" i="16"/>
  <c r="F44" i="2" s="1"/>
  <c r="S5" i="16"/>
  <c r="E44" i="2" s="1"/>
  <c r="L5" i="16"/>
  <c r="M44" i="1" s="1"/>
  <c r="K5" i="16"/>
  <c r="L44" i="1" s="1"/>
  <c r="F5" i="16"/>
  <c r="G44" i="1" s="1"/>
  <c r="E5" i="16"/>
  <c r="D5" i="16"/>
  <c r="E44" i="1" s="1"/>
  <c r="AF4" i="16"/>
  <c r="E43" i="3" s="1"/>
  <c r="AA4" i="16"/>
  <c r="G43" i="2" s="1"/>
  <c r="Z4" i="16"/>
  <c r="M43" i="2" s="1"/>
  <c r="T4" i="16"/>
  <c r="F43" i="2" s="1"/>
  <c r="S4" i="16"/>
  <c r="E43" i="2" s="1"/>
  <c r="L4" i="16"/>
  <c r="M43" i="1" s="1"/>
  <c r="K4" i="16"/>
  <c r="L43" i="1" s="1"/>
  <c r="F4" i="16"/>
  <c r="G43" i="1" s="1"/>
  <c r="E4" i="16"/>
  <c r="F43" i="1" s="1"/>
  <c r="D4" i="16"/>
  <c r="E43" i="1" s="1"/>
  <c r="AA3" i="16"/>
  <c r="Z3" i="16"/>
  <c r="M42" i="2" s="1"/>
  <c r="V3" i="16"/>
  <c r="K42" i="2" s="1"/>
  <c r="T3" i="16"/>
  <c r="F42" i="2" s="1"/>
  <c r="S3" i="16"/>
  <c r="E42" i="2" s="1"/>
  <c r="L3" i="16"/>
  <c r="M42" i="1" s="1"/>
  <c r="K3" i="16"/>
  <c r="L42" i="1" s="1"/>
  <c r="I3" i="16"/>
  <c r="J42" i="1" s="1"/>
  <c r="F3" i="16"/>
  <c r="E3" i="16"/>
  <c r="F42" i="1" s="1"/>
  <c r="D3" i="16"/>
  <c r="E42" i="1" s="1"/>
  <c r="G39" i="3"/>
  <c r="G40" i="3"/>
  <c r="G41" i="3"/>
  <c r="D39" i="3"/>
  <c r="D40" i="3"/>
  <c r="D41" i="3"/>
  <c r="C39" i="3"/>
  <c r="C40" i="3"/>
  <c r="C41" i="3"/>
  <c r="G38" i="3"/>
  <c r="D38" i="3"/>
  <c r="C38" i="3"/>
  <c r="L39" i="2"/>
  <c r="L40" i="2"/>
  <c r="L41" i="2"/>
  <c r="I39" i="2"/>
  <c r="I40" i="2"/>
  <c r="I41" i="2"/>
  <c r="H39" i="2"/>
  <c r="H40" i="2"/>
  <c r="H41" i="2"/>
  <c r="D39" i="2"/>
  <c r="D40" i="2"/>
  <c r="D41" i="2"/>
  <c r="C39" i="2"/>
  <c r="C40" i="2"/>
  <c r="C41" i="2"/>
  <c r="L38" i="2"/>
  <c r="I38" i="2"/>
  <c r="H38" i="2"/>
  <c r="D38" i="2"/>
  <c r="C38" i="2"/>
  <c r="O39" i="1"/>
  <c r="O40" i="1"/>
  <c r="O41" i="1"/>
  <c r="N39" i="1"/>
  <c r="N40" i="1"/>
  <c r="N41" i="1"/>
  <c r="I39" i="1"/>
  <c r="I40" i="1"/>
  <c r="I41" i="1"/>
  <c r="H39" i="1"/>
  <c r="H40" i="1"/>
  <c r="H41" i="1"/>
  <c r="D39" i="1"/>
  <c r="D40" i="1"/>
  <c r="D41" i="1"/>
  <c r="C39" i="1"/>
  <c r="C40" i="1"/>
  <c r="C41" i="1"/>
  <c r="O38" i="1"/>
  <c r="N38" i="1"/>
  <c r="I38" i="1"/>
  <c r="H38" i="1"/>
  <c r="D38" i="1"/>
  <c r="C38" i="1"/>
  <c r="G35" i="3"/>
  <c r="G36" i="3"/>
  <c r="G37" i="3"/>
  <c r="D35" i="3"/>
  <c r="D36" i="3"/>
  <c r="D37" i="3"/>
  <c r="C35" i="3"/>
  <c r="C36" i="3"/>
  <c r="C37" i="3"/>
  <c r="G34" i="3"/>
  <c r="D34" i="3"/>
  <c r="C34" i="3"/>
  <c r="AH7" i="15"/>
  <c r="AE7" i="15"/>
  <c r="AD7" i="15"/>
  <c r="Y7" i="15"/>
  <c r="X7" i="15"/>
  <c r="W7" i="15"/>
  <c r="R7" i="15"/>
  <c r="V6" i="15" s="1"/>
  <c r="K41" i="2" s="1"/>
  <c r="Q7" i="15"/>
  <c r="U5" i="15" s="1"/>
  <c r="J40" i="2" s="1"/>
  <c r="H7" i="15"/>
  <c r="G7" i="15"/>
  <c r="C7" i="15"/>
  <c r="J4" i="15" s="1"/>
  <c r="K39" i="1" s="1"/>
  <c r="B7" i="15"/>
  <c r="I5" i="15" s="1"/>
  <c r="J40" i="1" s="1"/>
  <c r="AG6" i="15"/>
  <c r="F41" i="3" s="1"/>
  <c r="AF6" i="15"/>
  <c r="E41" i="3" s="1"/>
  <c r="AA6" i="15"/>
  <c r="G41" i="2" s="1"/>
  <c r="Z6" i="15"/>
  <c r="M41" i="2" s="1"/>
  <c r="T6" i="15"/>
  <c r="F41" i="2" s="1"/>
  <c r="S6" i="15"/>
  <c r="E41" i="2" s="1"/>
  <c r="L6" i="15"/>
  <c r="M41" i="1" s="1"/>
  <c r="K6" i="15"/>
  <c r="L41" i="1" s="1"/>
  <c r="F6" i="15"/>
  <c r="G41" i="1" s="1"/>
  <c r="E6" i="15"/>
  <c r="F41" i="1" s="1"/>
  <c r="D6" i="15"/>
  <c r="E41" i="1" s="1"/>
  <c r="AG5" i="15"/>
  <c r="F40" i="3" s="1"/>
  <c r="AF5" i="15"/>
  <c r="E40" i="3" s="1"/>
  <c r="AA5" i="15"/>
  <c r="G40" i="2" s="1"/>
  <c r="Z5" i="15"/>
  <c r="M40" i="2" s="1"/>
  <c r="T5" i="15"/>
  <c r="F40" i="2" s="1"/>
  <c r="S5" i="15"/>
  <c r="E40" i="2" s="1"/>
  <c r="L5" i="15"/>
  <c r="M40" i="1" s="1"/>
  <c r="K5" i="15"/>
  <c r="L40" i="1" s="1"/>
  <c r="F5" i="15"/>
  <c r="G40" i="1" s="1"/>
  <c r="E5" i="15"/>
  <c r="F40" i="1" s="1"/>
  <c r="D5" i="15"/>
  <c r="E40" i="1" s="1"/>
  <c r="AG4" i="15"/>
  <c r="F39" i="3" s="1"/>
  <c r="AF4" i="15"/>
  <c r="E39" i="3" s="1"/>
  <c r="AA4" i="15"/>
  <c r="G39" i="2" s="1"/>
  <c r="Z4" i="15"/>
  <c r="M39" i="2" s="1"/>
  <c r="T4" i="15"/>
  <c r="F39" i="2" s="1"/>
  <c r="S4" i="15"/>
  <c r="E39" i="2" s="1"/>
  <c r="L4" i="15"/>
  <c r="M39" i="1" s="1"/>
  <c r="K4" i="15"/>
  <c r="L39" i="1" s="1"/>
  <c r="F4" i="15"/>
  <c r="G39" i="1" s="1"/>
  <c r="E4" i="15"/>
  <c r="F39" i="1" s="1"/>
  <c r="D4" i="15"/>
  <c r="E39" i="1" s="1"/>
  <c r="AG3" i="15"/>
  <c r="AF3" i="15"/>
  <c r="E38" i="3" s="1"/>
  <c r="AA3" i="15"/>
  <c r="Z3" i="15"/>
  <c r="M38" i="2" s="1"/>
  <c r="T3" i="15"/>
  <c r="F38" i="2" s="1"/>
  <c r="S3" i="15"/>
  <c r="E38" i="2" s="1"/>
  <c r="L3" i="15"/>
  <c r="M38" i="1" s="1"/>
  <c r="K3" i="15"/>
  <c r="L38" i="1" s="1"/>
  <c r="F3" i="15"/>
  <c r="G38" i="1" s="1"/>
  <c r="E3" i="15"/>
  <c r="F38" i="1" s="1"/>
  <c r="D3" i="15"/>
  <c r="E38" i="1" s="1"/>
  <c r="L35" i="2"/>
  <c r="L36" i="2"/>
  <c r="L37" i="2"/>
  <c r="I35" i="2"/>
  <c r="I36" i="2"/>
  <c r="I37" i="2"/>
  <c r="H35" i="2"/>
  <c r="H36" i="2"/>
  <c r="H37" i="2"/>
  <c r="D35" i="2"/>
  <c r="D36" i="2"/>
  <c r="D37" i="2"/>
  <c r="C35" i="2"/>
  <c r="C36" i="2"/>
  <c r="C37" i="2"/>
  <c r="L34" i="2"/>
  <c r="I34" i="2"/>
  <c r="H34" i="2"/>
  <c r="D34" i="2"/>
  <c r="C34" i="2"/>
  <c r="O35" i="1"/>
  <c r="O36" i="1"/>
  <c r="O37" i="1"/>
  <c r="N35" i="1"/>
  <c r="N36" i="1"/>
  <c r="N37" i="1"/>
  <c r="I35" i="1"/>
  <c r="I36" i="1"/>
  <c r="I37" i="1"/>
  <c r="H35" i="1"/>
  <c r="H36" i="1"/>
  <c r="H37" i="1"/>
  <c r="D35" i="1"/>
  <c r="D36" i="1"/>
  <c r="D37" i="1"/>
  <c r="C35" i="1"/>
  <c r="C36" i="1"/>
  <c r="C37" i="1"/>
  <c r="O34" i="1"/>
  <c r="N34" i="1"/>
  <c r="I34" i="1"/>
  <c r="H34" i="1"/>
  <c r="D34" i="1"/>
  <c r="C34" i="1"/>
  <c r="AH7" i="14"/>
  <c r="AE7" i="14"/>
  <c r="AD7" i="14"/>
  <c r="Y7" i="14"/>
  <c r="X7" i="14"/>
  <c r="W7" i="14"/>
  <c r="R7" i="14"/>
  <c r="V6" i="14" s="1"/>
  <c r="K37" i="2" s="1"/>
  <c r="Q7" i="14"/>
  <c r="U5" i="14" s="1"/>
  <c r="J36" i="2" s="1"/>
  <c r="H7" i="14"/>
  <c r="G7" i="14"/>
  <c r="C7" i="14"/>
  <c r="J6" i="14" s="1"/>
  <c r="K37" i="1" s="1"/>
  <c r="B7" i="14"/>
  <c r="I6" i="14" s="1"/>
  <c r="J37" i="1" s="1"/>
  <c r="AG6" i="14"/>
  <c r="F37" i="3" s="1"/>
  <c r="AF6" i="14"/>
  <c r="E37" i="3" s="1"/>
  <c r="AA6" i="14"/>
  <c r="G37" i="2" s="1"/>
  <c r="Z6" i="14"/>
  <c r="M37" i="2" s="1"/>
  <c r="T6" i="14"/>
  <c r="F37" i="2" s="1"/>
  <c r="S6" i="14"/>
  <c r="E37" i="2" s="1"/>
  <c r="L6" i="14"/>
  <c r="M37" i="1" s="1"/>
  <c r="K6" i="14"/>
  <c r="L37" i="1" s="1"/>
  <c r="F6" i="14"/>
  <c r="G37" i="1" s="1"/>
  <c r="E6" i="14"/>
  <c r="F37" i="1" s="1"/>
  <c r="D6" i="14"/>
  <c r="E37" i="1" s="1"/>
  <c r="AG5" i="14"/>
  <c r="F36" i="3" s="1"/>
  <c r="AF5" i="14"/>
  <c r="E36" i="3" s="1"/>
  <c r="AA5" i="14"/>
  <c r="G36" i="2" s="1"/>
  <c r="Z5" i="14"/>
  <c r="M36" i="2" s="1"/>
  <c r="T5" i="14"/>
  <c r="F36" i="2" s="1"/>
  <c r="S5" i="14"/>
  <c r="E36" i="2" s="1"/>
  <c r="L5" i="14"/>
  <c r="M36" i="1" s="1"/>
  <c r="K5" i="14"/>
  <c r="L36" i="1" s="1"/>
  <c r="F5" i="14"/>
  <c r="G36" i="1" s="1"/>
  <c r="E5" i="14"/>
  <c r="F36" i="1" s="1"/>
  <c r="D5" i="14"/>
  <c r="E36" i="1" s="1"/>
  <c r="AG4" i="14"/>
  <c r="F35" i="3" s="1"/>
  <c r="AF4" i="14"/>
  <c r="E35" i="3" s="1"/>
  <c r="AA4" i="14"/>
  <c r="G35" i="2" s="1"/>
  <c r="Z4" i="14"/>
  <c r="M35" i="2" s="1"/>
  <c r="T4" i="14"/>
  <c r="F35" i="2" s="1"/>
  <c r="S4" i="14"/>
  <c r="E35" i="2" s="1"/>
  <c r="L4" i="14"/>
  <c r="M35" i="1" s="1"/>
  <c r="K4" i="14"/>
  <c r="L35" i="1" s="1"/>
  <c r="F4" i="14"/>
  <c r="G35" i="1" s="1"/>
  <c r="E4" i="14"/>
  <c r="F35" i="1" s="1"/>
  <c r="D4" i="14"/>
  <c r="E35" i="1" s="1"/>
  <c r="AG3" i="14"/>
  <c r="AF3" i="14"/>
  <c r="E34" i="3" s="1"/>
  <c r="AA3" i="14"/>
  <c r="G34" i="2" s="1"/>
  <c r="Z3" i="14"/>
  <c r="M34" i="2" s="1"/>
  <c r="T3" i="14"/>
  <c r="F34" i="2" s="1"/>
  <c r="S3" i="14"/>
  <c r="E34" i="2" s="1"/>
  <c r="L3" i="14"/>
  <c r="M34" i="1" s="1"/>
  <c r="K3" i="14"/>
  <c r="L34" i="1" s="1"/>
  <c r="F3" i="14"/>
  <c r="E3" i="14"/>
  <c r="F34" i="1" s="1"/>
  <c r="D3" i="14"/>
  <c r="E34" i="1" s="1"/>
  <c r="G31" i="3"/>
  <c r="G32" i="3"/>
  <c r="G33" i="3"/>
  <c r="D31" i="3"/>
  <c r="D32" i="3"/>
  <c r="D33" i="3"/>
  <c r="C31" i="3"/>
  <c r="C32" i="3"/>
  <c r="C33" i="3"/>
  <c r="G30" i="3"/>
  <c r="D30" i="3"/>
  <c r="C30" i="3"/>
  <c r="L31" i="2"/>
  <c r="L32" i="2"/>
  <c r="L33" i="2"/>
  <c r="I31" i="2"/>
  <c r="I32" i="2"/>
  <c r="I33" i="2"/>
  <c r="H31" i="2"/>
  <c r="H32" i="2"/>
  <c r="H33" i="2"/>
  <c r="D31" i="2"/>
  <c r="D32" i="2"/>
  <c r="D33" i="2"/>
  <c r="C31" i="2"/>
  <c r="C32" i="2"/>
  <c r="C33" i="2"/>
  <c r="L30" i="2"/>
  <c r="I30" i="2"/>
  <c r="H30" i="2"/>
  <c r="D30" i="2"/>
  <c r="C30" i="2"/>
  <c r="O31" i="1"/>
  <c r="O32" i="1"/>
  <c r="O33" i="1"/>
  <c r="N31" i="1"/>
  <c r="N32" i="1"/>
  <c r="N33" i="1"/>
  <c r="I31" i="1"/>
  <c r="I32" i="1"/>
  <c r="I33" i="1"/>
  <c r="H31" i="1"/>
  <c r="H32" i="1"/>
  <c r="H33" i="1"/>
  <c r="D31" i="1"/>
  <c r="D32" i="1"/>
  <c r="D33" i="1"/>
  <c r="C31" i="1"/>
  <c r="C32" i="1"/>
  <c r="C33" i="1"/>
  <c r="O30" i="1"/>
  <c r="N30" i="1"/>
  <c r="I30" i="1"/>
  <c r="H30" i="1"/>
  <c r="D30" i="1"/>
  <c r="C30" i="1"/>
  <c r="AH7" i="13"/>
  <c r="AE7" i="13"/>
  <c r="AD7" i="13"/>
  <c r="Y7" i="13"/>
  <c r="X7" i="13"/>
  <c r="W7" i="13"/>
  <c r="R7" i="13"/>
  <c r="V6" i="13" s="1"/>
  <c r="K33" i="2" s="1"/>
  <c r="Q7" i="13"/>
  <c r="U6" i="13" s="1"/>
  <c r="J33" i="2" s="1"/>
  <c r="H7" i="13"/>
  <c r="G7" i="13"/>
  <c r="B7" i="13"/>
  <c r="I4" i="13" s="1"/>
  <c r="J31" i="1" s="1"/>
  <c r="AG6" i="13"/>
  <c r="F33" i="3" s="1"/>
  <c r="AF6" i="13"/>
  <c r="E33" i="3" s="1"/>
  <c r="AA6" i="13"/>
  <c r="G33" i="2" s="1"/>
  <c r="Z6" i="13"/>
  <c r="M33" i="2" s="1"/>
  <c r="T6" i="13"/>
  <c r="F33" i="2" s="1"/>
  <c r="S6" i="13"/>
  <c r="E33" i="2" s="1"/>
  <c r="L6" i="13"/>
  <c r="M33" i="1" s="1"/>
  <c r="K6" i="13"/>
  <c r="L33" i="1" s="1"/>
  <c r="F6" i="13"/>
  <c r="G33" i="1" s="1"/>
  <c r="E6" i="13"/>
  <c r="F33" i="1" s="1"/>
  <c r="D6" i="13"/>
  <c r="E33" i="1" s="1"/>
  <c r="AG5" i="13"/>
  <c r="F32" i="3" s="1"/>
  <c r="AF5" i="13"/>
  <c r="E32" i="3" s="1"/>
  <c r="AA5" i="13"/>
  <c r="G32" i="2" s="1"/>
  <c r="Z5" i="13"/>
  <c r="M32" i="2" s="1"/>
  <c r="T5" i="13"/>
  <c r="F32" i="2" s="1"/>
  <c r="S5" i="13"/>
  <c r="E32" i="2" s="1"/>
  <c r="L5" i="13"/>
  <c r="M32" i="1" s="1"/>
  <c r="K5" i="13"/>
  <c r="L32" i="1" s="1"/>
  <c r="F5" i="13"/>
  <c r="G32" i="1" s="1"/>
  <c r="E5" i="13"/>
  <c r="F32" i="1" s="1"/>
  <c r="D5" i="13"/>
  <c r="E32" i="1" s="1"/>
  <c r="AG4" i="13"/>
  <c r="F31" i="3" s="1"/>
  <c r="AF4" i="13"/>
  <c r="E31" i="3" s="1"/>
  <c r="AA4" i="13"/>
  <c r="G31" i="2" s="1"/>
  <c r="Z4" i="13"/>
  <c r="M31" i="2" s="1"/>
  <c r="T4" i="13"/>
  <c r="F31" i="2" s="1"/>
  <c r="S4" i="13"/>
  <c r="E31" i="2" s="1"/>
  <c r="L4" i="13"/>
  <c r="M31" i="1" s="1"/>
  <c r="K4" i="13"/>
  <c r="L31" i="1" s="1"/>
  <c r="F4" i="13"/>
  <c r="G31" i="1" s="1"/>
  <c r="E4" i="13"/>
  <c r="F31" i="1" s="1"/>
  <c r="D4" i="13"/>
  <c r="E31" i="1" s="1"/>
  <c r="AG3" i="13"/>
  <c r="F30" i="3" s="1"/>
  <c r="AF3" i="13"/>
  <c r="E30" i="3" s="1"/>
  <c r="AA3" i="13"/>
  <c r="Z3" i="13"/>
  <c r="M30" i="2" s="1"/>
  <c r="T3" i="13"/>
  <c r="F30" i="2" s="1"/>
  <c r="S3" i="13"/>
  <c r="E30" i="2" s="1"/>
  <c r="K3" i="13"/>
  <c r="L30" i="1" s="1"/>
  <c r="F3" i="13"/>
  <c r="E3" i="13"/>
  <c r="F30" i="1" s="1"/>
  <c r="G27" i="3"/>
  <c r="G28" i="3"/>
  <c r="G29" i="3"/>
  <c r="D27" i="3"/>
  <c r="D28" i="3"/>
  <c r="D29" i="3"/>
  <c r="C27" i="3"/>
  <c r="C28" i="3"/>
  <c r="C29" i="3"/>
  <c r="G26" i="3"/>
  <c r="D26" i="3"/>
  <c r="C26" i="3"/>
  <c r="L27" i="2"/>
  <c r="L28" i="2"/>
  <c r="L29" i="2"/>
  <c r="I27" i="2"/>
  <c r="I28" i="2"/>
  <c r="I29" i="2"/>
  <c r="H27" i="2"/>
  <c r="H28" i="2"/>
  <c r="H29" i="2"/>
  <c r="D27" i="2"/>
  <c r="D28" i="2"/>
  <c r="D29" i="2"/>
  <c r="C27" i="2"/>
  <c r="C28" i="2"/>
  <c r="C29" i="2"/>
  <c r="L26" i="2"/>
  <c r="I26" i="2"/>
  <c r="H26" i="2"/>
  <c r="D26" i="2"/>
  <c r="C26" i="2"/>
  <c r="O27" i="1"/>
  <c r="O28" i="1"/>
  <c r="O29" i="1"/>
  <c r="N27" i="1"/>
  <c r="N28" i="1"/>
  <c r="N29" i="1"/>
  <c r="I27" i="1"/>
  <c r="I28" i="1"/>
  <c r="I29" i="1"/>
  <c r="H27" i="1"/>
  <c r="H28" i="1"/>
  <c r="H29" i="1"/>
  <c r="D27" i="1"/>
  <c r="D28" i="1"/>
  <c r="D29" i="1"/>
  <c r="C27" i="1"/>
  <c r="C28" i="1"/>
  <c r="C29" i="1"/>
  <c r="O26" i="1"/>
  <c r="N26" i="1"/>
  <c r="I26" i="1"/>
  <c r="H26" i="1"/>
  <c r="D26" i="1"/>
  <c r="C26" i="1"/>
  <c r="AH7" i="12"/>
  <c r="AE7" i="12"/>
  <c r="AD7" i="12"/>
  <c r="Y7" i="12"/>
  <c r="X7" i="12"/>
  <c r="W7" i="12"/>
  <c r="R7" i="12"/>
  <c r="V6" i="12" s="1"/>
  <c r="K29" i="2" s="1"/>
  <c r="Q7" i="12"/>
  <c r="U6" i="12" s="1"/>
  <c r="J29" i="2" s="1"/>
  <c r="H7" i="12"/>
  <c r="G7" i="12"/>
  <c r="C7" i="12"/>
  <c r="J5" i="12" s="1"/>
  <c r="K28" i="1" s="1"/>
  <c r="B7" i="12"/>
  <c r="I6" i="12" s="1"/>
  <c r="J29" i="1" s="1"/>
  <c r="AG6" i="12"/>
  <c r="F29" i="3" s="1"/>
  <c r="AF6" i="12"/>
  <c r="E29" i="3" s="1"/>
  <c r="AA6" i="12"/>
  <c r="G29" i="2" s="1"/>
  <c r="Z6" i="12"/>
  <c r="M29" i="2" s="1"/>
  <c r="T6" i="12"/>
  <c r="F29" i="2" s="1"/>
  <c r="S6" i="12"/>
  <c r="E29" i="2" s="1"/>
  <c r="L6" i="12"/>
  <c r="M29" i="1" s="1"/>
  <c r="K6" i="12"/>
  <c r="L29" i="1" s="1"/>
  <c r="F6" i="12"/>
  <c r="G29" i="1" s="1"/>
  <c r="E6" i="12"/>
  <c r="F29" i="1" s="1"/>
  <c r="D6" i="12"/>
  <c r="E29" i="1" s="1"/>
  <c r="AG5" i="12"/>
  <c r="F28" i="3" s="1"/>
  <c r="AF5" i="12"/>
  <c r="E28" i="3" s="1"/>
  <c r="AA5" i="12"/>
  <c r="G28" i="2" s="1"/>
  <c r="Z5" i="12"/>
  <c r="M28" i="2" s="1"/>
  <c r="T5" i="12"/>
  <c r="F28" i="2" s="1"/>
  <c r="S5" i="12"/>
  <c r="E28" i="2" s="1"/>
  <c r="L5" i="12"/>
  <c r="M28" i="1" s="1"/>
  <c r="K5" i="12"/>
  <c r="L28" i="1" s="1"/>
  <c r="F5" i="12"/>
  <c r="G28" i="1" s="1"/>
  <c r="E5" i="12"/>
  <c r="F28" i="1" s="1"/>
  <c r="D5" i="12"/>
  <c r="E28" i="1" s="1"/>
  <c r="AG4" i="12"/>
  <c r="F27" i="3" s="1"/>
  <c r="AF4" i="12"/>
  <c r="E27" i="3" s="1"/>
  <c r="AA4" i="12"/>
  <c r="G27" i="2" s="1"/>
  <c r="Z4" i="12"/>
  <c r="M27" i="2" s="1"/>
  <c r="T4" i="12"/>
  <c r="F27" i="2" s="1"/>
  <c r="S4" i="12"/>
  <c r="E27" i="2" s="1"/>
  <c r="L4" i="12"/>
  <c r="M27" i="1" s="1"/>
  <c r="K4" i="12"/>
  <c r="L27" i="1" s="1"/>
  <c r="F4" i="12"/>
  <c r="G27" i="1" s="1"/>
  <c r="E4" i="12"/>
  <c r="F27" i="1" s="1"/>
  <c r="D4" i="12"/>
  <c r="E27" i="1" s="1"/>
  <c r="AG3" i="12"/>
  <c r="AF3" i="12"/>
  <c r="E26" i="3" s="1"/>
  <c r="AA3" i="12"/>
  <c r="Z3" i="12"/>
  <c r="M26" i="2" s="1"/>
  <c r="T3" i="12"/>
  <c r="F26" i="2" s="1"/>
  <c r="S3" i="12"/>
  <c r="E26" i="2" s="1"/>
  <c r="L3" i="12"/>
  <c r="M26" i="1" s="1"/>
  <c r="K3" i="12"/>
  <c r="L26" i="1" s="1"/>
  <c r="F3" i="12"/>
  <c r="E3" i="12"/>
  <c r="F26" i="1" s="1"/>
  <c r="D3" i="12"/>
  <c r="E26" i="1" s="1"/>
  <c r="G23" i="3"/>
  <c r="G24" i="3"/>
  <c r="G25" i="3"/>
  <c r="D23" i="3"/>
  <c r="D24" i="3"/>
  <c r="D25" i="3"/>
  <c r="C23" i="3"/>
  <c r="C24" i="3"/>
  <c r="C25" i="3"/>
  <c r="G22" i="3"/>
  <c r="D22" i="3"/>
  <c r="C22" i="3"/>
  <c r="L23" i="2"/>
  <c r="L24" i="2"/>
  <c r="L25" i="2"/>
  <c r="I23" i="2"/>
  <c r="I24" i="2"/>
  <c r="I25" i="2"/>
  <c r="H23" i="2"/>
  <c r="H24" i="2"/>
  <c r="H25" i="2"/>
  <c r="D23" i="2"/>
  <c r="D24" i="2"/>
  <c r="D25" i="2"/>
  <c r="C23" i="2"/>
  <c r="C24" i="2"/>
  <c r="C25" i="2"/>
  <c r="L22" i="2"/>
  <c r="I22" i="2"/>
  <c r="H22" i="2"/>
  <c r="D22" i="2"/>
  <c r="C22" i="2"/>
  <c r="O23" i="1"/>
  <c r="O24" i="1"/>
  <c r="O25" i="1"/>
  <c r="N23" i="1"/>
  <c r="N24" i="1"/>
  <c r="N25" i="1"/>
  <c r="I23" i="1"/>
  <c r="I24" i="1"/>
  <c r="I25" i="1"/>
  <c r="H23" i="1"/>
  <c r="H24" i="1"/>
  <c r="H25" i="1"/>
  <c r="D23" i="1"/>
  <c r="D24" i="1"/>
  <c r="D25" i="1"/>
  <c r="C23" i="1"/>
  <c r="C24" i="1"/>
  <c r="C25" i="1"/>
  <c r="O22" i="1"/>
  <c r="N22" i="1"/>
  <c r="M22" i="1"/>
  <c r="I22" i="1"/>
  <c r="H22" i="1"/>
  <c r="D22" i="1"/>
  <c r="C22" i="1"/>
  <c r="AH7" i="11"/>
  <c r="AE7" i="11"/>
  <c r="AD7" i="11"/>
  <c r="Y7" i="11"/>
  <c r="X7" i="11"/>
  <c r="W7" i="11"/>
  <c r="R7" i="11"/>
  <c r="V6" i="11" s="1"/>
  <c r="K25" i="2" s="1"/>
  <c r="Q7" i="11"/>
  <c r="U6" i="11" s="1"/>
  <c r="J25" i="2" s="1"/>
  <c r="H7" i="11"/>
  <c r="G7" i="11"/>
  <c r="C7" i="11"/>
  <c r="J6" i="11" s="1"/>
  <c r="K25" i="1" s="1"/>
  <c r="B7" i="11"/>
  <c r="I4" i="11" s="1"/>
  <c r="J23" i="1" s="1"/>
  <c r="AG6" i="11"/>
  <c r="F25" i="3" s="1"/>
  <c r="AF6" i="11"/>
  <c r="E25" i="3" s="1"/>
  <c r="AA6" i="11"/>
  <c r="G25" i="2" s="1"/>
  <c r="Z6" i="11"/>
  <c r="M25" i="2" s="1"/>
  <c r="T6" i="11"/>
  <c r="F25" i="2" s="1"/>
  <c r="S6" i="11"/>
  <c r="E25" i="2" s="1"/>
  <c r="L6" i="11"/>
  <c r="M25" i="1" s="1"/>
  <c r="K6" i="11"/>
  <c r="L25" i="1" s="1"/>
  <c r="F6" i="11"/>
  <c r="G25" i="1" s="1"/>
  <c r="E6" i="11"/>
  <c r="F25" i="1" s="1"/>
  <c r="D6" i="11"/>
  <c r="E25" i="1" s="1"/>
  <c r="AG5" i="11"/>
  <c r="F24" i="3" s="1"/>
  <c r="AF5" i="11"/>
  <c r="E24" i="3" s="1"/>
  <c r="AA5" i="11"/>
  <c r="G24" i="2" s="1"/>
  <c r="Z5" i="11"/>
  <c r="M24" i="2" s="1"/>
  <c r="T5" i="11"/>
  <c r="F24" i="2" s="1"/>
  <c r="S5" i="11"/>
  <c r="E24" i="2" s="1"/>
  <c r="L5" i="11"/>
  <c r="M24" i="1" s="1"/>
  <c r="K5" i="11"/>
  <c r="L24" i="1" s="1"/>
  <c r="F5" i="11"/>
  <c r="G24" i="1" s="1"/>
  <c r="E5" i="11"/>
  <c r="F24" i="1" s="1"/>
  <c r="D5" i="11"/>
  <c r="E24" i="1" s="1"/>
  <c r="AG4" i="11"/>
  <c r="F23" i="3" s="1"/>
  <c r="AF4" i="11"/>
  <c r="E23" i="3" s="1"/>
  <c r="AA4" i="11"/>
  <c r="G23" i="2" s="1"/>
  <c r="Z4" i="11"/>
  <c r="M23" i="2" s="1"/>
  <c r="T4" i="11"/>
  <c r="F23" i="2" s="1"/>
  <c r="S4" i="11"/>
  <c r="E23" i="2" s="1"/>
  <c r="L4" i="11"/>
  <c r="M23" i="1" s="1"/>
  <c r="K4" i="11"/>
  <c r="L23" i="1" s="1"/>
  <c r="F4" i="11"/>
  <c r="G23" i="1" s="1"/>
  <c r="E4" i="11"/>
  <c r="F23" i="1" s="1"/>
  <c r="D4" i="11"/>
  <c r="E23" i="1" s="1"/>
  <c r="AG3" i="11"/>
  <c r="AF3" i="11"/>
  <c r="E22" i="3" s="1"/>
  <c r="AA3" i="11"/>
  <c r="Z3" i="11"/>
  <c r="M22" i="2" s="1"/>
  <c r="T3" i="11"/>
  <c r="F22" i="2" s="1"/>
  <c r="S3" i="11"/>
  <c r="E22" i="2" s="1"/>
  <c r="K3" i="11"/>
  <c r="L22" i="1" s="1"/>
  <c r="F3" i="11"/>
  <c r="E3" i="11"/>
  <c r="F22" i="1" s="1"/>
  <c r="D3" i="11"/>
  <c r="E22" i="1" s="1"/>
  <c r="G19" i="3"/>
  <c r="G20" i="3"/>
  <c r="G21" i="3"/>
  <c r="D19" i="3"/>
  <c r="D20" i="3"/>
  <c r="D21" i="3"/>
  <c r="C19" i="3"/>
  <c r="C20" i="3"/>
  <c r="C21" i="3"/>
  <c r="G18" i="3"/>
  <c r="D18" i="3"/>
  <c r="C18" i="3"/>
  <c r="L19" i="2"/>
  <c r="L20" i="2"/>
  <c r="L21" i="2"/>
  <c r="I19" i="2"/>
  <c r="I20" i="2"/>
  <c r="I21" i="2"/>
  <c r="H19" i="2"/>
  <c r="H20" i="2"/>
  <c r="H21" i="2"/>
  <c r="D19" i="2"/>
  <c r="D20" i="2"/>
  <c r="D21" i="2"/>
  <c r="C19" i="2"/>
  <c r="C20" i="2"/>
  <c r="C21" i="2"/>
  <c r="L18" i="2"/>
  <c r="I18" i="2"/>
  <c r="H18" i="2"/>
  <c r="D18" i="2"/>
  <c r="C18" i="2"/>
  <c r="O19" i="1"/>
  <c r="O20" i="1"/>
  <c r="O21" i="1"/>
  <c r="N19" i="1"/>
  <c r="N20" i="1"/>
  <c r="N21" i="1"/>
  <c r="I19" i="1"/>
  <c r="I20" i="1"/>
  <c r="I21" i="1"/>
  <c r="H19" i="1"/>
  <c r="H20" i="1"/>
  <c r="H21" i="1"/>
  <c r="D19" i="1"/>
  <c r="D20" i="1"/>
  <c r="D21" i="1"/>
  <c r="C19" i="1"/>
  <c r="C20" i="1"/>
  <c r="C21" i="1"/>
  <c r="O18" i="1"/>
  <c r="N18" i="1"/>
  <c r="I18" i="1"/>
  <c r="H18" i="1"/>
  <c r="D18" i="1"/>
  <c r="C18" i="1"/>
  <c r="AH7" i="10"/>
  <c r="AE7" i="10"/>
  <c r="AD7" i="10"/>
  <c r="AI6" i="10" s="1"/>
  <c r="H21" i="3" s="1"/>
  <c r="Y7" i="10"/>
  <c r="X7" i="10"/>
  <c r="W7" i="10"/>
  <c r="R7" i="10"/>
  <c r="V6" i="10" s="1"/>
  <c r="K21" i="2" s="1"/>
  <c r="Q7" i="10"/>
  <c r="U5" i="10" s="1"/>
  <c r="J20" i="2" s="1"/>
  <c r="H7" i="10"/>
  <c r="G7" i="10"/>
  <c r="C7" i="10"/>
  <c r="J6" i="10" s="1"/>
  <c r="K21" i="1" s="1"/>
  <c r="B7" i="10"/>
  <c r="I3" i="10" s="1"/>
  <c r="J18" i="1" s="1"/>
  <c r="AG6" i="10"/>
  <c r="F21" i="3" s="1"/>
  <c r="AF6" i="10"/>
  <c r="E21" i="3" s="1"/>
  <c r="AA6" i="10"/>
  <c r="G21" i="2" s="1"/>
  <c r="Z6" i="10"/>
  <c r="M21" i="2" s="1"/>
  <c r="T6" i="10"/>
  <c r="F21" i="2" s="1"/>
  <c r="S6" i="10"/>
  <c r="E21" i="2" s="1"/>
  <c r="L6" i="10"/>
  <c r="M21" i="1" s="1"/>
  <c r="K6" i="10"/>
  <c r="L21" i="1" s="1"/>
  <c r="F6" i="10"/>
  <c r="G21" i="1" s="1"/>
  <c r="E6" i="10"/>
  <c r="F21" i="1" s="1"/>
  <c r="D6" i="10"/>
  <c r="E21" i="1" s="1"/>
  <c r="AG5" i="10"/>
  <c r="F20" i="3" s="1"/>
  <c r="AF5" i="10"/>
  <c r="E20" i="3" s="1"/>
  <c r="AA5" i="10"/>
  <c r="G20" i="2" s="1"/>
  <c r="Z5" i="10"/>
  <c r="M20" i="2" s="1"/>
  <c r="T5" i="10"/>
  <c r="F20" i="2" s="1"/>
  <c r="S5" i="10"/>
  <c r="E20" i="2" s="1"/>
  <c r="L5" i="10"/>
  <c r="M20" i="1" s="1"/>
  <c r="K5" i="10"/>
  <c r="L20" i="1" s="1"/>
  <c r="F5" i="10"/>
  <c r="G20" i="1" s="1"/>
  <c r="E5" i="10"/>
  <c r="F20" i="1" s="1"/>
  <c r="D5" i="10"/>
  <c r="E20" i="1" s="1"/>
  <c r="AG4" i="10"/>
  <c r="F19" i="3" s="1"/>
  <c r="AF4" i="10"/>
  <c r="E19" i="3" s="1"/>
  <c r="AA4" i="10"/>
  <c r="G19" i="2" s="1"/>
  <c r="Z4" i="10"/>
  <c r="M19" i="2" s="1"/>
  <c r="T4" i="10"/>
  <c r="F19" i="2" s="1"/>
  <c r="S4" i="10"/>
  <c r="E19" i="2" s="1"/>
  <c r="L4" i="10"/>
  <c r="M19" i="1" s="1"/>
  <c r="K4" i="10"/>
  <c r="L19" i="1" s="1"/>
  <c r="F4" i="10"/>
  <c r="G19" i="1" s="1"/>
  <c r="E4" i="10"/>
  <c r="F19" i="1" s="1"/>
  <c r="D4" i="10"/>
  <c r="E19" i="1" s="1"/>
  <c r="AG3" i="10"/>
  <c r="AF3" i="10"/>
  <c r="E18" i="3" s="1"/>
  <c r="AA3" i="10"/>
  <c r="Z3" i="10"/>
  <c r="M18" i="2" s="1"/>
  <c r="T3" i="10"/>
  <c r="F18" i="2" s="1"/>
  <c r="S3" i="10"/>
  <c r="E18" i="2" s="1"/>
  <c r="L3" i="10"/>
  <c r="M18" i="1" s="1"/>
  <c r="K3" i="10"/>
  <c r="L18" i="1" s="1"/>
  <c r="F3" i="10"/>
  <c r="E3" i="10"/>
  <c r="F18" i="1" s="1"/>
  <c r="D3" i="10"/>
  <c r="E18" i="1" s="1"/>
  <c r="G15" i="3"/>
  <c r="G16" i="3"/>
  <c r="G17" i="3"/>
  <c r="D15" i="3"/>
  <c r="D16" i="3"/>
  <c r="D17" i="3"/>
  <c r="C15" i="3"/>
  <c r="C16" i="3"/>
  <c r="C17" i="3"/>
  <c r="G14" i="3"/>
  <c r="D14" i="3"/>
  <c r="C14" i="3"/>
  <c r="L15" i="2"/>
  <c r="L16" i="2"/>
  <c r="L17" i="2"/>
  <c r="L14" i="2"/>
  <c r="I15" i="2"/>
  <c r="I16" i="2"/>
  <c r="I17" i="2"/>
  <c r="I14" i="2"/>
  <c r="H15" i="2"/>
  <c r="H16" i="2"/>
  <c r="H17" i="2"/>
  <c r="H14" i="2"/>
  <c r="D15" i="2"/>
  <c r="D16" i="2"/>
  <c r="D17" i="2"/>
  <c r="D14" i="2"/>
  <c r="C15" i="2"/>
  <c r="C16" i="2"/>
  <c r="C17" i="2"/>
  <c r="C14" i="2"/>
  <c r="O15" i="1"/>
  <c r="O16" i="1"/>
  <c r="O17" i="1"/>
  <c r="O14" i="1"/>
  <c r="N15" i="1"/>
  <c r="N16" i="1"/>
  <c r="N17" i="1"/>
  <c r="N14" i="1"/>
  <c r="I15" i="1"/>
  <c r="I16" i="1"/>
  <c r="I17" i="1"/>
  <c r="I14" i="1"/>
  <c r="H15" i="1"/>
  <c r="H16" i="1"/>
  <c r="H17" i="1"/>
  <c r="H14" i="1"/>
  <c r="D15" i="1"/>
  <c r="D16" i="1"/>
  <c r="D17" i="1"/>
  <c r="D14" i="1"/>
  <c r="G11" i="3"/>
  <c r="G12" i="3"/>
  <c r="G13" i="3"/>
  <c r="G10" i="3"/>
  <c r="D11" i="3"/>
  <c r="D12" i="3"/>
  <c r="D13" i="3"/>
  <c r="D10" i="3"/>
  <c r="C11" i="3"/>
  <c r="C12" i="3"/>
  <c r="C13" i="3"/>
  <c r="C10" i="3"/>
  <c r="C15" i="1"/>
  <c r="C16" i="1"/>
  <c r="C17" i="1"/>
  <c r="C14" i="1"/>
  <c r="AH7" i="9"/>
  <c r="AE7" i="9"/>
  <c r="AD7" i="9"/>
  <c r="X7" i="9"/>
  <c r="W7" i="9"/>
  <c r="R7" i="9"/>
  <c r="V4" i="9" s="1"/>
  <c r="K15" i="2" s="1"/>
  <c r="Q7" i="9"/>
  <c r="U5" i="9" s="1"/>
  <c r="J16" i="2" s="1"/>
  <c r="H7" i="9"/>
  <c r="C7" i="9"/>
  <c r="J6" i="9" s="1"/>
  <c r="K17" i="1" s="1"/>
  <c r="B7" i="9"/>
  <c r="I6" i="9" s="1"/>
  <c r="J17" i="1" s="1"/>
  <c r="AG6" i="9"/>
  <c r="F17" i="3" s="1"/>
  <c r="AF6" i="9"/>
  <c r="E17" i="3" s="1"/>
  <c r="AA6" i="9"/>
  <c r="G17" i="2" s="1"/>
  <c r="Z6" i="9"/>
  <c r="M17" i="2" s="1"/>
  <c r="T6" i="9"/>
  <c r="F17" i="2" s="1"/>
  <c r="S6" i="9"/>
  <c r="E17" i="2" s="1"/>
  <c r="L6" i="9"/>
  <c r="M17" i="1" s="1"/>
  <c r="K6" i="9"/>
  <c r="L17" i="1" s="1"/>
  <c r="F6" i="9"/>
  <c r="G17" i="1" s="1"/>
  <c r="E6" i="9"/>
  <c r="F17" i="1" s="1"/>
  <c r="D6" i="9"/>
  <c r="E17" i="1" s="1"/>
  <c r="AG5" i="9"/>
  <c r="F16" i="3" s="1"/>
  <c r="AF5" i="9"/>
  <c r="E16" i="3" s="1"/>
  <c r="AA5" i="9"/>
  <c r="G16" i="2" s="1"/>
  <c r="Z5" i="9"/>
  <c r="M16" i="2" s="1"/>
  <c r="T5" i="9"/>
  <c r="F16" i="2" s="1"/>
  <c r="S5" i="9"/>
  <c r="E16" i="2" s="1"/>
  <c r="L5" i="9"/>
  <c r="M16" i="1" s="1"/>
  <c r="K5" i="9"/>
  <c r="L16" i="1" s="1"/>
  <c r="F5" i="9"/>
  <c r="G16" i="1" s="1"/>
  <c r="E5" i="9"/>
  <c r="F16" i="1" s="1"/>
  <c r="D5" i="9"/>
  <c r="E16" i="1" s="1"/>
  <c r="AG4" i="9"/>
  <c r="F15" i="3" s="1"/>
  <c r="AF4" i="9"/>
  <c r="E15" i="3" s="1"/>
  <c r="AA4" i="9"/>
  <c r="G15" i="2" s="1"/>
  <c r="Z4" i="9"/>
  <c r="M15" i="2" s="1"/>
  <c r="T4" i="9"/>
  <c r="F15" i="2" s="1"/>
  <c r="S4" i="9"/>
  <c r="E15" i="2" s="1"/>
  <c r="L4" i="9"/>
  <c r="M15" i="1" s="1"/>
  <c r="K4" i="9"/>
  <c r="L15" i="1" s="1"/>
  <c r="F4" i="9"/>
  <c r="G15" i="1" s="1"/>
  <c r="E4" i="9"/>
  <c r="F15" i="1" s="1"/>
  <c r="D4" i="9"/>
  <c r="E15" i="1" s="1"/>
  <c r="AG3" i="9"/>
  <c r="AF3" i="9"/>
  <c r="E14" i="3" s="1"/>
  <c r="AA3" i="9"/>
  <c r="Z3" i="9"/>
  <c r="M14" i="2" s="1"/>
  <c r="T3" i="9"/>
  <c r="F14" i="2" s="1"/>
  <c r="S3" i="9"/>
  <c r="E14" i="2" s="1"/>
  <c r="L3" i="9"/>
  <c r="M14" i="1" s="1"/>
  <c r="K3" i="9"/>
  <c r="L14" i="1" s="1"/>
  <c r="F3" i="9"/>
  <c r="E3" i="9"/>
  <c r="F14" i="1" s="1"/>
  <c r="D3" i="9"/>
  <c r="E14" i="1" s="1"/>
  <c r="M13" i="2"/>
  <c r="L11" i="2"/>
  <c r="L12" i="2"/>
  <c r="L13" i="2"/>
  <c r="L10" i="2"/>
  <c r="I11" i="2"/>
  <c r="I12" i="2"/>
  <c r="I13" i="2"/>
  <c r="I10" i="2"/>
  <c r="H11" i="2"/>
  <c r="H12" i="2"/>
  <c r="H13" i="2"/>
  <c r="H10" i="2"/>
  <c r="D11" i="2"/>
  <c r="D12" i="2"/>
  <c r="D13" i="2"/>
  <c r="D10" i="2"/>
  <c r="C11" i="2"/>
  <c r="C12" i="2"/>
  <c r="C13" i="2"/>
  <c r="C10" i="2"/>
  <c r="O11" i="1"/>
  <c r="O12" i="1"/>
  <c r="O13" i="1"/>
  <c r="O10" i="1"/>
  <c r="N11" i="1"/>
  <c r="N12" i="1"/>
  <c r="N13" i="1"/>
  <c r="N10" i="1"/>
  <c r="I11" i="1"/>
  <c r="I12" i="1"/>
  <c r="I13" i="1"/>
  <c r="I10" i="1"/>
  <c r="H11" i="1"/>
  <c r="H12" i="1"/>
  <c r="H13" i="1"/>
  <c r="H10" i="1"/>
  <c r="D11" i="1"/>
  <c r="D12" i="1"/>
  <c r="D13" i="1"/>
  <c r="D10" i="1"/>
  <c r="C11" i="1"/>
  <c r="C12" i="1"/>
  <c r="C13" i="1"/>
  <c r="C10" i="1"/>
  <c r="C7" i="8"/>
  <c r="AH7" i="8"/>
  <c r="AE7" i="8"/>
  <c r="AD7" i="8"/>
  <c r="Y7" i="8"/>
  <c r="X7" i="8"/>
  <c r="W7" i="8"/>
  <c r="R7" i="8"/>
  <c r="V6" i="8" s="1"/>
  <c r="K13" i="2" s="1"/>
  <c r="Q7" i="8"/>
  <c r="U6" i="8" s="1"/>
  <c r="J13" i="2" s="1"/>
  <c r="H7" i="8"/>
  <c r="G7" i="8"/>
  <c r="B7" i="8"/>
  <c r="I3" i="8" s="1"/>
  <c r="J10" i="1" s="1"/>
  <c r="AG6" i="8"/>
  <c r="F13" i="3" s="1"/>
  <c r="AF6" i="8"/>
  <c r="E13" i="3" s="1"/>
  <c r="AA6" i="8"/>
  <c r="G13" i="2" s="1"/>
  <c r="Z6" i="8"/>
  <c r="T6" i="8"/>
  <c r="F13" i="2" s="1"/>
  <c r="S6" i="8"/>
  <c r="E13" i="2" s="1"/>
  <c r="L6" i="8"/>
  <c r="M13" i="1" s="1"/>
  <c r="K6" i="8"/>
  <c r="L13" i="1" s="1"/>
  <c r="F6" i="8"/>
  <c r="G13" i="1" s="1"/>
  <c r="E6" i="8"/>
  <c r="F13" i="1" s="1"/>
  <c r="D6" i="8"/>
  <c r="E13" i="1" s="1"/>
  <c r="AG5" i="8"/>
  <c r="F12" i="3" s="1"/>
  <c r="AF5" i="8"/>
  <c r="E12" i="3" s="1"/>
  <c r="AA5" i="8"/>
  <c r="G12" i="2" s="1"/>
  <c r="Z5" i="8"/>
  <c r="M12" i="2" s="1"/>
  <c r="T5" i="8"/>
  <c r="F12" i="2" s="1"/>
  <c r="S5" i="8"/>
  <c r="E12" i="2" s="1"/>
  <c r="L5" i="8"/>
  <c r="M12" i="1" s="1"/>
  <c r="K5" i="8"/>
  <c r="L12" i="1" s="1"/>
  <c r="F5" i="8"/>
  <c r="G12" i="1" s="1"/>
  <c r="E5" i="8"/>
  <c r="F12" i="1" s="1"/>
  <c r="D5" i="8"/>
  <c r="E12" i="1" s="1"/>
  <c r="AG4" i="8"/>
  <c r="F11" i="3" s="1"/>
  <c r="AF4" i="8"/>
  <c r="E11" i="3" s="1"/>
  <c r="AA4" i="8"/>
  <c r="G11" i="2" s="1"/>
  <c r="Z4" i="8"/>
  <c r="M11" i="2" s="1"/>
  <c r="T4" i="8"/>
  <c r="F11" i="2" s="1"/>
  <c r="S4" i="8"/>
  <c r="E11" i="2" s="1"/>
  <c r="L4" i="8"/>
  <c r="M11" i="1" s="1"/>
  <c r="K4" i="8"/>
  <c r="L11" i="1" s="1"/>
  <c r="F4" i="8"/>
  <c r="G11" i="1" s="1"/>
  <c r="E4" i="8"/>
  <c r="F11" i="1" s="1"/>
  <c r="D4" i="8"/>
  <c r="E11" i="1" s="1"/>
  <c r="AG3" i="8"/>
  <c r="AF3" i="8"/>
  <c r="E10" i="3" s="1"/>
  <c r="AA3" i="8"/>
  <c r="Z3" i="8"/>
  <c r="M10" i="2" s="1"/>
  <c r="T3" i="8"/>
  <c r="F10" i="2" s="1"/>
  <c r="S3" i="8"/>
  <c r="E10" i="2" s="1"/>
  <c r="L3" i="8"/>
  <c r="M10" i="1" s="1"/>
  <c r="K3" i="8"/>
  <c r="L10" i="1" s="1"/>
  <c r="G3" i="3"/>
  <c r="G4" i="3"/>
  <c r="G5" i="3"/>
  <c r="G2" i="3"/>
  <c r="D3" i="3"/>
  <c r="D4" i="3"/>
  <c r="D5" i="3"/>
  <c r="D2" i="3"/>
  <c r="L3" i="3" s="1"/>
  <c r="C3" i="3"/>
  <c r="C4" i="3"/>
  <c r="C5" i="3"/>
  <c r="C2" i="3"/>
  <c r="L3" i="2"/>
  <c r="L4" i="2"/>
  <c r="L5" i="2"/>
  <c r="L2" i="2"/>
  <c r="Y3" i="2" s="1"/>
  <c r="R7" i="6"/>
  <c r="V6" i="6" s="1"/>
  <c r="K5" i="2" s="1"/>
  <c r="C2" i="2"/>
  <c r="I3" i="2"/>
  <c r="I4" i="2"/>
  <c r="I5" i="2"/>
  <c r="I2" i="2"/>
  <c r="H3" i="2"/>
  <c r="H4" i="2"/>
  <c r="H5" i="2"/>
  <c r="H2" i="2"/>
  <c r="D3" i="2"/>
  <c r="Q3" i="2" s="1"/>
  <c r="D4" i="2"/>
  <c r="D5" i="2"/>
  <c r="C3" i="2"/>
  <c r="C4" i="2"/>
  <c r="C5" i="2"/>
  <c r="K3" i="6"/>
  <c r="L2" i="1" s="1"/>
  <c r="L4" i="6"/>
  <c r="M3" i="1" s="1"/>
  <c r="L5" i="6"/>
  <c r="M4" i="1" s="1"/>
  <c r="L6" i="6"/>
  <c r="M5" i="1" s="1"/>
  <c r="L3" i="6"/>
  <c r="D7" i="1"/>
  <c r="L4" i="4"/>
  <c r="M7" i="1" s="1"/>
  <c r="L5" i="4"/>
  <c r="M8" i="1" s="1"/>
  <c r="L6" i="4"/>
  <c r="M9" i="1" s="1"/>
  <c r="L3" i="4"/>
  <c r="O3" i="1"/>
  <c r="O4" i="1"/>
  <c r="O5" i="1"/>
  <c r="O2" i="1"/>
  <c r="N3" i="1"/>
  <c r="N4" i="1"/>
  <c r="N5" i="1"/>
  <c r="N2" i="1"/>
  <c r="I3" i="1"/>
  <c r="I4" i="1"/>
  <c r="I5" i="1"/>
  <c r="I2" i="1"/>
  <c r="H3" i="1"/>
  <c r="H4" i="1"/>
  <c r="H5" i="1"/>
  <c r="H2" i="1"/>
  <c r="D3" i="1"/>
  <c r="D4" i="1"/>
  <c r="D5" i="1"/>
  <c r="D2" i="1"/>
  <c r="C3" i="1"/>
  <c r="C5" i="1"/>
  <c r="AH7" i="6"/>
  <c r="AE7" i="6"/>
  <c r="AD7" i="6"/>
  <c r="Y7" i="6"/>
  <c r="X7" i="6"/>
  <c r="W7" i="6"/>
  <c r="H7" i="6"/>
  <c r="G7" i="6"/>
  <c r="C7" i="6"/>
  <c r="J6" i="6" s="1"/>
  <c r="K5" i="1" s="1"/>
  <c r="AG6" i="6"/>
  <c r="F5" i="3" s="1"/>
  <c r="AF6" i="6"/>
  <c r="E5" i="3" s="1"/>
  <c r="AA6" i="6"/>
  <c r="G5" i="2" s="1"/>
  <c r="Z6" i="6"/>
  <c r="M5" i="2" s="1"/>
  <c r="T6" i="6"/>
  <c r="F5" i="2" s="1"/>
  <c r="S6" i="6"/>
  <c r="E5" i="2" s="1"/>
  <c r="K6" i="6"/>
  <c r="L5" i="1" s="1"/>
  <c r="F6" i="6"/>
  <c r="G5" i="1" s="1"/>
  <c r="E6" i="6"/>
  <c r="F5" i="1" s="1"/>
  <c r="D6" i="6"/>
  <c r="E5" i="1" s="1"/>
  <c r="AG5" i="6"/>
  <c r="F4" i="3" s="1"/>
  <c r="AF5" i="6"/>
  <c r="E4" i="3" s="1"/>
  <c r="AA5" i="6"/>
  <c r="G4" i="2" s="1"/>
  <c r="Z5" i="6"/>
  <c r="M4" i="2" s="1"/>
  <c r="T5" i="6"/>
  <c r="F4" i="2" s="1"/>
  <c r="S5" i="6"/>
  <c r="E4" i="2" s="1"/>
  <c r="AG4" i="6"/>
  <c r="F3" i="3" s="1"/>
  <c r="AF4" i="6"/>
  <c r="E3" i="3" s="1"/>
  <c r="AA4" i="6"/>
  <c r="G3" i="2" s="1"/>
  <c r="Z4" i="6"/>
  <c r="M3" i="2" s="1"/>
  <c r="T4" i="6"/>
  <c r="F3" i="2" s="1"/>
  <c r="S4" i="6"/>
  <c r="E3" i="2" s="1"/>
  <c r="K4" i="6"/>
  <c r="L3" i="1" s="1"/>
  <c r="F4" i="6"/>
  <c r="G3" i="1" s="1"/>
  <c r="E4" i="6"/>
  <c r="F3" i="1" s="1"/>
  <c r="D4" i="6"/>
  <c r="E3" i="1" s="1"/>
  <c r="AG3" i="6"/>
  <c r="AF3" i="6"/>
  <c r="E2" i="3" s="1"/>
  <c r="G7" i="3"/>
  <c r="G8" i="3"/>
  <c r="G9" i="3"/>
  <c r="G6" i="3"/>
  <c r="D7" i="3"/>
  <c r="D8" i="3"/>
  <c r="D9" i="3"/>
  <c r="D6" i="3"/>
  <c r="C7" i="3"/>
  <c r="C8" i="3"/>
  <c r="C9" i="3"/>
  <c r="C6" i="3"/>
  <c r="S3" i="4"/>
  <c r="E6" i="2" s="1"/>
  <c r="L7" i="2"/>
  <c r="L8" i="2"/>
  <c r="L9" i="2"/>
  <c r="L6" i="2"/>
  <c r="I7" i="2"/>
  <c r="I8" i="2"/>
  <c r="I9" i="2"/>
  <c r="I6" i="2"/>
  <c r="H7" i="2"/>
  <c r="H8" i="2"/>
  <c r="H9" i="2"/>
  <c r="H6" i="2"/>
  <c r="Q7" i="4"/>
  <c r="U5" i="4" s="1"/>
  <c r="J8" i="2" s="1"/>
  <c r="AA4" i="4"/>
  <c r="G7" i="2" s="1"/>
  <c r="AA5" i="4"/>
  <c r="G8" i="2" s="1"/>
  <c r="AA6" i="4"/>
  <c r="G9" i="2" s="1"/>
  <c r="D7" i="2"/>
  <c r="D8" i="2"/>
  <c r="D9" i="2"/>
  <c r="D6" i="2"/>
  <c r="C7" i="2"/>
  <c r="C8" i="2"/>
  <c r="C9" i="2"/>
  <c r="AH7" i="4"/>
  <c r="AG4" i="4"/>
  <c r="F7" i="3" s="1"/>
  <c r="AG5" i="4"/>
  <c r="F8" i="3" s="1"/>
  <c r="AG6" i="4"/>
  <c r="F9" i="3" s="1"/>
  <c r="AG3" i="4"/>
  <c r="F6" i="3" s="1"/>
  <c r="AF4" i="4"/>
  <c r="E7" i="3" s="1"/>
  <c r="AF5" i="4"/>
  <c r="E8" i="3" s="1"/>
  <c r="AF6" i="4"/>
  <c r="E9" i="3" s="1"/>
  <c r="AF3" i="4"/>
  <c r="E6" i="3" s="1"/>
  <c r="AE7" i="4"/>
  <c r="AD7" i="4"/>
  <c r="Z4" i="4"/>
  <c r="M7" i="2" s="1"/>
  <c r="Z5" i="4"/>
  <c r="M8" i="2" s="1"/>
  <c r="Z6" i="4"/>
  <c r="M9" i="2" s="1"/>
  <c r="Z3" i="4"/>
  <c r="M6" i="2" s="1"/>
  <c r="Y7" i="4"/>
  <c r="X7" i="4"/>
  <c r="W7" i="4"/>
  <c r="T4" i="4"/>
  <c r="F7" i="2" s="1"/>
  <c r="T5" i="4"/>
  <c r="F8" i="2" s="1"/>
  <c r="T6" i="4"/>
  <c r="F9" i="2" s="1"/>
  <c r="S4" i="4"/>
  <c r="E7" i="2" s="1"/>
  <c r="S5" i="4"/>
  <c r="E8" i="2" s="1"/>
  <c r="S6" i="4"/>
  <c r="E9" i="2" s="1"/>
  <c r="O7" i="1"/>
  <c r="O8" i="1"/>
  <c r="O9" i="1"/>
  <c r="O6" i="1"/>
  <c r="N7" i="1"/>
  <c r="N8" i="1"/>
  <c r="N9" i="1"/>
  <c r="N6" i="1"/>
  <c r="I7" i="1"/>
  <c r="I8" i="1"/>
  <c r="I9" i="1"/>
  <c r="I6" i="1"/>
  <c r="H7" i="1"/>
  <c r="H8" i="1"/>
  <c r="H9" i="1"/>
  <c r="H6" i="1"/>
  <c r="K3" i="4"/>
  <c r="L6" i="1" s="1"/>
  <c r="C8" i="1"/>
  <c r="K4" i="4"/>
  <c r="L7" i="1" s="1"/>
  <c r="K5" i="4"/>
  <c r="L8" i="1" s="1"/>
  <c r="L9" i="1"/>
  <c r="C7" i="1"/>
  <c r="D8" i="1"/>
  <c r="D9" i="1"/>
  <c r="D6" i="1"/>
  <c r="C9" i="1"/>
  <c r="C6" i="1"/>
  <c r="AF3" i="1" l="1"/>
  <c r="U3" i="1"/>
  <c r="Z3" i="1"/>
  <c r="K3" i="3"/>
  <c r="O3" i="3"/>
  <c r="V3" i="2"/>
  <c r="Y3" i="1"/>
  <c r="AE3" i="1"/>
  <c r="U3" i="2"/>
  <c r="AJ5" i="15"/>
  <c r="I40" i="3" s="1"/>
  <c r="AJ6" i="15"/>
  <c r="I41" i="3" s="1"/>
  <c r="AJ4" i="15"/>
  <c r="I39" i="3" s="1"/>
  <c r="AJ3" i="15"/>
  <c r="I38" i="3" s="1"/>
  <c r="AI3" i="15"/>
  <c r="H38" i="3" s="1"/>
  <c r="AI4" i="15"/>
  <c r="H39" i="3" s="1"/>
  <c r="AI5" i="15"/>
  <c r="H40" i="3" s="1"/>
  <c r="AI6" i="15"/>
  <c r="H41" i="3" s="1"/>
  <c r="AJ3" i="17"/>
  <c r="I46" i="3" s="1"/>
  <c r="AJ5" i="17"/>
  <c r="I48" i="3" s="1"/>
  <c r="AJ4" i="17"/>
  <c r="I47" i="3" s="1"/>
  <c r="AJ6" i="17"/>
  <c r="I49" i="3" s="1"/>
  <c r="AI5" i="17"/>
  <c r="H48" i="3" s="1"/>
  <c r="AI6" i="17"/>
  <c r="H49" i="3" s="1"/>
  <c r="AI4" i="17"/>
  <c r="H47" i="3" s="1"/>
  <c r="AI3" i="17"/>
  <c r="H46" i="3" s="1"/>
  <c r="U5" i="17"/>
  <c r="J48" i="2" s="1"/>
  <c r="J4" i="11"/>
  <c r="K23" i="1" s="1"/>
  <c r="I4" i="15"/>
  <c r="J39" i="1" s="1"/>
  <c r="U4" i="14"/>
  <c r="J35" i="2" s="1"/>
  <c r="U6" i="9"/>
  <c r="J17" i="2" s="1"/>
  <c r="F7" i="9"/>
  <c r="J3" i="9"/>
  <c r="K14" i="1" s="1"/>
  <c r="I3" i="9"/>
  <c r="J14" i="1" s="1"/>
  <c r="AG7" i="10"/>
  <c r="AA7" i="16"/>
  <c r="U6" i="16"/>
  <c r="J45" i="2" s="1"/>
  <c r="U4" i="16"/>
  <c r="J43" i="2" s="1"/>
  <c r="U5" i="16"/>
  <c r="J44" i="2" s="1"/>
  <c r="J5" i="16"/>
  <c r="K44" i="1" s="1"/>
  <c r="F7" i="16"/>
  <c r="I4" i="16"/>
  <c r="J43" i="1" s="1"/>
  <c r="J4" i="16"/>
  <c r="K43" i="1" s="1"/>
  <c r="J6" i="16"/>
  <c r="K45" i="1" s="1"/>
  <c r="G42" i="1"/>
  <c r="J5" i="10"/>
  <c r="K20" i="1" s="1"/>
  <c r="AG7" i="9"/>
  <c r="AJ6" i="9"/>
  <c r="I17" i="3" s="1"/>
  <c r="AJ5" i="9"/>
  <c r="I16" i="3" s="1"/>
  <c r="AJ4" i="9"/>
  <c r="I15" i="3" s="1"/>
  <c r="AJ3" i="9"/>
  <c r="I14" i="3" s="1"/>
  <c r="F14" i="3"/>
  <c r="AI5" i="9"/>
  <c r="H16" i="3" s="1"/>
  <c r="AI4" i="9"/>
  <c r="H15" i="3" s="1"/>
  <c r="AI3" i="9"/>
  <c r="H14" i="3" s="1"/>
  <c r="AI6" i="9"/>
  <c r="H17" i="3" s="1"/>
  <c r="AA7" i="9"/>
  <c r="U4" i="9"/>
  <c r="J15" i="2" s="1"/>
  <c r="G14" i="2"/>
  <c r="V3" i="9"/>
  <c r="K14" i="2" s="1"/>
  <c r="U3" i="9"/>
  <c r="J14" i="2" s="1"/>
  <c r="G14" i="1"/>
  <c r="J5" i="9"/>
  <c r="K16" i="1" s="1"/>
  <c r="J4" i="9"/>
  <c r="K15" i="1" s="1"/>
  <c r="I4" i="9"/>
  <c r="J15" i="1" s="1"/>
  <c r="AG7" i="8"/>
  <c r="AJ5" i="8"/>
  <c r="I12" i="3" s="1"/>
  <c r="AJ3" i="8"/>
  <c r="I10" i="3" s="1"/>
  <c r="AJ6" i="8"/>
  <c r="I13" i="3" s="1"/>
  <c r="AJ4" i="8"/>
  <c r="I11" i="3" s="1"/>
  <c r="F10" i="3"/>
  <c r="AI4" i="8"/>
  <c r="H11" i="3" s="1"/>
  <c r="AI5" i="8"/>
  <c r="H12" i="3" s="1"/>
  <c r="AI6" i="8"/>
  <c r="H13" i="3" s="1"/>
  <c r="AI3" i="8"/>
  <c r="H10" i="3" s="1"/>
  <c r="AJ3" i="12"/>
  <c r="I26" i="3" s="1"/>
  <c r="AJ4" i="12"/>
  <c r="I27" i="3" s="1"/>
  <c r="AJ5" i="12"/>
  <c r="I28" i="3" s="1"/>
  <c r="AJ6" i="12"/>
  <c r="I29" i="3" s="1"/>
  <c r="AI4" i="12"/>
  <c r="H27" i="3" s="1"/>
  <c r="AI5" i="12"/>
  <c r="H28" i="3" s="1"/>
  <c r="AI6" i="12"/>
  <c r="H29" i="3" s="1"/>
  <c r="AI3" i="12"/>
  <c r="H26" i="3" s="1"/>
  <c r="AA7" i="8"/>
  <c r="V3" i="8"/>
  <c r="K10" i="2" s="1"/>
  <c r="U5" i="8"/>
  <c r="J12" i="2" s="1"/>
  <c r="G10" i="2"/>
  <c r="U4" i="8"/>
  <c r="J11" i="2" s="1"/>
  <c r="U3" i="8"/>
  <c r="J10" i="2" s="1"/>
  <c r="AG7" i="14"/>
  <c r="AJ4" i="14"/>
  <c r="I35" i="3" s="1"/>
  <c r="AJ6" i="14"/>
  <c r="I37" i="3" s="1"/>
  <c r="AJ5" i="14"/>
  <c r="I36" i="3" s="1"/>
  <c r="AJ3" i="14"/>
  <c r="I34" i="3" s="1"/>
  <c r="AI4" i="14"/>
  <c r="H35" i="3" s="1"/>
  <c r="AI5" i="14"/>
  <c r="H36" i="3" s="1"/>
  <c r="AI6" i="14"/>
  <c r="H37" i="3" s="1"/>
  <c r="AI3" i="14"/>
  <c r="H34" i="3" s="1"/>
  <c r="F34" i="3"/>
  <c r="AG7" i="6"/>
  <c r="U6" i="14"/>
  <c r="J37" i="2" s="1"/>
  <c r="AA7" i="14"/>
  <c r="U3" i="14"/>
  <c r="J34" i="2" s="1"/>
  <c r="V3" i="14"/>
  <c r="K34" i="2" s="1"/>
  <c r="V5" i="14"/>
  <c r="K36" i="2" s="1"/>
  <c r="J4" i="14"/>
  <c r="K35" i="1" s="1"/>
  <c r="J5" i="14"/>
  <c r="K36" i="1" s="1"/>
  <c r="J3" i="14"/>
  <c r="K34" i="1" s="1"/>
  <c r="F7" i="14"/>
  <c r="I4" i="14"/>
  <c r="J35" i="1" s="1"/>
  <c r="G34" i="1"/>
  <c r="U6" i="15"/>
  <c r="J41" i="2" s="1"/>
  <c r="AJ4" i="6"/>
  <c r="I3" i="3" s="1"/>
  <c r="AJ3" i="6"/>
  <c r="I2" i="3" s="1"/>
  <c r="AJ5" i="6"/>
  <c r="I4" i="3" s="1"/>
  <c r="AJ6" i="6"/>
  <c r="I5" i="3" s="1"/>
  <c r="AI4" i="6"/>
  <c r="H3" i="3" s="1"/>
  <c r="AI5" i="6"/>
  <c r="H4" i="3" s="1"/>
  <c r="AI6" i="6"/>
  <c r="H5" i="3" s="1"/>
  <c r="AI3" i="6"/>
  <c r="H2" i="3" s="1"/>
  <c r="F2" i="3"/>
  <c r="AG7" i="15"/>
  <c r="F38" i="3"/>
  <c r="AA7" i="15"/>
  <c r="U3" i="15"/>
  <c r="J38" i="2" s="1"/>
  <c r="U4" i="15"/>
  <c r="J39" i="2" s="1"/>
  <c r="G38" i="2"/>
  <c r="I3" i="15"/>
  <c r="J38" i="1" s="1"/>
  <c r="J5" i="15"/>
  <c r="K40" i="1" s="1"/>
  <c r="J6" i="15"/>
  <c r="K41" i="1" s="1"/>
  <c r="J3" i="15"/>
  <c r="K38" i="1" s="1"/>
  <c r="F7" i="15"/>
  <c r="I6" i="15"/>
  <c r="J41" i="1" s="1"/>
  <c r="AG7" i="11"/>
  <c r="AJ3" i="11"/>
  <c r="I22" i="3" s="1"/>
  <c r="AJ4" i="11"/>
  <c r="I23" i="3" s="1"/>
  <c r="AJ6" i="11"/>
  <c r="I25" i="3" s="1"/>
  <c r="AJ5" i="11"/>
  <c r="I24" i="3" s="1"/>
  <c r="AI6" i="11"/>
  <c r="H25" i="3" s="1"/>
  <c r="AI4" i="11"/>
  <c r="H23" i="3" s="1"/>
  <c r="AI3" i="11"/>
  <c r="H22" i="3" s="1"/>
  <c r="AI5" i="11"/>
  <c r="H24" i="3" s="1"/>
  <c r="F22" i="3"/>
  <c r="AJ3" i="13"/>
  <c r="I30" i="3" s="1"/>
  <c r="AJ4" i="13"/>
  <c r="I31" i="3" s="1"/>
  <c r="AJ6" i="13"/>
  <c r="I33" i="3" s="1"/>
  <c r="AJ5" i="13"/>
  <c r="I32" i="3" s="1"/>
  <c r="AG7" i="13"/>
  <c r="AI5" i="13"/>
  <c r="H32" i="3" s="1"/>
  <c r="AI6" i="13"/>
  <c r="H33" i="3" s="1"/>
  <c r="AI4" i="13"/>
  <c r="H31" i="3" s="1"/>
  <c r="AI3" i="13"/>
  <c r="H30" i="3" s="1"/>
  <c r="V4" i="13"/>
  <c r="K31" i="2" s="1"/>
  <c r="U4" i="13"/>
  <c r="J31" i="2" s="1"/>
  <c r="U3" i="13"/>
  <c r="J30" i="2" s="1"/>
  <c r="U5" i="13"/>
  <c r="J32" i="2" s="1"/>
  <c r="AA7" i="13"/>
  <c r="V3" i="13"/>
  <c r="K30" i="2" s="1"/>
  <c r="G30" i="2"/>
  <c r="U3" i="11"/>
  <c r="J22" i="2" s="1"/>
  <c r="AA7" i="11"/>
  <c r="U5" i="11"/>
  <c r="J24" i="2" s="1"/>
  <c r="G22" i="2"/>
  <c r="U4" i="11"/>
  <c r="J23" i="2" s="1"/>
  <c r="J5" i="11"/>
  <c r="K24" i="1" s="1"/>
  <c r="F7" i="11"/>
  <c r="I5" i="11"/>
  <c r="J24" i="1" s="1"/>
  <c r="I3" i="11"/>
  <c r="J22" i="1" s="1"/>
  <c r="I6" i="11"/>
  <c r="J25" i="1" s="1"/>
  <c r="G22" i="1"/>
  <c r="V4" i="12"/>
  <c r="K27" i="2" s="1"/>
  <c r="U5" i="12"/>
  <c r="J28" i="2" s="1"/>
  <c r="U4" i="12"/>
  <c r="J27" i="2" s="1"/>
  <c r="I4" i="17"/>
  <c r="J47" i="1" s="1"/>
  <c r="AG7" i="17"/>
  <c r="F46" i="3"/>
  <c r="AG7" i="12"/>
  <c r="F26" i="3"/>
  <c r="U3" i="12"/>
  <c r="J26" i="2" s="1"/>
  <c r="AA7" i="12"/>
  <c r="V5" i="12"/>
  <c r="K28" i="2" s="1"/>
  <c r="V3" i="12"/>
  <c r="K26" i="2" s="1"/>
  <c r="G26" i="2"/>
  <c r="AA7" i="17"/>
  <c r="V3" i="17"/>
  <c r="K46" i="2" s="1"/>
  <c r="U3" i="17"/>
  <c r="J46" i="2" s="1"/>
  <c r="U4" i="17"/>
  <c r="J47" i="2" s="1"/>
  <c r="G46" i="2"/>
  <c r="F7" i="17"/>
  <c r="J4" i="17"/>
  <c r="K47" i="1" s="1"/>
  <c r="J6" i="17"/>
  <c r="K49" i="1" s="1"/>
  <c r="G46" i="1"/>
  <c r="J3" i="17"/>
  <c r="K46" i="1" s="1"/>
  <c r="I3" i="17"/>
  <c r="J46" i="1" s="1"/>
  <c r="F7" i="12"/>
  <c r="J3" i="12"/>
  <c r="K26" i="1" s="1"/>
  <c r="J4" i="12"/>
  <c r="K27" i="1" s="1"/>
  <c r="I5" i="12"/>
  <c r="J28" i="1" s="1"/>
  <c r="J6" i="12"/>
  <c r="K29" i="1" s="1"/>
  <c r="G26" i="1"/>
  <c r="I3" i="12"/>
  <c r="J26" i="1" s="1"/>
  <c r="I4" i="12"/>
  <c r="J27" i="1" s="1"/>
  <c r="AJ5" i="4"/>
  <c r="I8" i="3" s="1"/>
  <c r="AJ4" i="4"/>
  <c r="I7" i="3" s="1"/>
  <c r="AJ6" i="4"/>
  <c r="I9" i="3" s="1"/>
  <c r="AJ3" i="4"/>
  <c r="I6" i="3" s="1"/>
  <c r="AI3" i="4"/>
  <c r="H6" i="3" s="1"/>
  <c r="AI6" i="4"/>
  <c r="H9" i="3" s="1"/>
  <c r="AI4" i="4"/>
  <c r="H7" i="3" s="1"/>
  <c r="AI5" i="4"/>
  <c r="H8" i="3" s="1"/>
  <c r="F18" i="3"/>
  <c r="AJ5" i="10"/>
  <c r="I20" i="3" s="1"/>
  <c r="AJ4" i="10"/>
  <c r="I19" i="3" s="1"/>
  <c r="AJ3" i="10"/>
  <c r="I18" i="3" s="1"/>
  <c r="AJ6" i="10"/>
  <c r="I21" i="3" s="1"/>
  <c r="AI4" i="10"/>
  <c r="H19" i="3" s="1"/>
  <c r="AI3" i="10"/>
  <c r="H18" i="3" s="1"/>
  <c r="AI5" i="10"/>
  <c r="H20" i="3" s="1"/>
  <c r="I4" i="10"/>
  <c r="J19" i="1" s="1"/>
  <c r="J4" i="10"/>
  <c r="K19" i="1" s="1"/>
  <c r="J3" i="10"/>
  <c r="K18" i="1" s="1"/>
  <c r="F7" i="10"/>
  <c r="I5" i="10"/>
  <c r="J20" i="1" s="1"/>
  <c r="I6" i="10"/>
  <c r="J21" i="1" s="1"/>
  <c r="G18" i="1"/>
  <c r="AI3" i="16"/>
  <c r="H42" i="3" s="1"/>
  <c r="AI6" i="16"/>
  <c r="H45" i="3" s="1"/>
  <c r="AI5" i="16"/>
  <c r="H44" i="3" s="1"/>
  <c r="AG4" i="16"/>
  <c r="F43" i="3" s="1"/>
  <c r="AE7" i="16"/>
  <c r="AG3" i="16"/>
  <c r="AF3" i="16"/>
  <c r="E42" i="3" s="1"/>
  <c r="M3" i="3" s="1"/>
  <c r="V3" i="10"/>
  <c r="K18" i="2" s="1"/>
  <c r="I3" i="13"/>
  <c r="J30" i="1" s="1"/>
  <c r="F7" i="13"/>
  <c r="L3" i="13"/>
  <c r="M30" i="1" s="1"/>
  <c r="C7" i="13"/>
  <c r="I5" i="13"/>
  <c r="J32" i="1" s="1"/>
  <c r="I6" i="13"/>
  <c r="J33" i="1" s="1"/>
  <c r="G30" i="1"/>
  <c r="V4" i="17"/>
  <c r="K47" i="2" s="1"/>
  <c r="V5" i="17"/>
  <c r="K48" i="2" s="1"/>
  <c r="I5" i="17"/>
  <c r="J48" i="1" s="1"/>
  <c r="V5" i="16"/>
  <c r="K44" i="2" s="1"/>
  <c r="I5" i="16"/>
  <c r="J44" i="1" s="1"/>
  <c r="V6" i="16"/>
  <c r="K45" i="2" s="1"/>
  <c r="V3" i="15"/>
  <c r="K38" i="2" s="1"/>
  <c r="V4" i="15"/>
  <c r="K39" i="2" s="1"/>
  <c r="V5" i="15"/>
  <c r="K40" i="2" s="1"/>
  <c r="I3" i="14"/>
  <c r="J34" i="1" s="1"/>
  <c r="V4" i="14"/>
  <c r="K35" i="2" s="1"/>
  <c r="I5" i="14"/>
  <c r="J36" i="1" s="1"/>
  <c r="V5" i="13"/>
  <c r="K32" i="2" s="1"/>
  <c r="V4" i="11"/>
  <c r="K23" i="2" s="1"/>
  <c r="V3" i="11"/>
  <c r="K22" i="2" s="1"/>
  <c r="J3" i="11"/>
  <c r="K22" i="1" s="1"/>
  <c r="V5" i="11"/>
  <c r="K24" i="2" s="1"/>
  <c r="U3" i="10"/>
  <c r="J18" i="2" s="1"/>
  <c r="U6" i="10"/>
  <c r="J21" i="2" s="1"/>
  <c r="U4" i="10"/>
  <c r="J19" i="2" s="1"/>
  <c r="G18" i="2"/>
  <c r="V5" i="10"/>
  <c r="K20" i="2" s="1"/>
  <c r="V4" i="10"/>
  <c r="K19" i="2" s="1"/>
  <c r="I5" i="9"/>
  <c r="J16" i="1" s="1"/>
  <c r="V6" i="9"/>
  <c r="K17" i="2" s="1"/>
  <c r="V5" i="9"/>
  <c r="K16" i="2" s="1"/>
  <c r="I6" i="8"/>
  <c r="J13" i="1" s="1"/>
  <c r="I5" i="8"/>
  <c r="J12" i="1" s="1"/>
  <c r="I4" i="8"/>
  <c r="J11" i="1" s="1"/>
  <c r="J6" i="8"/>
  <c r="K13" i="1" s="1"/>
  <c r="J5" i="8"/>
  <c r="K12" i="1" s="1"/>
  <c r="J4" i="8"/>
  <c r="K11" i="1" s="1"/>
  <c r="F3" i="8"/>
  <c r="E3" i="8"/>
  <c r="F10" i="1" s="1"/>
  <c r="J3" i="8"/>
  <c r="K10" i="1" s="1"/>
  <c r="D3" i="8"/>
  <c r="E10" i="1" s="1"/>
  <c r="V4" i="8"/>
  <c r="K11" i="2" s="1"/>
  <c r="V5" i="8"/>
  <c r="K12" i="2" s="1"/>
  <c r="V3" i="6"/>
  <c r="K2" i="2" s="1"/>
  <c r="D2" i="2"/>
  <c r="AA3" i="6"/>
  <c r="G2" i="2" s="1"/>
  <c r="Z3" i="6"/>
  <c r="M2" i="2" s="1"/>
  <c r="Z3" i="2" s="1"/>
  <c r="S3" i="6"/>
  <c r="E2" i="2" s="1"/>
  <c r="R3" i="2" s="1"/>
  <c r="Q7" i="6"/>
  <c r="T3" i="6"/>
  <c r="F2" i="2" s="1"/>
  <c r="F5" i="6"/>
  <c r="G4" i="1" s="1"/>
  <c r="D5" i="6"/>
  <c r="E4" i="1" s="1"/>
  <c r="K5" i="6"/>
  <c r="L4" i="1" s="1"/>
  <c r="AC3" i="1" s="1"/>
  <c r="C4" i="1"/>
  <c r="E5" i="6"/>
  <c r="F4" i="1" s="1"/>
  <c r="M2" i="1"/>
  <c r="C2" i="1"/>
  <c r="T3" i="1" s="1"/>
  <c r="B7" i="6"/>
  <c r="D3" i="6"/>
  <c r="E2" i="1" s="1"/>
  <c r="E3" i="6"/>
  <c r="F2" i="1" s="1"/>
  <c r="F3" i="6"/>
  <c r="J5" i="6"/>
  <c r="K4" i="1" s="1"/>
  <c r="J3" i="6"/>
  <c r="K2" i="1" s="1"/>
  <c r="J4" i="6"/>
  <c r="K3" i="1" s="1"/>
  <c r="V4" i="6"/>
  <c r="K3" i="2" s="1"/>
  <c r="V5" i="6"/>
  <c r="K4" i="2" s="1"/>
  <c r="C6" i="2"/>
  <c r="P3" i="2" s="1"/>
  <c r="T3" i="4"/>
  <c r="F6" i="2" s="1"/>
  <c r="AA3" i="4"/>
  <c r="G6" i="2" s="1"/>
  <c r="R7" i="4"/>
  <c r="V4" i="4" s="1"/>
  <c r="K7" i="2" s="1"/>
  <c r="U4" i="4"/>
  <c r="J7" i="2" s="1"/>
  <c r="U6" i="4"/>
  <c r="J9" i="2" s="1"/>
  <c r="U3" i="4"/>
  <c r="J6" i="2" s="1"/>
  <c r="H7" i="4"/>
  <c r="G7" i="4"/>
  <c r="M6" i="1"/>
  <c r="C7" i="4"/>
  <c r="J4" i="4" s="1"/>
  <c r="K7" i="1" s="1"/>
  <c r="F5" i="4"/>
  <c r="G8" i="1" s="1"/>
  <c r="F6" i="4"/>
  <c r="G9" i="1" s="1"/>
  <c r="F3" i="4"/>
  <c r="E5" i="4"/>
  <c r="F8" i="1" s="1"/>
  <c r="E6" i="4"/>
  <c r="F9" i="1" s="1"/>
  <c r="E3" i="4"/>
  <c r="F6" i="1" s="1"/>
  <c r="D5" i="4"/>
  <c r="E8" i="1" s="1"/>
  <c r="T3" i="2" l="1"/>
  <c r="S3" i="2"/>
  <c r="AD3" i="1"/>
  <c r="P3" i="3"/>
  <c r="N3" i="3"/>
  <c r="AG7" i="16"/>
  <c r="F7" i="8"/>
  <c r="G10" i="1"/>
  <c r="F7" i="6"/>
  <c r="AA7" i="6"/>
  <c r="V6" i="4"/>
  <c r="K9" i="2" s="1"/>
  <c r="V3" i="4"/>
  <c r="K6" i="2" s="1"/>
  <c r="V5" i="4"/>
  <c r="K8" i="2" s="1"/>
  <c r="X3" i="2" s="1"/>
  <c r="AJ6" i="16"/>
  <c r="I45" i="3" s="1"/>
  <c r="AJ5" i="16"/>
  <c r="I44" i="3" s="1"/>
  <c r="AJ4" i="16"/>
  <c r="I43" i="3" s="1"/>
  <c r="AJ3" i="16"/>
  <c r="I42" i="3" s="1"/>
  <c r="Q3" i="3" s="1"/>
  <c r="F42" i="3"/>
  <c r="J5" i="13"/>
  <c r="K32" i="1" s="1"/>
  <c r="J4" i="13"/>
  <c r="K31" i="1" s="1"/>
  <c r="J6" i="13"/>
  <c r="K33" i="1" s="1"/>
  <c r="J3" i="13"/>
  <c r="K30" i="1" s="1"/>
  <c r="U5" i="6"/>
  <c r="J4" i="2" s="1"/>
  <c r="U4" i="6"/>
  <c r="J3" i="2" s="1"/>
  <c r="U3" i="6"/>
  <c r="J2" i="2" s="1"/>
  <c r="U6" i="6"/>
  <c r="J5" i="2" s="1"/>
  <c r="I3" i="6"/>
  <c r="J2" i="1" s="1"/>
  <c r="I4" i="6"/>
  <c r="J3" i="1" s="1"/>
  <c r="I6" i="6"/>
  <c r="J5" i="1" s="1"/>
  <c r="I5" i="6"/>
  <c r="J4" i="1" s="1"/>
  <c r="G2" i="1"/>
  <c r="AA7" i="4"/>
  <c r="G6" i="1"/>
  <c r="J6" i="4"/>
  <c r="K9" i="1" s="1"/>
  <c r="J3" i="4"/>
  <c r="K6" i="1" s="1"/>
  <c r="AB3" i="1" s="1"/>
  <c r="J5" i="4"/>
  <c r="K8" i="1" s="1"/>
  <c r="E4" i="4"/>
  <c r="F7" i="1" s="1"/>
  <c r="W3" i="1" s="1"/>
  <c r="F4" i="4"/>
  <c r="G7" i="1" s="1"/>
  <c r="D3" i="4"/>
  <c r="E6" i="1" s="1"/>
  <c r="V3" i="1" s="1"/>
  <c r="D6" i="4"/>
  <c r="E9" i="1" s="1"/>
  <c r="D4" i="4"/>
  <c r="E7" i="1" s="1"/>
  <c r="B7" i="4"/>
  <c r="W3" i="2" l="1"/>
  <c r="X3" i="1"/>
  <c r="F7" i="4"/>
  <c r="I4" i="4"/>
  <c r="J7" i="1" s="1"/>
  <c r="I5" i="4"/>
  <c r="J8" i="1" s="1"/>
  <c r="I6" i="4"/>
  <c r="J9" i="1" s="1"/>
  <c r="I3" i="4"/>
  <c r="J6" i="1" s="1"/>
  <c r="AA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079B10-BE66-45DF-A06A-04513CBCB0A9}" name="Query - Overall Control" description="Connection to the 'Overall Control' query in the workbook." type="100" refreshedVersion="8" minRefreshableVersion="5">
    <extLst>
      <ext xmlns:x15="http://schemas.microsoft.com/office/spreadsheetml/2010/11/main" uri="{DE250136-89BD-433C-8126-D09CA5730AF9}">
        <x15:connection id="eb1046f7-95bf-4c3a-90e7-6c328759aa54"/>
      </ext>
    </extLst>
  </connection>
  <connection id="2" xr16:uid="{54EB4D5D-2C22-4904-862A-D034F7CEC9B9}" name="Query - Overall HP" description="Connection to the 'Overall HP' query in the workbook." type="100" refreshedVersion="8" minRefreshableVersion="5">
    <extLst>
      <ext xmlns:x15="http://schemas.microsoft.com/office/spreadsheetml/2010/11/main" uri="{DE250136-89BD-433C-8126-D09CA5730AF9}">
        <x15:connection id="021c7cac-e4a5-4f85-9a3e-854dd1daf7a2"/>
      </ext>
    </extLst>
  </connection>
  <connection id="3" xr16:uid="{76A70695-38F2-4551-8761-B06F33F0BA32}" name="Query - Overall SND" description="Connection to the 'Overall SND' query in the workbook." type="100" refreshedVersion="8" minRefreshableVersion="5">
    <extLst>
      <ext xmlns:x15="http://schemas.microsoft.com/office/spreadsheetml/2010/11/main" uri="{DE250136-89BD-433C-8126-D09CA5730AF9}">
        <x15:connection id="0b64ab7b-2cd8-4901-a351-e54ac0cca170"/>
      </ext>
    </extLst>
  </connection>
  <connection id="4" xr16:uid="{A379C402-7FAA-41C4-996B-C9D684ADE7BF}" keepAlive="1" name="ThisWorkbookDataModel" description="Data Model" type="5" refreshedVersion="8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<sst xmlns="http://schemas.openxmlformats.org/spreadsheetml/2006/main" count="1023" uniqueCount="93">
  <si>
    <t>Beans</t>
  </si>
  <si>
    <t>Breach</t>
  </si>
  <si>
    <t>Vivid</t>
  </si>
  <si>
    <t>Owakening</t>
  </si>
  <si>
    <t>Kremp</t>
  </si>
  <si>
    <t>Abezy</t>
  </si>
  <si>
    <t>Faze</t>
  </si>
  <si>
    <t>Cellium</t>
  </si>
  <si>
    <t>Slasher</t>
  </si>
  <si>
    <t>Simp</t>
  </si>
  <si>
    <t>Exceed</t>
  </si>
  <si>
    <t>LAG</t>
  </si>
  <si>
    <t>JoeDeceives</t>
  </si>
  <si>
    <t>Arcitys</t>
  </si>
  <si>
    <t>Assault</t>
  </si>
  <si>
    <t>Envoy</t>
  </si>
  <si>
    <t>LAT</t>
  </si>
  <si>
    <t>Octane</t>
  </si>
  <si>
    <t>Drazah</t>
  </si>
  <si>
    <t>Kenny</t>
  </si>
  <si>
    <t>TJ</t>
  </si>
  <si>
    <t>Legion</t>
  </si>
  <si>
    <t>Clayster</t>
  </si>
  <si>
    <t>Temp</t>
  </si>
  <si>
    <t>Standy</t>
  </si>
  <si>
    <t>Vikul</t>
  </si>
  <si>
    <t>Mutineers</t>
  </si>
  <si>
    <t>Capsidal</t>
  </si>
  <si>
    <t>Felo</t>
  </si>
  <si>
    <t>Brack</t>
  </si>
  <si>
    <t>Hydra</t>
  </si>
  <si>
    <t>NYSL</t>
  </si>
  <si>
    <t>Kismet</t>
  </si>
  <si>
    <t>Priestahh</t>
  </si>
  <si>
    <t>Skyz</t>
  </si>
  <si>
    <t>Dashy</t>
  </si>
  <si>
    <t>Optic</t>
  </si>
  <si>
    <t>Shotzzy</t>
  </si>
  <si>
    <t>Huke</t>
  </si>
  <si>
    <t>Ghosty</t>
  </si>
  <si>
    <t>Nastie</t>
  </si>
  <si>
    <t>Ravens</t>
  </si>
  <si>
    <t>Uli</t>
  </si>
  <si>
    <t>Asim</t>
  </si>
  <si>
    <t>Skrapz</t>
  </si>
  <si>
    <t>Rokkr</t>
  </si>
  <si>
    <t>Bance</t>
  </si>
  <si>
    <t>Fame</t>
  </si>
  <si>
    <t>Cammy</t>
  </si>
  <si>
    <t>Accuracy</t>
  </si>
  <si>
    <t>Surge</t>
  </si>
  <si>
    <t>Pred</t>
  </si>
  <si>
    <t>Sib</t>
  </si>
  <si>
    <t>Mack</t>
  </si>
  <si>
    <t>Scrap</t>
  </si>
  <si>
    <t>Ultra</t>
  </si>
  <si>
    <t>Cleanx</t>
  </si>
  <si>
    <t>Insight</t>
  </si>
  <si>
    <t>Hicksy</t>
  </si>
  <si>
    <t>Player</t>
  </si>
  <si>
    <t>Team</t>
  </si>
  <si>
    <t>Kills</t>
  </si>
  <si>
    <t>Deaths</t>
  </si>
  <si>
    <t>KD</t>
  </si>
  <si>
    <t>(+/-)</t>
  </si>
  <si>
    <t>Avg Kills</t>
  </si>
  <si>
    <t>Avg Deaths</t>
  </si>
  <si>
    <t>Engagements</t>
  </si>
  <si>
    <t>OBJ Kills</t>
  </si>
  <si>
    <t xml:space="preserve">Untraded Kills </t>
  </si>
  <si>
    <t xml:space="preserve">(+/-) </t>
  </si>
  <si>
    <t>%  Kills</t>
  </si>
  <si>
    <t>%  Deaths</t>
  </si>
  <si>
    <t>% Deaths</t>
  </si>
  <si>
    <t>Plants</t>
  </si>
  <si>
    <t>Kills/Round</t>
  </si>
  <si>
    <t>Teams</t>
  </si>
  <si>
    <t>% Kills</t>
  </si>
  <si>
    <t>Hardpoint</t>
  </si>
  <si>
    <t>Total</t>
  </si>
  <si>
    <t>Maps Played</t>
  </si>
  <si>
    <t>Hill Time</t>
  </si>
  <si>
    <t>Damage</t>
  </si>
  <si>
    <t>SND</t>
  </si>
  <si>
    <t>First Bloods</t>
  </si>
  <si>
    <t>First Deaths</t>
  </si>
  <si>
    <t>Rounds Played</t>
  </si>
  <si>
    <t>Control</t>
  </si>
  <si>
    <t>Attach</t>
  </si>
  <si>
    <t>Need FL Vs Rokkr</t>
  </si>
  <si>
    <t>Maps</t>
  </si>
  <si>
    <t>Averages</t>
  </si>
  <si>
    <t>Untraded 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</si>
</sst>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4" fillId="14" borderId="15" applyNumberFormat="0" applyFont="0" applyAlignment="0" applyProtection="0"/>
    <xf numFmtId="0" fontId="6" fillId="15" borderId="0" applyNumberFormat="0" applyBorder="0" applyAlignment="0" applyProtection="0"/>
    <xf numFmtId="44" fontId="4" fillId="0" borderId="0" applyFont="0" applyFill="0" applyBorder="0" applyAlignment="0" applyProtection="0"/>
  </cellStyleXfs>
  <cellXfs count="1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10" borderId="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1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2" fontId="0" fillId="0" borderId="2" xfId="0" applyNumberFormat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0" fillId="0" borderId="11" xfId="0" applyBorder="1"/>
    <xf numFmtId="0" fontId="2" fillId="0" borderId="1" xfId="0" applyFont="1" applyBorder="1"/>
    <xf numFmtId="0" fontId="0" fillId="0" borderId="10" xfId="0" applyBorder="1"/>
    <xf numFmtId="0" fontId="2" fillId="4" borderId="5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0" fillId="0" borderId="12" xfId="0" applyBorder="1"/>
    <xf numFmtId="0" fontId="2" fillId="7" borderId="5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0" xfId="0" applyFont="1" applyBorder="1"/>
    <xf numFmtId="164" fontId="0" fillId="0" borderId="0" xfId="1" applyNumberFormat="1" applyFont="1" applyAlignment="1">
      <alignment horizontal="left"/>
    </xf>
    <xf numFmtId="164" fontId="0" fillId="0" borderId="2" xfId="1" applyNumberFormat="1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12" xfId="0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18" xfId="0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2" fontId="6" fillId="15" borderId="18" xfId="3" applyNumberFormat="1" applyBorder="1" applyAlignment="1">
      <alignment horizontal="center"/>
    </xf>
    <xf numFmtId="0" fontId="0" fillId="10" borderId="19" xfId="0" applyFill="1" applyBorder="1" applyAlignment="1">
      <alignment horizontal="center"/>
    </xf>
    <xf numFmtId="164" fontId="0" fillId="0" borderId="19" xfId="1" applyNumberFormat="1" applyFont="1" applyBorder="1" applyAlignment="1">
      <alignment horizontal="center"/>
    </xf>
    <xf numFmtId="44" fontId="0" fillId="0" borderId="0" xfId="4" applyFont="1"/>
    <xf numFmtId="0" fontId="7" fillId="0" borderId="0" xfId="0" applyFont="1" applyAlignment="1">
      <alignment horizontal="center"/>
    </xf>
    <xf numFmtId="0" fontId="7" fillId="0" borderId="0" xfId="0" applyFont="1"/>
    <xf numFmtId="0" fontId="7" fillId="1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6" xfId="0" applyBorder="1"/>
    <xf numFmtId="0" fontId="8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14" borderId="15" xfId="2" applyFont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13" borderId="5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7" fillId="10" borderId="9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164" fontId="0" fillId="0" borderId="22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Currency" xfId="4" builtinId="4"/>
    <cellStyle name="Neutral" xfId="3" builtinId="28"/>
    <cellStyle name="Normal" xfId="0" builtinId="0"/>
    <cellStyle name="Note" xfId="2" builtinId="10"/>
    <cellStyle name="Percent" xfId="1" builtinId="5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66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FF"/>
      <color rgb="FFFF6600"/>
      <color rgb="FF00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C0C1F-A365-4F33-98D8-9AEAF7F6E9D4}" name="Table1" displayName="Table1" ref="A1:P49" totalsRowShown="0" headerRowDxfId="0" headerRowBorderDxfId="18" tableBorderDxfId="19" totalsRowBorderDxfId="17">
  <autoFilter ref="A1:P49" xr:uid="{690C0C1F-A365-4F33-98D8-9AEAF7F6E9D4}"/>
  <tableColumns count="16">
    <tableColumn id="1" xr3:uid="{EB7A7847-65BE-4A9C-964E-8085066D5778}" name="Player" dataDxfId="16"/>
    <tableColumn id="2" xr3:uid="{BDFADB4A-A203-4338-AE1C-9D8A82CC1A04}" name="Team" dataDxfId="15"/>
    <tableColumn id="3" xr3:uid="{78D44407-D892-4AC7-90E8-CE0E4A50BEDD}" name="Kills" dataDxfId="14"/>
    <tableColumn id="4" xr3:uid="{298A958F-4DE1-4F60-B7A2-0C5593843AB4}" name="Deaths" dataDxfId="13"/>
    <tableColumn id="5" xr3:uid="{37FD682F-64F4-40B3-9DF6-C19DAF0151A7}" name="KD" dataDxfId="12"/>
    <tableColumn id="6" xr3:uid="{8FA89F1B-F52D-444C-9DD3-0322DCEF059F}" name="(+/-)" dataDxfId="11"/>
    <tableColumn id="7" xr3:uid="{4D45D05F-91FE-45B8-B918-EBB29947E59A}" name="Engagements" dataDxfId="10"/>
    <tableColumn id="8" xr3:uid="{0D259AD2-7211-4EC9-A618-43C9C55CA8D6}" name="OBJ Kills" dataDxfId="9"/>
    <tableColumn id="9" xr3:uid="{6C5E8CA5-BF4B-4DDD-B3BE-91B3481F4CF7}" name="Untraded Kills " dataDxfId="8"/>
    <tableColumn id="10" xr3:uid="{A976530C-9861-4EA8-A0A8-3B82A204924F}" name="%  Kills" dataDxfId="7" dataCellStyle="Percent"/>
    <tableColumn id="11" xr3:uid="{9673E121-D5C7-449E-B292-ADE70CD72E87}" name="% Deaths" dataDxfId="6" dataCellStyle="Percent"/>
    <tableColumn id="12" xr3:uid="{09E7415A-2159-49BA-9F50-50D214362855}" name="Avg Kills" dataDxfId="5"/>
    <tableColumn id="13" xr3:uid="{BBA394FF-93F5-4B7F-BCFF-2EFC6EE1242A}" name="Avg Deaths" dataDxfId="4"/>
    <tableColumn id="14" xr3:uid="{09F6CE0C-0650-41EF-A237-45C3A8FEC513}" name="Hill Time" dataDxfId="3"/>
    <tableColumn id="15" xr3:uid="{2E541FB6-1D3D-45C1-89EB-A16DFFE32D07}" name="Damage" dataDxfId="2"/>
    <tableColumn id="16" xr3:uid="{41130141-9C48-45E0-8897-FCB2DD537F67}" name="Maps" dataDxfId="1">
      <calculatedColumnFormula>'Ultra Stats'!$B$8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CCFF"/>
  </sheetPr>
  <dimension ref="A1:AG51"/>
  <sheetViews>
    <sheetView tabSelected="1" zoomScaleNormal="100" workbookViewId="0">
      <pane ySplit="1" topLeftCell="A2" activePane="bottomLeft" state="frozen"/>
      <selection activeCell="W29" sqref="W29"/>
      <selection pane="bottomLeft"/>
    </sheetView>
  </sheetViews>
  <sheetFormatPr defaultRowHeight="15" x14ac:dyDescent="0.25"/>
  <cols>
    <col min="1" max="1" width="12" bestFit="1" customWidth="1"/>
    <col min="2" max="2" width="10.28515625" bestFit="1" customWidth="1"/>
    <col min="4" max="4" width="9.28515625" customWidth="1"/>
    <col min="7" max="7" width="15" customWidth="1"/>
    <col min="8" max="8" width="10.5703125" customWidth="1"/>
    <col min="9" max="9" width="16.140625" customWidth="1"/>
    <col min="10" max="10" width="9.28515625" customWidth="1"/>
    <col min="11" max="11" width="11.42578125" bestFit="1" customWidth="1"/>
    <col min="12" max="12" width="10.5703125" customWidth="1"/>
    <col min="13" max="13" width="13" customWidth="1"/>
    <col min="14" max="14" width="11" customWidth="1"/>
    <col min="15" max="15" width="10.28515625" customWidth="1"/>
    <col min="24" max="24" width="12.85546875" bestFit="1" customWidth="1"/>
    <col min="26" max="26" width="13.5703125" bestFit="1" customWidth="1"/>
    <col min="30" max="30" width="10.85546875" bestFit="1" customWidth="1"/>
    <col min="31" max="31" width="9.5703125" bestFit="1" customWidth="1"/>
  </cols>
  <sheetData>
    <row r="1" spans="1:33" ht="18.75" x14ac:dyDescent="0.3">
      <c r="A1" s="141" t="s">
        <v>59</v>
      </c>
      <c r="B1" s="142" t="s">
        <v>60</v>
      </c>
      <c r="C1" s="142" t="s">
        <v>61</v>
      </c>
      <c r="D1" s="142" t="s">
        <v>62</v>
      </c>
      <c r="E1" s="142" t="s">
        <v>63</v>
      </c>
      <c r="F1" s="142" t="s">
        <v>64</v>
      </c>
      <c r="G1" s="142" t="s">
        <v>67</v>
      </c>
      <c r="H1" s="142" t="s">
        <v>68</v>
      </c>
      <c r="I1" s="142" t="s">
        <v>69</v>
      </c>
      <c r="J1" s="142" t="s">
        <v>71</v>
      </c>
      <c r="K1" s="142" t="s">
        <v>73</v>
      </c>
      <c r="L1" s="142" t="s">
        <v>65</v>
      </c>
      <c r="M1" s="142" t="s">
        <v>66</v>
      </c>
      <c r="N1" s="142" t="s">
        <v>81</v>
      </c>
      <c r="O1" s="142" t="s">
        <v>82</v>
      </c>
      <c r="P1" s="143" t="s">
        <v>90</v>
      </c>
      <c r="T1" s="79" t="s">
        <v>91</v>
      </c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</row>
    <row r="2" spans="1:33" x14ac:dyDescent="0.25">
      <c r="A2" s="138" t="s">
        <v>0</v>
      </c>
      <c r="B2" s="56" t="s">
        <v>1</v>
      </c>
      <c r="C2" s="55">
        <f>'Breach Stats'!B3</f>
        <v>93</v>
      </c>
      <c r="D2" s="55">
        <f>'Breach Stats'!C3</f>
        <v>96</v>
      </c>
      <c r="E2" s="57">
        <f>'Breach Stats'!D3</f>
        <v>0.96875</v>
      </c>
      <c r="F2" s="55">
        <f>'Breach Stats'!E3</f>
        <v>-3</v>
      </c>
      <c r="G2" s="55">
        <f>'Breach Stats'!F3</f>
        <v>189</v>
      </c>
      <c r="H2" s="55">
        <f>'Breach Stats'!G3</f>
        <v>21</v>
      </c>
      <c r="I2" s="55">
        <f>'Breach Stats'!H3</f>
        <v>56</v>
      </c>
      <c r="J2" s="58">
        <f>'Breach Stats'!I3</f>
        <v>0.25479452054794521</v>
      </c>
      <c r="K2" s="58">
        <f>'Breach Stats'!J3</f>
        <v>0.23244552058111381</v>
      </c>
      <c r="L2" s="57">
        <f>'Breach Stats'!K3</f>
        <v>23.25</v>
      </c>
      <c r="M2" s="57">
        <f>'Breach Stats'!L3</f>
        <v>24</v>
      </c>
      <c r="N2" s="55">
        <f>'Breach Stats'!N3</f>
        <v>215</v>
      </c>
      <c r="O2" s="55">
        <f>'Breach Stats'!M3</f>
        <v>11460</v>
      </c>
      <c r="P2" s="140">
        <f>'Breach Stats'!$B$8</f>
        <v>4</v>
      </c>
      <c r="T2" s="73" t="s">
        <v>61</v>
      </c>
      <c r="U2" s="73" t="s">
        <v>62</v>
      </c>
      <c r="V2" s="73" t="s">
        <v>63</v>
      </c>
      <c r="W2" s="73" t="s">
        <v>64</v>
      </c>
      <c r="X2" s="73" t="s">
        <v>67</v>
      </c>
      <c r="Y2" s="73" t="s">
        <v>68</v>
      </c>
      <c r="Z2" s="73" t="s">
        <v>92</v>
      </c>
      <c r="AA2" s="73" t="s">
        <v>77</v>
      </c>
      <c r="AB2" s="73" t="s">
        <v>73</v>
      </c>
      <c r="AC2" s="73" t="s">
        <v>65</v>
      </c>
      <c r="AD2" s="73" t="s">
        <v>66</v>
      </c>
      <c r="AE2" s="73" t="s">
        <v>81</v>
      </c>
      <c r="AF2" s="73" t="s">
        <v>82</v>
      </c>
      <c r="AG2" s="73" t="s">
        <v>90</v>
      </c>
    </row>
    <row r="3" spans="1:33" x14ac:dyDescent="0.25">
      <c r="A3" s="138" t="s">
        <v>2</v>
      </c>
      <c r="B3" s="56" t="s">
        <v>1</v>
      </c>
      <c r="C3" s="55">
        <f>'Breach Stats'!B4</f>
        <v>98</v>
      </c>
      <c r="D3" s="55">
        <f>'Breach Stats'!C4</f>
        <v>125</v>
      </c>
      <c r="E3" s="57">
        <f>'Breach Stats'!D4</f>
        <v>0.78400000000000003</v>
      </c>
      <c r="F3" s="55">
        <f>'Breach Stats'!E4</f>
        <v>-27</v>
      </c>
      <c r="G3" s="55">
        <f>'Breach Stats'!F4</f>
        <v>223</v>
      </c>
      <c r="H3" s="55">
        <f>'Breach Stats'!G4</f>
        <v>29</v>
      </c>
      <c r="I3" s="55">
        <f>'Breach Stats'!H4</f>
        <v>64</v>
      </c>
      <c r="J3" s="58">
        <f>'Breach Stats'!I4</f>
        <v>0.26849315068493151</v>
      </c>
      <c r="K3" s="58">
        <f>'Breach Stats'!J4</f>
        <v>0.30266343825665859</v>
      </c>
      <c r="L3" s="55">
        <f>'Breach Stats'!K4</f>
        <v>24.5</v>
      </c>
      <c r="M3" s="57">
        <f>'Breach Stats'!L4</f>
        <v>31.25</v>
      </c>
      <c r="N3" s="55">
        <f>'Breach Stats'!N4</f>
        <v>135</v>
      </c>
      <c r="O3" s="55">
        <f>'Breach Stats'!M4</f>
        <v>12290</v>
      </c>
      <c r="P3" s="140">
        <f>'Breach Stats'!$B$8</f>
        <v>4</v>
      </c>
      <c r="T3" s="39">
        <f t="shared" ref="T3:AG3" si="0">AVERAGE(C2:C49)</f>
        <v>97.3125</v>
      </c>
      <c r="U3" s="39">
        <f t="shared" si="0"/>
        <v>97.3125</v>
      </c>
      <c r="V3" s="39">
        <f t="shared" si="0"/>
        <v>0.98472707875116516</v>
      </c>
      <c r="W3" s="32">
        <f t="shared" si="0"/>
        <v>0</v>
      </c>
      <c r="X3" s="32">
        <f t="shared" si="0"/>
        <v>194.625</v>
      </c>
      <c r="Y3" s="39">
        <f t="shared" si="0"/>
        <v>27.458333333333332</v>
      </c>
      <c r="Z3" s="39">
        <f t="shared" si="0"/>
        <v>69.333333333333329</v>
      </c>
      <c r="AA3" s="76">
        <f t="shared" si="0"/>
        <v>0.25</v>
      </c>
      <c r="AB3" s="76">
        <f t="shared" si="0"/>
        <v>0.24999999999999997</v>
      </c>
      <c r="AC3" s="39">
        <f t="shared" si="0"/>
        <v>24.182192460317463</v>
      </c>
      <c r="AD3" s="39">
        <f t="shared" si="0"/>
        <v>24.947271825396825</v>
      </c>
      <c r="AE3" s="39">
        <f t="shared" si="0"/>
        <v>245.70833333333334</v>
      </c>
      <c r="AF3" s="77">
        <f t="shared" si="0"/>
        <v>12326.979166666666</v>
      </c>
      <c r="AG3" s="32">
        <f t="shared" si="0"/>
        <v>4</v>
      </c>
    </row>
    <row r="4" spans="1:33" x14ac:dyDescent="0.25">
      <c r="A4" s="138" t="s">
        <v>3</v>
      </c>
      <c r="B4" s="56" t="s">
        <v>1</v>
      </c>
      <c r="C4" s="55">
        <f>'Breach Stats'!B5</f>
        <v>98</v>
      </c>
      <c r="D4" s="55">
        <f>'Breach Stats'!C5</f>
        <v>82</v>
      </c>
      <c r="E4" s="57">
        <f>'Breach Stats'!D5</f>
        <v>1.1951219512195121</v>
      </c>
      <c r="F4" s="55">
        <f>'Breach Stats'!E5</f>
        <v>16</v>
      </c>
      <c r="G4" s="55">
        <f>'Breach Stats'!F5</f>
        <v>180</v>
      </c>
      <c r="H4" s="55">
        <f>'Breach Stats'!G5</f>
        <v>25</v>
      </c>
      <c r="I4" s="55">
        <f>'Breach Stats'!H5</f>
        <v>75</v>
      </c>
      <c r="J4" s="58">
        <f>'Breach Stats'!I5</f>
        <v>0.26849315068493151</v>
      </c>
      <c r="K4" s="58">
        <f>'Breach Stats'!J5</f>
        <v>0.19854721549636803</v>
      </c>
      <c r="L4" s="55">
        <f>'Breach Stats'!K5</f>
        <v>24.5</v>
      </c>
      <c r="M4" s="57">
        <f>'Breach Stats'!L5</f>
        <v>20.5</v>
      </c>
      <c r="N4" s="55">
        <f>'Breach Stats'!N5</f>
        <v>290</v>
      </c>
      <c r="O4" s="55">
        <f>'Breach Stats'!M5</f>
        <v>11650</v>
      </c>
      <c r="P4" s="140">
        <f>'Breach Stats'!$B$8</f>
        <v>4</v>
      </c>
    </row>
    <row r="5" spans="1:33" x14ac:dyDescent="0.25">
      <c r="A5" s="138" t="s">
        <v>4</v>
      </c>
      <c r="B5" s="56" t="s">
        <v>1</v>
      </c>
      <c r="C5" s="55">
        <f>'Breach Stats'!B6</f>
        <v>76</v>
      </c>
      <c r="D5" s="55">
        <f>'Breach Stats'!C6</f>
        <v>110</v>
      </c>
      <c r="E5" s="57">
        <f>'Breach Stats'!D6</f>
        <v>0.69090909090909092</v>
      </c>
      <c r="F5" s="55">
        <f>'Breach Stats'!E6</f>
        <v>-34</v>
      </c>
      <c r="G5" s="55">
        <f>'Breach Stats'!F6</f>
        <v>186</v>
      </c>
      <c r="H5" s="55">
        <f>'Breach Stats'!G6</f>
        <v>17</v>
      </c>
      <c r="I5" s="55">
        <f>'Breach Stats'!H6</f>
        <v>54</v>
      </c>
      <c r="J5" s="58">
        <f>'Breach Stats'!I6</f>
        <v>0.20821917808219179</v>
      </c>
      <c r="K5" s="58">
        <f>'Breach Stats'!J6</f>
        <v>0.26634382566585957</v>
      </c>
      <c r="L5" s="55">
        <f>'Breach Stats'!K6</f>
        <v>19</v>
      </c>
      <c r="M5" s="57">
        <f>'Breach Stats'!L6</f>
        <v>27.5</v>
      </c>
      <c r="N5" s="55">
        <f>'Breach Stats'!N6</f>
        <v>228</v>
      </c>
      <c r="O5" s="55">
        <f>'Breach Stats'!M6</f>
        <v>9908</v>
      </c>
      <c r="P5" s="140">
        <f>'Breach Stats'!$B$8</f>
        <v>4</v>
      </c>
    </row>
    <row r="6" spans="1:33" x14ac:dyDescent="0.25">
      <c r="A6" s="138" t="s">
        <v>5</v>
      </c>
      <c r="B6" s="59" t="s">
        <v>6</v>
      </c>
      <c r="C6" s="55">
        <f>'Faze Stats'!B3</f>
        <v>171</v>
      </c>
      <c r="D6" s="55">
        <f>'Faze Stats'!C3</f>
        <v>144</v>
      </c>
      <c r="E6" s="57">
        <f>'Faze Stats'!D3</f>
        <v>1.1875</v>
      </c>
      <c r="F6" s="55">
        <f>'Faze Stats'!E3</f>
        <v>27</v>
      </c>
      <c r="G6" s="55">
        <f>'Faze Stats'!F3</f>
        <v>315</v>
      </c>
      <c r="H6" s="55">
        <f>'Faze Stats'!G3</f>
        <v>43</v>
      </c>
      <c r="I6" s="55">
        <f>'Faze Stats'!H3</f>
        <v>106</v>
      </c>
      <c r="J6" s="58">
        <f>'Faze Stats'!I3</f>
        <v>0.27447833065810595</v>
      </c>
      <c r="K6" s="58">
        <f>'Faze Stats'!J3</f>
        <v>0.2608695652173913</v>
      </c>
      <c r="L6" s="57">
        <f>'Faze Stats'!K3</f>
        <v>28.5</v>
      </c>
      <c r="M6" s="57">
        <f>'Faze Stats'!L3</f>
        <v>24</v>
      </c>
      <c r="N6" s="55">
        <f>'Faze Stats'!N3</f>
        <v>389</v>
      </c>
      <c r="O6" s="55">
        <f>'Faze Stats'!M3</f>
        <v>22291</v>
      </c>
      <c r="P6" s="140">
        <f>'Faze Stats'!$B$8</f>
        <v>6</v>
      </c>
      <c r="T6" s="72"/>
    </row>
    <row r="7" spans="1:33" x14ac:dyDescent="0.25">
      <c r="A7" s="138" t="s">
        <v>7</v>
      </c>
      <c r="B7" s="59" t="s">
        <v>6</v>
      </c>
      <c r="C7" s="55">
        <f>'Faze Stats'!B4</f>
        <v>155</v>
      </c>
      <c r="D7" s="55">
        <f>'Faze Stats'!C4</f>
        <v>129</v>
      </c>
      <c r="E7" s="57">
        <f>'Faze Stats'!D4</f>
        <v>1.2015503875968991</v>
      </c>
      <c r="F7" s="55">
        <f>'Faze Stats'!E4</f>
        <v>26</v>
      </c>
      <c r="G7" s="55">
        <f>'Faze Stats'!F4</f>
        <v>284</v>
      </c>
      <c r="H7" s="55">
        <f>'Faze Stats'!G4</f>
        <v>46</v>
      </c>
      <c r="I7" s="55">
        <f>'Faze Stats'!H4</f>
        <v>121</v>
      </c>
      <c r="J7" s="58">
        <f>'Faze Stats'!I4</f>
        <v>0.24879614767255218</v>
      </c>
      <c r="K7" s="58">
        <f>'Faze Stats'!J4</f>
        <v>0.23369565217391305</v>
      </c>
      <c r="L7" s="57">
        <f>'Faze Stats'!K4</f>
        <v>25.833333333333332</v>
      </c>
      <c r="M7" s="57">
        <f>'Faze Stats'!L4</f>
        <v>21.5</v>
      </c>
      <c r="N7" s="55">
        <f>'Faze Stats'!N4</f>
        <v>402</v>
      </c>
      <c r="O7" s="55">
        <f>'Faze Stats'!M4</f>
        <v>16552</v>
      </c>
      <c r="P7" s="140">
        <f>'Faze Stats'!$B$8</f>
        <v>6</v>
      </c>
    </row>
    <row r="8" spans="1:33" x14ac:dyDescent="0.25">
      <c r="A8" s="138" t="s">
        <v>8</v>
      </c>
      <c r="B8" s="59" t="s">
        <v>6</v>
      </c>
      <c r="C8" s="55">
        <f>'Faze Stats'!B5</f>
        <v>131</v>
      </c>
      <c r="D8" s="55">
        <f>'Faze Stats'!C5</f>
        <v>135</v>
      </c>
      <c r="E8" s="57">
        <f>'Faze Stats'!D5</f>
        <v>0.97037037037037033</v>
      </c>
      <c r="F8" s="55">
        <f>'Faze Stats'!E5</f>
        <v>-4</v>
      </c>
      <c r="G8" s="55">
        <f>'Faze Stats'!F5</f>
        <v>266</v>
      </c>
      <c r="H8" s="55">
        <f>'Faze Stats'!G5</f>
        <v>38</v>
      </c>
      <c r="I8" s="55">
        <f>'Faze Stats'!H5</f>
        <v>97</v>
      </c>
      <c r="J8" s="58">
        <f>'Faze Stats'!I5</f>
        <v>0.2102728731942215</v>
      </c>
      <c r="K8" s="58">
        <f>'Faze Stats'!J5</f>
        <v>0.24456521739130435</v>
      </c>
      <c r="L8" s="57">
        <f>'Faze Stats'!K5</f>
        <v>21.833333333333332</v>
      </c>
      <c r="M8" s="57">
        <f>'Faze Stats'!L5</f>
        <v>22.5</v>
      </c>
      <c r="N8" s="55">
        <f>'Faze Stats'!N5</f>
        <v>437</v>
      </c>
      <c r="O8" s="55">
        <f>'Faze Stats'!M5</f>
        <v>47769</v>
      </c>
      <c r="P8" s="140">
        <f>'Faze Stats'!$B$8</f>
        <v>6</v>
      </c>
    </row>
    <row r="9" spans="1:33" x14ac:dyDescent="0.25">
      <c r="A9" s="138" t="s">
        <v>9</v>
      </c>
      <c r="B9" s="59" t="s">
        <v>6</v>
      </c>
      <c r="C9" s="55">
        <f>'Faze Stats'!B6</f>
        <v>166</v>
      </c>
      <c r="D9" s="55">
        <f>'Faze Stats'!C6</f>
        <v>144</v>
      </c>
      <c r="E9" s="57">
        <f>'Faze Stats'!D6</f>
        <v>1.1527777777777777</v>
      </c>
      <c r="F9" s="55">
        <f>'Faze Stats'!E6</f>
        <v>22</v>
      </c>
      <c r="G9" s="55">
        <f>'Faze Stats'!F6</f>
        <v>310</v>
      </c>
      <c r="H9" s="55">
        <f>'Faze Stats'!G6</f>
        <v>46</v>
      </c>
      <c r="I9" s="55">
        <f>'Faze Stats'!H6</f>
        <v>115</v>
      </c>
      <c r="J9" s="58">
        <f>'Faze Stats'!I6</f>
        <v>0.2664526484751204</v>
      </c>
      <c r="K9" s="58">
        <f>'Faze Stats'!J6</f>
        <v>0.2608695652173913</v>
      </c>
      <c r="L9" s="57">
        <f>'Faze Stats'!K6</f>
        <v>27.666666666666668</v>
      </c>
      <c r="M9" s="57">
        <f>'Faze Stats'!L6</f>
        <v>24</v>
      </c>
      <c r="N9" s="55">
        <f>'Faze Stats'!N6</f>
        <v>458</v>
      </c>
      <c r="O9" s="55">
        <f>'Faze Stats'!M6</f>
        <v>18675</v>
      </c>
      <c r="P9" s="140">
        <f>'Faze Stats'!$B$8</f>
        <v>6</v>
      </c>
    </row>
    <row r="10" spans="1:33" x14ac:dyDescent="0.25">
      <c r="A10" s="138" t="s">
        <v>10</v>
      </c>
      <c r="B10" s="60" t="s">
        <v>11</v>
      </c>
      <c r="C10" s="55">
        <f>'LAG Stats'!B3</f>
        <v>31</v>
      </c>
      <c r="D10" s="55">
        <f>'LAG Stats'!C3</f>
        <v>27</v>
      </c>
      <c r="E10" s="57">
        <f>'LAG Stats'!D3</f>
        <v>1.1481481481481481</v>
      </c>
      <c r="F10" s="55">
        <f>'LAG Stats'!E3</f>
        <v>4</v>
      </c>
      <c r="G10" s="55">
        <f>'LAG Stats'!F3</f>
        <v>58</v>
      </c>
      <c r="H10" s="55">
        <f>'LAG Stats'!G3</f>
        <v>10</v>
      </c>
      <c r="I10" s="55">
        <f>'LAG Stats'!H3</f>
        <v>23</v>
      </c>
      <c r="J10" s="58">
        <f>'LAG Stats'!I3</f>
        <v>0.26724137931034481</v>
      </c>
      <c r="K10" s="58">
        <f>'LAG Stats'!J3</f>
        <v>0.23478260869565218</v>
      </c>
      <c r="L10" s="57">
        <f>'LAG Stats'!K3</f>
        <v>31</v>
      </c>
      <c r="M10" s="57">
        <f>'LAG Stats'!L3</f>
        <v>27</v>
      </c>
      <c r="N10" s="55">
        <f>'LAG Stats'!N3</f>
        <v>48</v>
      </c>
      <c r="O10" s="55">
        <f>'LAG Stats'!M3</f>
        <v>3075</v>
      </c>
      <c r="P10" s="140">
        <f>'LAG Stats'!$B$8</f>
        <v>1</v>
      </c>
    </row>
    <row r="11" spans="1:33" x14ac:dyDescent="0.25">
      <c r="A11" s="138" t="s">
        <v>12</v>
      </c>
      <c r="B11" s="60" t="s">
        <v>11</v>
      </c>
      <c r="C11" s="55">
        <f>'LAG Stats'!B4</f>
        <v>36</v>
      </c>
      <c r="D11" s="55">
        <f>'LAG Stats'!C4</f>
        <v>28</v>
      </c>
      <c r="E11" s="57">
        <f>'LAG Stats'!D4</f>
        <v>1.2857142857142858</v>
      </c>
      <c r="F11" s="55">
        <f>'LAG Stats'!E4</f>
        <v>8</v>
      </c>
      <c r="G11" s="55">
        <f>'LAG Stats'!F4</f>
        <v>64</v>
      </c>
      <c r="H11" s="55">
        <f>'LAG Stats'!G4</f>
        <v>12</v>
      </c>
      <c r="I11" s="55">
        <f>'LAG Stats'!H4</f>
        <v>26</v>
      </c>
      <c r="J11" s="58">
        <f>'LAG Stats'!I4</f>
        <v>0.31034482758620691</v>
      </c>
      <c r="K11" s="58">
        <f>'LAG Stats'!J4</f>
        <v>0.24347826086956523</v>
      </c>
      <c r="L11" s="57">
        <f>'LAG Stats'!K4</f>
        <v>36</v>
      </c>
      <c r="M11" s="57">
        <f>'LAG Stats'!L4</f>
        <v>28</v>
      </c>
      <c r="N11" s="55">
        <f>'LAG Stats'!N4</f>
        <v>136</v>
      </c>
      <c r="O11" s="55">
        <f>'LAG Stats'!M4</f>
        <v>4101</v>
      </c>
      <c r="P11" s="140">
        <f>'LAG Stats'!$B$8</f>
        <v>1</v>
      </c>
    </row>
    <row r="12" spans="1:33" x14ac:dyDescent="0.25">
      <c r="A12" s="138" t="s">
        <v>13</v>
      </c>
      <c r="B12" s="60" t="s">
        <v>11</v>
      </c>
      <c r="C12" s="55">
        <f>'LAG Stats'!B5</f>
        <v>26</v>
      </c>
      <c r="D12" s="55">
        <f>'LAG Stats'!C5</f>
        <v>25</v>
      </c>
      <c r="E12" s="57">
        <f>'LAG Stats'!D5</f>
        <v>1.04</v>
      </c>
      <c r="F12" s="55">
        <f>'LAG Stats'!E5</f>
        <v>1</v>
      </c>
      <c r="G12" s="55">
        <f>'LAG Stats'!F5</f>
        <v>51</v>
      </c>
      <c r="H12" s="55">
        <f>'LAG Stats'!G5</f>
        <v>6</v>
      </c>
      <c r="I12" s="55">
        <f>'LAG Stats'!H5</f>
        <v>19</v>
      </c>
      <c r="J12" s="58">
        <f>'LAG Stats'!I5</f>
        <v>0.22413793103448276</v>
      </c>
      <c r="K12" s="58">
        <f>'LAG Stats'!J5</f>
        <v>0.21739130434782608</v>
      </c>
      <c r="L12" s="57">
        <f>'LAG Stats'!K5</f>
        <v>26</v>
      </c>
      <c r="M12" s="57">
        <f>'LAG Stats'!L5</f>
        <v>25</v>
      </c>
      <c r="N12" s="55">
        <f>'LAG Stats'!N5</f>
        <v>45</v>
      </c>
      <c r="O12" s="55">
        <f>'LAG Stats'!M5</f>
        <v>3066</v>
      </c>
      <c r="P12" s="140">
        <f>'LAG Stats'!$B$8</f>
        <v>1</v>
      </c>
    </row>
    <row r="13" spans="1:33" x14ac:dyDescent="0.25">
      <c r="A13" s="138" t="s">
        <v>14</v>
      </c>
      <c r="B13" s="60" t="s">
        <v>11</v>
      </c>
      <c r="C13" s="55">
        <f>'LAG Stats'!B6</f>
        <v>23</v>
      </c>
      <c r="D13" s="55">
        <f>'LAG Stats'!C6</f>
        <v>35</v>
      </c>
      <c r="E13" s="57">
        <f>'LAG Stats'!D6</f>
        <v>0.65714285714285714</v>
      </c>
      <c r="F13" s="55">
        <f>'LAG Stats'!E6</f>
        <v>-12</v>
      </c>
      <c r="G13" s="55">
        <f>'LAG Stats'!F6</f>
        <v>58</v>
      </c>
      <c r="H13" s="55">
        <f>'LAG Stats'!G6</f>
        <v>5</v>
      </c>
      <c r="I13" s="55">
        <f>'LAG Stats'!H6</f>
        <v>14</v>
      </c>
      <c r="J13" s="58">
        <f>'LAG Stats'!I6</f>
        <v>0.19827586206896552</v>
      </c>
      <c r="K13" s="58">
        <f>'LAG Stats'!J6</f>
        <v>0.30434782608695654</v>
      </c>
      <c r="L13" s="57">
        <f>'LAG Stats'!K6</f>
        <v>23</v>
      </c>
      <c r="M13" s="57">
        <f>'LAG Stats'!L6</f>
        <v>35</v>
      </c>
      <c r="N13" s="55">
        <f>'LAG Stats'!N6</f>
        <v>21</v>
      </c>
      <c r="O13" s="55">
        <f>'LAG Stats'!M6</f>
        <v>3075</v>
      </c>
      <c r="P13" s="140">
        <f>'LAG Stats'!$B$8</f>
        <v>1</v>
      </c>
    </row>
    <row r="14" spans="1:33" x14ac:dyDescent="0.25">
      <c r="A14" s="138" t="s">
        <v>15</v>
      </c>
      <c r="B14" s="59" t="s">
        <v>16</v>
      </c>
      <c r="C14" s="55">
        <f>'LAT Stats'!B3</f>
        <v>69</v>
      </c>
      <c r="D14" s="55">
        <f>'LAT Stats'!C3</f>
        <v>83</v>
      </c>
      <c r="E14" s="57">
        <f>'LAT Stats'!D3</f>
        <v>0.83132530120481929</v>
      </c>
      <c r="F14" s="55">
        <f>'LAT Stats'!E3</f>
        <v>-14</v>
      </c>
      <c r="G14" s="55">
        <f>'LAT Stats'!F3</f>
        <v>152</v>
      </c>
      <c r="H14" s="55">
        <f>'LAT Stats'!G3</f>
        <v>21</v>
      </c>
      <c r="I14" s="55">
        <f>'LAT Stats'!H3</f>
        <v>45</v>
      </c>
      <c r="J14" s="58">
        <f>'LAT Stats'!I3</f>
        <v>0.21630094043887146</v>
      </c>
      <c r="K14" s="58">
        <f>'LAT Stats'!J3</f>
        <v>0.28327645051194539</v>
      </c>
      <c r="L14" s="57">
        <f>'LAT Stats'!K3</f>
        <v>23</v>
      </c>
      <c r="M14" s="57">
        <f>'LAT Stats'!L3</f>
        <v>27.666666666666668</v>
      </c>
      <c r="N14" s="55">
        <f>'LAT Stats'!N3</f>
        <v>215</v>
      </c>
      <c r="O14" s="55">
        <f>'LAT Stats'!M3</f>
        <v>8783</v>
      </c>
      <c r="P14" s="140">
        <f>'LAT Stats'!$B$8</f>
        <v>3</v>
      </c>
    </row>
    <row r="15" spans="1:33" x14ac:dyDescent="0.25">
      <c r="A15" s="138" t="s">
        <v>17</v>
      </c>
      <c r="B15" s="59" t="s">
        <v>16</v>
      </c>
      <c r="C15" s="55">
        <f>'LAT Stats'!B4</f>
        <v>77</v>
      </c>
      <c r="D15" s="55">
        <f>'LAT Stats'!C4</f>
        <v>71</v>
      </c>
      <c r="E15" s="57">
        <f>'LAT Stats'!D4</f>
        <v>1.0845070422535212</v>
      </c>
      <c r="F15" s="55">
        <f>'LAT Stats'!E4</f>
        <v>6</v>
      </c>
      <c r="G15" s="55">
        <f>'LAT Stats'!F4</f>
        <v>148</v>
      </c>
      <c r="H15" s="55">
        <f>'LAT Stats'!G4</f>
        <v>20</v>
      </c>
      <c r="I15" s="55">
        <f>'LAT Stats'!H4</f>
        <v>57</v>
      </c>
      <c r="J15" s="58">
        <f>'LAT Stats'!I4</f>
        <v>0.2413793103448276</v>
      </c>
      <c r="K15" s="58">
        <f>'LAT Stats'!J4</f>
        <v>0.24232081911262798</v>
      </c>
      <c r="L15" s="57">
        <f>'LAT Stats'!K4</f>
        <v>25.666666666666668</v>
      </c>
      <c r="M15" s="57">
        <f>'LAT Stats'!L4</f>
        <v>23.666666666666668</v>
      </c>
      <c r="N15" s="55">
        <f>'LAT Stats'!N4</f>
        <v>191</v>
      </c>
      <c r="O15" s="55">
        <f>'LAT Stats'!M4</f>
        <v>10196</v>
      </c>
      <c r="P15" s="140">
        <f>'LAT Stats'!$B$8</f>
        <v>3</v>
      </c>
    </row>
    <row r="16" spans="1:33" x14ac:dyDescent="0.25">
      <c r="A16" s="138" t="s">
        <v>18</v>
      </c>
      <c r="B16" s="59" t="s">
        <v>16</v>
      </c>
      <c r="C16" s="55">
        <f>'LAT Stats'!B5</f>
        <v>98</v>
      </c>
      <c r="D16" s="55">
        <f>'LAT Stats'!C5</f>
        <v>72</v>
      </c>
      <c r="E16" s="57">
        <f>'LAT Stats'!D5</f>
        <v>1.3611111111111112</v>
      </c>
      <c r="F16" s="55">
        <f>'LAT Stats'!E5</f>
        <v>26</v>
      </c>
      <c r="G16" s="55">
        <f>'LAT Stats'!F5</f>
        <v>170</v>
      </c>
      <c r="H16" s="55">
        <f>'LAT Stats'!G5</f>
        <v>26</v>
      </c>
      <c r="I16" s="55">
        <f>'LAT Stats'!H5</f>
        <v>68</v>
      </c>
      <c r="J16" s="58">
        <f>'LAT Stats'!I5</f>
        <v>0.30721003134796238</v>
      </c>
      <c r="K16" s="58">
        <f>'LAT Stats'!J5</f>
        <v>0.24573378839590443</v>
      </c>
      <c r="L16" s="57">
        <f>'LAT Stats'!K5</f>
        <v>32.666666666666664</v>
      </c>
      <c r="M16" s="57">
        <f>'LAT Stats'!L5</f>
        <v>24</v>
      </c>
      <c r="N16" s="55">
        <f>'LAT Stats'!N5</f>
        <v>163</v>
      </c>
      <c r="O16" s="55">
        <f>'LAT Stats'!M5</f>
        <v>10698</v>
      </c>
      <c r="P16" s="140">
        <f>'LAT Stats'!$B$8</f>
        <v>3</v>
      </c>
    </row>
    <row r="17" spans="1:16" x14ac:dyDescent="0.25">
      <c r="A17" s="138" t="s">
        <v>19</v>
      </c>
      <c r="B17" s="59" t="s">
        <v>16</v>
      </c>
      <c r="C17" s="55">
        <f>'LAT Stats'!B6</f>
        <v>75</v>
      </c>
      <c r="D17" s="55">
        <f>'LAT Stats'!C6</f>
        <v>67</v>
      </c>
      <c r="E17" s="57">
        <f>'LAT Stats'!D6</f>
        <v>1.1194029850746268</v>
      </c>
      <c r="F17" s="55">
        <f>'LAT Stats'!E6</f>
        <v>8</v>
      </c>
      <c r="G17" s="55">
        <f>'LAT Stats'!F6</f>
        <v>142</v>
      </c>
      <c r="H17" s="55">
        <f>'LAT Stats'!G6</f>
        <v>25</v>
      </c>
      <c r="I17" s="55">
        <f>'LAT Stats'!H6</f>
        <v>51</v>
      </c>
      <c r="J17" s="58">
        <f>'LAT Stats'!I6</f>
        <v>0.23510971786833856</v>
      </c>
      <c r="K17" s="58">
        <f>'LAT Stats'!J6</f>
        <v>0.22866894197952217</v>
      </c>
      <c r="L17" s="57">
        <f>'LAT Stats'!K6</f>
        <v>25</v>
      </c>
      <c r="M17" s="57">
        <f>'LAT Stats'!L6</f>
        <v>22.333333333333332</v>
      </c>
      <c r="N17" s="55">
        <f>'LAT Stats'!N6</f>
        <v>203</v>
      </c>
      <c r="O17" s="55">
        <f>'LAT Stats'!M6</f>
        <v>8908</v>
      </c>
      <c r="P17" s="140">
        <f>'LAT Stats'!$B$8</f>
        <v>3</v>
      </c>
    </row>
    <row r="18" spans="1:16" x14ac:dyDescent="0.25">
      <c r="A18" s="138" t="s">
        <v>20</v>
      </c>
      <c r="B18" s="61" t="s">
        <v>21</v>
      </c>
      <c r="C18" s="55">
        <f>'Legion Stats'!B3</f>
        <v>72</v>
      </c>
      <c r="D18" s="55">
        <f>'Legion Stats'!C3</f>
        <v>79</v>
      </c>
      <c r="E18" s="57">
        <f>'Legion Stats'!D3</f>
        <v>0.91139240506329111</v>
      </c>
      <c r="F18" s="55">
        <f>'Legion Stats'!E3</f>
        <v>-7</v>
      </c>
      <c r="G18" s="55">
        <f>'Legion Stats'!F3</f>
        <v>151</v>
      </c>
      <c r="H18" s="55">
        <f>'Legion Stats'!G3</f>
        <v>18</v>
      </c>
      <c r="I18" s="55">
        <f>'Legion Stats'!H3</f>
        <v>44</v>
      </c>
      <c r="J18" s="58">
        <f>'Legion Stats'!I3</f>
        <v>0.27480916030534353</v>
      </c>
      <c r="K18" s="58">
        <f>'Legion Stats'!J3</f>
        <v>0.2687074829931973</v>
      </c>
      <c r="L18" s="57">
        <f>'Legion Stats'!K3</f>
        <v>24</v>
      </c>
      <c r="M18" s="57">
        <f>'Legion Stats'!L3</f>
        <v>26.333333333333332</v>
      </c>
      <c r="N18" s="55">
        <f>'Legion Stats'!N3</f>
        <v>153</v>
      </c>
      <c r="O18" s="55">
        <f>'Legion Stats'!M3</f>
        <v>8315</v>
      </c>
      <c r="P18" s="140">
        <f>'Legion Stats'!$B$8</f>
        <v>3</v>
      </c>
    </row>
    <row r="19" spans="1:16" x14ac:dyDescent="0.25">
      <c r="A19" s="138" t="s">
        <v>22</v>
      </c>
      <c r="B19" s="61" t="s">
        <v>21</v>
      </c>
      <c r="C19" s="55">
        <f>'Legion Stats'!B4</f>
        <v>60</v>
      </c>
      <c r="D19" s="55">
        <f>'Legion Stats'!C4</f>
        <v>75</v>
      </c>
      <c r="E19" s="57">
        <f>'Legion Stats'!D4</f>
        <v>0.8</v>
      </c>
      <c r="F19" s="55">
        <f>'Legion Stats'!E4</f>
        <v>-15</v>
      </c>
      <c r="G19" s="55">
        <f>'Legion Stats'!F4</f>
        <v>135</v>
      </c>
      <c r="H19" s="55">
        <f>'Legion Stats'!G4</f>
        <v>15</v>
      </c>
      <c r="I19" s="55">
        <f>'Legion Stats'!H4</f>
        <v>48</v>
      </c>
      <c r="J19" s="58">
        <f>'Legion Stats'!I4</f>
        <v>0.22900763358778625</v>
      </c>
      <c r="K19" s="58">
        <f>'Legion Stats'!J4</f>
        <v>0.25510204081632654</v>
      </c>
      <c r="L19" s="57">
        <f>'Legion Stats'!K4</f>
        <v>20</v>
      </c>
      <c r="M19" s="57">
        <f>'Legion Stats'!L4</f>
        <v>25</v>
      </c>
      <c r="N19" s="55">
        <f>'Legion Stats'!N4</f>
        <v>158</v>
      </c>
      <c r="O19" s="55">
        <f>'Legion Stats'!M4</f>
        <v>7749</v>
      </c>
      <c r="P19" s="140">
        <f>'Legion Stats'!$B$8</f>
        <v>3</v>
      </c>
    </row>
    <row r="20" spans="1:16" x14ac:dyDescent="0.25">
      <c r="A20" s="138" t="s">
        <v>23</v>
      </c>
      <c r="B20" s="61" t="s">
        <v>21</v>
      </c>
      <c r="C20" s="55">
        <f>'Legion Stats'!B5</f>
        <v>61</v>
      </c>
      <c r="D20" s="55">
        <f>'Legion Stats'!C5</f>
        <v>67</v>
      </c>
      <c r="E20" s="57">
        <f>'Legion Stats'!D5</f>
        <v>0.91044776119402981</v>
      </c>
      <c r="F20" s="55">
        <f>'Legion Stats'!E5</f>
        <v>-6</v>
      </c>
      <c r="G20" s="55">
        <f>'Legion Stats'!F5</f>
        <v>128</v>
      </c>
      <c r="H20" s="55">
        <f>'Legion Stats'!G5</f>
        <v>10</v>
      </c>
      <c r="I20" s="55">
        <f>'Legion Stats'!H5</f>
        <v>41</v>
      </c>
      <c r="J20" s="58">
        <f>'Legion Stats'!I5</f>
        <v>0.23282442748091603</v>
      </c>
      <c r="K20" s="58">
        <f>'Legion Stats'!J5</f>
        <v>0.22789115646258504</v>
      </c>
      <c r="L20" s="57">
        <f>'Legion Stats'!K5</f>
        <v>20.333333333333332</v>
      </c>
      <c r="M20" s="57">
        <f>'Legion Stats'!L5</f>
        <v>22.333333333333332</v>
      </c>
      <c r="N20" s="55">
        <f>'Legion Stats'!N5</f>
        <v>92</v>
      </c>
      <c r="O20" s="55">
        <f>'Legion Stats'!M5</f>
        <v>8078</v>
      </c>
      <c r="P20" s="140">
        <f>'Legion Stats'!$B$8</f>
        <v>3</v>
      </c>
    </row>
    <row r="21" spans="1:16" x14ac:dyDescent="0.25">
      <c r="A21" s="138" t="s">
        <v>24</v>
      </c>
      <c r="B21" s="61" t="s">
        <v>21</v>
      </c>
      <c r="C21" s="55">
        <f>'Legion Stats'!B6</f>
        <v>69</v>
      </c>
      <c r="D21" s="55">
        <f>'Legion Stats'!C6</f>
        <v>73</v>
      </c>
      <c r="E21" s="57">
        <f>'Legion Stats'!D6</f>
        <v>0.9452054794520548</v>
      </c>
      <c r="F21" s="55">
        <f>'Legion Stats'!E6</f>
        <v>-4</v>
      </c>
      <c r="G21" s="55">
        <f>'Legion Stats'!F6</f>
        <v>142</v>
      </c>
      <c r="H21" s="55">
        <f>'Legion Stats'!G6</f>
        <v>24</v>
      </c>
      <c r="I21" s="55">
        <f>'Legion Stats'!H6</f>
        <v>53</v>
      </c>
      <c r="J21" s="58">
        <f>'Legion Stats'!I6</f>
        <v>0.26335877862595419</v>
      </c>
      <c r="K21" s="58">
        <f>'Legion Stats'!J6</f>
        <v>0.24829931972789115</v>
      </c>
      <c r="L21" s="57">
        <f>'Legion Stats'!K6</f>
        <v>23</v>
      </c>
      <c r="M21" s="57">
        <f>'Legion Stats'!L6</f>
        <v>24.333333333333332</v>
      </c>
      <c r="N21" s="55">
        <f>'Legion Stats'!N6</f>
        <v>200</v>
      </c>
      <c r="O21" s="55">
        <f>'Legion Stats'!M6</f>
        <v>7995</v>
      </c>
      <c r="P21" s="140">
        <f>'Legion Stats'!$B$8</f>
        <v>3</v>
      </c>
    </row>
    <row r="22" spans="1:16" x14ac:dyDescent="0.25">
      <c r="A22" s="138" t="s">
        <v>25</v>
      </c>
      <c r="B22" s="62" t="s">
        <v>26</v>
      </c>
      <c r="C22" s="55">
        <f>'Mutineers Stats'!B3</f>
        <v>67</v>
      </c>
      <c r="D22" s="55">
        <f>'Mutineers Stats'!C3</f>
        <v>75</v>
      </c>
      <c r="E22" s="57">
        <f>'Mutineers Stats'!D3</f>
        <v>0.89333333333333331</v>
      </c>
      <c r="F22" s="55">
        <f>'Mutineers Stats'!E3</f>
        <v>-8</v>
      </c>
      <c r="G22" s="55">
        <f>'Mutineers Stats'!F3</f>
        <v>142</v>
      </c>
      <c r="H22" s="55">
        <f>'Mutineers Stats'!G3</f>
        <v>10</v>
      </c>
      <c r="I22" s="55">
        <f>'Mutineers Stats'!H3</f>
        <v>51</v>
      </c>
      <c r="J22" s="58">
        <f>'Mutineers Stats'!I3</f>
        <v>0.21824104234527689</v>
      </c>
      <c r="K22" s="58">
        <f>'Mutineers Stats'!J3</f>
        <v>0.27573529411764708</v>
      </c>
      <c r="L22" s="57">
        <f>'Mutineers Stats'!K3</f>
        <v>22.333333333333332</v>
      </c>
      <c r="M22" s="57">
        <f>'Mutineers Stats'!L3</f>
        <v>25</v>
      </c>
      <c r="N22" s="55">
        <f>'Mutineers Stats'!N3</f>
        <v>113</v>
      </c>
      <c r="O22" s="55">
        <f>'Mutineers Stats'!M3</f>
        <v>7821</v>
      </c>
      <c r="P22" s="140">
        <f>'Mutineers Stats'!$B$8</f>
        <v>3</v>
      </c>
    </row>
    <row r="23" spans="1:16" x14ac:dyDescent="0.25">
      <c r="A23" s="138" t="s">
        <v>27</v>
      </c>
      <c r="B23" s="62" t="s">
        <v>26</v>
      </c>
      <c r="C23" s="55">
        <f>'Mutineers Stats'!B4</f>
        <v>95</v>
      </c>
      <c r="D23" s="55">
        <f>'Mutineers Stats'!C4</f>
        <v>65</v>
      </c>
      <c r="E23" s="57">
        <f>'Mutineers Stats'!D4</f>
        <v>1.4615384615384615</v>
      </c>
      <c r="F23" s="55">
        <f>'Mutineers Stats'!E4</f>
        <v>30</v>
      </c>
      <c r="G23" s="55">
        <f>'Mutineers Stats'!F4</f>
        <v>160</v>
      </c>
      <c r="H23" s="55">
        <f>'Mutineers Stats'!G4</f>
        <v>27</v>
      </c>
      <c r="I23" s="55">
        <f>'Mutineers Stats'!H4</f>
        <v>74</v>
      </c>
      <c r="J23" s="58">
        <f>'Mutineers Stats'!I4</f>
        <v>0.30944625407166126</v>
      </c>
      <c r="K23" s="58">
        <f>'Mutineers Stats'!J4</f>
        <v>0.23897058823529413</v>
      </c>
      <c r="L23" s="57">
        <f>'Mutineers Stats'!K4</f>
        <v>31.666666666666668</v>
      </c>
      <c r="M23" s="57">
        <f>'Mutineers Stats'!L4</f>
        <v>21.666666666666668</v>
      </c>
      <c r="N23" s="55">
        <f>'Mutineers Stats'!N4</f>
        <v>97</v>
      </c>
      <c r="O23" s="55">
        <f>'Mutineers Stats'!M4</f>
        <v>10872</v>
      </c>
      <c r="P23" s="140">
        <f>'Mutineers Stats'!$B$8</f>
        <v>3</v>
      </c>
    </row>
    <row r="24" spans="1:16" x14ac:dyDescent="0.25">
      <c r="A24" s="138" t="s">
        <v>28</v>
      </c>
      <c r="B24" s="62" t="s">
        <v>26</v>
      </c>
      <c r="C24" s="55">
        <f>'Mutineers Stats'!B5</f>
        <v>74</v>
      </c>
      <c r="D24" s="55">
        <f>'Mutineers Stats'!C5</f>
        <v>76</v>
      </c>
      <c r="E24" s="57">
        <f>'Mutineers Stats'!D5</f>
        <v>0.97368421052631582</v>
      </c>
      <c r="F24" s="55">
        <f>'Mutineers Stats'!E5</f>
        <v>-2</v>
      </c>
      <c r="G24" s="55">
        <f>'Mutineers Stats'!F5</f>
        <v>150</v>
      </c>
      <c r="H24" s="55">
        <f>'Mutineers Stats'!G5</f>
        <v>21</v>
      </c>
      <c r="I24" s="55">
        <f>'Mutineers Stats'!H5</f>
        <v>44</v>
      </c>
      <c r="J24" s="58">
        <f>'Mutineers Stats'!I5</f>
        <v>0.24104234527687296</v>
      </c>
      <c r="K24" s="58">
        <f>'Mutineers Stats'!J5</f>
        <v>0.27941176470588236</v>
      </c>
      <c r="L24" s="57">
        <f>'Mutineers Stats'!K5</f>
        <v>24.666666666666668</v>
      </c>
      <c r="M24" s="57">
        <f>'Mutineers Stats'!L5</f>
        <v>25.333333333333332</v>
      </c>
      <c r="N24" s="55">
        <f>'Mutineers Stats'!N5</f>
        <v>226</v>
      </c>
      <c r="O24" s="55">
        <f>'Mutineers Stats'!M5</f>
        <v>9762</v>
      </c>
      <c r="P24" s="140">
        <f>'Mutineers Stats'!$B$8</f>
        <v>3</v>
      </c>
    </row>
    <row r="25" spans="1:16" x14ac:dyDescent="0.25">
      <c r="A25" s="138" t="s">
        <v>29</v>
      </c>
      <c r="B25" s="62" t="s">
        <v>26</v>
      </c>
      <c r="C25" s="55">
        <f>'Mutineers Stats'!B6</f>
        <v>71</v>
      </c>
      <c r="D25" s="55">
        <f>'Mutineers Stats'!C6</f>
        <v>56</v>
      </c>
      <c r="E25" s="57">
        <f>'Mutineers Stats'!D6</f>
        <v>1.2678571428571428</v>
      </c>
      <c r="F25" s="55">
        <f>'Mutineers Stats'!E6</f>
        <v>15</v>
      </c>
      <c r="G25" s="55">
        <f>'Mutineers Stats'!F6</f>
        <v>127</v>
      </c>
      <c r="H25" s="55">
        <f>'Mutineers Stats'!G6</f>
        <v>23</v>
      </c>
      <c r="I25" s="55">
        <f>'Mutineers Stats'!H6</f>
        <v>59</v>
      </c>
      <c r="J25" s="58">
        <f>'Mutineers Stats'!I6</f>
        <v>0.23127035830618892</v>
      </c>
      <c r="K25" s="58">
        <f>'Mutineers Stats'!J6</f>
        <v>0.20588235294117646</v>
      </c>
      <c r="L25" s="57">
        <f>'Mutineers Stats'!K6</f>
        <v>23.666666666666668</v>
      </c>
      <c r="M25" s="57">
        <f>'Mutineers Stats'!L6</f>
        <v>18.666666666666668</v>
      </c>
      <c r="N25" s="55">
        <f>'Mutineers Stats'!N6</f>
        <v>325</v>
      </c>
      <c r="O25" s="55">
        <f>'Mutineers Stats'!M6</f>
        <v>8048</v>
      </c>
      <c r="P25" s="140">
        <f>'Mutineers Stats'!$B$8</f>
        <v>3</v>
      </c>
    </row>
    <row r="26" spans="1:16" x14ac:dyDescent="0.25">
      <c r="A26" s="138" t="s">
        <v>30</v>
      </c>
      <c r="B26" s="63" t="s">
        <v>31</v>
      </c>
      <c r="C26" s="55">
        <f>'NYSL Stats'!B3</f>
        <v>293</v>
      </c>
      <c r="D26" s="55">
        <f>'NYSL Stats'!C3</f>
        <v>220</v>
      </c>
      <c r="E26" s="57">
        <f>'NYSL Stats'!D3</f>
        <v>1.3318181818181818</v>
      </c>
      <c r="F26" s="55">
        <f>'NYSL Stats'!E3</f>
        <v>73</v>
      </c>
      <c r="G26" s="55">
        <f>'NYSL Stats'!F3</f>
        <v>513</v>
      </c>
      <c r="H26" s="55">
        <f>'NYSL Stats'!G3</f>
        <v>63</v>
      </c>
      <c r="I26" s="55">
        <f>'NYSL Stats'!H3</f>
        <v>222</v>
      </c>
      <c r="J26" s="58">
        <f>'NYSL Stats'!I3</f>
        <v>0.2906746031746032</v>
      </c>
      <c r="K26" s="58">
        <f>'NYSL Stats'!J3</f>
        <v>0.24229074889867841</v>
      </c>
      <c r="L26" s="57">
        <f>'NYSL Stats'!K3</f>
        <v>29.3</v>
      </c>
      <c r="M26" s="57">
        <f>'NYSL Stats'!L3</f>
        <v>22</v>
      </c>
      <c r="N26" s="55">
        <f>'NYSL Stats'!N3</f>
        <v>412</v>
      </c>
      <c r="O26" s="55">
        <f>'NYSL Stats'!M3</f>
        <v>32826</v>
      </c>
      <c r="P26" s="140">
        <f>'NYSL Stats'!$B$8</f>
        <v>10</v>
      </c>
    </row>
    <row r="27" spans="1:16" x14ac:dyDescent="0.25">
      <c r="A27" s="138" t="s">
        <v>32</v>
      </c>
      <c r="B27" s="63" t="s">
        <v>31</v>
      </c>
      <c r="C27" s="55">
        <f>'NYSL Stats'!B4</f>
        <v>274</v>
      </c>
      <c r="D27" s="55">
        <f>'NYSL Stats'!C4</f>
        <v>258</v>
      </c>
      <c r="E27" s="57">
        <f>'NYSL Stats'!D4</f>
        <v>1.0620155038759691</v>
      </c>
      <c r="F27" s="55">
        <f>'NYSL Stats'!E4</f>
        <v>16</v>
      </c>
      <c r="G27" s="55">
        <f>'NYSL Stats'!F4</f>
        <v>532</v>
      </c>
      <c r="H27" s="55">
        <f>'NYSL Stats'!G4</f>
        <v>95</v>
      </c>
      <c r="I27" s="55">
        <f>'NYSL Stats'!H4</f>
        <v>246</v>
      </c>
      <c r="J27" s="58">
        <f>'NYSL Stats'!I4</f>
        <v>0.2718253968253968</v>
      </c>
      <c r="K27" s="58">
        <f>'NYSL Stats'!J4</f>
        <v>0.28414096916299558</v>
      </c>
      <c r="L27" s="57">
        <f>'NYSL Stats'!K4</f>
        <v>27.4</v>
      </c>
      <c r="M27" s="57">
        <f>'NYSL Stats'!L4</f>
        <v>25.8</v>
      </c>
      <c r="N27" s="55">
        <f>'NYSL Stats'!N4</f>
        <v>750</v>
      </c>
      <c r="O27" s="55">
        <f>'NYSL Stats'!M4</f>
        <v>31215</v>
      </c>
      <c r="P27" s="140">
        <f>'NYSL Stats'!$B$8</f>
        <v>10</v>
      </c>
    </row>
    <row r="28" spans="1:16" x14ac:dyDescent="0.25">
      <c r="A28" s="138" t="s">
        <v>33</v>
      </c>
      <c r="B28" s="63" t="s">
        <v>31</v>
      </c>
      <c r="C28" s="55">
        <f>'NYSL Stats'!B5</f>
        <v>220</v>
      </c>
      <c r="D28" s="55">
        <f>'NYSL Stats'!C5</f>
        <v>231</v>
      </c>
      <c r="E28" s="57">
        <f>'NYSL Stats'!D5</f>
        <v>0.95238095238095233</v>
      </c>
      <c r="F28" s="55">
        <f>'NYSL Stats'!E5</f>
        <v>-11</v>
      </c>
      <c r="G28" s="55">
        <f>'NYSL Stats'!F5</f>
        <v>451</v>
      </c>
      <c r="H28" s="55">
        <f>'NYSL Stats'!G5</f>
        <v>48</v>
      </c>
      <c r="I28" s="55">
        <f>'NYSL Stats'!H5</f>
        <v>157</v>
      </c>
      <c r="J28" s="58">
        <f>'NYSL Stats'!I5</f>
        <v>0.21825396825396826</v>
      </c>
      <c r="K28" s="58">
        <f>'NYSL Stats'!J5</f>
        <v>0.25440528634361231</v>
      </c>
      <c r="L28" s="57">
        <f>'NYSL Stats'!K5</f>
        <v>22</v>
      </c>
      <c r="M28" s="57">
        <f>'NYSL Stats'!L5</f>
        <v>23.1</v>
      </c>
      <c r="N28" s="55">
        <f>'NYSL Stats'!N5</f>
        <v>594</v>
      </c>
      <c r="O28" s="55">
        <f>'NYSL Stats'!M5</f>
        <v>28521</v>
      </c>
      <c r="P28" s="140">
        <f>'NYSL Stats'!$B$8</f>
        <v>10</v>
      </c>
    </row>
    <row r="29" spans="1:16" x14ac:dyDescent="0.25">
      <c r="A29" s="138" t="s">
        <v>34</v>
      </c>
      <c r="B29" s="63" t="s">
        <v>31</v>
      </c>
      <c r="C29" s="55">
        <f>'NYSL Stats'!B6</f>
        <v>221</v>
      </c>
      <c r="D29" s="55">
        <f>'NYSL Stats'!C6</f>
        <v>199</v>
      </c>
      <c r="E29" s="57">
        <f>'NYSL Stats'!D6</f>
        <v>1.1105527638190955</v>
      </c>
      <c r="F29" s="55">
        <f>'NYSL Stats'!E6</f>
        <v>22</v>
      </c>
      <c r="G29" s="55">
        <f>'NYSL Stats'!F6</f>
        <v>420</v>
      </c>
      <c r="H29" s="55">
        <f>'NYSL Stats'!G6</f>
        <v>76</v>
      </c>
      <c r="I29" s="55">
        <f>'NYSL Stats'!H6</f>
        <v>157</v>
      </c>
      <c r="J29" s="58">
        <f>'NYSL Stats'!I6</f>
        <v>0.21924603174603174</v>
      </c>
      <c r="K29" s="58">
        <f>'NYSL Stats'!J6</f>
        <v>0.21916299559471367</v>
      </c>
      <c r="L29" s="57">
        <f>'NYSL Stats'!K6</f>
        <v>22.1</v>
      </c>
      <c r="M29" s="57">
        <f>'NYSL Stats'!L6</f>
        <v>19.899999999999999</v>
      </c>
      <c r="N29" s="55">
        <f>'NYSL Stats'!N6</f>
        <v>884</v>
      </c>
      <c r="O29" s="55">
        <f>'NYSL Stats'!M6</f>
        <v>28216</v>
      </c>
      <c r="P29" s="140">
        <f>'NYSL Stats'!$B$8</f>
        <v>10</v>
      </c>
    </row>
    <row r="30" spans="1:16" x14ac:dyDescent="0.25">
      <c r="A30" s="138" t="s">
        <v>35</v>
      </c>
      <c r="B30" s="62" t="s">
        <v>36</v>
      </c>
      <c r="C30" s="55">
        <f>'Optic Stats'!B3</f>
        <v>34</v>
      </c>
      <c r="D30" s="55">
        <f>'Optic Stats'!C3</f>
        <v>44</v>
      </c>
      <c r="E30" s="57">
        <f>'Optic Stats'!D3</f>
        <v>0.77272727272727271</v>
      </c>
      <c r="F30" s="55">
        <f>'Optic Stats'!E3</f>
        <v>-10</v>
      </c>
      <c r="G30" s="55">
        <f>'Optic Stats'!F3</f>
        <v>78</v>
      </c>
      <c r="H30" s="55">
        <f>'Optic Stats'!G3</f>
        <v>3</v>
      </c>
      <c r="I30" s="55">
        <f>'Optic Stats'!H3</f>
        <v>21</v>
      </c>
      <c r="J30" s="58">
        <f>'Optic Stats'!I3</f>
        <v>0.24113475177304963</v>
      </c>
      <c r="K30" s="58">
        <f>'Optic Stats'!J3</f>
        <v>0.21359223300970873</v>
      </c>
      <c r="L30" s="57">
        <f>'Optic Stats'!K3</f>
        <v>17</v>
      </c>
      <c r="M30" s="57">
        <f>'Optic Stats'!L3</f>
        <v>22</v>
      </c>
      <c r="N30" s="55">
        <f>'Optic Stats'!N3</f>
        <v>57</v>
      </c>
      <c r="O30" s="55">
        <f>'Optic Stats'!M3</f>
        <v>4800</v>
      </c>
      <c r="P30" s="140">
        <f>'Optic Stats'!$B$8</f>
        <v>2</v>
      </c>
    </row>
    <row r="31" spans="1:16" x14ac:dyDescent="0.25">
      <c r="A31" s="138" t="s">
        <v>37</v>
      </c>
      <c r="B31" s="62" t="s">
        <v>36</v>
      </c>
      <c r="C31" s="55">
        <f>'Optic Stats'!B4</f>
        <v>42</v>
      </c>
      <c r="D31" s="55">
        <f>'Optic Stats'!C4</f>
        <v>53</v>
      </c>
      <c r="E31" s="57">
        <f>'Optic Stats'!D4</f>
        <v>0.79245283018867929</v>
      </c>
      <c r="F31" s="55">
        <f>'Optic Stats'!E4</f>
        <v>-11</v>
      </c>
      <c r="G31" s="55">
        <f>'Optic Stats'!F4</f>
        <v>95</v>
      </c>
      <c r="H31" s="55">
        <f>'Optic Stats'!G4</f>
        <v>10</v>
      </c>
      <c r="I31" s="55">
        <f>'Optic Stats'!H4</f>
        <v>25</v>
      </c>
      <c r="J31" s="58">
        <f>'Optic Stats'!I4</f>
        <v>0.2978723404255319</v>
      </c>
      <c r="K31" s="58">
        <f>'Optic Stats'!J4</f>
        <v>0.25728155339805825</v>
      </c>
      <c r="L31" s="57">
        <f>'Optic Stats'!K4</f>
        <v>21</v>
      </c>
      <c r="M31" s="57">
        <f>'Optic Stats'!L4</f>
        <v>26.5</v>
      </c>
      <c r="N31" s="55">
        <f>'Optic Stats'!N4</f>
        <v>36</v>
      </c>
      <c r="O31" s="55">
        <f>'Optic Stats'!M4</f>
        <v>5037</v>
      </c>
      <c r="P31" s="140">
        <f>'Optic Stats'!$B$8</f>
        <v>2</v>
      </c>
    </row>
    <row r="32" spans="1:16" x14ac:dyDescent="0.25">
      <c r="A32" s="138" t="s">
        <v>38</v>
      </c>
      <c r="B32" s="62" t="s">
        <v>36</v>
      </c>
      <c r="C32" s="55">
        <f>'Optic Stats'!B5</f>
        <v>37</v>
      </c>
      <c r="D32" s="55">
        <f>'Optic Stats'!C5</f>
        <v>54</v>
      </c>
      <c r="E32" s="57">
        <f>'Optic Stats'!D5</f>
        <v>0.68518518518518523</v>
      </c>
      <c r="F32" s="55">
        <f>'Optic Stats'!E5</f>
        <v>-17</v>
      </c>
      <c r="G32" s="55">
        <f>'Optic Stats'!F5</f>
        <v>91</v>
      </c>
      <c r="H32" s="55">
        <f>'Optic Stats'!G5</f>
        <v>10</v>
      </c>
      <c r="I32" s="55">
        <f>'Optic Stats'!H5</f>
        <v>22</v>
      </c>
      <c r="J32" s="58">
        <f>'Optic Stats'!I5</f>
        <v>0.26241134751773049</v>
      </c>
      <c r="K32" s="58">
        <f>'Optic Stats'!J5</f>
        <v>0.26213592233009708</v>
      </c>
      <c r="L32" s="57">
        <f>'Optic Stats'!K5</f>
        <v>18.5</v>
      </c>
      <c r="M32" s="57">
        <f>'Optic Stats'!L5</f>
        <v>27</v>
      </c>
      <c r="N32" s="55">
        <f>'Optic Stats'!N5</f>
        <v>63</v>
      </c>
      <c r="O32" s="55">
        <f>'Optic Stats'!M5</f>
        <v>5158</v>
      </c>
      <c r="P32" s="140">
        <f>'Optic Stats'!$B$8</f>
        <v>2</v>
      </c>
    </row>
    <row r="33" spans="1:16" x14ac:dyDescent="0.25">
      <c r="A33" s="138" t="s">
        <v>39</v>
      </c>
      <c r="B33" s="62" t="s">
        <v>36</v>
      </c>
      <c r="C33" s="55">
        <f>'Optic Stats'!B6</f>
        <v>28</v>
      </c>
      <c r="D33" s="55">
        <f>'Optic Stats'!C6</f>
        <v>55</v>
      </c>
      <c r="E33" s="57">
        <f>'Optic Stats'!D6</f>
        <v>0.50909090909090904</v>
      </c>
      <c r="F33" s="55">
        <f>'Optic Stats'!E6</f>
        <v>-27</v>
      </c>
      <c r="G33" s="55">
        <f>'Optic Stats'!F6</f>
        <v>83</v>
      </c>
      <c r="H33" s="55">
        <f>'Optic Stats'!G6</f>
        <v>11</v>
      </c>
      <c r="I33" s="55">
        <f>'Optic Stats'!H6</f>
        <v>16</v>
      </c>
      <c r="J33" s="58">
        <f>'Optic Stats'!I6</f>
        <v>0.19858156028368795</v>
      </c>
      <c r="K33" s="58">
        <f>'Optic Stats'!J6</f>
        <v>0.26699029126213591</v>
      </c>
      <c r="L33" s="57">
        <f>'Optic Stats'!K6</f>
        <v>14</v>
      </c>
      <c r="M33" s="57">
        <f>'Optic Stats'!L6</f>
        <v>27.5</v>
      </c>
      <c r="N33" s="55">
        <f>'Optic Stats'!N6</f>
        <v>100</v>
      </c>
      <c r="O33" s="55">
        <f>'Optic Stats'!M6</f>
        <v>4101</v>
      </c>
      <c r="P33" s="140">
        <f>'Optic Stats'!$B$8</f>
        <v>2</v>
      </c>
    </row>
    <row r="34" spans="1:16" x14ac:dyDescent="0.25">
      <c r="A34" s="139" t="s">
        <v>40</v>
      </c>
      <c r="B34" s="65" t="s">
        <v>41</v>
      </c>
      <c r="C34" s="55">
        <f>' Royal Ravens Stats'!B3</f>
        <v>85</v>
      </c>
      <c r="D34" s="55">
        <f>' Royal Ravens Stats'!C3</f>
        <v>69</v>
      </c>
      <c r="E34" s="57">
        <f>' Royal Ravens Stats'!D3</f>
        <v>1.2318840579710144</v>
      </c>
      <c r="F34" s="55">
        <f>' Royal Ravens Stats'!E3</f>
        <v>16</v>
      </c>
      <c r="G34" s="55">
        <f>' Royal Ravens Stats'!F3</f>
        <v>154</v>
      </c>
      <c r="H34" s="55">
        <f>' Royal Ravens Stats'!G3</f>
        <v>29</v>
      </c>
      <c r="I34" s="55">
        <f>' Royal Ravens Stats'!H3</f>
        <v>63</v>
      </c>
      <c r="J34" s="58">
        <f>' Royal Ravens Stats'!I3</f>
        <v>0.2664576802507837</v>
      </c>
      <c r="K34" s="58">
        <f>' Royal Ravens Stats'!J3</f>
        <v>0.24468085106382978</v>
      </c>
      <c r="L34" s="57">
        <f>' Royal Ravens Stats'!K3</f>
        <v>28.333333333333332</v>
      </c>
      <c r="M34" s="57">
        <f>' Royal Ravens Stats'!L3</f>
        <v>23</v>
      </c>
      <c r="N34" s="55">
        <f>' Royal Ravens Stats'!N3</f>
        <v>286</v>
      </c>
      <c r="O34" s="55">
        <f>' Royal Ravens Stats'!M3</f>
        <v>9894</v>
      </c>
      <c r="P34" s="140">
        <f>' Royal Ravens Stats'!$B$8</f>
        <v>3</v>
      </c>
    </row>
    <row r="35" spans="1:16" x14ac:dyDescent="0.25">
      <c r="A35" s="138" t="s">
        <v>42</v>
      </c>
      <c r="B35" s="65" t="s">
        <v>41</v>
      </c>
      <c r="C35" s="55">
        <f>' Royal Ravens Stats'!B4</f>
        <v>62</v>
      </c>
      <c r="D35" s="55">
        <f>' Royal Ravens Stats'!C4</f>
        <v>73</v>
      </c>
      <c r="E35" s="57">
        <f>' Royal Ravens Stats'!D4</f>
        <v>0.84931506849315064</v>
      </c>
      <c r="F35" s="55">
        <f>' Royal Ravens Stats'!E4</f>
        <v>-11</v>
      </c>
      <c r="G35" s="55">
        <f>' Royal Ravens Stats'!F4</f>
        <v>135</v>
      </c>
      <c r="H35" s="55">
        <f>' Royal Ravens Stats'!G4</f>
        <v>23</v>
      </c>
      <c r="I35" s="55">
        <f>' Royal Ravens Stats'!H4</f>
        <v>46</v>
      </c>
      <c r="J35" s="58">
        <f>' Royal Ravens Stats'!I4</f>
        <v>0.19435736677115986</v>
      </c>
      <c r="K35" s="58">
        <f>' Royal Ravens Stats'!J4</f>
        <v>0.25886524822695034</v>
      </c>
      <c r="L35" s="57">
        <f>' Royal Ravens Stats'!K4</f>
        <v>20.666666666666668</v>
      </c>
      <c r="M35" s="57">
        <f>' Royal Ravens Stats'!L4</f>
        <v>24.333333333333332</v>
      </c>
      <c r="N35" s="55">
        <f>' Royal Ravens Stats'!N4</f>
        <v>198</v>
      </c>
      <c r="O35" s="55">
        <f>' Royal Ravens Stats'!M4</f>
        <v>7795</v>
      </c>
      <c r="P35" s="140">
        <f>' Royal Ravens Stats'!$B$8</f>
        <v>3</v>
      </c>
    </row>
    <row r="36" spans="1:16" x14ac:dyDescent="0.25">
      <c r="A36" s="139" t="s">
        <v>43</v>
      </c>
      <c r="B36" s="65" t="s">
        <v>41</v>
      </c>
      <c r="C36" s="55">
        <f>' Royal Ravens Stats'!B5</f>
        <v>92</v>
      </c>
      <c r="D36" s="55">
        <f>' Royal Ravens Stats'!C5</f>
        <v>80</v>
      </c>
      <c r="E36" s="57">
        <f>' Royal Ravens Stats'!D5</f>
        <v>1.1499999999999999</v>
      </c>
      <c r="F36" s="55">
        <f>' Royal Ravens Stats'!E5</f>
        <v>12</v>
      </c>
      <c r="G36" s="55">
        <f>' Royal Ravens Stats'!F5</f>
        <v>172</v>
      </c>
      <c r="H36" s="55">
        <f>' Royal Ravens Stats'!G5</f>
        <v>21</v>
      </c>
      <c r="I36" s="55">
        <f>' Royal Ravens Stats'!H5</f>
        <v>68</v>
      </c>
      <c r="J36" s="58">
        <f>' Royal Ravens Stats'!I5</f>
        <v>0.2884012539184953</v>
      </c>
      <c r="K36" s="58">
        <f>' Royal Ravens Stats'!J5</f>
        <v>0.28368794326241137</v>
      </c>
      <c r="L36" s="57">
        <f>' Royal Ravens Stats'!K5</f>
        <v>30.666666666666668</v>
      </c>
      <c r="M36" s="57">
        <f>' Royal Ravens Stats'!L5</f>
        <v>26.666666666666668</v>
      </c>
      <c r="N36" s="55">
        <f>' Royal Ravens Stats'!N5</f>
        <v>121</v>
      </c>
      <c r="O36" s="55">
        <f>' Royal Ravens Stats'!M5</f>
        <v>10660</v>
      </c>
      <c r="P36" s="140">
        <f>' Royal Ravens Stats'!$B$8</f>
        <v>3</v>
      </c>
    </row>
    <row r="37" spans="1:16" x14ac:dyDescent="0.25">
      <c r="A37" s="138" t="s">
        <v>44</v>
      </c>
      <c r="B37" s="65" t="s">
        <v>41</v>
      </c>
      <c r="C37" s="55">
        <f>' Royal Ravens Stats'!B6</f>
        <v>80</v>
      </c>
      <c r="D37" s="55">
        <f>' Royal Ravens Stats'!C6</f>
        <v>60</v>
      </c>
      <c r="E37" s="57">
        <f>' Royal Ravens Stats'!D6</f>
        <v>1.3333333333333333</v>
      </c>
      <c r="F37" s="55">
        <f>' Royal Ravens Stats'!E6</f>
        <v>20</v>
      </c>
      <c r="G37" s="55">
        <f>' Royal Ravens Stats'!F6</f>
        <v>140</v>
      </c>
      <c r="H37" s="55">
        <f>' Royal Ravens Stats'!G6</f>
        <v>23</v>
      </c>
      <c r="I37" s="55">
        <f>' Royal Ravens Stats'!H6</f>
        <v>61</v>
      </c>
      <c r="J37" s="58">
        <f>' Royal Ravens Stats'!I6</f>
        <v>0.2507836990595611</v>
      </c>
      <c r="K37" s="58">
        <f>' Royal Ravens Stats'!J6</f>
        <v>0.21276595744680851</v>
      </c>
      <c r="L37" s="57">
        <f>' Royal Ravens Stats'!K6</f>
        <v>26.666666666666668</v>
      </c>
      <c r="M37" s="57">
        <f>' Royal Ravens Stats'!L6</f>
        <v>20</v>
      </c>
      <c r="N37" s="55">
        <f>' Royal Ravens Stats'!N6</f>
        <v>215</v>
      </c>
      <c r="O37" s="55">
        <f>' Royal Ravens Stats'!M6</f>
        <v>8755</v>
      </c>
      <c r="P37" s="140">
        <f>' Royal Ravens Stats'!$B$8</f>
        <v>3</v>
      </c>
    </row>
    <row r="38" spans="1:16" x14ac:dyDescent="0.25">
      <c r="A38" s="138" t="s">
        <v>88</v>
      </c>
      <c r="B38" s="60" t="s">
        <v>45</v>
      </c>
      <c r="C38" s="55">
        <f>'Rokkr Stats'!B3</f>
        <v>108</v>
      </c>
      <c r="D38" s="55">
        <f>'Rokkr Stats'!C3</f>
        <v>121</v>
      </c>
      <c r="E38" s="57">
        <f>'Rokkr Stats'!D3</f>
        <v>0.8925619834710744</v>
      </c>
      <c r="F38" s="55">
        <f>'Rokkr Stats'!E3</f>
        <v>-13</v>
      </c>
      <c r="G38" s="55">
        <f>'Rokkr Stats'!F3</f>
        <v>229</v>
      </c>
      <c r="H38" s="55">
        <f>'Rokkr Stats'!G3</f>
        <v>22</v>
      </c>
      <c r="I38" s="55">
        <f>'Rokkr Stats'!H3</f>
        <v>80</v>
      </c>
      <c r="J38" s="58">
        <f>'Rokkr Stats'!I3</f>
        <v>0.23076923076923078</v>
      </c>
      <c r="K38" s="58">
        <f>'Rokkr Stats'!J3</f>
        <v>0.2474437627811861</v>
      </c>
      <c r="L38" s="57">
        <f>'Rokkr Stats'!K3</f>
        <v>21.6</v>
      </c>
      <c r="M38" s="57">
        <f>'Rokkr Stats'!L3</f>
        <v>24.2</v>
      </c>
      <c r="N38" s="55">
        <f>'Rokkr Stats'!N3</f>
        <v>190</v>
      </c>
      <c r="O38" s="55">
        <f>'Rokkr Stats'!M3</f>
        <v>13123</v>
      </c>
      <c r="P38" s="140">
        <f>'Rokkr Stats'!$B$8</f>
        <v>5</v>
      </c>
    </row>
    <row r="39" spans="1:16" x14ac:dyDescent="0.25">
      <c r="A39" s="138" t="s">
        <v>46</v>
      </c>
      <c r="B39" s="60" t="s">
        <v>45</v>
      </c>
      <c r="C39" s="55">
        <f>'Rokkr Stats'!B4</f>
        <v>127</v>
      </c>
      <c r="D39" s="55">
        <f>'Rokkr Stats'!C4</f>
        <v>133</v>
      </c>
      <c r="E39" s="57">
        <f>'Rokkr Stats'!D4</f>
        <v>0.95488721804511278</v>
      </c>
      <c r="F39" s="55">
        <f>'Rokkr Stats'!E4</f>
        <v>-6</v>
      </c>
      <c r="G39" s="55">
        <f>'Rokkr Stats'!F4</f>
        <v>260</v>
      </c>
      <c r="H39" s="55">
        <f>'Rokkr Stats'!G4</f>
        <v>37</v>
      </c>
      <c r="I39" s="55">
        <f>'Rokkr Stats'!H4</f>
        <v>86</v>
      </c>
      <c r="J39" s="58">
        <f>'Rokkr Stats'!I4</f>
        <v>0.27136752136752135</v>
      </c>
      <c r="K39" s="58">
        <f>'Rokkr Stats'!J4</f>
        <v>0.27198364008179959</v>
      </c>
      <c r="L39" s="57">
        <f>'Rokkr Stats'!K4</f>
        <v>25.4</v>
      </c>
      <c r="M39" s="57">
        <f>'Rokkr Stats'!L4</f>
        <v>26.6</v>
      </c>
      <c r="N39" s="55">
        <f>'Rokkr Stats'!N4</f>
        <v>248</v>
      </c>
      <c r="O39" s="55">
        <f>'Rokkr Stats'!M4</f>
        <v>15095</v>
      </c>
      <c r="P39" s="140">
        <f>'Rokkr Stats'!$B$8</f>
        <v>5</v>
      </c>
    </row>
    <row r="40" spans="1:16" x14ac:dyDescent="0.25">
      <c r="A40" s="138" t="s">
        <v>47</v>
      </c>
      <c r="B40" s="60" t="s">
        <v>45</v>
      </c>
      <c r="C40" s="55">
        <f>'Rokkr Stats'!B5</f>
        <v>113</v>
      </c>
      <c r="D40" s="55">
        <f>'Rokkr Stats'!C5</f>
        <v>114</v>
      </c>
      <c r="E40" s="69">
        <f>'Rokkr Stats'!D5</f>
        <v>0.99122807017543857</v>
      </c>
      <c r="F40" s="55">
        <f>'Rokkr Stats'!E5</f>
        <v>-1</v>
      </c>
      <c r="G40" s="55">
        <f>'Rokkr Stats'!F5</f>
        <v>227</v>
      </c>
      <c r="H40" s="55">
        <f>'Rokkr Stats'!G5</f>
        <v>34</v>
      </c>
      <c r="I40" s="55">
        <f>'Rokkr Stats'!H5</f>
        <v>84</v>
      </c>
      <c r="J40" s="58">
        <f>'Rokkr Stats'!I5</f>
        <v>0.24145299145299146</v>
      </c>
      <c r="K40" s="58">
        <f>'Rokkr Stats'!J5</f>
        <v>0.23312883435582821</v>
      </c>
      <c r="L40" s="57">
        <f>'Rokkr Stats'!K5</f>
        <v>22.6</v>
      </c>
      <c r="M40" s="57">
        <f>'Rokkr Stats'!L5</f>
        <v>22.8</v>
      </c>
      <c r="N40" s="55">
        <f>'Rokkr Stats'!N5</f>
        <v>382</v>
      </c>
      <c r="O40" s="55">
        <f>'Rokkr Stats'!M5</f>
        <v>11592</v>
      </c>
      <c r="P40" s="140">
        <f>'Rokkr Stats'!$B$8</f>
        <v>5</v>
      </c>
    </row>
    <row r="41" spans="1:16" x14ac:dyDescent="0.25">
      <c r="A41" s="138" t="s">
        <v>48</v>
      </c>
      <c r="B41" s="60" t="s">
        <v>45</v>
      </c>
      <c r="C41" s="55">
        <f>'Rokkr Stats'!B6</f>
        <v>120</v>
      </c>
      <c r="D41" s="55">
        <f>'Rokkr Stats'!C6</f>
        <v>121</v>
      </c>
      <c r="E41" s="69">
        <f>'Rokkr Stats'!D6</f>
        <v>0.99173553719008267</v>
      </c>
      <c r="F41" s="55">
        <f>'Rokkr Stats'!E6</f>
        <v>-1</v>
      </c>
      <c r="G41" s="55">
        <f>'Rokkr Stats'!F6</f>
        <v>241</v>
      </c>
      <c r="H41" s="55">
        <f>'Rokkr Stats'!G6</f>
        <v>45</v>
      </c>
      <c r="I41" s="55">
        <f>'Rokkr Stats'!H6</f>
        <v>78</v>
      </c>
      <c r="J41" s="58">
        <f>'Rokkr Stats'!I6</f>
        <v>0.25641025641025639</v>
      </c>
      <c r="K41" s="58">
        <f>'Rokkr Stats'!J6</f>
        <v>0.2474437627811861</v>
      </c>
      <c r="L41" s="57">
        <f>'Rokkr Stats'!K6</f>
        <v>24</v>
      </c>
      <c r="M41" s="57">
        <f>'Rokkr Stats'!L6</f>
        <v>24.2</v>
      </c>
      <c r="N41" s="55">
        <f>'Rokkr Stats'!N6</f>
        <v>408</v>
      </c>
      <c r="O41" s="55">
        <f>'Rokkr Stats'!M6</f>
        <v>13049</v>
      </c>
      <c r="P41" s="140">
        <f>'Rokkr Stats'!$B$8</f>
        <v>5</v>
      </c>
    </row>
    <row r="42" spans="1:16" x14ac:dyDescent="0.25">
      <c r="A42" s="138" t="s">
        <v>49</v>
      </c>
      <c r="B42" s="66" t="s">
        <v>50</v>
      </c>
      <c r="C42" s="55">
        <f>'Surge Stats'!B3</f>
        <v>27</v>
      </c>
      <c r="D42" s="55">
        <f>'Surge Stats'!C3</f>
        <v>25</v>
      </c>
      <c r="E42" s="57">
        <f>'Surge Stats'!D3</f>
        <v>1.08</v>
      </c>
      <c r="F42" s="55">
        <f>'Surge Stats'!E3</f>
        <v>2</v>
      </c>
      <c r="G42" s="55">
        <f>'Surge Stats'!F3</f>
        <v>52</v>
      </c>
      <c r="H42" s="55">
        <f>'Surge Stats'!G3</f>
        <v>8</v>
      </c>
      <c r="I42" s="55">
        <f>'Surge Stats'!H3</f>
        <v>18</v>
      </c>
      <c r="J42" s="58">
        <f>'Surge Stats'!I3</f>
        <v>0.30337078651685395</v>
      </c>
      <c r="K42" s="58">
        <f>'Surge Stats'!J3</f>
        <v>0.22727272727272727</v>
      </c>
      <c r="L42" s="57">
        <f>'Surge Stats'!K3</f>
        <v>27</v>
      </c>
      <c r="M42" s="57">
        <f>'Surge Stats'!L3</f>
        <v>25</v>
      </c>
      <c r="N42" s="55">
        <f>'Surge Stats'!N3</f>
        <v>62</v>
      </c>
      <c r="O42" s="55">
        <f>'Surge Stats'!M3</f>
        <v>3240</v>
      </c>
      <c r="P42" s="140">
        <f>'Surge Stats'!$B$8</f>
        <v>1</v>
      </c>
    </row>
    <row r="43" spans="1:16" x14ac:dyDescent="0.25">
      <c r="A43" s="138" t="s">
        <v>51</v>
      </c>
      <c r="B43" s="66" t="s">
        <v>50</v>
      </c>
      <c r="C43" s="55">
        <f>'Surge Stats'!B4</f>
        <v>16</v>
      </c>
      <c r="D43" s="55">
        <f>'Surge Stats'!C4</f>
        <v>29</v>
      </c>
      <c r="E43" s="57">
        <f>'Surge Stats'!D4</f>
        <v>0.55172413793103448</v>
      </c>
      <c r="F43" s="55">
        <f>'Surge Stats'!E4</f>
        <v>-13</v>
      </c>
      <c r="G43" s="55">
        <f>'Surge Stats'!F4</f>
        <v>45</v>
      </c>
      <c r="H43" s="55">
        <f>'Surge Stats'!G4</f>
        <v>3</v>
      </c>
      <c r="I43" s="55">
        <f>'Surge Stats'!H4</f>
        <v>10</v>
      </c>
      <c r="J43" s="58">
        <f>'Surge Stats'!I4</f>
        <v>0.1797752808988764</v>
      </c>
      <c r="K43" s="58">
        <f>'Surge Stats'!J4</f>
        <v>0.26363636363636361</v>
      </c>
      <c r="L43" s="57">
        <f>'Surge Stats'!K4</f>
        <v>16</v>
      </c>
      <c r="M43" s="57">
        <f>'Surge Stats'!L4</f>
        <v>29</v>
      </c>
      <c r="N43" s="55">
        <f>'Surge Stats'!N4</f>
        <v>16</v>
      </c>
      <c r="O43" s="55">
        <f>'Surge Stats'!M4</f>
        <v>2461</v>
      </c>
      <c r="P43" s="140">
        <f>'Surge Stats'!$B$8</f>
        <v>1</v>
      </c>
    </row>
    <row r="44" spans="1:16" x14ac:dyDescent="0.25">
      <c r="A44" s="138" t="s">
        <v>52</v>
      </c>
      <c r="B44" s="66" t="s">
        <v>50</v>
      </c>
      <c r="C44" s="55">
        <f>'Surge Stats'!B5</f>
        <v>21</v>
      </c>
      <c r="D44" s="55">
        <f>'Surge Stats'!C5</f>
        <v>28</v>
      </c>
      <c r="E44" s="57">
        <f>'Surge Stats'!D5</f>
        <v>0.75</v>
      </c>
      <c r="F44" s="55">
        <f>'Surge Stats'!E5</f>
        <v>-7</v>
      </c>
      <c r="G44" s="55">
        <f>'Surge Stats'!F5</f>
        <v>49</v>
      </c>
      <c r="H44" s="55">
        <f>'Surge Stats'!G5</f>
        <v>7</v>
      </c>
      <c r="I44" s="55">
        <f>'Surge Stats'!H5</f>
        <v>17</v>
      </c>
      <c r="J44" s="58">
        <f>'Surge Stats'!I5</f>
        <v>0.23595505617977527</v>
      </c>
      <c r="K44" s="58">
        <f>'Surge Stats'!J5</f>
        <v>0.25454545454545452</v>
      </c>
      <c r="L44" s="57">
        <f>'Surge Stats'!K5</f>
        <v>21</v>
      </c>
      <c r="M44" s="57">
        <f>'Surge Stats'!L5</f>
        <v>28</v>
      </c>
      <c r="N44" s="55">
        <f>'Surge Stats'!N5</f>
        <v>42</v>
      </c>
      <c r="O44" s="55">
        <f>'Surge Stats'!M5</f>
        <v>2967</v>
      </c>
      <c r="P44" s="140">
        <f>'Surge Stats'!$B$8</f>
        <v>1</v>
      </c>
    </row>
    <row r="45" spans="1:16" x14ac:dyDescent="0.25">
      <c r="A45" s="138" t="s">
        <v>53</v>
      </c>
      <c r="B45" s="66" t="s">
        <v>50</v>
      </c>
      <c r="C45" s="55">
        <f>'Surge Stats'!B6</f>
        <v>25</v>
      </c>
      <c r="D45" s="55">
        <f>'Surge Stats'!C6</f>
        <v>28</v>
      </c>
      <c r="E45" s="57">
        <f>'Surge Stats'!D6</f>
        <v>0.8928571428571429</v>
      </c>
      <c r="F45" s="55">
        <f>'Surge Stats'!E6</f>
        <v>-3</v>
      </c>
      <c r="G45" s="55">
        <f>'Surge Stats'!F6</f>
        <v>53</v>
      </c>
      <c r="H45" s="55">
        <f>'Surge Stats'!G6</f>
        <v>11</v>
      </c>
      <c r="I45" s="55">
        <f>'Surge Stats'!H6</f>
        <v>16</v>
      </c>
      <c r="J45" s="58">
        <f>'Surge Stats'!I6</f>
        <v>0.2808988764044944</v>
      </c>
      <c r="K45" s="58">
        <f>'Surge Stats'!J6</f>
        <v>0.25454545454545452</v>
      </c>
      <c r="L45" s="57">
        <f>'Surge Stats'!K6</f>
        <v>25</v>
      </c>
      <c r="M45" s="57">
        <f>'Surge Stats'!L6</f>
        <v>28</v>
      </c>
      <c r="N45" s="55">
        <f>'Surge Stats'!N6</f>
        <v>67</v>
      </c>
      <c r="O45" s="55">
        <f>'Surge Stats'!M6</f>
        <v>2635</v>
      </c>
      <c r="P45" s="140">
        <f>'Surge Stats'!$B$8</f>
        <v>1</v>
      </c>
    </row>
    <row r="46" spans="1:16" x14ac:dyDescent="0.25">
      <c r="A46" s="138" t="s">
        <v>54</v>
      </c>
      <c r="B46" s="67" t="s">
        <v>55</v>
      </c>
      <c r="C46" s="55">
        <f>'Ultra Stats'!B3</f>
        <v>174</v>
      </c>
      <c r="D46" s="55">
        <f>'Ultra Stats'!C3</f>
        <v>182</v>
      </c>
      <c r="E46" s="57">
        <f>'Ultra Stats'!D3</f>
        <v>0.95604395604395609</v>
      </c>
      <c r="F46" s="55">
        <f>'Ultra Stats'!E3</f>
        <v>-8</v>
      </c>
      <c r="G46" s="55">
        <f>'Ultra Stats'!F3</f>
        <v>356</v>
      </c>
      <c r="H46" s="55">
        <f>'Ultra Stats'!G3</f>
        <v>47</v>
      </c>
      <c r="I46" s="55">
        <f>'Ultra Stats'!H3</f>
        <v>112</v>
      </c>
      <c r="J46" s="58">
        <f>'Ultra Stats'!I3</f>
        <v>0.26605504587155965</v>
      </c>
      <c r="K46" s="58">
        <f>'Ultra Stats'!J3</f>
        <v>0.24694708276797828</v>
      </c>
      <c r="L46" s="57">
        <f>'Ultra Stats'!K3</f>
        <v>24.857142857142858</v>
      </c>
      <c r="M46" s="57">
        <f>'Ultra Stats'!L3</f>
        <v>26</v>
      </c>
      <c r="N46" s="55">
        <f>'Ultra Stats'!N3</f>
        <v>336</v>
      </c>
      <c r="O46" s="55">
        <f>'Ultra Stats'!M3</f>
        <v>21115</v>
      </c>
      <c r="P46" s="140">
        <f>'Ultra Stats'!$B$8</f>
        <v>7</v>
      </c>
    </row>
    <row r="47" spans="1:16" x14ac:dyDescent="0.25">
      <c r="A47" s="138" t="s">
        <v>56</v>
      </c>
      <c r="B47" s="67" t="s">
        <v>55</v>
      </c>
      <c r="C47" s="55">
        <f>'Ultra Stats'!B4</f>
        <v>193</v>
      </c>
      <c r="D47" s="55">
        <f>'Ultra Stats'!C4</f>
        <v>212</v>
      </c>
      <c r="E47" s="57">
        <f>'Ultra Stats'!D4</f>
        <v>0.910377358490566</v>
      </c>
      <c r="F47" s="55">
        <f>'Ultra Stats'!E4</f>
        <v>-19</v>
      </c>
      <c r="G47" s="55">
        <f>'Ultra Stats'!F4</f>
        <v>405</v>
      </c>
      <c r="H47" s="55">
        <f>'Ultra Stats'!G4</f>
        <v>62</v>
      </c>
      <c r="I47" s="55">
        <f>'Ultra Stats'!H4</f>
        <v>130</v>
      </c>
      <c r="J47" s="58">
        <f>'Ultra Stats'!I4</f>
        <v>0.29510703363914376</v>
      </c>
      <c r="K47" s="58">
        <f>'Ultra Stats'!J4</f>
        <v>0.28765264586160111</v>
      </c>
      <c r="L47" s="57">
        <f>'Ultra Stats'!K4</f>
        <v>27.571428571428573</v>
      </c>
      <c r="M47" s="57">
        <f>'Ultra Stats'!L4</f>
        <v>30.285714285714285</v>
      </c>
      <c r="N47" s="55">
        <f>'Ultra Stats'!N4</f>
        <v>433</v>
      </c>
      <c r="O47" s="55">
        <f>'Ultra Stats'!M4</f>
        <v>23030</v>
      </c>
      <c r="P47" s="140">
        <f>'Ultra Stats'!$B$8</f>
        <v>7</v>
      </c>
    </row>
    <row r="48" spans="1:16" x14ac:dyDescent="0.25">
      <c r="A48" s="138" t="s">
        <v>57</v>
      </c>
      <c r="B48" s="67" t="s">
        <v>55</v>
      </c>
      <c r="C48" s="55">
        <f>'Ultra Stats'!B5</f>
        <v>138</v>
      </c>
      <c r="D48" s="55">
        <f>'Ultra Stats'!C5</f>
        <v>167</v>
      </c>
      <c r="E48" s="57">
        <f>'Ultra Stats'!D5</f>
        <v>0.82634730538922152</v>
      </c>
      <c r="F48" s="55">
        <f>'Ultra Stats'!E5</f>
        <v>-29</v>
      </c>
      <c r="G48" s="55">
        <f>'Ultra Stats'!F5</f>
        <v>305</v>
      </c>
      <c r="H48" s="55">
        <f>'Ultra Stats'!G5</f>
        <v>45</v>
      </c>
      <c r="I48" s="55">
        <f>'Ultra Stats'!H5</f>
        <v>94</v>
      </c>
      <c r="J48" s="58">
        <f>'Ultra Stats'!I5</f>
        <v>0.21100917431192662</v>
      </c>
      <c r="K48" s="58">
        <f>'Ultra Stats'!J5</f>
        <v>0.22659430122116689</v>
      </c>
      <c r="L48" s="57">
        <f>'Ultra Stats'!K5</f>
        <v>19.714285714285715</v>
      </c>
      <c r="M48" s="57">
        <f>'Ultra Stats'!L5</f>
        <v>23.857142857142858</v>
      </c>
      <c r="N48" s="55">
        <f>'Ultra Stats'!N5</f>
        <v>540</v>
      </c>
      <c r="O48" s="55">
        <f>'Ultra Stats'!M5</f>
        <v>17038</v>
      </c>
      <c r="P48" s="140">
        <f>'Ultra Stats'!$B$8</f>
        <v>7</v>
      </c>
    </row>
    <row r="49" spans="1:16" x14ac:dyDescent="0.25">
      <c r="A49" s="144" t="s">
        <v>58</v>
      </c>
      <c r="B49" s="145" t="s">
        <v>55</v>
      </c>
      <c r="C49" s="146">
        <f>'Ultra Stats'!B6</f>
        <v>149</v>
      </c>
      <c r="D49" s="146">
        <f>'Ultra Stats'!C6</f>
        <v>176</v>
      </c>
      <c r="E49" s="147">
        <f>'Ultra Stats'!D6</f>
        <v>0.84659090909090906</v>
      </c>
      <c r="F49" s="146">
        <f>'Ultra Stats'!E6</f>
        <v>-27</v>
      </c>
      <c r="G49" s="146">
        <f>'Ultra Stats'!F6</f>
        <v>325</v>
      </c>
      <c r="H49" s="146">
        <f>'Ultra Stats'!G6</f>
        <v>47</v>
      </c>
      <c r="I49" s="146">
        <f>'Ultra Stats'!H6</f>
        <v>94</v>
      </c>
      <c r="J49" s="148">
        <f>'Ultra Stats'!I6</f>
        <v>0.22782874617737003</v>
      </c>
      <c r="K49" s="148">
        <f>'Ultra Stats'!J6</f>
        <v>0.23880597014925373</v>
      </c>
      <c r="L49" s="147">
        <f>'Ultra Stats'!K6</f>
        <v>21.285714285714285</v>
      </c>
      <c r="M49" s="147">
        <f>'Ultra Stats'!L6</f>
        <v>25.142857142857142</v>
      </c>
      <c r="N49" s="146">
        <f>'Ultra Stats'!N6</f>
        <v>414</v>
      </c>
      <c r="O49" s="146">
        <f>'Ultra Stats'!M6</f>
        <v>18235</v>
      </c>
      <c r="P49" s="149">
        <f>'Ultra Stats'!$B$8</f>
        <v>7</v>
      </c>
    </row>
    <row r="50" spans="1:16" x14ac:dyDescent="0.25">
      <c r="E50" s="53"/>
      <c r="K50" s="54"/>
      <c r="L50" s="53"/>
      <c r="M50" s="53"/>
    </row>
    <row r="51" spans="1:16" x14ac:dyDescent="0.25">
      <c r="A51" s="32"/>
    </row>
  </sheetData>
  <mergeCells count="1">
    <mergeCell ref="T1:AG1"/>
  </mergeCells>
  <conditionalFormatting sqref="E2:E49">
    <cfRule type="cellIs" dxfId="49" priority="14" operator="equal">
      <formula>0.99</formula>
    </cfRule>
    <cfRule type="cellIs" dxfId="48" priority="16" operator="equal">
      <formula>0.99</formula>
    </cfRule>
    <cfRule type="cellIs" dxfId="47" priority="17" operator="between">
      <formula>0.98</formula>
      <formula>0.99</formula>
    </cfRule>
    <cfRule type="cellIs" dxfId="46" priority="18" operator="lessThan">
      <formula>0.98</formula>
    </cfRule>
    <cfRule type="cellIs" dxfId="45" priority="19" operator="greaterThan">
      <formula>1</formula>
    </cfRule>
  </conditionalFormatting>
  <conditionalFormatting sqref="G2:G49">
    <cfRule type="cellIs" dxfId="44" priority="1" operator="between">
      <formula>194</formula>
      <formula>195</formula>
    </cfRule>
    <cfRule type="cellIs" dxfId="43" priority="2" operator="lessThan">
      <formula>194</formula>
    </cfRule>
    <cfRule type="cellIs" dxfId="42" priority="3" operator="greaterThan">
      <formula>195</formula>
    </cfRule>
  </conditionalFormatting>
  <conditionalFormatting sqref="L2:M49">
    <cfRule type="cellIs" dxfId="41" priority="7" operator="between">
      <formula>24</formula>
      <formula>25</formula>
    </cfRule>
    <cfRule type="cellIs" dxfId="40" priority="9" operator="lessThan">
      <formula>24</formula>
    </cfRule>
    <cfRule type="cellIs" dxfId="39" priority="10" operator="greaterThan">
      <formula>25</formula>
    </cfRule>
  </conditionalFormatting>
  <conditionalFormatting sqref="M2:M49">
    <cfRule type="cellIs" dxfId="38" priority="8" operator="between">
      <formula>24</formula>
      <formula>25</formula>
    </cfRule>
  </conditionalFormatting>
  <conditionalFormatting sqref="N2:N49">
    <cfRule type="cellIs" dxfId="37" priority="4" operator="between">
      <formula>245</formula>
      <formula>246</formula>
    </cfRule>
    <cfRule type="cellIs" dxfId="36" priority="5" operator="lessThan">
      <formula>245</formula>
    </cfRule>
    <cfRule type="cellIs" dxfId="35" priority="6" operator="greaterThan">
      <formula>246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J49"/>
  <sheetViews>
    <sheetView workbookViewId="0">
      <selection activeCell="B7" sqref="B7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29" max="29" width="11" bestFit="1" customWidth="1"/>
    <col min="33" max="33" width="12.85546875" bestFit="1" customWidth="1"/>
    <col min="36" max="36" width="9.5703125" bestFit="1" customWidth="1"/>
  </cols>
  <sheetData>
    <row r="1" spans="1:36" ht="31.5" x14ac:dyDescent="0.5">
      <c r="A1" s="107" t="s">
        <v>78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9"/>
      <c r="O1" s="32"/>
      <c r="P1" s="110" t="s">
        <v>83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22"/>
      <c r="AC1" s="107" t="s">
        <v>87</v>
      </c>
      <c r="AD1" s="108"/>
      <c r="AE1" s="108"/>
      <c r="AF1" s="108"/>
      <c r="AG1" s="108"/>
      <c r="AH1" s="108"/>
      <c r="AI1" s="108"/>
      <c r="AJ1" s="109"/>
    </row>
    <row r="2" spans="1:36" x14ac:dyDescent="0.25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6" t="s">
        <v>75</v>
      </c>
      <c r="AA2" s="7" t="s">
        <v>67</v>
      </c>
      <c r="AC2" s="5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7" t="s">
        <v>73</v>
      </c>
    </row>
    <row r="3" spans="1:36" x14ac:dyDescent="0.25">
      <c r="A3" s="42" t="s">
        <v>30</v>
      </c>
      <c r="B3" s="32">
        <f>18+29+33+30+27+32+31+26+35+32</f>
        <v>293</v>
      </c>
      <c r="C3" s="32">
        <f>25+22+30+16+21+22+20+19+28+17</f>
        <v>220</v>
      </c>
      <c r="D3" s="39">
        <f>B3/C3</f>
        <v>1.3318181818181818</v>
      </c>
      <c r="E3" s="32">
        <f>B3-C3</f>
        <v>73</v>
      </c>
      <c r="F3" s="32">
        <f>B3+C3</f>
        <v>513</v>
      </c>
      <c r="G3" s="32">
        <f>3+6+7+6+9+10+5+4+7+6</f>
        <v>63</v>
      </c>
      <c r="H3" s="32">
        <f>13+19+26+25+21+27+24+19+24+24</f>
        <v>222</v>
      </c>
      <c r="I3" s="38">
        <f>B3/$B$7</f>
        <v>0.2906746031746032</v>
      </c>
      <c r="J3" s="38">
        <f>C3/$C$7</f>
        <v>0.24229074889867841</v>
      </c>
      <c r="K3" s="39">
        <f>AVERAGE(B3/$B$8)</f>
        <v>29.3</v>
      </c>
      <c r="L3" s="39">
        <f>AVERAGE(C3/$B$8)</f>
        <v>22</v>
      </c>
      <c r="M3" s="32">
        <f>2137+2963+4122+3030+2850+3691+3628+2990+3802+3613</f>
        <v>32826</v>
      </c>
      <c r="N3" s="43">
        <f>35+49+40+36+74+58+30+30+35+25</f>
        <v>412</v>
      </c>
      <c r="O3" s="32"/>
      <c r="P3" s="42" t="s">
        <v>30</v>
      </c>
      <c r="Q3" s="8">
        <f>11+7+10+12+8+6+8+11+7+11+8</f>
        <v>99</v>
      </c>
      <c r="R3" s="8">
        <f>6+8+4+4+5+5+5+2+5+8+5</f>
        <v>57</v>
      </c>
      <c r="S3" s="9">
        <f>Q3/R3</f>
        <v>1.736842105263158</v>
      </c>
      <c r="T3" s="8">
        <f>Q3-R3</f>
        <v>42</v>
      </c>
      <c r="U3" s="10">
        <f>Q3/$Q$7</f>
        <v>0.31832797427652731</v>
      </c>
      <c r="V3" s="10">
        <f>R3/$R$7</f>
        <v>0.23949579831932774</v>
      </c>
      <c r="W3" s="8">
        <f>1+2+1+3+1+1+2+2+4+2+2</f>
        <v>21</v>
      </c>
      <c r="X3" s="8">
        <f>0+3+1+0+0+1+1+1+0+3+0</f>
        <v>10</v>
      </c>
      <c r="Y3" s="8">
        <f>0+0+0+0+0+1+0+0+0+0+0</f>
        <v>1</v>
      </c>
      <c r="Z3" s="9">
        <f>Q3/$Q$9</f>
        <v>1.010204081632653</v>
      </c>
      <c r="AA3" s="14">
        <f>Q3+R3</f>
        <v>156</v>
      </c>
      <c r="AC3" s="23" t="s">
        <v>30</v>
      </c>
      <c r="AD3" s="8">
        <f>36+22+28+21+23+24+18+19</f>
        <v>191</v>
      </c>
      <c r="AE3" s="8">
        <f>38+15+25+24+20+18+18+25</f>
        <v>183</v>
      </c>
      <c r="AF3" s="9">
        <f>AD3/AE3</f>
        <v>1.0437158469945356</v>
      </c>
      <c r="AG3" s="8">
        <f>AD3+AE3</f>
        <v>374</v>
      </c>
      <c r="AH3" s="8">
        <f>1+7+3+0+1+5+3+3</f>
        <v>23</v>
      </c>
      <c r="AI3" s="10">
        <f>AD3/$AD$7</f>
        <v>0.28635682158920539</v>
      </c>
      <c r="AJ3" s="30">
        <f>AE3/$AE$7</f>
        <v>0.26715328467153282</v>
      </c>
    </row>
    <row r="4" spans="1:36" x14ac:dyDescent="0.25">
      <c r="A4" s="37" t="s">
        <v>32</v>
      </c>
      <c r="B4" s="32">
        <f>26+24+28+28+20+33+29+27+30+29</f>
        <v>274</v>
      </c>
      <c r="C4" s="32">
        <f>26+18+33+21+27+29+23+19+36+26</f>
        <v>258</v>
      </c>
      <c r="D4" s="39">
        <f t="shared" ref="D4:D6" si="0">B4/C4</f>
        <v>1.0620155038759691</v>
      </c>
      <c r="E4" s="32">
        <f t="shared" ref="E4:E6" si="1">B4-C4</f>
        <v>16</v>
      </c>
      <c r="F4" s="32">
        <f t="shared" ref="F4:F6" si="2">B4+C4</f>
        <v>532</v>
      </c>
      <c r="G4" s="32">
        <f>7+9+7+9+2+14+6+9+15+17</f>
        <v>95</v>
      </c>
      <c r="H4" s="32">
        <f>14+17+16+18+17+20+84+23+18+19</f>
        <v>246</v>
      </c>
      <c r="I4" s="38">
        <f t="shared" ref="I4:I6" si="3">B4/$B$7</f>
        <v>0.2718253968253968</v>
      </c>
      <c r="J4" s="38">
        <f t="shared" ref="J4:J6" si="4">C4/$C$7</f>
        <v>0.28414096916299558</v>
      </c>
      <c r="K4" s="39">
        <f t="shared" ref="K4:L6" si="5">AVERAGE(B4/$B$8)</f>
        <v>27.4</v>
      </c>
      <c r="L4" s="39">
        <f t="shared" si="5"/>
        <v>25.8</v>
      </c>
      <c r="M4" s="32">
        <f>2975+2758+3267+3237+2638+3484+3390+2848+3365+3253</f>
        <v>31215</v>
      </c>
      <c r="N4" s="43">
        <f>35+70+83+42+97+49+84+96+111+83</f>
        <v>750</v>
      </c>
      <c r="O4" s="32"/>
      <c r="P4" s="37" t="s">
        <v>32</v>
      </c>
      <c r="Q4" s="8">
        <f>3+5+9+5+7+8+7+7+11+9+6</f>
        <v>77</v>
      </c>
      <c r="R4" s="8">
        <f>8+8+4+5+3+7+5+5+4+8+8</f>
        <v>65</v>
      </c>
      <c r="S4" s="9">
        <f t="shared" ref="S4:S6" si="6">Q4/R4</f>
        <v>1.1846153846153846</v>
      </c>
      <c r="T4" s="8">
        <f t="shared" ref="T4:T6" si="7">Q4-R4</f>
        <v>12</v>
      </c>
      <c r="U4" s="10">
        <f t="shared" ref="U4:U6" si="8">Q4/$Q$7</f>
        <v>0.24758842443729903</v>
      </c>
      <c r="V4" s="10">
        <f t="shared" ref="V4:V6" si="9">R4/$R$7</f>
        <v>0.27310924369747897</v>
      </c>
      <c r="W4" s="8">
        <f>2+1+3+1+2+1+0+3+3+1+2</f>
        <v>19</v>
      </c>
      <c r="X4" s="8">
        <f>1+0+1+1+1+1+0+0+1+4+0</f>
        <v>10</v>
      </c>
      <c r="Y4" s="8">
        <f>2+1+1+2+3+2+1+0+2+4+1</f>
        <v>19</v>
      </c>
      <c r="Z4" s="9">
        <f t="shared" ref="Z4:Z6" si="10">Q4/$Q$9</f>
        <v>0.7857142857142857</v>
      </c>
      <c r="AA4" s="14">
        <f t="shared" ref="AA4:AA6" si="11">Q4+R4</f>
        <v>142</v>
      </c>
      <c r="AC4" s="24" t="s">
        <v>32</v>
      </c>
      <c r="AD4" s="8">
        <f>34+18+25+35+15+18+12+27</f>
        <v>184</v>
      </c>
      <c r="AE4" s="8">
        <f>28+20+24+24+27+19+19+27</f>
        <v>188</v>
      </c>
      <c r="AF4" s="9">
        <f t="shared" ref="AF4:AF6" si="12">AD4/AE4</f>
        <v>0.97872340425531912</v>
      </c>
      <c r="AG4" s="8">
        <f t="shared" ref="AG4:AG6" si="13">AD4+AE4</f>
        <v>372</v>
      </c>
      <c r="AH4" s="8">
        <f>4+6+4+9+3+3+5+3+5</f>
        <v>42</v>
      </c>
      <c r="AI4" s="10">
        <f t="shared" ref="AI4:AI6" si="14">AD4/$AD$7</f>
        <v>0.27586206896551724</v>
      </c>
      <c r="AJ4" s="30">
        <f t="shared" ref="AJ4:AJ6" si="15">AE4/$AE$7</f>
        <v>0.27445255474452557</v>
      </c>
    </row>
    <row r="5" spans="1:36" x14ac:dyDescent="0.25">
      <c r="A5" s="37" t="s">
        <v>33</v>
      </c>
      <c r="B5" s="32">
        <f>16+26+29+22+22+23+24+20+21+17</f>
        <v>220</v>
      </c>
      <c r="C5" s="32">
        <f>18+20+28+22+22+22+23+22+33+21</f>
        <v>231</v>
      </c>
      <c r="D5" s="39">
        <f t="shared" si="0"/>
        <v>0.95238095238095233</v>
      </c>
      <c r="E5" s="32">
        <f t="shared" si="1"/>
        <v>-11</v>
      </c>
      <c r="F5" s="32">
        <f t="shared" si="2"/>
        <v>451</v>
      </c>
      <c r="G5" s="32">
        <f>3+2+5+6+5+9+4+5+5+4</f>
        <v>48</v>
      </c>
      <c r="H5" s="32">
        <f>13+21+22+14+18+17+15+11+15+11</f>
        <v>157</v>
      </c>
      <c r="I5" s="38">
        <f t="shared" si="3"/>
        <v>0.21825396825396826</v>
      </c>
      <c r="J5" s="38">
        <f t="shared" si="4"/>
        <v>0.25440528634361231</v>
      </c>
      <c r="K5" s="39">
        <f t="shared" si="5"/>
        <v>22</v>
      </c>
      <c r="L5" s="39">
        <f t="shared" si="5"/>
        <v>23.1</v>
      </c>
      <c r="M5" s="32">
        <f>2555+3970+3239+2736+2859+2852+2913+2310+2923+2164</f>
        <v>28521</v>
      </c>
      <c r="N5" s="43">
        <f>52+20+51+88+79+78+55+72+51+48</f>
        <v>594</v>
      </c>
      <c r="O5" s="32"/>
      <c r="P5" s="37" t="s">
        <v>33</v>
      </c>
      <c r="Q5" s="8">
        <f>8+7+5+8+3+7+7+4+6+10+5</f>
        <v>70</v>
      </c>
      <c r="R5" s="8">
        <f>4+7+7+5+3+6+8+3+3+7+5</f>
        <v>58</v>
      </c>
      <c r="S5" s="9">
        <f t="shared" si="6"/>
        <v>1.2068965517241379</v>
      </c>
      <c r="T5" s="8">
        <f t="shared" si="7"/>
        <v>12</v>
      </c>
      <c r="U5" s="10">
        <f t="shared" si="8"/>
        <v>0.22508038585209003</v>
      </c>
      <c r="V5" s="10">
        <f t="shared" si="9"/>
        <v>0.24369747899159663</v>
      </c>
      <c r="W5" s="8">
        <f>2+1+0+1+2+4+2+1+0+0+1</f>
        <v>14</v>
      </c>
      <c r="X5" s="8">
        <f>2+1+0+0+0+1+1+0+0+0+0</f>
        <v>5</v>
      </c>
      <c r="Y5" s="8">
        <f>2+1+0+0+0+0+2+1+0+1+1</f>
        <v>8</v>
      </c>
      <c r="Z5" s="9">
        <f t="shared" si="10"/>
        <v>0.7142857142857143</v>
      </c>
      <c r="AA5" s="14">
        <f t="shared" si="11"/>
        <v>128</v>
      </c>
      <c r="AC5" s="24" t="s">
        <v>33</v>
      </c>
      <c r="AD5" s="8">
        <f>26+20+29+30+18+25+3+19</f>
        <v>170</v>
      </c>
      <c r="AE5" s="8">
        <f>22+12+26+28+18+15+19+25</f>
        <v>165</v>
      </c>
      <c r="AF5" s="9">
        <f t="shared" si="12"/>
        <v>1.0303030303030303</v>
      </c>
      <c r="AG5" s="8">
        <f t="shared" si="13"/>
        <v>335</v>
      </c>
      <c r="AH5" s="8">
        <f>3+6+6+6+3+6+1+3</f>
        <v>34</v>
      </c>
      <c r="AI5" s="10">
        <f t="shared" si="14"/>
        <v>0.25487256371814093</v>
      </c>
      <c r="AJ5" s="30">
        <f t="shared" si="15"/>
        <v>0.24087591240875914</v>
      </c>
    </row>
    <row r="6" spans="1:36" x14ac:dyDescent="0.25">
      <c r="A6" s="37" t="s">
        <v>34</v>
      </c>
      <c r="B6" s="32">
        <f>18+25+25+23+20+26+22+22+23+17</f>
        <v>221</v>
      </c>
      <c r="C6" s="32">
        <f>21+16+25+14+22+22+19+18+24+18</f>
        <v>199</v>
      </c>
      <c r="D6" s="39">
        <f t="shared" si="0"/>
        <v>1.1105527638190955</v>
      </c>
      <c r="E6" s="32">
        <f t="shared" si="1"/>
        <v>22</v>
      </c>
      <c r="F6" s="32">
        <f t="shared" si="2"/>
        <v>420</v>
      </c>
      <c r="G6" s="32">
        <f>3+11+6+10+2+6+10+13+7+8</f>
        <v>76</v>
      </c>
      <c r="H6" s="32">
        <f>10+21+17+17+13+16+17+18+16+12</f>
        <v>157</v>
      </c>
      <c r="I6" s="38">
        <f t="shared" si="3"/>
        <v>0.21924603174603174</v>
      </c>
      <c r="J6" s="38">
        <f t="shared" si="4"/>
        <v>0.21916299559471367</v>
      </c>
      <c r="K6" s="39">
        <f t="shared" si="5"/>
        <v>22.1</v>
      </c>
      <c r="L6" s="39">
        <f t="shared" si="5"/>
        <v>19.899999999999999</v>
      </c>
      <c r="M6" s="32">
        <f>2360+2619+3332+3173+2706+2925+2809+2732+3212+2348</f>
        <v>28216</v>
      </c>
      <c r="N6" s="43">
        <f>34+134+83+110+31+93+106+85+80+128</f>
        <v>884</v>
      </c>
      <c r="O6" s="32"/>
      <c r="P6" s="37" t="s">
        <v>34</v>
      </c>
      <c r="Q6" s="8">
        <f>10+2+6+8+7+2+10+3+5+4+8</f>
        <v>65</v>
      </c>
      <c r="R6" s="8">
        <f>5+7+5+6+2+7+6+6+3+8+3</f>
        <v>58</v>
      </c>
      <c r="S6" s="9">
        <f t="shared" si="6"/>
        <v>1.1206896551724137</v>
      </c>
      <c r="T6" s="8">
        <f t="shared" si="7"/>
        <v>7</v>
      </c>
      <c r="U6" s="10">
        <f t="shared" si="8"/>
        <v>0.20900321543408359</v>
      </c>
      <c r="V6" s="10">
        <f t="shared" si="9"/>
        <v>0.24369747899159663</v>
      </c>
      <c r="W6" s="8">
        <f>1+1+1+4+1+0+3+0+0+1+1</f>
        <v>13</v>
      </c>
      <c r="X6" s="8">
        <f>0+1+2+0+0+0+1+0+0+0+0</f>
        <v>4</v>
      </c>
      <c r="Y6" s="8">
        <f>1+0+3+1+0+0+0+0+1+0+0</f>
        <v>6</v>
      </c>
      <c r="Z6" s="9">
        <f t="shared" si="10"/>
        <v>0.66326530612244894</v>
      </c>
      <c r="AA6" s="14">
        <f t="shared" si="11"/>
        <v>123</v>
      </c>
      <c r="AC6" s="24" t="s">
        <v>34</v>
      </c>
      <c r="AD6" s="8">
        <f>22+10+21+23+11+17+9+9</f>
        <v>122</v>
      </c>
      <c r="AE6" s="8">
        <f>24+11+22+22+18+15+17+20</f>
        <v>149</v>
      </c>
      <c r="AF6" s="9">
        <f t="shared" si="12"/>
        <v>0.81879194630872487</v>
      </c>
      <c r="AG6" s="8">
        <f t="shared" si="13"/>
        <v>271</v>
      </c>
      <c r="AH6" s="8">
        <f>2+1+5+7+6+1+0+2</f>
        <v>24</v>
      </c>
      <c r="AI6" s="10">
        <f t="shared" si="14"/>
        <v>0.18290854572713644</v>
      </c>
      <c r="AJ6" s="30">
        <f t="shared" si="15"/>
        <v>0.21751824817518248</v>
      </c>
    </row>
    <row r="7" spans="1:36" x14ac:dyDescent="0.25">
      <c r="A7" s="44" t="s">
        <v>79</v>
      </c>
      <c r="B7" s="32">
        <f>SUM(B3:B6)</f>
        <v>1008</v>
      </c>
      <c r="C7" s="32">
        <f>SUM(C3:C6)</f>
        <v>908</v>
      </c>
      <c r="D7" s="32"/>
      <c r="E7" s="32"/>
      <c r="F7" s="32">
        <f>SUM(F3:F6)</f>
        <v>1916</v>
      </c>
      <c r="G7" s="32">
        <f>SUM(G3:G6)</f>
        <v>282</v>
      </c>
      <c r="H7" s="32">
        <f>SUM(H3:H6)</f>
        <v>782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311</v>
      </c>
      <c r="R7" s="8">
        <f>SUM(R3:R6)</f>
        <v>238</v>
      </c>
      <c r="S7" s="8"/>
      <c r="T7" s="8"/>
      <c r="U7" s="8"/>
      <c r="V7" s="8"/>
      <c r="W7" s="8">
        <f>SUM(W3:W6)</f>
        <v>67</v>
      </c>
      <c r="X7" s="8">
        <f>SUM(X3:X6)</f>
        <v>29</v>
      </c>
      <c r="Y7" s="8">
        <f>SUM(Y3:Y6)</f>
        <v>34</v>
      </c>
      <c r="Z7" s="8"/>
      <c r="AA7" s="14">
        <f>SUM(AA3:AA6)</f>
        <v>549</v>
      </c>
      <c r="AC7" s="25" t="s">
        <v>79</v>
      </c>
      <c r="AD7" s="26">
        <f>SUM(AD3:AD6)</f>
        <v>667</v>
      </c>
      <c r="AE7" s="26">
        <f>SUM(AE3:AE6)</f>
        <v>685</v>
      </c>
      <c r="AF7" s="26"/>
      <c r="AG7" s="26">
        <f>SUM(AG3:AG6)</f>
        <v>1352</v>
      </c>
      <c r="AH7" s="26">
        <f>SUM(AH3:AH6)</f>
        <v>123</v>
      </c>
      <c r="AI7" s="26"/>
      <c r="AJ7" s="27"/>
    </row>
    <row r="8" spans="1:36" x14ac:dyDescent="0.25">
      <c r="A8" s="45" t="s">
        <v>80</v>
      </c>
      <c r="B8" s="46">
        <f>1+1+1+1+1+1+1+1+1+1</f>
        <v>10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 s="8">
        <f>1+1+1+1+1+1+1+1+1+1+1</f>
        <v>11</v>
      </c>
      <c r="AA8" s="2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26">
        <f>9+9+9+10+7+9+10+7+8+11+9</f>
        <v>98</v>
      </c>
      <c r="R9" s="3"/>
      <c r="S9" s="3"/>
      <c r="T9" s="3"/>
      <c r="U9" s="3"/>
      <c r="V9" s="3"/>
      <c r="W9" s="3"/>
      <c r="X9" s="3"/>
      <c r="Y9" s="3"/>
      <c r="Z9" s="3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18.7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3"/>
      <c r="R11" s="33"/>
      <c r="S11" s="33"/>
      <c r="T11" s="33"/>
      <c r="U11" s="33"/>
      <c r="V11" s="33"/>
      <c r="AC11" s="33"/>
      <c r="AD11" s="33"/>
      <c r="AE11" s="33"/>
      <c r="AF11" s="33"/>
      <c r="AG11" s="33"/>
      <c r="AH11" s="33"/>
      <c r="AI11" s="33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AC12" s="8"/>
      <c r="AD12" s="8"/>
      <c r="AE12" s="8"/>
      <c r="AF12" s="8"/>
      <c r="AG12" s="8"/>
      <c r="AH12" s="8"/>
      <c r="AI12" s="8"/>
    </row>
    <row r="13" spans="1:36" x14ac:dyDescent="0.25">
      <c r="A13" s="32"/>
      <c r="B13" s="32"/>
      <c r="C13" s="32"/>
      <c r="D13" s="32"/>
      <c r="E13" s="32"/>
      <c r="F13" s="32"/>
      <c r="G13" s="51"/>
      <c r="H13" s="32"/>
      <c r="I13" s="32"/>
      <c r="J13" s="32"/>
      <c r="K13" s="32"/>
      <c r="L13" s="32"/>
      <c r="M13" s="32"/>
      <c r="N13" s="32"/>
      <c r="O13" s="32"/>
      <c r="P13" s="32"/>
      <c r="Q13" s="8"/>
      <c r="AC13" s="8"/>
      <c r="AD13" s="8"/>
      <c r="AE13" s="8"/>
      <c r="AF13" s="8"/>
      <c r="AG13" s="8"/>
      <c r="AH13" s="8"/>
      <c r="AI13" s="29"/>
    </row>
    <row r="14" spans="1:36" x14ac:dyDescent="0.25">
      <c r="A14" s="32"/>
      <c r="B14" s="32"/>
      <c r="C14" s="32"/>
      <c r="D14" s="32"/>
      <c r="E14" s="32"/>
      <c r="F14" s="32"/>
      <c r="G14" s="51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29"/>
      <c r="AC14" s="8"/>
      <c r="AD14" s="8"/>
      <c r="AE14" s="8"/>
      <c r="AF14" s="8"/>
      <c r="AG14" s="8"/>
      <c r="AH14" s="8"/>
      <c r="AI14" s="29"/>
    </row>
    <row r="15" spans="1:36" x14ac:dyDescent="0.25">
      <c r="A15" s="32"/>
      <c r="B15" s="32"/>
      <c r="C15" s="32"/>
      <c r="D15" s="32"/>
      <c r="E15" s="32"/>
      <c r="F15" s="32"/>
      <c r="G15" s="51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29"/>
      <c r="AC15" s="8"/>
      <c r="AD15" s="8"/>
      <c r="AE15" s="8"/>
      <c r="AF15" s="8"/>
      <c r="AG15" s="8"/>
      <c r="AH15" s="8"/>
      <c r="AI15" s="29"/>
    </row>
    <row r="16" spans="1:36" x14ac:dyDescent="0.25">
      <c r="A16" s="32"/>
      <c r="B16" s="32"/>
      <c r="C16" s="32"/>
      <c r="D16" s="32"/>
      <c r="E16" s="32"/>
      <c r="F16" s="32"/>
      <c r="G16" s="51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29"/>
    </row>
    <row r="17" spans="1:22" x14ac:dyDescent="0.25">
      <c r="A17" s="32"/>
      <c r="B17" s="32"/>
      <c r="C17" s="32"/>
      <c r="D17" s="32"/>
      <c r="E17" s="32"/>
      <c r="F17" s="32"/>
      <c r="G17" s="51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29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3">
    <mergeCell ref="A1:N1"/>
    <mergeCell ref="P1:Z1"/>
    <mergeCell ref="AC1:AJ1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J49"/>
  <sheetViews>
    <sheetView workbookViewId="0">
      <selection activeCell="S33" sqref="S32:S33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29" max="29" width="11" bestFit="1" customWidth="1"/>
    <col min="33" max="33" width="12.85546875" bestFit="1" customWidth="1"/>
  </cols>
  <sheetData>
    <row r="1" spans="1:36" ht="31.5" x14ac:dyDescent="0.5">
      <c r="A1" s="112" t="s">
        <v>78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  <c r="O1" s="32"/>
      <c r="P1" s="115" t="s">
        <v>83</v>
      </c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7"/>
      <c r="AC1" s="112" t="s">
        <v>87</v>
      </c>
      <c r="AD1" s="113"/>
      <c r="AE1" s="113"/>
      <c r="AF1" s="113"/>
      <c r="AG1" s="113"/>
      <c r="AH1" s="113"/>
      <c r="AI1" s="113"/>
      <c r="AJ1" s="114"/>
    </row>
    <row r="2" spans="1:36" x14ac:dyDescent="0.25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6" t="s">
        <v>75</v>
      </c>
      <c r="AA2" s="7" t="s">
        <v>67</v>
      </c>
      <c r="AC2" s="5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7" t="s">
        <v>73</v>
      </c>
    </row>
    <row r="3" spans="1:36" x14ac:dyDescent="0.25">
      <c r="A3" s="42" t="s">
        <v>35</v>
      </c>
      <c r="B3" s="32">
        <f>15+19</f>
        <v>34</v>
      </c>
      <c r="C3" s="32">
        <f>23+21</f>
        <v>44</v>
      </c>
      <c r="D3" s="39">
        <f>B3/C3</f>
        <v>0.77272727272727271</v>
      </c>
      <c r="E3" s="32">
        <f>B3-C3</f>
        <v>-10</v>
      </c>
      <c r="F3" s="32">
        <f>B3+C3</f>
        <v>78</v>
      </c>
      <c r="G3" s="32">
        <f>1+2</f>
        <v>3</v>
      </c>
      <c r="H3" s="32">
        <f>11+10</f>
        <v>21</v>
      </c>
      <c r="I3" s="38">
        <f>B3/$B$7</f>
        <v>0.24113475177304963</v>
      </c>
      <c r="J3" s="38">
        <f>C3/$C$7</f>
        <v>0.21359223300970873</v>
      </c>
      <c r="K3" s="39">
        <f>AVERAGE(B3/$B$8)</f>
        <v>17</v>
      </c>
      <c r="L3" s="39">
        <f>AVERAGE(C3/$B$8)</f>
        <v>22</v>
      </c>
      <c r="M3" s="32">
        <f>2448+2352</f>
        <v>4800</v>
      </c>
      <c r="N3" s="43">
        <f>45+12</f>
        <v>57</v>
      </c>
      <c r="O3" s="32"/>
      <c r="P3" s="50" t="s">
        <v>35</v>
      </c>
      <c r="Q3" s="8">
        <f>3+7</f>
        <v>10</v>
      </c>
      <c r="R3" s="8">
        <f>8+8</f>
        <v>16</v>
      </c>
      <c r="S3" s="9">
        <f>Q3/R3</f>
        <v>0.625</v>
      </c>
      <c r="T3" s="8">
        <f>Q3-R3</f>
        <v>-6</v>
      </c>
      <c r="U3" s="10">
        <f>Q3/$Q$7</f>
        <v>0.30303030303030304</v>
      </c>
      <c r="V3" s="10">
        <f>R3/$R$7</f>
        <v>0.2711864406779661</v>
      </c>
      <c r="W3" s="8">
        <f>2+2</f>
        <v>4</v>
      </c>
      <c r="X3" s="8">
        <f>0+0</f>
        <v>0</v>
      </c>
      <c r="Y3" s="8">
        <f>1+0</f>
        <v>1</v>
      </c>
      <c r="Z3" s="9">
        <f>Q3/$Q$9</f>
        <v>0.625</v>
      </c>
      <c r="AA3" s="14">
        <f>Q3+R3</f>
        <v>26</v>
      </c>
      <c r="AC3" s="23" t="s">
        <v>35</v>
      </c>
      <c r="AD3" s="8">
        <f>36+26</f>
        <v>62</v>
      </c>
      <c r="AE3" s="8">
        <f>25+21</f>
        <v>46</v>
      </c>
      <c r="AF3" s="9">
        <f>AD3/AE3</f>
        <v>1.3478260869565217</v>
      </c>
      <c r="AG3" s="8">
        <f>AD3+AE3</f>
        <v>108</v>
      </c>
      <c r="AH3" s="8">
        <f>7+3</f>
        <v>10</v>
      </c>
      <c r="AI3" s="10">
        <f>AD3/$AD$7</f>
        <v>0.31</v>
      </c>
      <c r="AJ3" s="30">
        <f>AE3/$AE$7</f>
        <v>0.20264317180616739</v>
      </c>
    </row>
    <row r="4" spans="1:36" x14ac:dyDescent="0.25">
      <c r="A4" s="37" t="s">
        <v>37</v>
      </c>
      <c r="B4" s="32">
        <f>23+19</f>
        <v>42</v>
      </c>
      <c r="C4" s="32">
        <f>27+26</f>
        <v>53</v>
      </c>
      <c r="D4" s="39">
        <f t="shared" ref="D4:D6" si="0">B4/C4</f>
        <v>0.79245283018867929</v>
      </c>
      <c r="E4" s="32">
        <f t="shared" ref="E4:E6" si="1">B4-C4</f>
        <v>-11</v>
      </c>
      <c r="F4" s="32">
        <f t="shared" ref="F4:F6" si="2">B4+C4</f>
        <v>95</v>
      </c>
      <c r="G4" s="32">
        <f>6+4</f>
        <v>10</v>
      </c>
      <c r="H4" s="32">
        <f>14+11</f>
        <v>25</v>
      </c>
      <c r="I4" s="38">
        <f t="shared" ref="I4:I6" si="3">B4/$B$7</f>
        <v>0.2978723404255319</v>
      </c>
      <c r="J4" s="38">
        <f t="shared" ref="J4:J6" si="4">C4/$C$7</f>
        <v>0.25728155339805825</v>
      </c>
      <c r="K4" s="39">
        <f t="shared" ref="K4:L6" si="5">AVERAGE(B4/$B$8)</f>
        <v>21</v>
      </c>
      <c r="L4" s="39">
        <f t="shared" si="5"/>
        <v>26.5</v>
      </c>
      <c r="M4" s="32">
        <f>2533+2504</f>
        <v>5037</v>
      </c>
      <c r="N4" s="43">
        <f>17+19</f>
        <v>36</v>
      </c>
      <c r="O4" s="32"/>
      <c r="P4" s="48" t="s">
        <v>37</v>
      </c>
      <c r="Q4" s="8">
        <f>8+2</f>
        <v>10</v>
      </c>
      <c r="R4" s="8">
        <f>7+7</f>
        <v>14</v>
      </c>
      <c r="S4" s="9">
        <f t="shared" ref="S4:S6" si="6">Q4/R4</f>
        <v>0.7142857142857143</v>
      </c>
      <c r="T4" s="8">
        <f t="shared" ref="T4:T6" si="7">Q4-R4</f>
        <v>-4</v>
      </c>
      <c r="U4" s="10">
        <f t="shared" ref="U4:U6" si="8">Q4/$Q$7</f>
        <v>0.30303030303030304</v>
      </c>
      <c r="V4" s="10">
        <f t="shared" ref="V4:V6" si="9">R4/$R$7</f>
        <v>0.23728813559322035</v>
      </c>
      <c r="W4" s="8">
        <f>2+1</f>
        <v>3</v>
      </c>
      <c r="X4" s="8">
        <f>1+4</f>
        <v>5</v>
      </c>
      <c r="Y4" s="8">
        <f>0+0</f>
        <v>0</v>
      </c>
      <c r="Z4" s="9">
        <f t="shared" ref="Z4:Z6" si="10">Q4/$Q$9</f>
        <v>0.625</v>
      </c>
      <c r="AA4" s="14">
        <f t="shared" ref="AA4:AA6" si="11">Q4+R4</f>
        <v>24</v>
      </c>
      <c r="AC4" s="24" t="s">
        <v>37</v>
      </c>
      <c r="AD4" s="8">
        <f>27+22</f>
        <v>49</v>
      </c>
      <c r="AE4" s="8">
        <f>36+27</f>
        <v>63</v>
      </c>
      <c r="AF4" s="9">
        <f t="shared" ref="AF4:AF6" si="12">AD4/AE4</f>
        <v>0.77777777777777779</v>
      </c>
      <c r="AG4" s="8">
        <f t="shared" ref="AG4:AG6" si="13">AD4+AE4</f>
        <v>112</v>
      </c>
      <c r="AH4" s="8">
        <f>5+2</f>
        <v>7</v>
      </c>
      <c r="AI4" s="10">
        <f t="shared" ref="AI4:AI6" si="14">AD4/$AD$7</f>
        <v>0.245</v>
      </c>
      <c r="AJ4" s="30">
        <f t="shared" ref="AJ4:AJ6" si="15">AE4/$AE$7</f>
        <v>0.27753303964757708</v>
      </c>
    </row>
    <row r="5" spans="1:36" x14ac:dyDescent="0.25">
      <c r="A5" s="37" t="s">
        <v>38</v>
      </c>
      <c r="B5" s="32">
        <f>24+13</f>
        <v>37</v>
      </c>
      <c r="C5" s="32">
        <f>27+27</f>
        <v>54</v>
      </c>
      <c r="D5" s="39">
        <f t="shared" si="0"/>
        <v>0.68518518518518523</v>
      </c>
      <c r="E5" s="32">
        <f t="shared" si="1"/>
        <v>-17</v>
      </c>
      <c r="F5" s="32">
        <f t="shared" si="2"/>
        <v>91</v>
      </c>
      <c r="G5" s="32">
        <f>4+6</f>
        <v>10</v>
      </c>
      <c r="H5" s="32">
        <f>14+8</f>
        <v>22</v>
      </c>
      <c r="I5" s="38">
        <f t="shared" si="3"/>
        <v>0.26241134751773049</v>
      </c>
      <c r="J5" s="38">
        <f t="shared" si="4"/>
        <v>0.26213592233009708</v>
      </c>
      <c r="K5" s="39">
        <f t="shared" si="5"/>
        <v>18.5</v>
      </c>
      <c r="L5" s="39">
        <f t="shared" si="5"/>
        <v>27</v>
      </c>
      <c r="M5" s="32">
        <f>2728+2430</f>
        <v>5158</v>
      </c>
      <c r="N5" s="43">
        <f>23+40</f>
        <v>63</v>
      </c>
      <c r="O5" s="32"/>
      <c r="P5" s="48" t="s">
        <v>38</v>
      </c>
      <c r="Q5" s="8">
        <f>2+5</f>
        <v>7</v>
      </c>
      <c r="R5" s="8">
        <f>8+7</f>
        <v>15</v>
      </c>
      <c r="S5" s="9">
        <f t="shared" si="6"/>
        <v>0.46666666666666667</v>
      </c>
      <c r="T5" s="8">
        <f t="shared" si="7"/>
        <v>-8</v>
      </c>
      <c r="U5" s="10">
        <f t="shared" si="8"/>
        <v>0.21212121212121213</v>
      </c>
      <c r="V5" s="10">
        <f t="shared" si="9"/>
        <v>0.25423728813559321</v>
      </c>
      <c r="W5" s="8">
        <f>1+0</f>
        <v>1</v>
      </c>
      <c r="X5" s="8">
        <f>1+0</f>
        <v>1</v>
      </c>
      <c r="Y5" s="8">
        <f>0+0</f>
        <v>0</v>
      </c>
      <c r="Z5" s="9">
        <f t="shared" si="10"/>
        <v>0.4375</v>
      </c>
      <c r="AA5" s="14">
        <f t="shared" si="11"/>
        <v>22</v>
      </c>
      <c r="AC5" s="24" t="s">
        <v>38</v>
      </c>
      <c r="AD5" s="8">
        <f>23+14</f>
        <v>37</v>
      </c>
      <c r="AE5" s="8">
        <f>36+25</f>
        <v>61</v>
      </c>
      <c r="AF5" s="9">
        <f t="shared" si="12"/>
        <v>0.60655737704918034</v>
      </c>
      <c r="AG5" s="8">
        <f t="shared" si="13"/>
        <v>98</v>
      </c>
      <c r="AH5" s="8">
        <f>6+3</f>
        <v>9</v>
      </c>
      <c r="AI5" s="10">
        <f t="shared" si="14"/>
        <v>0.185</v>
      </c>
      <c r="AJ5" s="30">
        <f t="shared" si="15"/>
        <v>0.2687224669603524</v>
      </c>
    </row>
    <row r="6" spans="1:36" x14ac:dyDescent="0.25">
      <c r="A6" s="37" t="s">
        <v>39</v>
      </c>
      <c r="B6" s="32">
        <f>17+11</f>
        <v>28</v>
      </c>
      <c r="C6" s="32">
        <f>28+27</f>
        <v>55</v>
      </c>
      <c r="D6" s="39">
        <f t="shared" si="0"/>
        <v>0.50909090909090904</v>
      </c>
      <c r="E6" s="32">
        <f t="shared" si="1"/>
        <v>-27</v>
      </c>
      <c r="F6" s="32">
        <f t="shared" si="2"/>
        <v>83</v>
      </c>
      <c r="G6" s="32">
        <f>7+4</f>
        <v>11</v>
      </c>
      <c r="H6" s="32">
        <f>11+5</f>
        <v>16</v>
      </c>
      <c r="I6" s="38">
        <f t="shared" si="3"/>
        <v>0.19858156028368795</v>
      </c>
      <c r="J6" s="38">
        <f t="shared" si="4"/>
        <v>0.26699029126213591</v>
      </c>
      <c r="K6" s="39">
        <f t="shared" si="5"/>
        <v>14</v>
      </c>
      <c r="L6" s="39">
        <f t="shared" si="5"/>
        <v>27.5</v>
      </c>
      <c r="M6" s="32">
        <f>2254+1847</f>
        <v>4101</v>
      </c>
      <c r="N6" s="43">
        <f>58+42</f>
        <v>100</v>
      </c>
      <c r="O6" s="32"/>
      <c r="P6" s="48" t="s">
        <v>39</v>
      </c>
      <c r="Q6" s="8">
        <f>3+3</f>
        <v>6</v>
      </c>
      <c r="R6" s="8">
        <f>8+6</f>
        <v>14</v>
      </c>
      <c r="S6" s="9">
        <f t="shared" si="6"/>
        <v>0.42857142857142855</v>
      </c>
      <c r="T6" s="8">
        <f t="shared" si="7"/>
        <v>-8</v>
      </c>
      <c r="U6" s="10">
        <f t="shared" si="8"/>
        <v>0.18181818181818182</v>
      </c>
      <c r="V6" s="10">
        <f t="shared" si="9"/>
        <v>0.23728813559322035</v>
      </c>
      <c r="W6" s="8">
        <f>0+0</f>
        <v>0</v>
      </c>
      <c r="X6" s="8">
        <f>0+1</f>
        <v>1</v>
      </c>
      <c r="Y6" s="8">
        <f>1+2</f>
        <v>3</v>
      </c>
      <c r="Z6" s="9">
        <f t="shared" si="10"/>
        <v>0.375</v>
      </c>
      <c r="AA6" s="14">
        <f t="shared" si="11"/>
        <v>20</v>
      </c>
      <c r="AC6" s="24" t="s">
        <v>39</v>
      </c>
      <c r="AD6" s="8">
        <f>25+27</f>
        <v>52</v>
      </c>
      <c r="AE6" s="8">
        <f>34+23</f>
        <v>57</v>
      </c>
      <c r="AF6" s="9">
        <f t="shared" si="12"/>
        <v>0.91228070175438591</v>
      </c>
      <c r="AG6" s="8">
        <f t="shared" si="13"/>
        <v>109</v>
      </c>
      <c r="AH6" s="8">
        <f>2+4</f>
        <v>6</v>
      </c>
      <c r="AI6" s="10">
        <f t="shared" si="14"/>
        <v>0.26</v>
      </c>
      <c r="AJ6" s="30">
        <f t="shared" si="15"/>
        <v>0.25110132158590309</v>
      </c>
    </row>
    <row r="7" spans="1:36" x14ac:dyDescent="0.25">
      <c r="A7" s="44" t="s">
        <v>79</v>
      </c>
      <c r="B7" s="32">
        <f>SUM(B3:B6)</f>
        <v>141</v>
      </c>
      <c r="C7" s="32">
        <f>SUM(C3:C6)</f>
        <v>206</v>
      </c>
      <c r="D7" s="32"/>
      <c r="E7" s="32"/>
      <c r="F7" s="32">
        <f>SUM(F3:F6)</f>
        <v>347</v>
      </c>
      <c r="G7" s="32">
        <f>SUM(G3:G6)</f>
        <v>34</v>
      </c>
      <c r="H7" s="32">
        <f>SUM(H3:H6)</f>
        <v>84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33</v>
      </c>
      <c r="R7" s="8">
        <f>SUM(R3:R6)</f>
        <v>59</v>
      </c>
      <c r="S7" s="8"/>
      <c r="T7" s="8"/>
      <c r="U7" s="8"/>
      <c r="V7" s="8"/>
      <c r="W7" s="8">
        <f>SUM(W3:W6)</f>
        <v>8</v>
      </c>
      <c r="X7" s="8">
        <f>SUM(X3:X6)</f>
        <v>7</v>
      </c>
      <c r="Y7" s="8">
        <f>SUM(Y3:Y6)</f>
        <v>4</v>
      </c>
      <c r="Z7" s="8"/>
      <c r="AA7" s="14">
        <f>SUM(AA3:AA6)</f>
        <v>92</v>
      </c>
      <c r="AC7" s="25" t="s">
        <v>79</v>
      </c>
      <c r="AD7" s="26">
        <f>SUM(AD3:AD6)</f>
        <v>200</v>
      </c>
      <c r="AE7" s="26">
        <f>SUM(AE3:AE6)</f>
        <v>227</v>
      </c>
      <c r="AF7" s="26"/>
      <c r="AG7" s="26">
        <f>SUM(AG3:AG6)</f>
        <v>427</v>
      </c>
      <c r="AH7" s="26">
        <f>SUM(AH3:AH6)</f>
        <v>32</v>
      </c>
      <c r="AI7" s="26"/>
      <c r="AJ7" s="27"/>
    </row>
    <row r="8" spans="1:36" x14ac:dyDescent="0.25">
      <c r="A8" s="45" t="s">
        <v>80</v>
      </c>
      <c r="B8" s="46">
        <f>1+1</f>
        <v>2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 s="8">
        <f>1+1</f>
        <v>2</v>
      </c>
      <c r="AA8" s="2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26">
        <f>8+8</f>
        <v>16</v>
      </c>
      <c r="R9" s="3"/>
      <c r="S9" s="3"/>
      <c r="T9" s="3"/>
      <c r="U9" s="3"/>
      <c r="V9" s="3"/>
      <c r="W9" s="3"/>
      <c r="X9" s="3"/>
      <c r="Y9" s="3"/>
      <c r="Z9" s="3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18.7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3"/>
      <c r="R11" s="33"/>
      <c r="S11" s="33"/>
      <c r="T11" s="33"/>
      <c r="U11" s="33"/>
      <c r="V11" s="33"/>
      <c r="AC11" s="33"/>
      <c r="AD11" s="33"/>
      <c r="AE11" s="33"/>
      <c r="AF11" s="33"/>
      <c r="AG11" s="33"/>
      <c r="AH11" s="33"/>
      <c r="AI11" s="33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AC12" s="8"/>
      <c r="AD12" s="8"/>
      <c r="AE12" s="8"/>
      <c r="AF12" s="8"/>
      <c r="AG12" s="8"/>
      <c r="AH12" s="8"/>
      <c r="AI12" s="8"/>
    </row>
    <row r="13" spans="1:36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8"/>
      <c r="R13" s="8"/>
      <c r="S13" s="8"/>
      <c r="T13" s="8"/>
      <c r="U13" s="8"/>
      <c r="V13" s="10"/>
      <c r="AC13" s="8"/>
      <c r="AD13" s="8"/>
      <c r="AE13" s="8"/>
      <c r="AF13" s="8"/>
      <c r="AG13" s="8"/>
      <c r="AH13" s="8"/>
      <c r="AI13" s="8"/>
    </row>
    <row r="14" spans="1:36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10"/>
      <c r="AC14" s="8"/>
      <c r="AD14" s="8"/>
      <c r="AE14" s="8"/>
      <c r="AF14" s="8"/>
      <c r="AG14" s="8"/>
      <c r="AH14" s="8"/>
      <c r="AI14" s="8"/>
    </row>
    <row r="15" spans="1:36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10"/>
      <c r="AC15" s="8"/>
      <c r="AD15" s="8"/>
      <c r="AE15" s="8"/>
      <c r="AF15" s="8"/>
      <c r="AG15" s="8"/>
      <c r="AH15" s="8"/>
      <c r="AI15" s="8"/>
    </row>
    <row r="16" spans="1:36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10"/>
    </row>
    <row r="17" spans="1:22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10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3">
    <mergeCell ref="A1:N1"/>
    <mergeCell ref="AC1:AJ1"/>
    <mergeCell ref="P1:AA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J49"/>
  <sheetViews>
    <sheetView workbookViewId="0">
      <selection activeCell="S33" sqref="S32:S33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29" max="29" width="11" bestFit="1" customWidth="1"/>
    <col min="33" max="33" width="12.85546875" bestFit="1" customWidth="1"/>
  </cols>
  <sheetData>
    <row r="1" spans="1:36" ht="31.5" x14ac:dyDescent="0.5">
      <c r="A1" s="118" t="s">
        <v>78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20"/>
      <c r="O1" s="32"/>
      <c r="P1" s="121" t="s">
        <v>83</v>
      </c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3"/>
      <c r="AC1" s="118" t="s">
        <v>87</v>
      </c>
      <c r="AD1" s="119"/>
      <c r="AE1" s="119"/>
      <c r="AF1" s="119"/>
      <c r="AG1" s="119"/>
      <c r="AH1" s="119"/>
      <c r="AI1" s="119"/>
      <c r="AJ1" s="120"/>
    </row>
    <row r="2" spans="1:36" x14ac:dyDescent="0.25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6" t="s">
        <v>75</v>
      </c>
      <c r="AA2" s="7" t="s">
        <v>67</v>
      </c>
      <c r="AC2" s="5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7" t="s">
        <v>73</v>
      </c>
    </row>
    <row r="3" spans="1:36" x14ac:dyDescent="0.25">
      <c r="A3" s="49" t="s">
        <v>40</v>
      </c>
      <c r="B3" s="32">
        <f>31+28+26</f>
        <v>85</v>
      </c>
      <c r="C3" s="32">
        <f>25+17+27</f>
        <v>69</v>
      </c>
      <c r="D3" s="39">
        <f>B3/C3</f>
        <v>1.2318840579710144</v>
      </c>
      <c r="E3" s="32">
        <f>B3-C3</f>
        <v>16</v>
      </c>
      <c r="F3" s="32">
        <f>B3+C3</f>
        <v>154</v>
      </c>
      <c r="G3" s="32">
        <f>12+8+9</f>
        <v>29</v>
      </c>
      <c r="H3" s="32">
        <f>25+21+17</f>
        <v>63</v>
      </c>
      <c r="I3" s="38">
        <f>B3/$B$7</f>
        <v>0.2664576802507837</v>
      </c>
      <c r="J3" s="38">
        <f>C3/$C$7</f>
        <v>0.24468085106382978</v>
      </c>
      <c r="K3" s="39">
        <f>AVERAGE(B3/$B$8)</f>
        <v>28.333333333333332</v>
      </c>
      <c r="L3" s="39">
        <f>AVERAGE(C3/$B$8)</f>
        <v>23</v>
      </c>
      <c r="M3" s="32">
        <f>3435+3148+3311</f>
        <v>9894</v>
      </c>
      <c r="N3" s="43">
        <f>83+87+116</f>
        <v>286</v>
      </c>
      <c r="O3" s="32"/>
      <c r="P3" s="49" t="s">
        <v>40</v>
      </c>
      <c r="Q3" s="8">
        <f>8+7</f>
        <v>15</v>
      </c>
      <c r="R3" s="8">
        <f>5+7</f>
        <v>12</v>
      </c>
      <c r="S3" s="9">
        <f>Q3/R3</f>
        <v>1.25</v>
      </c>
      <c r="T3" s="8">
        <f>Q3-R3</f>
        <v>3</v>
      </c>
      <c r="U3" s="10">
        <f>Q3/$Q$7</f>
        <v>0.27272727272727271</v>
      </c>
      <c r="V3" s="10">
        <f>R3/$R$7</f>
        <v>0.22641509433962265</v>
      </c>
      <c r="W3" s="8">
        <f>0+1</f>
        <v>1</v>
      </c>
      <c r="X3" s="8">
        <f>0+0</f>
        <v>0</v>
      </c>
      <c r="Y3" s="8">
        <f>0+0</f>
        <v>0</v>
      </c>
      <c r="Z3" s="9">
        <f>Q3/$Q$9</f>
        <v>0.75</v>
      </c>
      <c r="AA3" s="14">
        <f>Q3+R3</f>
        <v>27</v>
      </c>
      <c r="AC3" s="28" t="s">
        <v>40</v>
      </c>
      <c r="AD3" s="8">
        <f>23+13</f>
        <v>36</v>
      </c>
      <c r="AE3" s="8">
        <f>16+17</f>
        <v>33</v>
      </c>
      <c r="AF3" s="9">
        <f>AD3/AE3</f>
        <v>1.0909090909090908</v>
      </c>
      <c r="AG3" s="8">
        <f>AD3+AE3</f>
        <v>69</v>
      </c>
      <c r="AH3" s="8">
        <f>4+0</f>
        <v>4</v>
      </c>
      <c r="AI3" s="10">
        <f>AD3/$AD$7</f>
        <v>0.23529411764705882</v>
      </c>
      <c r="AJ3" s="30">
        <f>AE3/$AE$7</f>
        <v>0.20370370370370369</v>
      </c>
    </row>
    <row r="4" spans="1:36" x14ac:dyDescent="0.25">
      <c r="A4" s="37" t="s">
        <v>42</v>
      </c>
      <c r="B4" s="32">
        <f>24+18+20</f>
        <v>62</v>
      </c>
      <c r="C4" s="32">
        <f>23+20+30</f>
        <v>73</v>
      </c>
      <c r="D4" s="39">
        <f t="shared" ref="D4:D6" si="0">B4/C4</f>
        <v>0.84931506849315064</v>
      </c>
      <c r="E4" s="32">
        <f t="shared" ref="E4:E6" si="1">B4-C4</f>
        <v>-11</v>
      </c>
      <c r="F4" s="32">
        <f t="shared" ref="F4:F6" si="2">B4+C4</f>
        <v>135</v>
      </c>
      <c r="G4" s="32">
        <f>4+14+5</f>
        <v>23</v>
      </c>
      <c r="H4" s="32">
        <f>20+14+12</f>
        <v>46</v>
      </c>
      <c r="I4" s="38">
        <f t="shared" ref="I4:I6" si="3">B4/$B$7</f>
        <v>0.19435736677115986</v>
      </c>
      <c r="J4" s="38">
        <f t="shared" ref="J4:J6" si="4">C4/$C$7</f>
        <v>0.25886524822695034</v>
      </c>
      <c r="K4" s="39">
        <f t="shared" ref="K4:L6" si="5">AVERAGE(B4/$B$8)</f>
        <v>20.666666666666668</v>
      </c>
      <c r="L4" s="39">
        <f t="shared" si="5"/>
        <v>24.333333333333332</v>
      </c>
      <c r="M4" s="32">
        <f>2935+2328+2532</f>
        <v>7795</v>
      </c>
      <c r="N4" s="43">
        <f>84+43+71</f>
        <v>198</v>
      </c>
      <c r="O4" s="32"/>
      <c r="P4" s="37" t="s">
        <v>42</v>
      </c>
      <c r="Q4" s="8">
        <f>9+12</f>
        <v>21</v>
      </c>
      <c r="R4" s="8">
        <f>3+8</f>
        <v>11</v>
      </c>
      <c r="S4" s="9">
        <f t="shared" ref="S4:S6" si="6">Q4/R4</f>
        <v>1.9090909090909092</v>
      </c>
      <c r="T4" s="8">
        <f t="shared" ref="T4:T6" si="7">Q4-R4</f>
        <v>10</v>
      </c>
      <c r="U4" s="10">
        <f t="shared" ref="U4:U6" si="8">Q4/$Q$7</f>
        <v>0.38181818181818183</v>
      </c>
      <c r="V4" s="10">
        <f t="shared" ref="V4:V6" si="9">R4/$R$7</f>
        <v>0.20754716981132076</v>
      </c>
      <c r="W4" s="8">
        <f>2+2</f>
        <v>4</v>
      </c>
      <c r="X4" s="8">
        <f>1+2</f>
        <v>3</v>
      </c>
      <c r="Y4" s="8">
        <f>0+1</f>
        <v>1</v>
      </c>
      <c r="Z4" s="9">
        <f t="shared" ref="Z4:Z6" si="10">Q4/$Q$9</f>
        <v>1.05</v>
      </c>
      <c r="AA4" s="14">
        <f t="shared" ref="AA4:AA6" si="11">Q4+R4</f>
        <v>32</v>
      </c>
      <c r="AC4" s="1" t="s">
        <v>42</v>
      </c>
      <c r="AD4" s="8">
        <f>23+12</f>
        <v>35</v>
      </c>
      <c r="AE4" s="8">
        <f>25+21</f>
        <v>46</v>
      </c>
      <c r="AF4" s="9">
        <f t="shared" ref="AF4:AF6" si="12">AD4/AE4</f>
        <v>0.76086956521739135</v>
      </c>
      <c r="AG4" s="8">
        <f t="shared" ref="AG4:AG6" si="13">AD4+AE4</f>
        <v>81</v>
      </c>
      <c r="AH4" s="8">
        <f>5+0</f>
        <v>5</v>
      </c>
      <c r="AI4" s="10">
        <f t="shared" ref="AI4:AI6" si="14">AD4/$AD$7</f>
        <v>0.22875816993464052</v>
      </c>
      <c r="AJ4" s="30">
        <f t="shared" ref="AJ4:AJ6" si="15">AE4/$AE$7</f>
        <v>0.2839506172839506</v>
      </c>
    </row>
    <row r="5" spans="1:36" x14ac:dyDescent="0.25">
      <c r="A5" s="41" t="s">
        <v>43</v>
      </c>
      <c r="B5" s="32">
        <f>27+28+37</f>
        <v>92</v>
      </c>
      <c r="C5" s="32">
        <f>24+22+34</f>
        <v>80</v>
      </c>
      <c r="D5" s="39">
        <f t="shared" si="0"/>
        <v>1.1499999999999999</v>
      </c>
      <c r="E5" s="32">
        <f t="shared" si="1"/>
        <v>12</v>
      </c>
      <c r="F5" s="32">
        <f t="shared" si="2"/>
        <v>172</v>
      </c>
      <c r="G5" s="32">
        <f>4+5+12</f>
        <v>21</v>
      </c>
      <c r="H5" s="32">
        <f>21+23+24</f>
        <v>68</v>
      </c>
      <c r="I5" s="38">
        <f t="shared" si="3"/>
        <v>0.2884012539184953</v>
      </c>
      <c r="J5" s="38">
        <f t="shared" si="4"/>
        <v>0.28368794326241137</v>
      </c>
      <c r="K5" s="39">
        <f t="shared" si="5"/>
        <v>30.666666666666668</v>
      </c>
      <c r="L5" s="39">
        <f t="shared" si="5"/>
        <v>26.666666666666668</v>
      </c>
      <c r="M5" s="32">
        <f>3286+3168+4206</f>
        <v>10660</v>
      </c>
      <c r="N5" s="43">
        <f>25+45+51</f>
        <v>121</v>
      </c>
      <c r="O5" s="32"/>
      <c r="P5" s="41" t="s">
        <v>43</v>
      </c>
      <c r="Q5" s="8">
        <f>8+3</f>
        <v>11</v>
      </c>
      <c r="R5" s="8">
        <f>6+10</f>
        <v>16</v>
      </c>
      <c r="S5" s="9">
        <f t="shared" si="6"/>
        <v>0.6875</v>
      </c>
      <c r="T5" s="8">
        <f t="shared" si="7"/>
        <v>-5</v>
      </c>
      <c r="U5" s="10">
        <f t="shared" si="8"/>
        <v>0.2</v>
      </c>
      <c r="V5" s="10">
        <f t="shared" si="9"/>
        <v>0.30188679245283018</v>
      </c>
      <c r="W5" s="8">
        <f>4+1</f>
        <v>5</v>
      </c>
      <c r="X5" s="8">
        <f>0+4</f>
        <v>4</v>
      </c>
      <c r="Y5" s="8">
        <f>3+0</f>
        <v>3</v>
      </c>
      <c r="Z5" s="9">
        <f t="shared" si="10"/>
        <v>0.55000000000000004</v>
      </c>
      <c r="AA5" s="14">
        <f t="shared" si="11"/>
        <v>27</v>
      </c>
      <c r="AC5" s="17" t="s">
        <v>43</v>
      </c>
      <c r="AD5" s="8">
        <f>32+17</f>
        <v>49</v>
      </c>
      <c r="AE5" s="8">
        <f>29+19</f>
        <v>48</v>
      </c>
      <c r="AF5" s="9">
        <f t="shared" si="12"/>
        <v>1.0208333333333333</v>
      </c>
      <c r="AG5" s="8">
        <f t="shared" si="13"/>
        <v>97</v>
      </c>
      <c r="AH5" s="8">
        <f>2+0</f>
        <v>2</v>
      </c>
      <c r="AI5" s="10">
        <f t="shared" si="14"/>
        <v>0.3202614379084967</v>
      </c>
      <c r="AJ5" s="30">
        <f t="shared" si="15"/>
        <v>0.29629629629629628</v>
      </c>
    </row>
    <row r="6" spans="1:36" x14ac:dyDescent="0.25">
      <c r="A6" s="37" t="s">
        <v>44</v>
      </c>
      <c r="B6" s="32">
        <f>20+24+36</f>
        <v>80</v>
      </c>
      <c r="C6" s="32">
        <f>22+14+24</f>
        <v>60</v>
      </c>
      <c r="D6" s="39">
        <f t="shared" si="0"/>
        <v>1.3333333333333333</v>
      </c>
      <c r="E6" s="32">
        <f t="shared" si="1"/>
        <v>20</v>
      </c>
      <c r="F6" s="32">
        <f t="shared" si="2"/>
        <v>140</v>
      </c>
      <c r="G6" s="32">
        <f>7+7+9</f>
        <v>23</v>
      </c>
      <c r="H6" s="32">
        <f>15+22+24</f>
        <v>61</v>
      </c>
      <c r="I6" s="38">
        <f t="shared" si="3"/>
        <v>0.2507836990595611</v>
      </c>
      <c r="J6" s="38">
        <f t="shared" si="4"/>
        <v>0.21276595744680851</v>
      </c>
      <c r="K6" s="39">
        <f t="shared" si="5"/>
        <v>26.666666666666668</v>
      </c>
      <c r="L6" s="39">
        <f t="shared" si="5"/>
        <v>20</v>
      </c>
      <c r="M6" s="32">
        <f>2401+2565+3789</f>
        <v>8755</v>
      </c>
      <c r="N6" s="43">
        <f>70+97+48</f>
        <v>215</v>
      </c>
      <c r="O6" s="32"/>
      <c r="P6" s="37" t="s">
        <v>44</v>
      </c>
      <c r="Q6" s="8">
        <f>4+4</f>
        <v>8</v>
      </c>
      <c r="R6" s="8">
        <f>5+9</f>
        <v>14</v>
      </c>
      <c r="S6" s="9">
        <f t="shared" si="6"/>
        <v>0.5714285714285714</v>
      </c>
      <c r="T6" s="8">
        <f t="shared" si="7"/>
        <v>-6</v>
      </c>
      <c r="U6" s="10">
        <f t="shared" si="8"/>
        <v>0.14545454545454545</v>
      </c>
      <c r="V6" s="10">
        <f t="shared" si="9"/>
        <v>0.26415094339622641</v>
      </c>
      <c r="W6" s="8">
        <f>0+0</f>
        <v>0</v>
      </c>
      <c r="X6" s="8">
        <f>3+0</f>
        <v>3</v>
      </c>
      <c r="Y6" s="8">
        <f>0+0</f>
        <v>0</v>
      </c>
      <c r="Z6" s="9">
        <f t="shared" si="10"/>
        <v>0.4</v>
      </c>
      <c r="AA6" s="14">
        <f t="shared" si="11"/>
        <v>22</v>
      </c>
      <c r="AC6" s="1" t="s">
        <v>44</v>
      </c>
      <c r="AD6" s="8">
        <f>20+13</f>
        <v>33</v>
      </c>
      <c r="AE6" s="8">
        <f>22+13</f>
        <v>35</v>
      </c>
      <c r="AF6" s="9">
        <f t="shared" si="12"/>
        <v>0.94285714285714284</v>
      </c>
      <c r="AG6" s="8">
        <f t="shared" si="13"/>
        <v>68</v>
      </c>
      <c r="AH6" s="8">
        <f>0+2</f>
        <v>2</v>
      </c>
      <c r="AI6" s="10">
        <f t="shared" si="14"/>
        <v>0.21568627450980393</v>
      </c>
      <c r="AJ6" s="30">
        <f t="shared" si="15"/>
        <v>0.21604938271604937</v>
      </c>
    </row>
    <row r="7" spans="1:36" x14ac:dyDescent="0.25">
      <c r="A7" s="44" t="s">
        <v>79</v>
      </c>
      <c r="B7" s="32">
        <f>SUM(B3:B6)</f>
        <v>319</v>
      </c>
      <c r="C7" s="32">
        <f>SUM(C3:C6)</f>
        <v>282</v>
      </c>
      <c r="D7" s="32"/>
      <c r="E7" s="32"/>
      <c r="F7" s="32">
        <f>SUM(F3:F6)</f>
        <v>601</v>
      </c>
      <c r="G7" s="32">
        <f>SUM(G3:G6)</f>
        <v>96</v>
      </c>
      <c r="H7" s="32">
        <f>SUM(H3:H6)</f>
        <v>238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55</v>
      </c>
      <c r="R7" s="8">
        <f>SUM(R3:R6)</f>
        <v>53</v>
      </c>
      <c r="S7" s="8"/>
      <c r="T7" s="8"/>
      <c r="U7" s="8"/>
      <c r="V7" s="8"/>
      <c r="W7" s="8">
        <f>SUM(W3:W6)</f>
        <v>10</v>
      </c>
      <c r="X7" s="8">
        <f>SUM(X3:X6)</f>
        <v>10</v>
      </c>
      <c r="Y7" s="8">
        <f>SUM(Y3:Y6)</f>
        <v>4</v>
      </c>
      <c r="Z7" s="8"/>
      <c r="AA7" s="14">
        <f>SUM(AA3:AA6)</f>
        <v>108</v>
      </c>
      <c r="AC7" s="25" t="s">
        <v>79</v>
      </c>
      <c r="AD7" s="26">
        <f>SUM(AD3:AD6)</f>
        <v>153</v>
      </c>
      <c r="AE7" s="26">
        <f>SUM(AE3:AE6)</f>
        <v>162</v>
      </c>
      <c r="AF7" s="26"/>
      <c r="AG7" s="26">
        <f>SUM(AG3:AG6)</f>
        <v>315</v>
      </c>
      <c r="AH7" s="26">
        <f>SUM(AH3:AH6)</f>
        <v>13</v>
      </c>
      <c r="AI7" s="26"/>
      <c r="AJ7" s="27"/>
    </row>
    <row r="8" spans="1:36" x14ac:dyDescent="0.25">
      <c r="A8" s="45" t="s">
        <v>80</v>
      </c>
      <c r="B8" s="46">
        <f>1+1+1</f>
        <v>3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 s="8">
        <f>1+1</f>
        <v>2</v>
      </c>
      <c r="AA8" s="2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26">
        <f>9+11</f>
        <v>20</v>
      </c>
      <c r="R9" s="3"/>
      <c r="S9" s="3"/>
      <c r="T9" s="3"/>
      <c r="U9" s="3"/>
      <c r="V9" s="3"/>
      <c r="W9" s="3"/>
      <c r="X9" s="3"/>
      <c r="Y9" s="3"/>
      <c r="Z9" s="3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18.7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3"/>
      <c r="R11" s="33"/>
      <c r="S11" s="33"/>
      <c r="T11" s="33"/>
      <c r="U11" s="33"/>
      <c r="V11" s="33"/>
      <c r="AC11" s="33"/>
      <c r="AD11" s="33"/>
      <c r="AE11" s="33"/>
      <c r="AF11" s="33"/>
      <c r="AG11" s="33"/>
      <c r="AH11" s="33"/>
      <c r="AI11" s="33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AC12" s="8"/>
      <c r="AD12" s="8"/>
      <c r="AE12" s="8"/>
      <c r="AF12" s="8"/>
      <c r="AG12" s="8"/>
      <c r="AH12" s="8"/>
      <c r="AI12" s="8"/>
    </row>
    <row r="13" spans="1:36" x14ac:dyDescent="0.25">
      <c r="A13" s="32"/>
      <c r="B13" s="32"/>
      <c r="C13" s="32"/>
      <c r="D13" s="32"/>
      <c r="E13" s="32"/>
      <c r="F13" s="32"/>
      <c r="G13" s="38"/>
      <c r="H13" s="32"/>
      <c r="I13" s="32"/>
      <c r="J13" s="32"/>
      <c r="K13" s="32"/>
      <c r="L13" s="32"/>
      <c r="M13" s="32"/>
      <c r="N13" s="32"/>
      <c r="O13" s="32"/>
      <c r="P13" s="32"/>
      <c r="Q13" s="8"/>
      <c r="R13" s="8"/>
      <c r="S13" s="8"/>
      <c r="T13" s="8"/>
      <c r="U13" s="8"/>
      <c r="V13" s="10"/>
      <c r="AC13" s="8"/>
      <c r="AD13" s="8"/>
      <c r="AE13" s="8"/>
      <c r="AF13" s="8"/>
      <c r="AG13" s="8"/>
      <c r="AH13" s="8"/>
      <c r="AI13" s="8"/>
    </row>
    <row r="14" spans="1:36" x14ac:dyDescent="0.25">
      <c r="A14" s="32"/>
      <c r="B14" s="32"/>
      <c r="C14" s="32"/>
      <c r="D14" s="32"/>
      <c r="E14" s="32"/>
      <c r="F14" s="32"/>
      <c r="G14" s="38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10"/>
      <c r="AC14" s="8"/>
      <c r="AD14" s="8"/>
      <c r="AE14" s="8"/>
      <c r="AF14" s="8"/>
      <c r="AG14" s="8"/>
      <c r="AH14" s="8"/>
      <c r="AI14" s="8"/>
    </row>
    <row r="15" spans="1:36" x14ac:dyDescent="0.25">
      <c r="A15" s="32"/>
      <c r="B15" s="32"/>
      <c r="C15" s="32"/>
      <c r="D15" s="32"/>
      <c r="E15" s="32"/>
      <c r="F15" s="32"/>
      <c r="G15" s="38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10"/>
      <c r="AC15" s="8"/>
      <c r="AD15" s="8"/>
      <c r="AE15" s="8"/>
      <c r="AF15" s="8"/>
      <c r="AG15" s="8"/>
      <c r="AH15" s="8"/>
      <c r="AI15" s="8"/>
    </row>
    <row r="16" spans="1:36" x14ac:dyDescent="0.25">
      <c r="A16" s="32"/>
      <c r="B16" s="32"/>
      <c r="C16" s="32"/>
      <c r="D16" s="32"/>
      <c r="E16" s="32"/>
      <c r="F16" s="32"/>
      <c r="G16" s="38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10"/>
    </row>
    <row r="17" spans="1:22" x14ac:dyDescent="0.25">
      <c r="A17" s="32"/>
      <c r="B17" s="32"/>
      <c r="C17" s="32"/>
      <c r="D17" s="32"/>
      <c r="E17" s="32"/>
      <c r="F17" s="32"/>
      <c r="G17" s="38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10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3">
    <mergeCell ref="A1:N1"/>
    <mergeCell ref="P1:AA1"/>
    <mergeCell ref="AC1:AJ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AJ49"/>
  <sheetViews>
    <sheetView workbookViewId="0">
      <selection activeCell="S33" sqref="S32:S33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29" max="29" width="11" bestFit="1" customWidth="1"/>
    <col min="33" max="33" width="12.85546875" bestFit="1" customWidth="1"/>
  </cols>
  <sheetData>
    <row r="1" spans="1:36" ht="31.5" x14ac:dyDescent="0.5">
      <c r="A1" s="88" t="s">
        <v>78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  <c r="O1" s="32"/>
      <c r="P1" s="91" t="s">
        <v>83</v>
      </c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5"/>
      <c r="AC1" s="88" t="s">
        <v>87</v>
      </c>
      <c r="AD1" s="89"/>
      <c r="AE1" s="89"/>
      <c r="AF1" s="89"/>
      <c r="AG1" s="89"/>
      <c r="AH1" s="89"/>
      <c r="AI1" s="89"/>
      <c r="AJ1" s="90"/>
    </row>
    <row r="2" spans="1:36" x14ac:dyDescent="0.25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6" t="s">
        <v>75</v>
      </c>
      <c r="AA2" s="7" t="s">
        <v>67</v>
      </c>
      <c r="AC2" s="5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7" t="s">
        <v>73</v>
      </c>
    </row>
    <row r="3" spans="1:36" x14ac:dyDescent="0.25">
      <c r="A3" s="42" t="s">
        <v>88</v>
      </c>
      <c r="B3" s="32">
        <f>23+24+27+16+18</f>
        <v>108</v>
      </c>
      <c r="C3" s="32">
        <f>23+28+24+23+23</f>
        <v>121</v>
      </c>
      <c r="D3" s="39">
        <f>B3/C3</f>
        <v>0.8925619834710744</v>
      </c>
      <c r="E3" s="32">
        <f>B3-C3</f>
        <v>-13</v>
      </c>
      <c r="F3" s="32">
        <f>B3+C3</f>
        <v>229</v>
      </c>
      <c r="G3" s="32">
        <f>5+6+2+5+4</f>
        <v>22</v>
      </c>
      <c r="H3" s="32">
        <f>16+18+21+12+13</f>
        <v>80</v>
      </c>
      <c r="I3" s="38">
        <f>B3/$B$7</f>
        <v>0.23076923076923078</v>
      </c>
      <c r="J3" s="38">
        <f>C3/$C$7</f>
        <v>0.2474437627811861</v>
      </c>
      <c r="K3" s="39">
        <f>AVERAGE(B3/$B$8)</f>
        <v>21.6</v>
      </c>
      <c r="L3" s="39">
        <f>AVERAGE(C3/$B$8)</f>
        <v>24.2</v>
      </c>
      <c r="M3" s="32">
        <f>2404+3107+3227+2093+2292</f>
        <v>13123</v>
      </c>
      <c r="N3" s="43">
        <f>67+44+23+24+32</f>
        <v>190</v>
      </c>
      <c r="O3" s="32"/>
      <c r="P3" s="42" t="s">
        <v>88</v>
      </c>
      <c r="Q3" s="8">
        <f>6+7+4+1+6</f>
        <v>24</v>
      </c>
      <c r="R3" s="8">
        <f>7+5+4+7+6</f>
        <v>29</v>
      </c>
      <c r="S3" s="9">
        <f>Q3/R3</f>
        <v>0.82758620689655171</v>
      </c>
      <c r="T3" s="8">
        <f>Q3-R3</f>
        <v>-5</v>
      </c>
      <c r="U3" s="10">
        <f>Q3/$Q$7</f>
        <v>0.21052631578947367</v>
      </c>
      <c r="V3" s="10">
        <f>R3/$R$7</f>
        <v>0.22480620155038761</v>
      </c>
      <c r="W3" s="8">
        <f>0+0+0+0+0</f>
        <v>0</v>
      </c>
      <c r="X3" s="8">
        <f>0+1+0+2+0</f>
        <v>3</v>
      </c>
      <c r="Y3" s="8">
        <f>0+0+0+0+0</f>
        <v>0</v>
      </c>
      <c r="Z3" s="9">
        <f>Q3/$Q$9</f>
        <v>0.54545454545454541</v>
      </c>
      <c r="AA3" s="14">
        <f>Q3+R3</f>
        <v>53</v>
      </c>
      <c r="AC3" s="18" t="s">
        <v>88</v>
      </c>
      <c r="AD3" s="8">
        <f>15+14+16</f>
        <v>45</v>
      </c>
      <c r="AE3" s="8">
        <f>22+16+20</f>
        <v>58</v>
      </c>
      <c r="AF3" s="9">
        <f>AD3/AE3</f>
        <v>0.77586206896551724</v>
      </c>
      <c r="AG3" s="8">
        <f>AD3+AE3</f>
        <v>103</v>
      </c>
      <c r="AH3" s="8">
        <f>2+4+4</f>
        <v>10</v>
      </c>
      <c r="AI3" s="10">
        <f>AD3/$AD$7</f>
        <v>0.21739130434782608</v>
      </c>
      <c r="AJ3" s="30">
        <f>AE3/$AE$7</f>
        <v>0.2283464566929134</v>
      </c>
    </row>
    <row r="4" spans="1:36" x14ac:dyDescent="0.25">
      <c r="A4" s="37" t="s">
        <v>46</v>
      </c>
      <c r="B4" s="32">
        <f>34+21+28+23+21</f>
        <v>127</v>
      </c>
      <c r="C4" s="32">
        <f>27+25+33+25+23</f>
        <v>133</v>
      </c>
      <c r="D4" s="39">
        <f t="shared" ref="D4:D6" si="0">B4/C4</f>
        <v>0.95488721804511278</v>
      </c>
      <c r="E4" s="32">
        <f t="shared" ref="E4:E6" si="1">B4-C4</f>
        <v>-6</v>
      </c>
      <c r="F4" s="32">
        <f t="shared" ref="F4:F6" si="2">B4+C4</f>
        <v>260</v>
      </c>
      <c r="G4" s="32">
        <f>7+2+9+9+10</f>
        <v>37</v>
      </c>
      <c r="H4" s="32">
        <f>24+10+21+17+14</f>
        <v>86</v>
      </c>
      <c r="I4" s="38">
        <f t="shared" ref="I4:I6" si="3">B4/$B$7</f>
        <v>0.27136752136752135</v>
      </c>
      <c r="J4" s="38">
        <f t="shared" ref="J4:J6" si="4">C4/$C$7</f>
        <v>0.27198364008179959</v>
      </c>
      <c r="K4" s="39">
        <f t="shared" ref="K4:L6" si="5">AVERAGE(B4/$B$8)</f>
        <v>25.4</v>
      </c>
      <c r="L4" s="39">
        <f t="shared" si="5"/>
        <v>26.6</v>
      </c>
      <c r="M4" s="32">
        <f>3438+2917+3781+2339+2620</f>
        <v>15095</v>
      </c>
      <c r="N4" s="43">
        <f>26+40+67+52+63</f>
        <v>248</v>
      </c>
      <c r="O4" s="32"/>
      <c r="P4" s="48" t="s">
        <v>46</v>
      </c>
      <c r="Q4" s="8">
        <f>10+6+6+2+5</f>
        <v>29</v>
      </c>
      <c r="R4" s="8">
        <f>7+8+5+7+6</f>
        <v>33</v>
      </c>
      <c r="S4" s="9">
        <f t="shared" ref="S4:S6" si="6">Q4/R4</f>
        <v>0.87878787878787878</v>
      </c>
      <c r="T4" s="8">
        <f t="shared" ref="T4:T6" si="7">Q4-R4</f>
        <v>-4</v>
      </c>
      <c r="U4" s="10">
        <f t="shared" ref="U4:U6" si="8">Q4/$Q$7</f>
        <v>0.25438596491228072</v>
      </c>
      <c r="V4" s="10">
        <f t="shared" ref="V4:V6" si="9">R4/$R$7</f>
        <v>0.2558139534883721</v>
      </c>
      <c r="W4" s="8">
        <f>3+1+0+1+1</f>
        <v>6</v>
      </c>
      <c r="X4" s="8">
        <f>0+3+0+2+1</f>
        <v>6</v>
      </c>
      <c r="Y4" s="8">
        <f>1+0+2+0+0</f>
        <v>3</v>
      </c>
      <c r="Z4" s="9">
        <f t="shared" ref="Z4:Z6" si="10">Q4/$Q$9</f>
        <v>0.65909090909090906</v>
      </c>
      <c r="AA4" s="14">
        <f t="shared" ref="AA4:AA6" si="11">Q4+R4</f>
        <v>62</v>
      </c>
      <c r="AC4" s="24" t="s">
        <v>46</v>
      </c>
      <c r="AD4" s="8">
        <f>22+13+24</f>
        <v>59</v>
      </c>
      <c r="AE4" s="8">
        <f>21+18+24</f>
        <v>63</v>
      </c>
      <c r="AF4" s="9">
        <f t="shared" ref="AF4:AF6" si="12">AD4/AE4</f>
        <v>0.93650793650793651</v>
      </c>
      <c r="AG4" s="8">
        <f t="shared" ref="AG4:AG6" si="13">AD4+AE4</f>
        <v>122</v>
      </c>
      <c r="AH4" s="8">
        <f>3+2+5</f>
        <v>10</v>
      </c>
      <c r="AI4" s="10">
        <f t="shared" ref="AI4:AI6" si="14">AD4/$AD$7</f>
        <v>0.28502415458937197</v>
      </c>
      <c r="AJ4" s="30">
        <f t="shared" ref="AJ4:AJ6" si="15">AE4/$AE$7</f>
        <v>0.24803149606299213</v>
      </c>
    </row>
    <row r="5" spans="1:36" x14ac:dyDescent="0.25">
      <c r="A5" s="37" t="s">
        <v>47</v>
      </c>
      <c r="B5" s="32">
        <f>28+29+23+13+20</f>
        <v>113</v>
      </c>
      <c r="C5" s="32">
        <f>24+21+28+19+22</f>
        <v>114</v>
      </c>
      <c r="D5" s="39">
        <f t="shared" si="0"/>
        <v>0.99122807017543857</v>
      </c>
      <c r="E5" s="32">
        <f t="shared" si="1"/>
        <v>-1</v>
      </c>
      <c r="F5" s="32">
        <f t="shared" si="2"/>
        <v>227</v>
      </c>
      <c r="G5" s="32">
        <f>8+10+4+2+10</f>
        <v>34</v>
      </c>
      <c r="H5" s="32">
        <f>22+21+15+9+17</f>
        <v>84</v>
      </c>
      <c r="I5" s="38">
        <f t="shared" si="3"/>
        <v>0.24145299145299146</v>
      </c>
      <c r="J5" s="38">
        <f t="shared" si="4"/>
        <v>0.23312883435582821</v>
      </c>
      <c r="K5" s="39">
        <f t="shared" si="5"/>
        <v>22.6</v>
      </c>
      <c r="L5" s="39">
        <f t="shared" si="5"/>
        <v>22.8</v>
      </c>
      <c r="M5" s="32">
        <f>2065+3064+2692+1578+2193</f>
        <v>11592</v>
      </c>
      <c r="N5" s="43">
        <f>106+74+66+46+90</f>
        <v>382</v>
      </c>
      <c r="O5" s="32"/>
      <c r="P5" s="48" t="s">
        <v>47</v>
      </c>
      <c r="Q5" s="8">
        <f>4+15+10+3+3</f>
        <v>35</v>
      </c>
      <c r="R5" s="8">
        <f>9+7+5+6+7</f>
        <v>34</v>
      </c>
      <c r="S5" s="9">
        <f t="shared" si="6"/>
        <v>1.0294117647058822</v>
      </c>
      <c r="T5" s="8">
        <f t="shared" si="7"/>
        <v>1</v>
      </c>
      <c r="U5" s="10">
        <f t="shared" si="8"/>
        <v>0.30701754385964913</v>
      </c>
      <c r="V5" s="10">
        <f t="shared" si="9"/>
        <v>0.26356589147286824</v>
      </c>
      <c r="W5" s="8">
        <f>2+3+4+0+0</f>
        <v>9</v>
      </c>
      <c r="X5" s="8">
        <f>3+0+2+2+2</f>
        <v>9</v>
      </c>
      <c r="Y5" s="8">
        <f>2+4+2+2+2</f>
        <v>12</v>
      </c>
      <c r="Z5" s="9">
        <f t="shared" si="10"/>
        <v>0.79545454545454541</v>
      </c>
      <c r="AA5" s="14">
        <f t="shared" si="11"/>
        <v>69</v>
      </c>
      <c r="AC5" s="24" t="s">
        <v>47</v>
      </c>
      <c r="AD5" s="8">
        <f>30+16+12</f>
        <v>58</v>
      </c>
      <c r="AE5" s="8">
        <f>22+21+20</f>
        <v>63</v>
      </c>
      <c r="AF5" s="9">
        <f t="shared" si="12"/>
        <v>0.92063492063492058</v>
      </c>
      <c r="AG5" s="8">
        <f t="shared" si="13"/>
        <v>121</v>
      </c>
      <c r="AH5" s="8">
        <f>5+4+0</f>
        <v>9</v>
      </c>
      <c r="AI5" s="10">
        <f t="shared" si="14"/>
        <v>0.28019323671497587</v>
      </c>
      <c r="AJ5" s="30">
        <f t="shared" si="15"/>
        <v>0.24803149606299213</v>
      </c>
    </row>
    <row r="6" spans="1:36" x14ac:dyDescent="0.25">
      <c r="A6" s="37" t="s">
        <v>48</v>
      </c>
      <c r="B6" s="32">
        <f>26+30+26+19+19</f>
        <v>120</v>
      </c>
      <c r="C6" s="32">
        <f>26+24+25+19+27</f>
        <v>121</v>
      </c>
      <c r="D6" s="39">
        <f t="shared" si="0"/>
        <v>0.99173553719008267</v>
      </c>
      <c r="E6" s="32">
        <f t="shared" si="1"/>
        <v>-1</v>
      </c>
      <c r="F6" s="32">
        <f t="shared" si="2"/>
        <v>241</v>
      </c>
      <c r="G6" s="32">
        <f>7+11+9+5+13</f>
        <v>45</v>
      </c>
      <c r="H6" s="32">
        <f>18+22+15+10+13</f>
        <v>78</v>
      </c>
      <c r="I6" s="38">
        <f t="shared" si="3"/>
        <v>0.25641025641025639</v>
      </c>
      <c r="J6" s="38">
        <f t="shared" si="4"/>
        <v>0.2474437627811861</v>
      </c>
      <c r="K6" s="39">
        <f t="shared" si="5"/>
        <v>24</v>
      </c>
      <c r="L6" s="39">
        <f t="shared" si="5"/>
        <v>24.2</v>
      </c>
      <c r="M6" s="32">
        <f>2901+3472+2561+1991+2124</f>
        <v>13049</v>
      </c>
      <c r="N6" s="43">
        <f>68+127+113+43+57</f>
        <v>408</v>
      </c>
      <c r="O6" s="32"/>
      <c r="P6" s="48" t="s">
        <v>48</v>
      </c>
      <c r="Q6" s="8">
        <f>8+5+8+3+2</f>
        <v>26</v>
      </c>
      <c r="R6" s="8">
        <f>6+8+6+7+6</f>
        <v>33</v>
      </c>
      <c r="S6" s="9">
        <f t="shared" si="6"/>
        <v>0.78787878787878785</v>
      </c>
      <c r="T6" s="8">
        <f t="shared" si="7"/>
        <v>-7</v>
      </c>
      <c r="U6" s="10">
        <f t="shared" si="8"/>
        <v>0.22807017543859648</v>
      </c>
      <c r="V6" s="10">
        <f t="shared" si="9"/>
        <v>0.2558139534883721</v>
      </c>
      <c r="W6" s="8">
        <f>0+2+2+0+0</f>
        <v>4</v>
      </c>
      <c r="X6" s="8">
        <f>2+1+1+0+3</f>
        <v>7</v>
      </c>
      <c r="Y6" s="8">
        <f>0+0+0+0+0</f>
        <v>0</v>
      </c>
      <c r="Z6" s="9">
        <f t="shared" si="10"/>
        <v>0.59090909090909094</v>
      </c>
      <c r="AA6" s="14">
        <f t="shared" si="11"/>
        <v>59</v>
      </c>
      <c r="AC6" s="24" t="s">
        <v>48</v>
      </c>
      <c r="AD6" s="8">
        <f>14+13+18</f>
        <v>45</v>
      </c>
      <c r="AE6" s="8">
        <f>27+23+20</f>
        <v>70</v>
      </c>
      <c r="AF6" s="9">
        <f t="shared" si="12"/>
        <v>0.6428571428571429</v>
      </c>
      <c r="AG6" s="8">
        <f t="shared" si="13"/>
        <v>115</v>
      </c>
      <c r="AH6" s="8">
        <f>4+2+5</f>
        <v>11</v>
      </c>
      <c r="AI6" s="10">
        <f t="shared" si="14"/>
        <v>0.21739130434782608</v>
      </c>
      <c r="AJ6" s="30">
        <f t="shared" si="15"/>
        <v>0.27559055118110237</v>
      </c>
    </row>
    <row r="7" spans="1:36" x14ac:dyDescent="0.25">
      <c r="A7" s="44" t="s">
        <v>79</v>
      </c>
      <c r="B7" s="32">
        <f>SUM(B3:B6)</f>
        <v>468</v>
      </c>
      <c r="C7" s="32">
        <f>SUM(C3:C6)</f>
        <v>489</v>
      </c>
      <c r="D7" s="32"/>
      <c r="E7" s="32"/>
      <c r="F7" s="32">
        <f>SUM(F3:F6)</f>
        <v>957</v>
      </c>
      <c r="G7" s="32">
        <f>SUM(G3:G6)</f>
        <v>138</v>
      </c>
      <c r="H7" s="32">
        <f>SUM(H3:H6)</f>
        <v>328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114</v>
      </c>
      <c r="R7" s="8">
        <f>SUM(R3:R6)</f>
        <v>129</v>
      </c>
      <c r="S7" s="8"/>
      <c r="T7" s="8"/>
      <c r="U7" s="8"/>
      <c r="V7" s="8"/>
      <c r="W7" s="8">
        <f>SUM(W3:W6)</f>
        <v>19</v>
      </c>
      <c r="X7" s="8">
        <f>SUM(X3:X6)</f>
        <v>25</v>
      </c>
      <c r="Y7" s="8">
        <f>SUM(Y3:Y6)</f>
        <v>15</v>
      </c>
      <c r="Z7" s="8"/>
      <c r="AA7" s="14">
        <f>SUM(AA3:AA6)</f>
        <v>243</v>
      </c>
      <c r="AC7" s="25" t="s">
        <v>79</v>
      </c>
      <c r="AD7" s="26">
        <f>SUM(AD3:AD6)</f>
        <v>207</v>
      </c>
      <c r="AE7" s="26">
        <f>SUM(AE3:AE6)</f>
        <v>254</v>
      </c>
      <c r="AF7" s="26"/>
      <c r="AG7" s="26">
        <f>SUM(AG3:AG6)</f>
        <v>461</v>
      </c>
      <c r="AH7" s="26">
        <f>SUM(AH3:AH6)</f>
        <v>40</v>
      </c>
      <c r="AI7" s="26"/>
      <c r="AJ7" s="27"/>
    </row>
    <row r="8" spans="1:36" x14ac:dyDescent="0.25">
      <c r="A8" s="45" t="s">
        <v>80</v>
      </c>
      <c r="B8" s="46">
        <f>1+1+1+1+1</f>
        <v>5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 s="8">
        <f>1+1+1+1+1</f>
        <v>5</v>
      </c>
      <c r="AA8" s="2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26">
        <f>10+11+9+7+7</f>
        <v>44</v>
      </c>
      <c r="R9" s="3"/>
      <c r="S9" s="3"/>
      <c r="T9" s="3"/>
      <c r="U9" s="3"/>
      <c r="V9" s="3"/>
      <c r="W9" s="3"/>
      <c r="X9" s="3"/>
      <c r="Y9" s="3"/>
      <c r="Z9" s="3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25.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3"/>
      <c r="R11" s="33"/>
      <c r="S11" s="33"/>
      <c r="T11" s="33"/>
      <c r="U11" s="33"/>
      <c r="V11" s="33"/>
      <c r="AC11" s="106" t="s">
        <v>89</v>
      </c>
      <c r="AD11" s="106"/>
      <c r="AE11" s="106"/>
      <c r="AF11" s="106"/>
      <c r="AG11" s="106"/>
      <c r="AH11" s="33"/>
      <c r="AI11" s="33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AC12" s="8"/>
      <c r="AD12" s="8"/>
      <c r="AE12" s="8"/>
      <c r="AF12" s="8"/>
      <c r="AG12" s="8"/>
      <c r="AH12" s="8"/>
      <c r="AI12" s="8"/>
    </row>
    <row r="13" spans="1:36" x14ac:dyDescent="0.25">
      <c r="A13" s="32"/>
      <c r="B13" s="32"/>
      <c r="C13" s="32"/>
      <c r="D13" s="32"/>
      <c r="E13" s="32"/>
      <c r="F13" s="32"/>
      <c r="G13" s="38"/>
      <c r="H13" s="32"/>
      <c r="I13" s="32"/>
      <c r="J13" s="32"/>
      <c r="K13" s="32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AC13" s="8"/>
      <c r="AD13" s="8"/>
      <c r="AE13" s="8"/>
      <c r="AF13" s="8"/>
      <c r="AG13" s="8"/>
      <c r="AH13" s="8"/>
      <c r="AI13" s="8"/>
    </row>
    <row r="14" spans="1:36" x14ac:dyDescent="0.25">
      <c r="A14" s="32"/>
      <c r="B14" s="32"/>
      <c r="C14" s="32"/>
      <c r="D14" s="32"/>
      <c r="E14" s="32"/>
      <c r="F14" s="32"/>
      <c r="G14" s="38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AC14" s="8"/>
      <c r="AD14" s="8"/>
      <c r="AE14" s="8"/>
      <c r="AF14" s="8"/>
      <c r="AG14" s="8"/>
      <c r="AH14" s="8"/>
      <c r="AI14" s="8"/>
    </row>
    <row r="15" spans="1:36" x14ac:dyDescent="0.25">
      <c r="A15" s="32"/>
      <c r="B15" s="32"/>
      <c r="C15" s="32"/>
      <c r="D15" s="32"/>
      <c r="E15" s="32"/>
      <c r="F15" s="32"/>
      <c r="G15" s="38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8"/>
      <c r="AC15" s="8"/>
      <c r="AD15" s="8"/>
      <c r="AE15" s="8"/>
      <c r="AF15" s="8"/>
      <c r="AG15" s="8"/>
      <c r="AH15" s="8"/>
      <c r="AI15" s="8"/>
    </row>
    <row r="16" spans="1:36" x14ac:dyDescent="0.25">
      <c r="A16" s="32"/>
      <c r="B16" s="32"/>
      <c r="C16" s="32"/>
      <c r="D16" s="32"/>
      <c r="E16" s="32"/>
      <c r="F16" s="32"/>
      <c r="G16" s="38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</row>
    <row r="17" spans="1:22" x14ac:dyDescent="0.25">
      <c r="A17" s="32"/>
      <c r="B17" s="32"/>
      <c r="C17" s="32"/>
      <c r="D17" s="32"/>
      <c r="E17" s="32"/>
      <c r="F17" s="32"/>
      <c r="G17" s="38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8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4">
    <mergeCell ref="A1:N1"/>
    <mergeCell ref="P1:AA1"/>
    <mergeCell ref="AC1:AJ1"/>
    <mergeCell ref="AC11:AG11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-0.249977111117893"/>
  </sheetPr>
  <dimension ref="A1:AJ49"/>
  <sheetViews>
    <sheetView workbookViewId="0">
      <selection activeCell="S33" sqref="S32:S33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29" max="29" width="11" bestFit="1" customWidth="1"/>
    <col min="33" max="33" width="12.85546875" bestFit="1" customWidth="1"/>
  </cols>
  <sheetData>
    <row r="1" spans="1:36" ht="31.5" x14ac:dyDescent="0.5">
      <c r="A1" s="126" t="s">
        <v>78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8"/>
      <c r="O1" s="32"/>
      <c r="P1" s="129" t="s">
        <v>83</v>
      </c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1"/>
      <c r="AC1" s="126" t="s">
        <v>87</v>
      </c>
      <c r="AD1" s="127"/>
      <c r="AE1" s="127"/>
      <c r="AF1" s="127"/>
      <c r="AG1" s="127"/>
      <c r="AH1" s="127"/>
      <c r="AI1" s="127"/>
      <c r="AJ1" s="128"/>
    </row>
    <row r="2" spans="1:36" x14ac:dyDescent="0.25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6" t="s">
        <v>75</v>
      </c>
      <c r="AA2" s="7" t="s">
        <v>67</v>
      </c>
      <c r="AC2" s="5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7" t="s">
        <v>73</v>
      </c>
    </row>
    <row r="3" spans="1:36" x14ac:dyDescent="0.25">
      <c r="A3" s="42" t="s">
        <v>49</v>
      </c>
      <c r="B3" s="32">
        <f>27</f>
        <v>27</v>
      </c>
      <c r="C3" s="32">
        <f>25</f>
        <v>25</v>
      </c>
      <c r="D3" s="39">
        <f>B3/C3</f>
        <v>1.08</v>
      </c>
      <c r="E3" s="32">
        <f>B3-C3</f>
        <v>2</v>
      </c>
      <c r="F3" s="32">
        <f>B3+C3</f>
        <v>52</v>
      </c>
      <c r="G3" s="32">
        <f>8</f>
        <v>8</v>
      </c>
      <c r="H3" s="32">
        <f>18</f>
        <v>18</v>
      </c>
      <c r="I3" s="38">
        <f>B3/$B$7</f>
        <v>0.30337078651685395</v>
      </c>
      <c r="J3" s="38">
        <f>C3/$C$7</f>
        <v>0.22727272727272727</v>
      </c>
      <c r="K3" s="39">
        <f>AVERAGE(B3/$B$8)</f>
        <v>27</v>
      </c>
      <c r="L3" s="39">
        <f>AVERAGE(C3/$B$8)</f>
        <v>25</v>
      </c>
      <c r="M3" s="32">
        <f>3240</f>
        <v>3240</v>
      </c>
      <c r="N3" s="43">
        <f>62</f>
        <v>62</v>
      </c>
      <c r="O3" s="32"/>
      <c r="P3" s="42" t="s">
        <v>49</v>
      </c>
      <c r="Q3" s="8">
        <f>4</f>
        <v>4</v>
      </c>
      <c r="R3" s="8">
        <f>8</f>
        <v>8</v>
      </c>
      <c r="S3" s="9">
        <f>Q3/R3</f>
        <v>0.5</v>
      </c>
      <c r="T3" s="8">
        <f>Q3-R3</f>
        <v>-4</v>
      </c>
      <c r="U3" s="10">
        <f>Q3/$Q$7</f>
        <v>0.14814814814814814</v>
      </c>
      <c r="V3" s="10">
        <f>R3/$R$7</f>
        <v>0.25</v>
      </c>
      <c r="W3" s="8">
        <f>0</f>
        <v>0</v>
      </c>
      <c r="X3" s="8">
        <f>0</f>
        <v>0</v>
      </c>
      <c r="Y3" s="8">
        <f>0</f>
        <v>0</v>
      </c>
      <c r="Z3" s="9">
        <f>Q3/$Q$9</f>
        <v>0.36363636363636365</v>
      </c>
      <c r="AA3" s="14">
        <f>Q3+R3</f>
        <v>12</v>
      </c>
      <c r="AC3" s="18" t="s">
        <v>49</v>
      </c>
      <c r="AD3" s="8">
        <f>13</f>
        <v>13</v>
      </c>
      <c r="AE3" s="8">
        <f>21</f>
        <v>21</v>
      </c>
      <c r="AF3" s="9">
        <f>AD3/AE3</f>
        <v>0.61904761904761907</v>
      </c>
      <c r="AG3" s="8">
        <f>AD3+AE3</f>
        <v>34</v>
      </c>
      <c r="AH3" s="8">
        <f>3</f>
        <v>3</v>
      </c>
      <c r="AI3" s="10">
        <f>AD3/$AD$7</f>
        <v>0.1326530612244898</v>
      </c>
      <c r="AJ3" s="30">
        <f>AE3/$AE$7</f>
        <v>0.19444444444444445</v>
      </c>
    </row>
    <row r="4" spans="1:36" x14ac:dyDescent="0.25">
      <c r="A4" s="37" t="s">
        <v>51</v>
      </c>
      <c r="B4" s="32">
        <f>16</f>
        <v>16</v>
      </c>
      <c r="C4" s="32">
        <f>29</f>
        <v>29</v>
      </c>
      <c r="D4" s="39">
        <f t="shared" ref="D4:D6" si="0">B4/C4</f>
        <v>0.55172413793103448</v>
      </c>
      <c r="E4" s="32">
        <f t="shared" ref="E4:E6" si="1">B4-C4</f>
        <v>-13</v>
      </c>
      <c r="F4" s="32">
        <f t="shared" ref="F4:F6" si="2">B4+C4</f>
        <v>45</v>
      </c>
      <c r="G4" s="32">
        <f>3</f>
        <v>3</v>
      </c>
      <c r="H4" s="32">
        <f>10</f>
        <v>10</v>
      </c>
      <c r="I4" s="38">
        <f t="shared" ref="I4:I6" si="3">B4/$B$7</f>
        <v>0.1797752808988764</v>
      </c>
      <c r="J4" s="38">
        <f t="shared" ref="J4:J6" si="4">C4/$C$7</f>
        <v>0.26363636363636361</v>
      </c>
      <c r="K4" s="39">
        <f t="shared" ref="K4:L6" si="5">AVERAGE(B4/$B$8)</f>
        <v>16</v>
      </c>
      <c r="L4" s="39">
        <f t="shared" si="5"/>
        <v>29</v>
      </c>
      <c r="M4" s="32">
        <f>2461</f>
        <v>2461</v>
      </c>
      <c r="N4" s="43">
        <f>16</f>
        <v>16</v>
      </c>
      <c r="O4" s="32"/>
      <c r="P4" s="37" t="s">
        <v>51</v>
      </c>
      <c r="Q4" s="8">
        <f>7</f>
        <v>7</v>
      </c>
      <c r="R4" s="8">
        <f>8</f>
        <v>8</v>
      </c>
      <c r="S4" s="9">
        <f t="shared" ref="S4:S6" si="6">Q4/R4</f>
        <v>0.875</v>
      </c>
      <c r="T4" s="8">
        <f t="shared" ref="T4:T6" si="7">Q4-R4</f>
        <v>-1</v>
      </c>
      <c r="U4" s="10">
        <f t="shared" ref="U4:U6" si="8">Q4/$Q$7</f>
        <v>0.25925925925925924</v>
      </c>
      <c r="V4" s="10">
        <f t="shared" ref="V4:V6" si="9">R4/$R$7</f>
        <v>0.25</v>
      </c>
      <c r="W4" s="8">
        <f>2</f>
        <v>2</v>
      </c>
      <c r="X4" s="8">
        <f>3</f>
        <v>3</v>
      </c>
      <c r="Y4" s="8">
        <f>0</f>
        <v>0</v>
      </c>
      <c r="Z4" s="9">
        <f t="shared" ref="Z4:Z6" si="10">Q4/$Q$9</f>
        <v>0.63636363636363635</v>
      </c>
      <c r="AA4" s="14">
        <f t="shared" ref="AA4:AA6" si="11">Q4+R4</f>
        <v>15</v>
      </c>
      <c r="AC4" s="1" t="s">
        <v>51</v>
      </c>
      <c r="AD4" s="8">
        <f>30</f>
        <v>30</v>
      </c>
      <c r="AE4" s="8">
        <v>31</v>
      </c>
      <c r="AF4" s="9">
        <f t="shared" ref="AF4:AF6" si="12">AD4/AE4</f>
        <v>0.967741935483871</v>
      </c>
      <c r="AG4" s="8">
        <f t="shared" ref="AG4:AG6" si="13">AD4+AE4</f>
        <v>61</v>
      </c>
      <c r="AH4" s="8">
        <f>2</f>
        <v>2</v>
      </c>
      <c r="AI4" s="10">
        <f t="shared" ref="AI4:AI6" si="14">AD4/$AD$7</f>
        <v>0.30612244897959184</v>
      </c>
      <c r="AJ4" s="30">
        <f>AE4/$AE$7</f>
        <v>0.28703703703703703</v>
      </c>
    </row>
    <row r="5" spans="1:36" x14ac:dyDescent="0.25">
      <c r="A5" s="37" t="s">
        <v>52</v>
      </c>
      <c r="B5" s="32">
        <f>21</f>
        <v>21</v>
      </c>
      <c r="C5" s="32">
        <f>28</f>
        <v>28</v>
      </c>
      <c r="D5" s="39">
        <f t="shared" si="0"/>
        <v>0.75</v>
      </c>
      <c r="E5" s="32">
        <f t="shared" si="1"/>
        <v>-7</v>
      </c>
      <c r="F5" s="32">
        <f t="shared" si="2"/>
        <v>49</v>
      </c>
      <c r="G5" s="32">
        <f>7</f>
        <v>7</v>
      </c>
      <c r="H5" s="32">
        <f>17</f>
        <v>17</v>
      </c>
      <c r="I5" s="38">
        <f t="shared" si="3"/>
        <v>0.23595505617977527</v>
      </c>
      <c r="J5" s="38">
        <f t="shared" si="4"/>
        <v>0.25454545454545452</v>
      </c>
      <c r="K5" s="39">
        <f t="shared" si="5"/>
        <v>21</v>
      </c>
      <c r="L5" s="39">
        <f t="shared" si="5"/>
        <v>28</v>
      </c>
      <c r="M5" s="32">
        <f>2967</f>
        <v>2967</v>
      </c>
      <c r="N5" s="43">
        <f>42</f>
        <v>42</v>
      </c>
      <c r="O5" s="32"/>
      <c r="P5" s="37" t="s">
        <v>52</v>
      </c>
      <c r="Q5" s="8">
        <f>11</f>
        <v>11</v>
      </c>
      <c r="R5" s="8">
        <f>7</f>
        <v>7</v>
      </c>
      <c r="S5" s="9">
        <f t="shared" si="6"/>
        <v>1.5714285714285714</v>
      </c>
      <c r="T5" s="8">
        <f t="shared" si="7"/>
        <v>4</v>
      </c>
      <c r="U5" s="10">
        <f t="shared" si="8"/>
        <v>0.40740740740740738</v>
      </c>
      <c r="V5" s="10">
        <f t="shared" si="9"/>
        <v>0.21875</v>
      </c>
      <c r="W5" s="8">
        <f>1</f>
        <v>1</v>
      </c>
      <c r="X5" s="8">
        <f>1</f>
        <v>1</v>
      </c>
      <c r="Y5" s="8">
        <f>2</f>
        <v>2</v>
      </c>
      <c r="Z5" s="9">
        <f t="shared" si="10"/>
        <v>1</v>
      </c>
      <c r="AA5" s="14">
        <f t="shared" si="11"/>
        <v>18</v>
      </c>
      <c r="AC5" s="1" t="s">
        <v>52</v>
      </c>
      <c r="AD5" s="8">
        <f>28</f>
        <v>28</v>
      </c>
      <c r="AE5" s="8">
        <f>28</f>
        <v>28</v>
      </c>
      <c r="AF5" s="9">
        <f t="shared" si="12"/>
        <v>1</v>
      </c>
      <c r="AG5" s="8">
        <f t="shared" si="13"/>
        <v>56</v>
      </c>
      <c r="AH5" s="8">
        <f>8</f>
        <v>8</v>
      </c>
      <c r="AI5" s="10">
        <f t="shared" si="14"/>
        <v>0.2857142857142857</v>
      </c>
      <c r="AJ5" s="30">
        <f>AE5/$AE$7</f>
        <v>0.25925925925925924</v>
      </c>
    </row>
    <row r="6" spans="1:36" x14ac:dyDescent="0.25">
      <c r="A6" s="37" t="s">
        <v>53</v>
      </c>
      <c r="B6" s="32">
        <f>25</f>
        <v>25</v>
      </c>
      <c r="C6" s="32">
        <f>28</f>
        <v>28</v>
      </c>
      <c r="D6" s="39">
        <f t="shared" si="0"/>
        <v>0.8928571428571429</v>
      </c>
      <c r="E6" s="32">
        <f t="shared" si="1"/>
        <v>-3</v>
      </c>
      <c r="F6" s="32">
        <f t="shared" si="2"/>
        <v>53</v>
      </c>
      <c r="G6" s="32">
        <f>11</f>
        <v>11</v>
      </c>
      <c r="H6" s="32">
        <f>16</f>
        <v>16</v>
      </c>
      <c r="I6" s="38">
        <f t="shared" si="3"/>
        <v>0.2808988764044944</v>
      </c>
      <c r="J6" s="38">
        <f t="shared" si="4"/>
        <v>0.25454545454545452</v>
      </c>
      <c r="K6" s="39">
        <f t="shared" si="5"/>
        <v>25</v>
      </c>
      <c r="L6" s="39">
        <f t="shared" si="5"/>
        <v>28</v>
      </c>
      <c r="M6" s="32">
        <f>2635</f>
        <v>2635</v>
      </c>
      <c r="N6" s="43">
        <f>67</f>
        <v>67</v>
      </c>
      <c r="O6" s="32"/>
      <c r="P6" s="37" t="s">
        <v>53</v>
      </c>
      <c r="Q6" s="8">
        <f>5</f>
        <v>5</v>
      </c>
      <c r="R6" s="8">
        <f>9</f>
        <v>9</v>
      </c>
      <c r="S6" s="9">
        <f t="shared" si="6"/>
        <v>0.55555555555555558</v>
      </c>
      <c r="T6" s="8">
        <f t="shared" si="7"/>
        <v>-4</v>
      </c>
      <c r="U6" s="10">
        <f t="shared" si="8"/>
        <v>0.18518518518518517</v>
      </c>
      <c r="V6" s="10">
        <f t="shared" si="9"/>
        <v>0.28125</v>
      </c>
      <c r="W6" s="8">
        <f>2</f>
        <v>2</v>
      </c>
      <c r="X6" s="8">
        <f>2</f>
        <v>2</v>
      </c>
      <c r="Y6" s="8">
        <f>2</f>
        <v>2</v>
      </c>
      <c r="Z6" s="9">
        <f t="shared" si="10"/>
        <v>0.45454545454545453</v>
      </c>
      <c r="AA6" s="14">
        <f t="shared" si="11"/>
        <v>14</v>
      </c>
      <c r="AC6" s="1" t="s">
        <v>53</v>
      </c>
      <c r="AD6" s="8">
        <f>27</f>
        <v>27</v>
      </c>
      <c r="AE6" s="8">
        <f>28</f>
        <v>28</v>
      </c>
      <c r="AF6" s="9">
        <f t="shared" si="12"/>
        <v>0.9642857142857143</v>
      </c>
      <c r="AG6" s="8">
        <f t="shared" si="13"/>
        <v>55</v>
      </c>
      <c r="AH6" s="8">
        <f>3</f>
        <v>3</v>
      </c>
      <c r="AI6" s="10">
        <f t="shared" si="14"/>
        <v>0.27551020408163263</v>
      </c>
      <c r="AJ6" s="30">
        <f>AE6/$AE$7</f>
        <v>0.25925925925925924</v>
      </c>
    </row>
    <row r="7" spans="1:36" x14ac:dyDescent="0.25">
      <c r="A7" s="44" t="s">
        <v>79</v>
      </c>
      <c r="B7" s="32">
        <f>SUM(B3:B6)</f>
        <v>89</v>
      </c>
      <c r="C7" s="32">
        <f>SUM(C3:C6)</f>
        <v>110</v>
      </c>
      <c r="D7" s="32"/>
      <c r="E7" s="32"/>
      <c r="F7" s="32">
        <f>SUM(F3:F6)</f>
        <v>199</v>
      </c>
      <c r="G7" s="32">
        <f>SUM(G3:G6)</f>
        <v>29</v>
      </c>
      <c r="H7" s="32">
        <f>SUM(H3:H6)</f>
        <v>61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27</v>
      </c>
      <c r="R7" s="8">
        <f>SUM(R3:R6)</f>
        <v>32</v>
      </c>
      <c r="S7" s="8"/>
      <c r="T7" s="8"/>
      <c r="U7" s="8"/>
      <c r="V7" s="8"/>
      <c r="W7" s="8">
        <f>SUM(W3:W6)</f>
        <v>5</v>
      </c>
      <c r="X7" s="8">
        <f>SUM(X3:X6)</f>
        <v>6</v>
      </c>
      <c r="Y7" s="8">
        <f>SUM(Y3:Y6)</f>
        <v>4</v>
      </c>
      <c r="Z7" s="8"/>
      <c r="AA7" s="14">
        <f>SUM(AA3:AA6)</f>
        <v>59</v>
      </c>
      <c r="AC7" s="25" t="s">
        <v>79</v>
      </c>
      <c r="AD7" s="26">
        <f>SUM(AD3:AD6)</f>
        <v>98</v>
      </c>
      <c r="AE7" s="26">
        <f>SUM(AE3:AE6)</f>
        <v>108</v>
      </c>
      <c r="AF7" s="26"/>
      <c r="AG7" s="26">
        <f>SUM(AG3:AG6)</f>
        <v>206</v>
      </c>
      <c r="AH7" s="26">
        <f>SUM(AH3:AH6)</f>
        <v>16</v>
      </c>
      <c r="AI7" s="26"/>
      <c r="AJ7" s="27"/>
    </row>
    <row r="8" spans="1:36" x14ac:dyDescent="0.25">
      <c r="A8" s="45" t="s">
        <v>80</v>
      </c>
      <c r="B8" s="46">
        <f>1</f>
        <v>1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 s="8">
        <f>1</f>
        <v>1</v>
      </c>
      <c r="AA8" s="2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26">
        <f>11</f>
        <v>11</v>
      </c>
      <c r="R9" s="3"/>
      <c r="S9" s="3"/>
      <c r="T9" s="3"/>
      <c r="U9" s="3"/>
      <c r="V9" s="3"/>
      <c r="W9" s="3"/>
      <c r="X9" s="3"/>
      <c r="Y9" s="3"/>
      <c r="Z9" s="3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18.7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3"/>
      <c r="R11" s="33"/>
      <c r="S11" s="33"/>
      <c r="T11" s="33"/>
      <c r="U11" s="33"/>
      <c r="V11" s="33"/>
      <c r="AC11" s="33"/>
      <c r="AD11" s="33"/>
      <c r="AE11" s="33"/>
      <c r="AF11" s="33"/>
      <c r="AG11" s="33"/>
      <c r="AH11" s="33"/>
      <c r="AI11" s="33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AC12" s="8"/>
      <c r="AD12" s="8"/>
      <c r="AE12" s="8"/>
      <c r="AF12" s="8"/>
      <c r="AG12" s="8"/>
      <c r="AH12" s="8"/>
      <c r="AI12" s="8"/>
    </row>
    <row r="13" spans="1:36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AC13" s="8"/>
      <c r="AD13" s="8"/>
      <c r="AE13" s="8"/>
      <c r="AF13" s="8"/>
      <c r="AG13" s="8"/>
      <c r="AH13" s="8"/>
      <c r="AI13" s="10"/>
    </row>
    <row r="14" spans="1:36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AC14" s="8"/>
      <c r="AD14" s="8"/>
      <c r="AE14" s="8"/>
      <c r="AF14" s="8"/>
      <c r="AG14" s="8"/>
      <c r="AH14" s="8"/>
      <c r="AI14" s="10"/>
    </row>
    <row r="15" spans="1:36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8"/>
      <c r="AC15" s="8"/>
      <c r="AD15" s="8"/>
      <c r="AE15" s="8"/>
      <c r="AF15" s="8"/>
      <c r="AG15" s="8"/>
      <c r="AH15" s="8"/>
      <c r="AI15" s="10"/>
    </row>
    <row r="16" spans="1:36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</row>
    <row r="17" spans="1:22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8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3">
    <mergeCell ref="A1:N1"/>
    <mergeCell ref="P1:AA1"/>
    <mergeCell ref="AC1:AJ1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66FF"/>
  </sheetPr>
  <dimension ref="A1:AJ49"/>
  <sheetViews>
    <sheetView workbookViewId="0">
      <selection activeCell="S33" sqref="S32:S33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29" max="29" width="11" bestFit="1" customWidth="1"/>
    <col min="33" max="33" width="12.85546875" bestFit="1" customWidth="1"/>
  </cols>
  <sheetData>
    <row r="1" spans="1:36" ht="31.5" x14ac:dyDescent="0.5">
      <c r="A1" s="132" t="s">
        <v>78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4"/>
      <c r="O1" s="32"/>
      <c r="P1" s="135" t="s">
        <v>83</v>
      </c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7"/>
      <c r="AC1" s="132" t="s">
        <v>87</v>
      </c>
      <c r="AD1" s="133"/>
      <c r="AE1" s="133"/>
      <c r="AF1" s="133"/>
      <c r="AG1" s="133"/>
      <c r="AH1" s="133"/>
      <c r="AI1" s="133"/>
      <c r="AJ1" s="134"/>
    </row>
    <row r="2" spans="1:36" x14ac:dyDescent="0.25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6" t="s">
        <v>75</v>
      </c>
      <c r="AA2" s="7" t="s">
        <v>67</v>
      </c>
      <c r="AC2" s="5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7" t="s">
        <v>73</v>
      </c>
    </row>
    <row r="3" spans="1:36" x14ac:dyDescent="0.25">
      <c r="A3" s="42" t="s">
        <v>54</v>
      </c>
      <c r="B3" s="32">
        <f>15+22+32+24+35+23+23</f>
        <v>174</v>
      </c>
      <c r="C3" s="32">
        <f>20+28+34+24+24+26+26</f>
        <v>182</v>
      </c>
      <c r="D3" s="39">
        <f>B3/C3</f>
        <v>0.95604395604395609</v>
      </c>
      <c r="E3" s="32">
        <f>B3-C3</f>
        <v>-8</v>
      </c>
      <c r="F3" s="32">
        <f>B3+C3</f>
        <v>356</v>
      </c>
      <c r="G3" s="32">
        <f>4+3+5+9+14+7+5</f>
        <v>47</v>
      </c>
      <c r="H3" s="32">
        <f>8+12+20+17+27+12+16</f>
        <v>112</v>
      </c>
      <c r="I3" s="38">
        <f>B3/$B$7</f>
        <v>0.26605504587155965</v>
      </c>
      <c r="J3" s="38">
        <f>C3/$C$7</f>
        <v>0.24694708276797828</v>
      </c>
      <c r="K3" s="39">
        <f>AVERAGE(B3/$B$8)</f>
        <v>24.857142857142858</v>
      </c>
      <c r="L3" s="39">
        <f>AVERAGE(C3/$B$8)</f>
        <v>26</v>
      </c>
      <c r="M3" s="32">
        <f>2067+2722+3982+2918+3982+2926+2518</f>
        <v>21115</v>
      </c>
      <c r="N3" s="43">
        <f>71+5+8+98+68+34+52</f>
        <v>336</v>
      </c>
      <c r="O3" s="32"/>
      <c r="P3" s="42" t="s">
        <v>54</v>
      </c>
      <c r="Q3" s="8">
        <f>7+7+9+9+8+9</f>
        <v>49</v>
      </c>
      <c r="R3" s="8">
        <f>8+7+7+8+6+8</f>
        <v>44</v>
      </c>
      <c r="S3" s="9">
        <f>Q3/R3</f>
        <v>1.1136363636363635</v>
      </c>
      <c r="T3" s="8">
        <f>Q3-R3</f>
        <v>5</v>
      </c>
      <c r="U3" s="10">
        <f>Q3/$Q$7</f>
        <v>0.29518072289156627</v>
      </c>
      <c r="V3" s="10">
        <f>R3/$R$7</f>
        <v>0.25730994152046782</v>
      </c>
      <c r="W3" s="8">
        <f>1+2+4+2+0+1</f>
        <v>10</v>
      </c>
      <c r="X3" s="8">
        <f>1+0+0+1+1+1</f>
        <v>4</v>
      </c>
      <c r="Y3" s="8">
        <f>0+0+0+0+0+0</f>
        <v>0</v>
      </c>
      <c r="Z3" s="9">
        <f>Q3/$Q$9</f>
        <v>0.83050847457627119</v>
      </c>
      <c r="AA3" s="14">
        <f>Q3+R3</f>
        <v>93</v>
      </c>
      <c r="AC3" s="23" t="s">
        <v>54</v>
      </c>
      <c r="AD3" s="8">
        <f>21+13+29+20</f>
        <v>83</v>
      </c>
      <c r="AE3" s="8">
        <f>31+18+29+15</f>
        <v>93</v>
      </c>
      <c r="AF3" s="9">
        <f>AD3/AE3</f>
        <v>0.89247311827956988</v>
      </c>
      <c r="AG3" s="8">
        <f>AD3+AE3</f>
        <v>176</v>
      </c>
      <c r="AH3" s="8">
        <f>5+0+5+4</f>
        <v>14</v>
      </c>
      <c r="AI3" s="10">
        <f>AD3/$AD$7</f>
        <v>0.24924924924924924</v>
      </c>
      <c r="AJ3" s="30">
        <f>AE3/$AE$7</f>
        <v>0.25135135135135134</v>
      </c>
    </row>
    <row r="4" spans="1:36" x14ac:dyDescent="0.25">
      <c r="A4" s="37" t="s">
        <v>56</v>
      </c>
      <c r="B4" s="32">
        <f>31+19+27+28+35+24+29</f>
        <v>193</v>
      </c>
      <c r="C4" s="32">
        <f>26+29+34+27+27+36+33</f>
        <v>212</v>
      </c>
      <c r="D4" s="39">
        <f t="shared" ref="D4:D6" si="0">B4/C4</f>
        <v>0.910377358490566</v>
      </c>
      <c r="E4" s="32">
        <f t="shared" ref="E4:E6" si="1">B4-C4</f>
        <v>-19</v>
      </c>
      <c r="F4" s="32">
        <f t="shared" ref="F4:F6" si="2">B4+C4</f>
        <v>405</v>
      </c>
      <c r="G4" s="32">
        <f>8+7+4+12+14+10+7</f>
        <v>62</v>
      </c>
      <c r="H4" s="32">
        <f>24+12+16+20+27+16+15</f>
        <v>130</v>
      </c>
      <c r="I4" s="38">
        <f t="shared" ref="I4:I6" si="3">B4/$B$7</f>
        <v>0.29510703363914376</v>
      </c>
      <c r="J4" s="38">
        <f t="shared" ref="J4:J6" si="4">C4/$C$7</f>
        <v>0.28765264586160111</v>
      </c>
      <c r="K4" s="39">
        <f t="shared" ref="K4:L6" si="5">AVERAGE(B4/$B$8)</f>
        <v>27.571428571428573</v>
      </c>
      <c r="L4" s="39">
        <f t="shared" si="5"/>
        <v>30.285714285714285</v>
      </c>
      <c r="M4" s="32">
        <f>3562+2340+3027+3086+4119+3414+3482</f>
        <v>23030</v>
      </c>
      <c r="N4" s="43">
        <f>54+68+83+66+104+38+20</f>
        <v>433</v>
      </c>
      <c r="O4" s="32"/>
      <c r="P4" s="37" t="s">
        <v>56</v>
      </c>
      <c r="Q4" s="8">
        <f>7+3+9+6+3+4</f>
        <v>32</v>
      </c>
      <c r="R4" s="8">
        <f>8+7+7+9+7+9</f>
        <v>47</v>
      </c>
      <c r="S4" s="9">
        <f t="shared" ref="S4:S6" si="6">Q4/R4</f>
        <v>0.68085106382978722</v>
      </c>
      <c r="T4" s="8">
        <f t="shared" ref="T4:T6" si="7">Q4-R4</f>
        <v>-15</v>
      </c>
      <c r="U4" s="10">
        <f t="shared" ref="U4:U6" si="8">Q4/$Q$7</f>
        <v>0.19277108433734941</v>
      </c>
      <c r="V4" s="10">
        <f t="shared" ref="V4:V6" si="9">R4/$R$7</f>
        <v>0.27485380116959063</v>
      </c>
      <c r="W4" s="8">
        <f>2+1+2+3+1+1</f>
        <v>10</v>
      </c>
      <c r="X4" s="8">
        <f>2+3+1+4+4+4</f>
        <v>18</v>
      </c>
      <c r="Y4" s="8">
        <f>0+1+2+0+0+0</f>
        <v>3</v>
      </c>
      <c r="Z4" s="9">
        <f t="shared" ref="Z4:Z6" si="10">Q4/$Q$9</f>
        <v>0.5423728813559322</v>
      </c>
      <c r="AA4" s="14">
        <f t="shared" ref="AA4:AA6" si="11">Q4+R4</f>
        <v>79</v>
      </c>
      <c r="AC4" s="24" t="s">
        <v>56</v>
      </c>
      <c r="AD4" s="8">
        <f>32+14+22+20</f>
        <v>88</v>
      </c>
      <c r="AE4" s="8">
        <f>35+24+25+24</f>
        <v>108</v>
      </c>
      <c r="AF4" s="9">
        <f t="shared" ref="AF4:AF6" si="12">AD4/AE4</f>
        <v>0.81481481481481477</v>
      </c>
      <c r="AG4" s="8">
        <f t="shared" ref="AG4:AG6" si="13">AD4+AE4</f>
        <v>196</v>
      </c>
      <c r="AH4" s="8">
        <f>3+0+3+2</f>
        <v>8</v>
      </c>
      <c r="AI4" s="10">
        <f t="shared" ref="AI4:AI6" si="14">AD4/$AD$7</f>
        <v>0.26426426426426425</v>
      </c>
      <c r="AJ4" s="30">
        <f t="shared" ref="AJ4:AJ6" si="15">AE4/$AE$7</f>
        <v>0.29189189189189191</v>
      </c>
    </row>
    <row r="5" spans="1:36" x14ac:dyDescent="0.25">
      <c r="A5" s="37" t="s">
        <v>57</v>
      </c>
      <c r="B5" s="32">
        <f>18+14+22+20+21+25+18</f>
        <v>138</v>
      </c>
      <c r="C5" s="32">
        <f>12+25+28+25+27+25+25</f>
        <v>167</v>
      </c>
      <c r="D5" s="39">
        <f t="shared" si="0"/>
        <v>0.82634730538922152</v>
      </c>
      <c r="E5" s="32">
        <f t="shared" si="1"/>
        <v>-29</v>
      </c>
      <c r="F5" s="32">
        <f t="shared" si="2"/>
        <v>305</v>
      </c>
      <c r="G5" s="32">
        <f>6+4+7+5+9+9+5</f>
        <v>45</v>
      </c>
      <c r="H5" s="32">
        <f>16+10+12+14+13+18+11</f>
        <v>94</v>
      </c>
      <c r="I5" s="38">
        <f t="shared" si="3"/>
        <v>0.21100917431192662</v>
      </c>
      <c r="J5" s="38">
        <f t="shared" si="4"/>
        <v>0.22659430122116689</v>
      </c>
      <c r="K5" s="39">
        <f t="shared" si="5"/>
        <v>19.714285714285715</v>
      </c>
      <c r="L5" s="39">
        <f t="shared" si="5"/>
        <v>23.857142857142858</v>
      </c>
      <c r="M5" s="32">
        <f>2053+2162+2457+2812+2800+2577+2177</f>
        <v>17038</v>
      </c>
      <c r="N5" s="43">
        <f>123+14+86+102+90+80+45</f>
        <v>540</v>
      </c>
      <c r="O5" s="32"/>
      <c r="P5" s="37" t="s">
        <v>57</v>
      </c>
      <c r="Q5" s="8">
        <f>3+6+7+8+8+3</f>
        <v>35</v>
      </c>
      <c r="R5" s="8">
        <f>7+4+6+6+4+8</f>
        <v>35</v>
      </c>
      <c r="S5" s="9">
        <f t="shared" si="6"/>
        <v>1</v>
      </c>
      <c r="T5" s="8">
        <f t="shared" si="7"/>
        <v>0</v>
      </c>
      <c r="U5" s="10">
        <f t="shared" si="8"/>
        <v>0.21084337349397592</v>
      </c>
      <c r="V5" s="10">
        <f t="shared" si="9"/>
        <v>0.2046783625730994</v>
      </c>
      <c r="W5" s="8">
        <f>0+0+0+0+2+0</f>
        <v>2</v>
      </c>
      <c r="X5" s="8">
        <f>1+0+0+0+0+2</f>
        <v>3</v>
      </c>
      <c r="Y5" s="8">
        <f>2+0+0+2+2+0</f>
        <v>6</v>
      </c>
      <c r="Z5" s="9">
        <f t="shared" si="10"/>
        <v>0.59322033898305082</v>
      </c>
      <c r="AA5" s="14">
        <f t="shared" si="11"/>
        <v>70</v>
      </c>
      <c r="AC5" s="24" t="s">
        <v>57</v>
      </c>
      <c r="AD5" s="8">
        <f>21+9+32+25</f>
        <v>87</v>
      </c>
      <c r="AE5" s="8">
        <f>23+18+20+13</f>
        <v>74</v>
      </c>
      <c r="AF5" s="9">
        <f t="shared" si="12"/>
        <v>1.1756756756756757</v>
      </c>
      <c r="AG5" s="8">
        <f t="shared" si="13"/>
        <v>161</v>
      </c>
      <c r="AH5" s="8">
        <f>5+0+7+4</f>
        <v>16</v>
      </c>
      <c r="AI5" s="10">
        <f t="shared" si="14"/>
        <v>0.26126126126126126</v>
      </c>
      <c r="AJ5" s="30">
        <f t="shared" si="15"/>
        <v>0.2</v>
      </c>
    </row>
    <row r="6" spans="1:36" x14ac:dyDescent="0.25">
      <c r="A6" s="37" t="s">
        <v>58</v>
      </c>
      <c r="B6" s="32">
        <f>26+21+22+21+21+23+15</f>
        <v>149</v>
      </c>
      <c r="C6" s="32">
        <f>20+22+30+30+25+27+22</f>
        <v>176</v>
      </c>
      <c r="D6" s="39">
        <f t="shared" si="0"/>
        <v>0.84659090909090906</v>
      </c>
      <c r="E6" s="32">
        <f t="shared" si="1"/>
        <v>-27</v>
      </c>
      <c r="F6" s="32">
        <f t="shared" si="2"/>
        <v>325</v>
      </c>
      <c r="G6" s="32">
        <f>5+6+7+6+8+6+9</f>
        <v>47</v>
      </c>
      <c r="H6" s="32">
        <f>21+10+14+11+13+15+10</f>
        <v>94</v>
      </c>
      <c r="I6" s="38">
        <f t="shared" si="3"/>
        <v>0.22782874617737003</v>
      </c>
      <c r="J6" s="38">
        <f t="shared" si="4"/>
        <v>0.23880597014925373</v>
      </c>
      <c r="K6" s="39">
        <f t="shared" si="5"/>
        <v>21.285714285714285</v>
      </c>
      <c r="L6" s="39">
        <f t="shared" si="5"/>
        <v>25.142857142857142</v>
      </c>
      <c r="M6" s="32">
        <f>2962+2473+2814+2373+2522+2624+2467</f>
        <v>18235</v>
      </c>
      <c r="N6" s="43">
        <f>36+60+77+19+41+71+110</f>
        <v>414</v>
      </c>
      <c r="O6" s="32"/>
      <c r="P6" s="37" t="s">
        <v>58</v>
      </c>
      <c r="Q6" s="8">
        <f>6+14+5+11+6+8</f>
        <v>50</v>
      </c>
      <c r="R6" s="8">
        <f>9+3+8+11+6+8</f>
        <v>45</v>
      </c>
      <c r="S6" s="9">
        <f t="shared" si="6"/>
        <v>1.1111111111111112</v>
      </c>
      <c r="T6" s="8">
        <f t="shared" si="7"/>
        <v>5</v>
      </c>
      <c r="U6" s="10">
        <f t="shared" si="8"/>
        <v>0.30120481927710846</v>
      </c>
      <c r="V6" s="10">
        <f t="shared" si="9"/>
        <v>0.26315789473684209</v>
      </c>
      <c r="W6" s="8">
        <f>0+2+1+1+0+1</f>
        <v>5</v>
      </c>
      <c r="X6" s="8">
        <f>2+1+3+0+1+0</f>
        <v>7</v>
      </c>
      <c r="Y6" s="8">
        <f>0+1+1+2+0+4</f>
        <v>8</v>
      </c>
      <c r="Z6" s="9">
        <f t="shared" si="10"/>
        <v>0.84745762711864403</v>
      </c>
      <c r="AA6" s="14">
        <f t="shared" si="11"/>
        <v>95</v>
      </c>
      <c r="AC6" s="24" t="s">
        <v>58</v>
      </c>
      <c r="AD6" s="8">
        <f>28+11+18+18</f>
        <v>75</v>
      </c>
      <c r="AE6" s="8">
        <f>30+19+31+15</f>
        <v>95</v>
      </c>
      <c r="AF6" s="9">
        <f t="shared" si="12"/>
        <v>0.78947368421052633</v>
      </c>
      <c r="AG6" s="8">
        <f t="shared" si="13"/>
        <v>170</v>
      </c>
      <c r="AH6" s="8">
        <f>4+3+1+3</f>
        <v>11</v>
      </c>
      <c r="AI6" s="10">
        <f t="shared" si="14"/>
        <v>0.22522522522522523</v>
      </c>
      <c r="AJ6" s="30">
        <f t="shared" si="15"/>
        <v>0.25675675675675674</v>
      </c>
    </row>
    <row r="7" spans="1:36" x14ac:dyDescent="0.25">
      <c r="A7" s="44" t="s">
        <v>79</v>
      </c>
      <c r="B7" s="32">
        <f>SUM(B3:B6)</f>
        <v>654</v>
      </c>
      <c r="C7" s="32">
        <f>SUM(C3:C6)</f>
        <v>737</v>
      </c>
      <c r="D7" s="32"/>
      <c r="E7" s="32"/>
      <c r="F7" s="32">
        <f>SUM(F3:F6)</f>
        <v>1391</v>
      </c>
      <c r="G7" s="32">
        <f>SUM(G3:G6)</f>
        <v>201</v>
      </c>
      <c r="H7" s="32">
        <f>SUM(H3:H6)</f>
        <v>430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166</v>
      </c>
      <c r="R7" s="8">
        <f>SUM(R3:R6)</f>
        <v>171</v>
      </c>
      <c r="S7" s="8"/>
      <c r="T7" s="8"/>
      <c r="U7" s="8"/>
      <c r="V7" s="8"/>
      <c r="W7" s="8">
        <f>SUM(W3:W6)</f>
        <v>27</v>
      </c>
      <c r="X7" s="8">
        <f>SUM(X3:X6)</f>
        <v>32</v>
      </c>
      <c r="Y7" s="8">
        <f>SUM(Y3:Y6)</f>
        <v>17</v>
      </c>
      <c r="Z7" s="8"/>
      <c r="AA7" s="14">
        <f>SUM(AA3:AA6)</f>
        <v>337</v>
      </c>
      <c r="AC7" s="25" t="s">
        <v>79</v>
      </c>
      <c r="AD7" s="26">
        <f>SUM(AD3:AD6)</f>
        <v>333</v>
      </c>
      <c r="AE7" s="26">
        <f>SUM(AE3:AE6)</f>
        <v>370</v>
      </c>
      <c r="AF7" s="26"/>
      <c r="AG7" s="26">
        <f>SUM(AG3:AG6)</f>
        <v>703</v>
      </c>
      <c r="AH7" s="26">
        <f>SUM(AH3:AH6)</f>
        <v>49</v>
      </c>
      <c r="AI7" s="26"/>
      <c r="AJ7" s="27"/>
    </row>
    <row r="8" spans="1:36" x14ac:dyDescent="0.25">
      <c r="A8" s="45" t="s">
        <v>80</v>
      </c>
      <c r="B8" s="46">
        <f>1+1+1+1+1+1+1</f>
        <v>7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 s="8">
        <f>1+1+1+1+1+1</f>
        <v>6</v>
      </c>
      <c r="AA8" s="2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26">
        <f>9+9+11+11+9+10</f>
        <v>59</v>
      </c>
      <c r="R9" s="3"/>
      <c r="S9" s="3"/>
      <c r="T9" s="3"/>
      <c r="U9" s="3"/>
      <c r="V9" s="3"/>
      <c r="W9" s="3"/>
      <c r="X9" s="3"/>
      <c r="Y9" s="3"/>
      <c r="Z9" s="3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18.7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3"/>
      <c r="R11" s="33"/>
      <c r="S11" s="33"/>
      <c r="T11" s="33"/>
      <c r="U11" s="33"/>
      <c r="V11" s="33"/>
      <c r="AC11" s="33"/>
      <c r="AD11" s="33"/>
      <c r="AE11" s="33"/>
      <c r="AF11" s="33"/>
      <c r="AG11" s="33"/>
      <c r="AH11" s="33"/>
      <c r="AI11" s="33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S12" s="8"/>
      <c r="AC12" s="8"/>
      <c r="AD12" s="8"/>
      <c r="AE12" s="8"/>
      <c r="AF12" s="8"/>
      <c r="AG12" s="8"/>
      <c r="AH12" s="8"/>
      <c r="AI12" s="8"/>
    </row>
    <row r="13" spans="1:36" x14ac:dyDescent="0.25">
      <c r="A13" s="32"/>
      <c r="B13" s="32"/>
      <c r="C13" s="32"/>
      <c r="D13" s="32"/>
      <c r="E13" s="32"/>
      <c r="F13" s="32"/>
      <c r="G13" s="38"/>
      <c r="H13" s="32"/>
      <c r="I13" s="32"/>
      <c r="J13" s="32"/>
      <c r="K13" s="32"/>
      <c r="L13" s="32"/>
      <c r="M13" s="32"/>
      <c r="N13" s="32"/>
      <c r="O13" s="32"/>
      <c r="P13" s="32"/>
      <c r="Q13" s="8"/>
      <c r="R13" s="8"/>
      <c r="S13" s="8"/>
      <c r="T13" s="8"/>
      <c r="U13" s="8"/>
      <c r="V13" s="10"/>
      <c r="AC13" s="8"/>
      <c r="AD13" s="8"/>
      <c r="AE13" s="8"/>
      <c r="AF13" s="8"/>
      <c r="AG13" s="8"/>
      <c r="AH13" s="8"/>
      <c r="AI13" s="8"/>
    </row>
    <row r="14" spans="1:36" x14ac:dyDescent="0.25">
      <c r="A14" s="32"/>
      <c r="B14" s="32"/>
      <c r="C14" s="32"/>
      <c r="D14" s="32"/>
      <c r="E14" s="32"/>
      <c r="F14" s="32"/>
      <c r="G14" s="38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10"/>
      <c r="AC14" s="8"/>
      <c r="AD14" s="8"/>
      <c r="AE14" s="8"/>
      <c r="AF14" s="8"/>
      <c r="AG14" s="8"/>
      <c r="AH14" s="8"/>
      <c r="AI14" s="8"/>
    </row>
    <row r="15" spans="1:36" x14ac:dyDescent="0.25">
      <c r="A15" s="32"/>
      <c r="B15" s="32"/>
      <c r="C15" s="32"/>
      <c r="D15" s="32"/>
      <c r="E15" s="32"/>
      <c r="F15" s="32"/>
      <c r="G15" s="38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10"/>
      <c r="AC15" s="8"/>
      <c r="AD15" s="8"/>
      <c r="AE15" s="8"/>
      <c r="AF15" s="8"/>
      <c r="AG15" s="8"/>
      <c r="AH15" s="8"/>
      <c r="AI15" s="8"/>
    </row>
    <row r="16" spans="1:36" x14ac:dyDescent="0.25">
      <c r="A16" s="32"/>
      <c r="B16" s="32"/>
      <c r="C16" s="32"/>
      <c r="D16" s="32"/>
      <c r="E16" s="32"/>
      <c r="F16" s="32"/>
      <c r="G16" s="38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10"/>
    </row>
    <row r="17" spans="1:22" x14ac:dyDescent="0.25">
      <c r="A17" s="32"/>
      <c r="B17" s="32"/>
      <c r="C17" s="32"/>
      <c r="D17" s="32"/>
      <c r="E17" s="32"/>
      <c r="F17" s="32"/>
      <c r="G17" s="38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10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3">
    <mergeCell ref="A1:N1"/>
    <mergeCell ref="P1:AA1"/>
    <mergeCell ref="AC1:AJ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Z52"/>
  <sheetViews>
    <sheetView workbookViewId="0">
      <pane ySplit="1" topLeftCell="A2" activePane="bottomLeft" state="frozen"/>
      <selection activeCell="S33" sqref="S32:S33"/>
      <selection pane="bottomLeft" activeCell="Q13" sqref="Q13"/>
    </sheetView>
  </sheetViews>
  <sheetFormatPr defaultRowHeight="15" x14ac:dyDescent="0.25"/>
  <cols>
    <col min="1" max="1" width="12" bestFit="1" customWidth="1"/>
    <col min="2" max="2" width="10.28515625" bestFit="1" customWidth="1"/>
    <col min="7" max="7" width="12.85546875" bestFit="1" customWidth="1"/>
    <col min="8" max="8" width="11.28515625" bestFit="1" customWidth="1"/>
    <col min="9" max="9" width="11.42578125" bestFit="1" customWidth="1"/>
    <col min="10" max="12" width="9.140625" customWidth="1"/>
    <col min="13" max="13" width="11.28515625" bestFit="1" customWidth="1"/>
    <col min="20" max="20" width="12.85546875" bestFit="1" customWidth="1"/>
    <col min="21" max="21" width="11.28515625" bestFit="1" customWidth="1"/>
    <col min="22" max="22" width="12.85546875" customWidth="1"/>
    <col min="26" max="26" width="11.28515625" bestFit="1" customWidth="1"/>
  </cols>
  <sheetData>
    <row r="1" spans="1:26" ht="15.75" customHeight="1" x14ac:dyDescent="0.35">
      <c r="A1" s="75" t="s">
        <v>59</v>
      </c>
      <c r="B1" s="75" t="s">
        <v>60</v>
      </c>
      <c r="C1" s="75" t="s">
        <v>61</v>
      </c>
      <c r="D1" s="75" t="s">
        <v>62</v>
      </c>
      <c r="E1" s="75" t="s">
        <v>63</v>
      </c>
      <c r="F1" s="75" t="s">
        <v>70</v>
      </c>
      <c r="G1" s="75" t="s">
        <v>67</v>
      </c>
      <c r="H1" s="75" t="s">
        <v>84</v>
      </c>
      <c r="I1" s="75" t="s">
        <v>85</v>
      </c>
      <c r="J1" s="75" t="s">
        <v>71</v>
      </c>
      <c r="K1" s="75" t="s">
        <v>72</v>
      </c>
      <c r="L1" s="75" t="s">
        <v>74</v>
      </c>
      <c r="M1" s="75" t="s">
        <v>75</v>
      </c>
      <c r="N1" s="32"/>
      <c r="O1" s="32"/>
      <c r="P1" s="80" t="s">
        <v>91</v>
      </c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x14ac:dyDescent="0.25">
      <c r="A2" s="55" t="s">
        <v>0</v>
      </c>
      <c r="B2" s="56" t="s">
        <v>1</v>
      </c>
      <c r="C2" s="55">
        <f>'Breach Stats'!Q3</f>
        <v>16</v>
      </c>
      <c r="D2" s="55">
        <f>'Breach Stats'!R3</f>
        <v>21</v>
      </c>
      <c r="E2" s="57">
        <f>'Breach Stats'!S3</f>
        <v>0.76190476190476186</v>
      </c>
      <c r="F2" s="55">
        <f>'Breach Stats'!T3</f>
        <v>-5</v>
      </c>
      <c r="G2" s="57">
        <f>'Breach Stats'!AA3</f>
        <v>37</v>
      </c>
      <c r="H2" s="55">
        <f>'Breach Stats'!W3</f>
        <v>1</v>
      </c>
      <c r="I2" s="55">
        <f>'Breach Stats'!X3</f>
        <v>6</v>
      </c>
      <c r="J2" s="58">
        <f>'Breach Stats'!U3</f>
        <v>0.21052631578947367</v>
      </c>
      <c r="K2" s="58">
        <f>'Breach Stats'!V3</f>
        <v>0.23333333333333334</v>
      </c>
      <c r="L2" s="55">
        <f>'Breach Stats'!Y3</f>
        <v>5</v>
      </c>
      <c r="M2" s="57">
        <f>'Breach Stats'!Z3</f>
        <v>0.53333333333333333</v>
      </c>
      <c r="N2" s="32"/>
      <c r="O2" s="32"/>
      <c r="P2" s="73" t="s">
        <v>61</v>
      </c>
      <c r="Q2" s="74" t="s">
        <v>62</v>
      </c>
      <c r="R2" s="74" t="s">
        <v>63</v>
      </c>
      <c r="S2" s="73" t="s">
        <v>64</v>
      </c>
      <c r="T2" s="73" t="s">
        <v>67</v>
      </c>
      <c r="U2" s="73" t="s">
        <v>84</v>
      </c>
      <c r="V2" s="73" t="s">
        <v>85</v>
      </c>
      <c r="W2" s="73" t="s">
        <v>71</v>
      </c>
      <c r="X2" s="73" t="s">
        <v>73</v>
      </c>
      <c r="Y2" s="73" t="s">
        <v>74</v>
      </c>
      <c r="Z2" s="73" t="s">
        <v>75</v>
      </c>
    </row>
    <row r="3" spans="1:26" x14ac:dyDescent="0.25">
      <c r="A3" s="55" t="s">
        <v>2</v>
      </c>
      <c r="B3" s="56" t="s">
        <v>1</v>
      </c>
      <c r="C3" s="55">
        <f>'Breach Stats'!Q4</f>
        <v>17</v>
      </c>
      <c r="D3" s="55">
        <f>'Breach Stats'!R4</f>
        <v>27</v>
      </c>
      <c r="E3" s="57">
        <f>'Breach Stats'!S4</f>
        <v>0.62962962962962965</v>
      </c>
      <c r="F3" s="55">
        <f>'Breach Stats'!T4</f>
        <v>-10</v>
      </c>
      <c r="G3" s="57">
        <f>'Breach Stats'!AA4</f>
        <v>44</v>
      </c>
      <c r="H3" s="55">
        <f>'Breach Stats'!W4</f>
        <v>2</v>
      </c>
      <c r="I3" s="55">
        <f>'Breach Stats'!X4</f>
        <v>4</v>
      </c>
      <c r="J3" s="58">
        <f>'Breach Stats'!U4</f>
        <v>0.22368421052631579</v>
      </c>
      <c r="K3" s="58">
        <f>'Breach Stats'!V4</f>
        <v>0.3</v>
      </c>
      <c r="L3" s="55">
        <f>'Breach Stats'!Y4</f>
        <v>1</v>
      </c>
      <c r="M3" s="57">
        <f>'Breach Stats'!Z4</f>
        <v>0.56666666666666665</v>
      </c>
      <c r="N3" s="32"/>
      <c r="O3" s="32"/>
      <c r="P3" s="39">
        <f>AVERAGE(C2:C49)</f>
        <v>24.4375</v>
      </c>
      <c r="Q3" s="32">
        <f>D2:D49</f>
        <v>27</v>
      </c>
      <c r="R3" s="39">
        <f t="shared" ref="R3:Z3" si="0">AVERAGE(E2:E49)</f>
        <v>0.93853619424780232</v>
      </c>
      <c r="S3" s="39">
        <f t="shared" si="0"/>
        <v>-4.1666666666666664E-2</v>
      </c>
      <c r="T3" s="39">
        <f t="shared" si="0"/>
        <v>48.916666666666664</v>
      </c>
      <c r="U3" s="39">
        <f t="shared" si="0"/>
        <v>4.375</v>
      </c>
      <c r="V3" s="39">
        <f t="shared" si="0"/>
        <v>4.229166666666667</v>
      </c>
      <c r="W3" s="76">
        <f t="shared" si="0"/>
        <v>0.24999999999999992</v>
      </c>
      <c r="X3" s="76">
        <f t="shared" si="0"/>
        <v>0.25000000000000011</v>
      </c>
      <c r="Y3" s="39">
        <f t="shared" si="0"/>
        <v>2.5625</v>
      </c>
      <c r="Z3" s="39">
        <f t="shared" si="0"/>
        <v>0.65645121474280088</v>
      </c>
    </row>
    <row r="4" spans="1:26" x14ac:dyDescent="0.25">
      <c r="A4" s="55" t="s">
        <v>3</v>
      </c>
      <c r="B4" s="56" t="s">
        <v>1</v>
      </c>
      <c r="C4" s="55">
        <f>'Breach Stats'!Q5</f>
        <v>17</v>
      </c>
      <c r="D4" s="55">
        <f>'Breach Stats'!R5</f>
        <v>20</v>
      </c>
      <c r="E4" s="57">
        <f>'Breach Stats'!S5</f>
        <v>0.85</v>
      </c>
      <c r="F4" s="55">
        <f>'Breach Stats'!T5</f>
        <v>-3</v>
      </c>
      <c r="G4" s="57">
        <f>'Breach Stats'!AA5</f>
        <v>37</v>
      </c>
      <c r="H4" s="55">
        <f>'Breach Stats'!W5</f>
        <v>2</v>
      </c>
      <c r="I4" s="55">
        <f>'Breach Stats'!X5</f>
        <v>1</v>
      </c>
      <c r="J4" s="58">
        <f>'Breach Stats'!U5</f>
        <v>0.22368421052631579</v>
      </c>
      <c r="K4" s="58">
        <f>'Breach Stats'!V5</f>
        <v>0.22222222222222221</v>
      </c>
      <c r="L4" s="55">
        <f>'Breach Stats'!Y5</f>
        <v>0</v>
      </c>
      <c r="M4" s="57">
        <f>'Breach Stats'!Z5</f>
        <v>0.56666666666666665</v>
      </c>
      <c r="N4" s="32"/>
      <c r="O4" s="32"/>
      <c r="P4" s="32"/>
    </row>
    <row r="5" spans="1:26" x14ac:dyDescent="0.25">
      <c r="A5" s="55" t="s">
        <v>4</v>
      </c>
      <c r="B5" s="56" t="s">
        <v>1</v>
      </c>
      <c r="C5" s="55">
        <f>'Breach Stats'!Q6</f>
        <v>26</v>
      </c>
      <c r="D5" s="55">
        <f>'Breach Stats'!R6</f>
        <v>22</v>
      </c>
      <c r="E5" s="57">
        <f>'Breach Stats'!S6</f>
        <v>1.1818181818181819</v>
      </c>
      <c r="F5" s="55">
        <f>'Breach Stats'!T6</f>
        <v>4</v>
      </c>
      <c r="G5" s="57">
        <f>'Breach Stats'!AA6</f>
        <v>48</v>
      </c>
      <c r="H5" s="55">
        <f>'Breach Stats'!W6</f>
        <v>6</v>
      </c>
      <c r="I5" s="55">
        <f>'Breach Stats'!X6</f>
        <v>7</v>
      </c>
      <c r="J5" s="58">
        <f>'Breach Stats'!U6</f>
        <v>0.34210526315789475</v>
      </c>
      <c r="K5" s="58">
        <f>'Breach Stats'!V6</f>
        <v>0.24444444444444444</v>
      </c>
      <c r="L5" s="55">
        <f>'Breach Stats'!Y6</f>
        <v>0</v>
      </c>
      <c r="M5" s="57">
        <f>'Breach Stats'!Z6</f>
        <v>0.8666666666666667</v>
      </c>
      <c r="N5" s="32"/>
      <c r="O5" s="32"/>
      <c r="P5" s="32"/>
    </row>
    <row r="6" spans="1:26" x14ac:dyDescent="0.25">
      <c r="A6" s="55" t="s">
        <v>5</v>
      </c>
      <c r="B6" s="59" t="s">
        <v>6</v>
      </c>
      <c r="C6" s="55">
        <f>'Faze Stats'!Q3</f>
        <v>33</v>
      </c>
      <c r="D6" s="55">
        <f>'Faze Stats'!R3</f>
        <v>40</v>
      </c>
      <c r="E6" s="57">
        <f>'Faze Stats'!S3</f>
        <v>0.82499999999999996</v>
      </c>
      <c r="F6" s="55">
        <f>'Faze Stats'!T3</f>
        <v>-7</v>
      </c>
      <c r="G6" s="57">
        <f>'Faze Stats'!AA3</f>
        <v>73</v>
      </c>
      <c r="H6" s="55">
        <f>'Faze Stats'!W3</f>
        <v>8</v>
      </c>
      <c r="I6" s="55">
        <f>'Faze Stats'!X3</f>
        <v>7</v>
      </c>
      <c r="J6" s="58">
        <f>'Faze Stats'!U3</f>
        <v>0.22297297297297297</v>
      </c>
      <c r="K6" s="58">
        <f>'Faze Stats'!V3</f>
        <v>0.2857142857142857</v>
      </c>
      <c r="L6" s="55">
        <f>'Faze Stats'!Y3</f>
        <v>4</v>
      </c>
      <c r="M6" s="57">
        <f>'Faze Stats'!Z3</f>
        <v>0.62264150943396224</v>
      </c>
      <c r="N6" s="32"/>
      <c r="O6" s="32"/>
      <c r="P6" s="32"/>
    </row>
    <row r="7" spans="1:26" x14ac:dyDescent="0.25">
      <c r="A7" s="55" t="s">
        <v>7</v>
      </c>
      <c r="B7" s="59" t="s">
        <v>6</v>
      </c>
      <c r="C7" s="55">
        <f>'Faze Stats'!Q4</f>
        <v>32</v>
      </c>
      <c r="D7" s="55">
        <f>'Faze Stats'!R4</f>
        <v>33</v>
      </c>
      <c r="E7" s="57">
        <f>'Faze Stats'!S4</f>
        <v>0.96969696969696972</v>
      </c>
      <c r="F7" s="55">
        <f>'Faze Stats'!T4</f>
        <v>-1</v>
      </c>
      <c r="G7" s="57">
        <f>'Faze Stats'!AA4</f>
        <v>65</v>
      </c>
      <c r="H7" s="55">
        <f>'Faze Stats'!W4</f>
        <v>4</v>
      </c>
      <c r="I7" s="55">
        <f>'Faze Stats'!X4</f>
        <v>2</v>
      </c>
      <c r="J7" s="58">
        <f>'Faze Stats'!U4</f>
        <v>0.21621621621621623</v>
      </c>
      <c r="K7" s="58">
        <f>'Faze Stats'!V4</f>
        <v>0.23571428571428571</v>
      </c>
      <c r="L7" s="55">
        <f>'Faze Stats'!Y4</f>
        <v>0</v>
      </c>
      <c r="M7" s="57">
        <f>'Faze Stats'!Z4</f>
        <v>0.60377358490566035</v>
      </c>
      <c r="N7" s="32"/>
      <c r="O7" s="32"/>
      <c r="P7" s="32"/>
    </row>
    <row r="8" spans="1:26" x14ac:dyDescent="0.25">
      <c r="A8" s="55" t="s">
        <v>8</v>
      </c>
      <c r="B8" s="59" t="s">
        <v>6</v>
      </c>
      <c r="C8" s="55">
        <f>'Faze Stats'!Q5</f>
        <v>42</v>
      </c>
      <c r="D8" s="55">
        <f>'Faze Stats'!R5</f>
        <v>31</v>
      </c>
      <c r="E8" s="57">
        <f>'Faze Stats'!S5</f>
        <v>1.3548387096774193</v>
      </c>
      <c r="F8" s="55">
        <f>'Faze Stats'!T5</f>
        <v>11</v>
      </c>
      <c r="G8" s="57">
        <f>'Faze Stats'!AA5</f>
        <v>73</v>
      </c>
      <c r="H8" s="55">
        <f>'Faze Stats'!W5</f>
        <v>7</v>
      </c>
      <c r="I8" s="55">
        <f>'Faze Stats'!X5</f>
        <v>4</v>
      </c>
      <c r="J8" s="58">
        <f>'Faze Stats'!U5</f>
        <v>0.28378378378378377</v>
      </c>
      <c r="K8" s="58">
        <f>'Faze Stats'!V5</f>
        <v>0.22142857142857142</v>
      </c>
      <c r="L8" s="55">
        <f>'Faze Stats'!Y5</f>
        <v>1</v>
      </c>
      <c r="M8" s="57">
        <f>'Faze Stats'!Z5</f>
        <v>0.79245283018867929</v>
      </c>
      <c r="N8" s="32"/>
      <c r="O8" s="32"/>
      <c r="P8" s="32"/>
    </row>
    <row r="9" spans="1:26" x14ac:dyDescent="0.25">
      <c r="A9" s="55" t="s">
        <v>9</v>
      </c>
      <c r="B9" s="59" t="s">
        <v>6</v>
      </c>
      <c r="C9" s="55">
        <f>'Faze Stats'!Q6</f>
        <v>41</v>
      </c>
      <c r="D9" s="55">
        <f>'Faze Stats'!R6</f>
        <v>36</v>
      </c>
      <c r="E9" s="57">
        <f>'Faze Stats'!S6</f>
        <v>1.1388888888888888</v>
      </c>
      <c r="F9" s="55">
        <f>'Faze Stats'!T6</f>
        <v>5</v>
      </c>
      <c r="G9" s="57">
        <f>'Faze Stats'!AA6</f>
        <v>77</v>
      </c>
      <c r="H9" s="55">
        <f>'Faze Stats'!W6</f>
        <v>8</v>
      </c>
      <c r="I9" s="55">
        <f>'Faze Stats'!X6</f>
        <v>7</v>
      </c>
      <c r="J9" s="58">
        <f>'Faze Stats'!U6</f>
        <v>0.27702702702702703</v>
      </c>
      <c r="K9" s="58">
        <f>'Faze Stats'!V6</f>
        <v>0.25714285714285712</v>
      </c>
      <c r="L9" s="55">
        <f>'Faze Stats'!Y6</f>
        <v>11</v>
      </c>
      <c r="M9" s="57">
        <f>'Faze Stats'!Z6</f>
        <v>0.77358490566037741</v>
      </c>
      <c r="N9" s="32"/>
      <c r="O9" s="32"/>
      <c r="P9" s="32"/>
    </row>
    <row r="10" spans="1:26" x14ac:dyDescent="0.25">
      <c r="A10" s="55" t="s">
        <v>10</v>
      </c>
      <c r="B10" s="60" t="s">
        <v>11</v>
      </c>
      <c r="C10" s="55">
        <f>'LAG Stats'!Q3</f>
        <v>8</v>
      </c>
      <c r="D10" s="55">
        <f>'LAG Stats'!R3</f>
        <v>7</v>
      </c>
      <c r="E10" s="57">
        <f>'LAG Stats'!S3</f>
        <v>1.1428571428571428</v>
      </c>
      <c r="F10" s="55">
        <f>'LAG Stats'!T3</f>
        <v>1</v>
      </c>
      <c r="G10" s="57">
        <f>'LAG Stats'!AA3</f>
        <v>15</v>
      </c>
      <c r="H10" s="55">
        <f>'LAG Stats'!W3</f>
        <v>3</v>
      </c>
      <c r="I10" s="55">
        <f>'LAG Stats'!X3</f>
        <v>0</v>
      </c>
      <c r="J10" s="58">
        <f>'LAG Stats'!U3</f>
        <v>0.4</v>
      </c>
      <c r="K10" s="58">
        <f>'LAG Stats'!V3</f>
        <v>0.23333333333333334</v>
      </c>
      <c r="L10" s="55">
        <f>'LAG Stats'!Y3</f>
        <v>0</v>
      </c>
      <c r="M10" s="57">
        <f>'LAG Stats'!Z3</f>
        <v>0.88888888888888884</v>
      </c>
      <c r="N10" s="32"/>
      <c r="O10" s="32"/>
      <c r="P10" s="32"/>
    </row>
    <row r="11" spans="1:26" x14ac:dyDescent="0.25">
      <c r="A11" s="55" t="s">
        <v>12</v>
      </c>
      <c r="B11" s="60" t="s">
        <v>11</v>
      </c>
      <c r="C11" s="55">
        <f>'LAG Stats'!Q4</f>
        <v>4</v>
      </c>
      <c r="D11" s="55">
        <f>'LAG Stats'!R4</f>
        <v>7</v>
      </c>
      <c r="E11" s="57">
        <f>'LAG Stats'!S4</f>
        <v>0.5714285714285714</v>
      </c>
      <c r="F11" s="55">
        <f>'LAG Stats'!T4</f>
        <v>-3</v>
      </c>
      <c r="G11" s="57">
        <f>'LAG Stats'!AA4</f>
        <v>11</v>
      </c>
      <c r="H11" s="55">
        <f>'LAG Stats'!W4</f>
        <v>1</v>
      </c>
      <c r="I11" s="55">
        <f>'LAG Stats'!X4</f>
        <v>2</v>
      </c>
      <c r="J11" s="58">
        <f>'LAG Stats'!U4</f>
        <v>0.2</v>
      </c>
      <c r="K11" s="58">
        <f>'LAG Stats'!V4</f>
        <v>0.23333333333333334</v>
      </c>
      <c r="L11" s="55">
        <f>'LAG Stats'!Y4</f>
        <v>1</v>
      </c>
      <c r="M11" s="57">
        <f>'LAG Stats'!Z4</f>
        <v>0.44444444444444442</v>
      </c>
      <c r="N11" s="32"/>
      <c r="O11" s="32"/>
      <c r="P11" s="32"/>
    </row>
    <row r="12" spans="1:26" x14ac:dyDescent="0.25">
      <c r="A12" s="55" t="s">
        <v>13</v>
      </c>
      <c r="B12" s="60" t="s">
        <v>11</v>
      </c>
      <c r="C12" s="55">
        <f>'LAG Stats'!Q5</f>
        <v>5</v>
      </c>
      <c r="D12" s="55">
        <f>'LAG Stats'!R5</f>
        <v>7</v>
      </c>
      <c r="E12" s="57">
        <f>'LAG Stats'!S5</f>
        <v>0.7142857142857143</v>
      </c>
      <c r="F12" s="55">
        <f>'LAG Stats'!T5</f>
        <v>-2</v>
      </c>
      <c r="G12" s="57">
        <f>'LAG Stats'!AA5</f>
        <v>12</v>
      </c>
      <c r="H12" s="55">
        <f>'LAG Stats'!W5</f>
        <v>0</v>
      </c>
      <c r="I12" s="55">
        <f>'LAG Stats'!X5</f>
        <v>0</v>
      </c>
      <c r="J12" s="58">
        <f>'LAG Stats'!U5</f>
        <v>0.25</v>
      </c>
      <c r="K12" s="58">
        <f>'LAG Stats'!V5</f>
        <v>0.23333333333333334</v>
      </c>
      <c r="L12" s="55">
        <f>'LAG Stats'!Y5</f>
        <v>3</v>
      </c>
      <c r="M12" s="57">
        <f>'LAG Stats'!Z5</f>
        <v>0.55555555555555558</v>
      </c>
      <c r="N12" s="32"/>
      <c r="O12" s="32"/>
      <c r="P12" s="32"/>
    </row>
    <row r="13" spans="1:26" x14ac:dyDescent="0.25">
      <c r="A13" s="55" t="s">
        <v>14</v>
      </c>
      <c r="B13" s="60" t="s">
        <v>11</v>
      </c>
      <c r="C13" s="55">
        <f>'LAG Stats'!Q6</f>
        <v>3</v>
      </c>
      <c r="D13" s="55">
        <f>'LAG Stats'!R6</f>
        <v>9</v>
      </c>
      <c r="E13" s="57">
        <f>'LAG Stats'!S6</f>
        <v>0.33333333333333331</v>
      </c>
      <c r="F13" s="55">
        <f>'LAG Stats'!T6</f>
        <v>-6</v>
      </c>
      <c r="G13" s="57">
        <f>'LAG Stats'!AA6</f>
        <v>12</v>
      </c>
      <c r="H13" s="55">
        <f>'LAG Stats'!W6</f>
        <v>0</v>
      </c>
      <c r="I13" s="55">
        <f>'LAG Stats'!X6</f>
        <v>3</v>
      </c>
      <c r="J13" s="58">
        <f>'LAG Stats'!U6</f>
        <v>0.15</v>
      </c>
      <c r="K13" s="58">
        <f>'LAG Stats'!V6</f>
        <v>0.3</v>
      </c>
      <c r="L13" s="55">
        <f>'LAG Stats'!Y6</f>
        <v>0</v>
      </c>
      <c r="M13" s="57">
        <f>'LAG Stats'!Z6</f>
        <v>0.33333333333333331</v>
      </c>
      <c r="N13" s="32"/>
      <c r="O13" s="32"/>
      <c r="P13" s="32"/>
    </row>
    <row r="14" spans="1:26" x14ac:dyDescent="0.25">
      <c r="A14" s="55" t="s">
        <v>15</v>
      </c>
      <c r="B14" s="59" t="s">
        <v>16</v>
      </c>
      <c r="C14" s="55">
        <f>'LAT Stats'!Q3</f>
        <v>14</v>
      </c>
      <c r="D14" s="55">
        <f>'LAT Stats'!R3</f>
        <v>22</v>
      </c>
      <c r="E14" s="57">
        <f>'LAT Stats'!S3</f>
        <v>0.63636363636363635</v>
      </c>
      <c r="F14" s="55">
        <f>'LAT Stats'!T3</f>
        <v>-8</v>
      </c>
      <c r="G14" s="57">
        <f>'LAT Stats'!AA3</f>
        <v>36</v>
      </c>
      <c r="H14" s="55">
        <f>'LAT Stats'!W3</f>
        <v>4</v>
      </c>
      <c r="I14" s="55">
        <f>'LAT Stats'!X3</f>
        <v>8</v>
      </c>
      <c r="J14" s="58">
        <f>'LAT Stats'!U3</f>
        <v>0.14583333333333334</v>
      </c>
      <c r="K14" s="58">
        <f>'LAT Stats'!V3</f>
        <v>0.2857142857142857</v>
      </c>
      <c r="L14" s="55">
        <f>'LAT Stats'!Y3</f>
        <v>3</v>
      </c>
      <c r="M14" s="57">
        <f>'LAT Stats'!Z3</f>
        <v>0.46666666666666667</v>
      </c>
      <c r="N14" s="32"/>
      <c r="O14" s="32"/>
      <c r="P14" s="32"/>
    </row>
    <row r="15" spans="1:26" x14ac:dyDescent="0.25">
      <c r="A15" s="55" t="s">
        <v>17</v>
      </c>
      <c r="B15" s="59" t="s">
        <v>16</v>
      </c>
      <c r="C15" s="55">
        <f>'LAT Stats'!Q4</f>
        <v>28</v>
      </c>
      <c r="D15" s="55">
        <f>'LAT Stats'!R4</f>
        <v>17</v>
      </c>
      <c r="E15" s="57">
        <f>'LAT Stats'!S4</f>
        <v>1.6470588235294117</v>
      </c>
      <c r="F15" s="55">
        <f>'LAT Stats'!T4</f>
        <v>11</v>
      </c>
      <c r="G15" s="57">
        <f>'LAT Stats'!AA4</f>
        <v>45</v>
      </c>
      <c r="H15" s="55">
        <f>'LAT Stats'!W4</f>
        <v>2</v>
      </c>
      <c r="I15" s="55">
        <f>'LAT Stats'!X4</f>
        <v>0</v>
      </c>
      <c r="J15" s="58">
        <f>'LAT Stats'!U4</f>
        <v>0.29166666666666669</v>
      </c>
      <c r="K15" s="58">
        <f>'LAT Stats'!V4</f>
        <v>0.22077922077922077</v>
      </c>
      <c r="L15" s="55">
        <f>'LAT Stats'!Y4</f>
        <v>2</v>
      </c>
      <c r="M15" s="57">
        <f>'LAT Stats'!Z4</f>
        <v>0.93333333333333335</v>
      </c>
      <c r="N15" s="32"/>
      <c r="O15" s="32"/>
      <c r="P15" s="32"/>
    </row>
    <row r="16" spans="1:26" x14ac:dyDescent="0.25">
      <c r="A16" s="55" t="s">
        <v>18</v>
      </c>
      <c r="B16" s="59" t="s">
        <v>16</v>
      </c>
      <c r="C16" s="55">
        <f>'LAT Stats'!Q5</f>
        <v>28</v>
      </c>
      <c r="D16" s="55">
        <f>'LAT Stats'!R5</f>
        <v>19</v>
      </c>
      <c r="E16" s="57">
        <f>'LAT Stats'!S5</f>
        <v>1.4736842105263157</v>
      </c>
      <c r="F16" s="55">
        <f>'LAT Stats'!T5</f>
        <v>9</v>
      </c>
      <c r="G16" s="57">
        <f>'LAT Stats'!AA5</f>
        <v>47</v>
      </c>
      <c r="H16" s="55">
        <f>'LAT Stats'!W5</f>
        <v>4</v>
      </c>
      <c r="I16" s="55">
        <f>'LAT Stats'!X5</f>
        <v>3</v>
      </c>
      <c r="J16" s="58">
        <f>'LAT Stats'!U5</f>
        <v>0.29166666666666669</v>
      </c>
      <c r="K16" s="58">
        <f>'LAT Stats'!V5</f>
        <v>0.24675324675324675</v>
      </c>
      <c r="L16" s="55">
        <f>'LAT Stats'!Y5</f>
        <v>0</v>
      </c>
      <c r="M16" s="57">
        <f>'LAT Stats'!Z5</f>
        <v>0.93333333333333335</v>
      </c>
      <c r="N16" s="32"/>
      <c r="O16" s="32"/>
      <c r="P16" s="32"/>
    </row>
    <row r="17" spans="1:16" x14ac:dyDescent="0.25">
      <c r="A17" s="55" t="s">
        <v>19</v>
      </c>
      <c r="B17" s="59" t="s">
        <v>16</v>
      </c>
      <c r="C17" s="55">
        <f>'LAT Stats'!Q6</f>
        <v>26</v>
      </c>
      <c r="D17" s="55">
        <f>'LAT Stats'!R6</f>
        <v>19</v>
      </c>
      <c r="E17" s="57">
        <f>'LAT Stats'!S6</f>
        <v>1.368421052631579</v>
      </c>
      <c r="F17" s="55">
        <f>'LAT Stats'!T6</f>
        <v>7</v>
      </c>
      <c r="G17" s="57">
        <f>'LAT Stats'!AA6</f>
        <v>45</v>
      </c>
      <c r="H17" s="55">
        <f>'LAT Stats'!W6</f>
        <v>7</v>
      </c>
      <c r="I17" s="55">
        <f>'LAT Stats'!X6</f>
        <v>2</v>
      </c>
      <c r="J17" s="58">
        <f>'LAT Stats'!U6</f>
        <v>0.27083333333333331</v>
      </c>
      <c r="K17" s="58">
        <f>'LAT Stats'!V6</f>
        <v>0.24675324675324675</v>
      </c>
      <c r="L17" s="55">
        <f>'LAT Stats'!Y6</f>
        <v>5</v>
      </c>
      <c r="M17" s="57">
        <f>'LAT Stats'!Z6</f>
        <v>0.8666666666666667</v>
      </c>
      <c r="N17" s="32"/>
      <c r="O17" s="32"/>
      <c r="P17" s="32"/>
    </row>
    <row r="18" spans="1:16" x14ac:dyDescent="0.25">
      <c r="A18" s="55" t="s">
        <v>20</v>
      </c>
      <c r="B18" s="61" t="s">
        <v>21</v>
      </c>
      <c r="C18" s="55">
        <f>'Legion Stats'!Q3</f>
        <v>13</v>
      </c>
      <c r="D18" s="55">
        <f>'Legion Stats'!R3</f>
        <v>22</v>
      </c>
      <c r="E18" s="57">
        <f>'Legion Stats'!S3</f>
        <v>0.59090909090909094</v>
      </c>
      <c r="F18" s="55">
        <f>'Legion Stats'!T3</f>
        <v>-9</v>
      </c>
      <c r="G18" s="57">
        <f>'Legion Stats'!AA3</f>
        <v>35</v>
      </c>
      <c r="H18" s="55">
        <f>'Legion Stats'!W3</f>
        <v>1</v>
      </c>
      <c r="I18" s="55">
        <f>'Legion Stats'!X3</f>
        <v>10</v>
      </c>
      <c r="J18" s="58">
        <f>'Legion Stats'!U3</f>
        <v>0.20634920634920634</v>
      </c>
      <c r="K18" s="58">
        <f>'Legion Stats'!V3</f>
        <v>0.25287356321839083</v>
      </c>
      <c r="L18" s="55">
        <f>'Legion Stats'!Y3</f>
        <v>1</v>
      </c>
      <c r="M18" s="57">
        <f>'Legion Stats'!Z3</f>
        <v>0.4642857142857143</v>
      </c>
      <c r="N18" s="32"/>
      <c r="O18" s="32"/>
      <c r="P18" s="32"/>
    </row>
    <row r="19" spans="1:16" x14ac:dyDescent="0.25">
      <c r="A19" s="55" t="s">
        <v>22</v>
      </c>
      <c r="B19" s="61" t="s">
        <v>21</v>
      </c>
      <c r="C19" s="55">
        <f>'Legion Stats'!Q4</f>
        <v>13</v>
      </c>
      <c r="D19" s="55">
        <f>'Legion Stats'!R4</f>
        <v>20</v>
      </c>
      <c r="E19" s="57">
        <f>'Legion Stats'!S4</f>
        <v>0.65</v>
      </c>
      <c r="F19" s="55">
        <f>'Legion Stats'!T4</f>
        <v>-7</v>
      </c>
      <c r="G19" s="57">
        <f>'Legion Stats'!AA4</f>
        <v>33</v>
      </c>
      <c r="H19" s="55">
        <f>'Legion Stats'!W4</f>
        <v>2</v>
      </c>
      <c r="I19" s="55">
        <f>'Legion Stats'!X4</f>
        <v>4</v>
      </c>
      <c r="J19" s="58">
        <f>'Legion Stats'!U4</f>
        <v>0.20634920634920634</v>
      </c>
      <c r="K19" s="58">
        <f>'Legion Stats'!V4</f>
        <v>0.22988505747126436</v>
      </c>
      <c r="L19" s="55">
        <f>'Legion Stats'!Y4</f>
        <v>0</v>
      </c>
      <c r="M19" s="57">
        <f>'Legion Stats'!Z4</f>
        <v>0.4642857142857143</v>
      </c>
      <c r="N19" s="32"/>
      <c r="O19" s="32"/>
      <c r="P19" s="32"/>
    </row>
    <row r="20" spans="1:16" x14ac:dyDescent="0.25">
      <c r="A20" s="55" t="s">
        <v>23</v>
      </c>
      <c r="B20" s="61" t="s">
        <v>21</v>
      </c>
      <c r="C20" s="55">
        <f>'Legion Stats'!Q5</f>
        <v>16</v>
      </c>
      <c r="D20" s="55">
        <f>'Legion Stats'!R5</f>
        <v>23</v>
      </c>
      <c r="E20" s="57">
        <f>'Legion Stats'!S5</f>
        <v>0.69565217391304346</v>
      </c>
      <c r="F20" s="55">
        <f>'Legion Stats'!T5</f>
        <v>-7</v>
      </c>
      <c r="G20" s="57">
        <f>'Legion Stats'!AA5</f>
        <v>39</v>
      </c>
      <c r="H20" s="55">
        <f>'Legion Stats'!W5</f>
        <v>1</v>
      </c>
      <c r="I20" s="55">
        <f>'Legion Stats'!X5</f>
        <v>3</v>
      </c>
      <c r="J20" s="58">
        <f>'Legion Stats'!U5</f>
        <v>0.25396825396825395</v>
      </c>
      <c r="K20" s="58">
        <f>'Legion Stats'!V5</f>
        <v>0.26436781609195403</v>
      </c>
      <c r="L20" s="55">
        <f>'Legion Stats'!Y5</f>
        <v>3</v>
      </c>
      <c r="M20" s="57">
        <f>'Legion Stats'!Z5</f>
        <v>0.5714285714285714</v>
      </c>
      <c r="N20" s="32"/>
      <c r="O20" s="32"/>
      <c r="P20" s="32"/>
    </row>
    <row r="21" spans="1:16" x14ac:dyDescent="0.25">
      <c r="A21" s="55" t="s">
        <v>24</v>
      </c>
      <c r="B21" s="61" t="s">
        <v>21</v>
      </c>
      <c r="C21" s="55">
        <f>'Legion Stats'!Q6</f>
        <v>21</v>
      </c>
      <c r="D21" s="55">
        <f>'Legion Stats'!R6</f>
        <v>22</v>
      </c>
      <c r="E21" s="57">
        <f>'Legion Stats'!S6</f>
        <v>0.95454545454545459</v>
      </c>
      <c r="F21" s="55">
        <f>'Legion Stats'!T6</f>
        <v>-1</v>
      </c>
      <c r="G21" s="57">
        <f>'Legion Stats'!AA6</f>
        <v>43</v>
      </c>
      <c r="H21" s="55">
        <f>'Legion Stats'!W6</f>
        <v>4</v>
      </c>
      <c r="I21" s="55">
        <f>'Legion Stats'!X6</f>
        <v>3</v>
      </c>
      <c r="J21" s="58">
        <f>'Legion Stats'!U6</f>
        <v>0.33333333333333331</v>
      </c>
      <c r="K21" s="58">
        <f>'Legion Stats'!V6</f>
        <v>0.25287356321839083</v>
      </c>
      <c r="L21" s="55">
        <f>'Legion Stats'!Y6</f>
        <v>3</v>
      </c>
      <c r="M21" s="57">
        <f>'Legion Stats'!Z6</f>
        <v>0.75</v>
      </c>
      <c r="N21" s="32"/>
      <c r="O21" s="32"/>
      <c r="P21" s="32"/>
    </row>
    <row r="22" spans="1:16" x14ac:dyDescent="0.25">
      <c r="A22" s="55" t="s">
        <v>25</v>
      </c>
      <c r="B22" s="62" t="s">
        <v>26</v>
      </c>
      <c r="C22" s="55">
        <f>'Mutineers Stats'!Q3</f>
        <v>25</v>
      </c>
      <c r="D22" s="55">
        <f>'Mutineers Stats'!R3</f>
        <v>16</v>
      </c>
      <c r="E22" s="57">
        <f>'Mutineers Stats'!S3</f>
        <v>1.5625</v>
      </c>
      <c r="F22" s="55">
        <f>'Mutineers Stats'!T3</f>
        <v>9</v>
      </c>
      <c r="G22" s="57">
        <f>'Mutineers Stats'!AA3</f>
        <v>41</v>
      </c>
      <c r="H22" s="55">
        <f>'Mutineers Stats'!W3</f>
        <v>1</v>
      </c>
      <c r="I22" s="55">
        <f>'Mutineers Stats'!X3</f>
        <v>2</v>
      </c>
      <c r="J22" s="58">
        <f>'Mutineers Stats'!U3</f>
        <v>0.390625</v>
      </c>
      <c r="K22" s="58">
        <f>'Mutineers Stats'!V3</f>
        <v>0.2318840579710145</v>
      </c>
      <c r="L22" s="55">
        <f>'Mutineers Stats'!Y3</f>
        <v>2</v>
      </c>
      <c r="M22" s="57">
        <f>'Mutineers Stats'!Z3</f>
        <v>1.0416666666666667</v>
      </c>
      <c r="N22" s="32"/>
      <c r="O22" s="32"/>
      <c r="P22" s="32"/>
    </row>
    <row r="23" spans="1:16" x14ac:dyDescent="0.25">
      <c r="A23" s="55" t="s">
        <v>27</v>
      </c>
      <c r="B23" s="62" t="s">
        <v>26</v>
      </c>
      <c r="C23" s="55">
        <f>'Mutineers Stats'!Q4</f>
        <v>21</v>
      </c>
      <c r="D23" s="55">
        <f>'Mutineers Stats'!R4</f>
        <v>19</v>
      </c>
      <c r="E23" s="57">
        <f>'Mutineers Stats'!S4</f>
        <v>1.1052631578947369</v>
      </c>
      <c r="F23" s="55">
        <f>'Mutineers Stats'!T4</f>
        <v>2</v>
      </c>
      <c r="G23" s="57">
        <f>'Mutineers Stats'!AA4</f>
        <v>40</v>
      </c>
      <c r="H23" s="55">
        <f>'Mutineers Stats'!W4</f>
        <v>4</v>
      </c>
      <c r="I23" s="55">
        <f>'Mutineers Stats'!X4</f>
        <v>3</v>
      </c>
      <c r="J23" s="58">
        <f>'Mutineers Stats'!U4</f>
        <v>0.328125</v>
      </c>
      <c r="K23" s="58">
        <f>'Mutineers Stats'!V4</f>
        <v>0.27536231884057971</v>
      </c>
      <c r="L23" s="55">
        <f>'Mutineers Stats'!Y4</f>
        <v>0</v>
      </c>
      <c r="M23" s="57">
        <f>'Mutineers Stats'!Z4</f>
        <v>0.875</v>
      </c>
      <c r="N23" s="32"/>
      <c r="O23" s="32"/>
      <c r="P23" s="32"/>
    </row>
    <row r="24" spans="1:16" x14ac:dyDescent="0.25">
      <c r="A24" s="55" t="s">
        <v>28</v>
      </c>
      <c r="B24" s="62" t="s">
        <v>26</v>
      </c>
      <c r="C24" s="55">
        <f>'Mutineers Stats'!Q5</f>
        <v>7</v>
      </c>
      <c r="D24" s="55">
        <f>'Mutineers Stats'!R5</f>
        <v>17</v>
      </c>
      <c r="E24" s="57">
        <f>'Mutineers Stats'!S5</f>
        <v>0.41176470588235292</v>
      </c>
      <c r="F24" s="55">
        <f>'Mutineers Stats'!T5</f>
        <v>-10</v>
      </c>
      <c r="G24" s="57">
        <f>'Mutineers Stats'!AA5</f>
        <v>24</v>
      </c>
      <c r="H24" s="55">
        <f>'Mutineers Stats'!W5</f>
        <v>0</v>
      </c>
      <c r="I24" s="55">
        <f>'Mutineers Stats'!X5</f>
        <v>7</v>
      </c>
      <c r="J24" s="58">
        <f>'Mutineers Stats'!U5</f>
        <v>0.109375</v>
      </c>
      <c r="K24" s="58">
        <f>'Mutineers Stats'!V5</f>
        <v>0.24637681159420291</v>
      </c>
      <c r="L24" s="55">
        <f>'Mutineers Stats'!Y5</f>
        <v>0</v>
      </c>
      <c r="M24" s="57">
        <f>'Mutineers Stats'!Z5</f>
        <v>0.29166666666666669</v>
      </c>
      <c r="N24" s="32"/>
      <c r="O24" s="32"/>
      <c r="P24" s="32"/>
    </row>
    <row r="25" spans="1:16" x14ac:dyDescent="0.25">
      <c r="A25" s="55" t="s">
        <v>29</v>
      </c>
      <c r="B25" s="62" t="s">
        <v>26</v>
      </c>
      <c r="C25" s="55">
        <f>'Mutineers Stats'!Q6</f>
        <v>11</v>
      </c>
      <c r="D25" s="55">
        <f>'Mutineers Stats'!R6</f>
        <v>17</v>
      </c>
      <c r="E25" s="57">
        <f>'Mutineers Stats'!S6</f>
        <v>0.6470588235294118</v>
      </c>
      <c r="F25" s="55">
        <f>'Mutineers Stats'!T6</f>
        <v>-6</v>
      </c>
      <c r="G25" s="57">
        <f>'Mutineers Stats'!AA6</f>
        <v>28</v>
      </c>
      <c r="H25" s="55">
        <f>'Mutineers Stats'!W6</f>
        <v>2</v>
      </c>
      <c r="I25" s="55">
        <f>'Mutineers Stats'!X6</f>
        <v>6</v>
      </c>
      <c r="J25" s="58">
        <f>'Mutineers Stats'!U6</f>
        <v>0.171875</v>
      </c>
      <c r="K25" s="58">
        <f>'Mutineers Stats'!V6</f>
        <v>0.24637681159420291</v>
      </c>
      <c r="L25" s="55">
        <f>'Mutineers Stats'!Y6</f>
        <v>0</v>
      </c>
      <c r="M25" s="57">
        <f>'Mutineers Stats'!Z6</f>
        <v>0.45833333333333331</v>
      </c>
      <c r="N25" s="32"/>
      <c r="O25" s="32"/>
      <c r="P25" s="32"/>
    </row>
    <row r="26" spans="1:16" x14ac:dyDescent="0.25">
      <c r="A26" s="55" t="s">
        <v>30</v>
      </c>
      <c r="B26" s="63" t="s">
        <v>31</v>
      </c>
      <c r="C26" s="55">
        <f>'NYSL Stats'!Q3</f>
        <v>99</v>
      </c>
      <c r="D26" s="55">
        <f>'NYSL Stats'!R3</f>
        <v>57</v>
      </c>
      <c r="E26" s="57">
        <f>'NYSL Stats'!S3</f>
        <v>1.736842105263158</v>
      </c>
      <c r="F26" s="55">
        <f>'NYSL Stats'!T3</f>
        <v>42</v>
      </c>
      <c r="G26" s="57">
        <f>'NYSL Stats'!AA3</f>
        <v>156</v>
      </c>
      <c r="H26" s="55">
        <f>'NYSL Stats'!W3</f>
        <v>21</v>
      </c>
      <c r="I26" s="55">
        <f>'NYSL Stats'!X3</f>
        <v>10</v>
      </c>
      <c r="J26" s="58">
        <f>'NYSL Stats'!U3</f>
        <v>0.31832797427652731</v>
      </c>
      <c r="K26" s="58">
        <f>'NYSL Stats'!V3</f>
        <v>0.23949579831932774</v>
      </c>
      <c r="L26" s="55">
        <f>'NYSL Stats'!Y3</f>
        <v>1</v>
      </c>
      <c r="M26" s="57">
        <f>'NYSL Stats'!Z3</f>
        <v>1.010204081632653</v>
      </c>
      <c r="N26" s="32"/>
      <c r="O26" s="32"/>
      <c r="P26" s="32"/>
    </row>
    <row r="27" spans="1:16" x14ac:dyDescent="0.25">
      <c r="A27" s="55" t="s">
        <v>32</v>
      </c>
      <c r="B27" s="63" t="s">
        <v>31</v>
      </c>
      <c r="C27" s="55">
        <f>'NYSL Stats'!Q4</f>
        <v>77</v>
      </c>
      <c r="D27" s="55">
        <f>'NYSL Stats'!R4</f>
        <v>65</v>
      </c>
      <c r="E27" s="57">
        <f>'NYSL Stats'!S4</f>
        <v>1.1846153846153846</v>
      </c>
      <c r="F27" s="55">
        <f>'NYSL Stats'!T4</f>
        <v>12</v>
      </c>
      <c r="G27" s="57">
        <f>'NYSL Stats'!AA4</f>
        <v>142</v>
      </c>
      <c r="H27" s="55">
        <f>'NYSL Stats'!W4</f>
        <v>19</v>
      </c>
      <c r="I27" s="55">
        <f>'NYSL Stats'!X4</f>
        <v>10</v>
      </c>
      <c r="J27" s="58">
        <f>'NYSL Stats'!U4</f>
        <v>0.24758842443729903</v>
      </c>
      <c r="K27" s="58">
        <f>'NYSL Stats'!V4</f>
        <v>0.27310924369747897</v>
      </c>
      <c r="L27" s="55">
        <f>'NYSL Stats'!Y4</f>
        <v>19</v>
      </c>
      <c r="M27" s="57">
        <f>'NYSL Stats'!Z4</f>
        <v>0.7857142857142857</v>
      </c>
      <c r="N27" s="32"/>
      <c r="O27" s="32"/>
      <c r="P27" s="32"/>
    </row>
    <row r="28" spans="1:16" x14ac:dyDescent="0.25">
      <c r="A28" s="55" t="s">
        <v>33</v>
      </c>
      <c r="B28" s="63" t="s">
        <v>31</v>
      </c>
      <c r="C28" s="55">
        <f>'NYSL Stats'!Q5</f>
        <v>70</v>
      </c>
      <c r="D28" s="55">
        <f>'NYSL Stats'!R5</f>
        <v>58</v>
      </c>
      <c r="E28" s="57">
        <f>'NYSL Stats'!S5</f>
        <v>1.2068965517241379</v>
      </c>
      <c r="F28" s="55">
        <f>'NYSL Stats'!T5</f>
        <v>12</v>
      </c>
      <c r="G28" s="57">
        <f>'NYSL Stats'!AA5</f>
        <v>128</v>
      </c>
      <c r="H28" s="55">
        <f>'NYSL Stats'!W5</f>
        <v>14</v>
      </c>
      <c r="I28" s="55">
        <f>'NYSL Stats'!X5</f>
        <v>5</v>
      </c>
      <c r="J28" s="58">
        <f>'NYSL Stats'!U5</f>
        <v>0.22508038585209003</v>
      </c>
      <c r="K28" s="58">
        <f>'NYSL Stats'!V5</f>
        <v>0.24369747899159663</v>
      </c>
      <c r="L28" s="55">
        <f>'NYSL Stats'!Y5</f>
        <v>8</v>
      </c>
      <c r="M28" s="57">
        <f>'NYSL Stats'!Z5</f>
        <v>0.7142857142857143</v>
      </c>
      <c r="N28" s="32"/>
      <c r="O28" s="32"/>
      <c r="P28" s="32"/>
    </row>
    <row r="29" spans="1:16" x14ac:dyDescent="0.25">
      <c r="A29" s="55" t="s">
        <v>34</v>
      </c>
      <c r="B29" s="63" t="s">
        <v>31</v>
      </c>
      <c r="C29" s="55">
        <f>'NYSL Stats'!Q6</f>
        <v>65</v>
      </c>
      <c r="D29" s="55">
        <f>'NYSL Stats'!R6</f>
        <v>58</v>
      </c>
      <c r="E29" s="57">
        <f>'NYSL Stats'!S6</f>
        <v>1.1206896551724137</v>
      </c>
      <c r="F29" s="55">
        <f>'NYSL Stats'!T6</f>
        <v>7</v>
      </c>
      <c r="G29" s="57">
        <f>'NYSL Stats'!AA6</f>
        <v>123</v>
      </c>
      <c r="H29" s="55">
        <f>'NYSL Stats'!W6</f>
        <v>13</v>
      </c>
      <c r="I29" s="55">
        <f>'NYSL Stats'!X6</f>
        <v>4</v>
      </c>
      <c r="J29" s="58">
        <f>'NYSL Stats'!U6</f>
        <v>0.20900321543408359</v>
      </c>
      <c r="K29" s="58">
        <f>'NYSL Stats'!V6</f>
        <v>0.24369747899159663</v>
      </c>
      <c r="L29" s="55">
        <f>'NYSL Stats'!Y6</f>
        <v>6</v>
      </c>
      <c r="M29" s="57">
        <f>'NYSL Stats'!Z6</f>
        <v>0.66326530612244894</v>
      </c>
      <c r="N29" s="32"/>
      <c r="O29" s="32"/>
      <c r="P29" s="32"/>
    </row>
    <row r="30" spans="1:16" x14ac:dyDescent="0.25">
      <c r="A30" s="55" t="s">
        <v>35</v>
      </c>
      <c r="B30" s="62" t="s">
        <v>36</v>
      </c>
      <c r="C30" s="55">
        <f>'Optic Stats'!Q3</f>
        <v>10</v>
      </c>
      <c r="D30" s="55">
        <f>'Optic Stats'!R3</f>
        <v>16</v>
      </c>
      <c r="E30" s="57">
        <f>'Optic Stats'!S3</f>
        <v>0.625</v>
      </c>
      <c r="F30" s="55">
        <f>'Optic Stats'!T3</f>
        <v>-6</v>
      </c>
      <c r="G30" s="57">
        <f>'Optic Stats'!AA3</f>
        <v>26</v>
      </c>
      <c r="H30" s="55">
        <f>'Optic Stats'!W3</f>
        <v>4</v>
      </c>
      <c r="I30" s="55">
        <f>'Optic Stats'!X3</f>
        <v>0</v>
      </c>
      <c r="J30" s="58">
        <f>'Optic Stats'!U3</f>
        <v>0.30303030303030304</v>
      </c>
      <c r="K30" s="58">
        <f>'Optic Stats'!V3</f>
        <v>0.2711864406779661</v>
      </c>
      <c r="L30" s="55">
        <f>'Optic Stats'!Y3</f>
        <v>1</v>
      </c>
      <c r="M30" s="57">
        <f>'Optic Stats'!Z3</f>
        <v>0.625</v>
      </c>
      <c r="N30" s="32"/>
      <c r="O30" s="32"/>
      <c r="P30" s="32"/>
    </row>
    <row r="31" spans="1:16" x14ac:dyDescent="0.25">
      <c r="A31" s="55" t="s">
        <v>37</v>
      </c>
      <c r="B31" s="62" t="s">
        <v>36</v>
      </c>
      <c r="C31" s="55">
        <f>'Optic Stats'!Q4</f>
        <v>10</v>
      </c>
      <c r="D31" s="55">
        <f>'Optic Stats'!R4</f>
        <v>14</v>
      </c>
      <c r="E31" s="57">
        <f>'Optic Stats'!S4</f>
        <v>0.7142857142857143</v>
      </c>
      <c r="F31" s="55">
        <f>'Optic Stats'!T4</f>
        <v>-4</v>
      </c>
      <c r="G31" s="57">
        <f>'Optic Stats'!AA4</f>
        <v>24</v>
      </c>
      <c r="H31" s="55">
        <f>'Optic Stats'!W4</f>
        <v>3</v>
      </c>
      <c r="I31" s="55">
        <f>'Optic Stats'!X4</f>
        <v>5</v>
      </c>
      <c r="J31" s="58">
        <f>'Optic Stats'!U4</f>
        <v>0.30303030303030304</v>
      </c>
      <c r="K31" s="58">
        <f>'Optic Stats'!V4</f>
        <v>0.23728813559322035</v>
      </c>
      <c r="L31" s="55">
        <f>'Optic Stats'!Y4</f>
        <v>0</v>
      </c>
      <c r="M31" s="57">
        <f>'Optic Stats'!Z4</f>
        <v>0.625</v>
      </c>
      <c r="N31" s="32"/>
      <c r="O31" s="32"/>
      <c r="P31" s="32"/>
    </row>
    <row r="32" spans="1:16" x14ac:dyDescent="0.25">
      <c r="A32" s="55" t="s">
        <v>38</v>
      </c>
      <c r="B32" s="62" t="s">
        <v>36</v>
      </c>
      <c r="C32" s="55">
        <f>'Optic Stats'!Q5</f>
        <v>7</v>
      </c>
      <c r="D32" s="55">
        <f>'Optic Stats'!R5</f>
        <v>15</v>
      </c>
      <c r="E32" s="57">
        <f>'Optic Stats'!S5</f>
        <v>0.46666666666666667</v>
      </c>
      <c r="F32" s="55">
        <f>'Optic Stats'!T5</f>
        <v>-8</v>
      </c>
      <c r="G32" s="57">
        <f>'Optic Stats'!AA5</f>
        <v>22</v>
      </c>
      <c r="H32" s="55">
        <f>'Optic Stats'!W5</f>
        <v>1</v>
      </c>
      <c r="I32" s="55">
        <f>'Optic Stats'!X5</f>
        <v>1</v>
      </c>
      <c r="J32" s="58">
        <f>'Optic Stats'!U5</f>
        <v>0.21212121212121213</v>
      </c>
      <c r="K32" s="58">
        <f>'Optic Stats'!V5</f>
        <v>0.25423728813559321</v>
      </c>
      <c r="L32" s="55">
        <f>'Optic Stats'!Y5</f>
        <v>0</v>
      </c>
      <c r="M32" s="57">
        <f>'Optic Stats'!Z5</f>
        <v>0.4375</v>
      </c>
      <c r="N32" s="32"/>
      <c r="O32" s="32"/>
      <c r="P32" s="32"/>
    </row>
    <row r="33" spans="1:16" x14ac:dyDescent="0.25">
      <c r="A33" s="55" t="s">
        <v>39</v>
      </c>
      <c r="B33" s="62" t="s">
        <v>36</v>
      </c>
      <c r="C33" s="55">
        <f>'Optic Stats'!Q6</f>
        <v>6</v>
      </c>
      <c r="D33" s="55">
        <f>'Optic Stats'!R6</f>
        <v>14</v>
      </c>
      <c r="E33" s="57">
        <f>'Optic Stats'!S6</f>
        <v>0.42857142857142855</v>
      </c>
      <c r="F33" s="55">
        <f>'Optic Stats'!T6</f>
        <v>-8</v>
      </c>
      <c r="G33" s="57">
        <f>'Optic Stats'!AA6</f>
        <v>20</v>
      </c>
      <c r="H33" s="55">
        <f>'Optic Stats'!W6</f>
        <v>0</v>
      </c>
      <c r="I33" s="55">
        <f>'Optic Stats'!X6</f>
        <v>1</v>
      </c>
      <c r="J33" s="58">
        <f>'Optic Stats'!U6</f>
        <v>0.18181818181818182</v>
      </c>
      <c r="K33" s="58">
        <f>'Optic Stats'!V6</f>
        <v>0.23728813559322035</v>
      </c>
      <c r="L33" s="55">
        <f>'Optic Stats'!Y6</f>
        <v>3</v>
      </c>
      <c r="M33" s="57">
        <f>'Optic Stats'!Z6</f>
        <v>0.375</v>
      </c>
      <c r="N33" s="32"/>
      <c r="O33" s="32"/>
      <c r="P33" s="32"/>
    </row>
    <row r="34" spans="1:16" x14ac:dyDescent="0.25">
      <c r="A34" s="64" t="s">
        <v>40</v>
      </c>
      <c r="B34" s="65" t="s">
        <v>41</v>
      </c>
      <c r="C34" s="55">
        <f>' Royal Ravens Stats'!Q3</f>
        <v>15</v>
      </c>
      <c r="D34" s="55">
        <f>' Royal Ravens Stats'!R3</f>
        <v>12</v>
      </c>
      <c r="E34" s="57">
        <f>' Royal Ravens Stats'!S3</f>
        <v>1.25</v>
      </c>
      <c r="F34" s="55">
        <f>' Royal Ravens Stats'!T3</f>
        <v>3</v>
      </c>
      <c r="G34" s="57">
        <f>' Royal Ravens Stats'!AA3</f>
        <v>27</v>
      </c>
      <c r="H34" s="55">
        <f>' Royal Ravens Stats'!W3</f>
        <v>1</v>
      </c>
      <c r="I34" s="55">
        <f>' Royal Ravens Stats'!X3</f>
        <v>0</v>
      </c>
      <c r="J34" s="58">
        <f>' Royal Ravens Stats'!U3</f>
        <v>0.27272727272727271</v>
      </c>
      <c r="K34" s="58">
        <f>' Royal Ravens Stats'!V3</f>
        <v>0.22641509433962265</v>
      </c>
      <c r="L34" s="55">
        <f>' Royal Ravens Stats'!Y3</f>
        <v>0</v>
      </c>
      <c r="M34" s="57">
        <f>' Royal Ravens Stats'!Z3</f>
        <v>0.75</v>
      </c>
      <c r="N34" s="32"/>
      <c r="O34" s="32"/>
      <c r="P34" s="32"/>
    </row>
    <row r="35" spans="1:16" x14ac:dyDescent="0.25">
      <c r="A35" s="55" t="s">
        <v>42</v>
      </c>
      <c r="B35" s="65" t="s">
        <v>41</v>
      </c>
      <c r="C35" s="55">
        <f>' Royal Ravens Stats'!Q4</f>
        <v>21</v>
      </c>
      <c r="D35" s="55">
        <f>' Royal Ravens Stats'!R4</f>
        <v>11</v>
      </c>
      <c r="E35" s="57">
        <f>' Royal Ravens Stats'!S4</f>
        <v>1.9090909090909092</v>
      </c>
      <c r="F35" s="55">
        <f>' Royal Ravens Stats'!T4</f>
        <v>10</v>
      </c>
      <c r="G35" s="57">
        <f>' Royal Ravens Stats'!AA4</f>
        <v>32</v>
      </c>
      <c r="H35" s="55">
        <f>' Royal Ravens Stats'!W4</f>
        <v>4</v>
      </c>
      <c r="I35" s="55">
        <f>' Royal Ravens Stats'!X4</f>
        <v>3</v>
      </c>
      <c r="J35" s="58">
        <f>' Royal Ravens Stats'!U4</f>
        <v>0.38181818181818183</v>
      </c>
      <c r="K35" s="58">
        <f>' Royal Ravens Stats'!V4</f>
        <v>0.20754716981132076</v>
      </c>
      <c r="L35" s="55">
        <f>' Royal Ravens Stats'!Y4</f>
        <v>1</v>
      </c>
      <c r="M35" s="57">
        <f>' Royal Ravens Stats'!Z4</f>
        <v>1.05</v>
      </c>
      <c r="N35" s="32"/>
      <c r="O35" s="32"/>
      <c r="P35" s="32"/>
    </row>
    <row r="36" spans="1:16" x14ac:dyDescent="0.25">
      <c r="A36" s="64" t="s">
        <v>43</v>
      </c>
      <c r="B36" s="65" t="s">
        <v>41</v>
      </c>
      <c r="C36" s="55">
        <f>' Royal Ravens Stats'!Q5</f>
        <v>11</v>
      </c>
      <c r="D36" s="55">
        <f>' Royal Ravens Stats'!R5</f>
        <v>16</v>
      </c>
      <c r="E36" s="57">
        <f>' Royal Ravens Stats'!S5</f>
        <v>0.6875</v>
      </c>
      <c r="F36" s="55">
        <f>' Royal Ravens Stats'!T5</f>
        <v>-5</v>
      </c>
      <c r="G36" s="57">
        <f>' Royal Ravens Stats'!AA5</f>
        <v>27</v>
      </c>
      <c r="H36" s="55">
        <f>' Royal Ravens Stats'!W5</f>
        <v>5</v>
      </c>
      <c r="I36" s="55">
        <f>' Royal Ravens Stats'!X5</f>
        <v>4</v>
      </c>
      <c r="J36" s="58">
        <f>' Royal Ravens Stats'!U5</f>
        <v>0.2</v>
      </c>
      <c r="K36" s="58">
        <f>' Royal Ravens Stats'!V5</f>
        <v>0.30188679245283018</v>
      </c>
      <c r="L36" s="55">
        <f>' Royal Ravens Stats'!Y5</f>
        <v>3</v>
      </c>
      <c r="M36" s="57">
        <f>' Royal Ravens Stats'!Z5</f>
        <v>0.55000000000000004</v>
      </c>
      <c r="N36" s="32"/>
      <c r="O36" s="32"/>
      <c r="P36" s="32"/>
    </row>
    <row r="37" spans="1:16" x14ac:dyDescent="0.25">
      <c r="A37" s="55" t="s">
        <v>44</v>
      </c>
      <c r="B37" s="65" t="s">
        <v>41</v>
      </c>
      <c r="C37" s="55">
        <f>' Royal Ravens Stats'!Q6</f>
        <v>8</v>
      </c>
      <c r="D37" s="55">
        <f>' Royal Ravens Stats'!R6</f>
        <v>14</v>
      </c>
      <c r="E37" s="57">
        <f>' Royal Ravens Stats'!S6</f>
        <v>0.5714285714285714</v>
      </c>
      <c r="F37" s="55">
        <f>' Royal Ravens Stats'!T6</f>
        <v>-6</v>
      </c>
      <c r="G37" s="57">
        <f>' Royal Ravens Stats'!AA6</f>
        <v>22</v>
      </c>
      <c r="H37" s="55">
        <f>' Royal Ravens Stats'!W6</f>
        <v>0</v>
      </c>
      <c r="I37" s="55">
        <f>' Royal Ravens Stats'!X6</f>
        <v>3</v>
      </c>
      <c r="J37" s="58">
        <f>' Royal Ravens Stats'!U6</f>
        <v>0.14545454545454545</v>
      </c>
      <c r="K37" s="58">
        <f>' Royal Ravens Stats'!V6</f>
        <v>0.26415094339622641</v>
      </c>
      <c r="L37" s="55">
        <f>' Royal Ravens Stats'!Y6</f>
        <v>0</v>
      </c>
      <c r="M37" s="57">
        <f>' Royal Ravens Stats'!Z6</f>
        <v>0.4</v>
      </c>
      <c r="N37" s="32"/>
      <c r="O37" s="32"/>
      <c r="P37" s="32"/>
    </row>
    <row r="38" spans="1:16" x14ac:dyDescent="0.25">
      <c r="A38" s="55" t="s">
        <v>88</v>
      </c>
      <c r="B38" s="60" t="s">
        <v>45</v>
      </c>
      <c r="C38" s="55">
        <f>'Rokkr Stats'!Q3</f>
        <v>24</v>
      </c>
      <c r="D38" s="55">
        <f>'Rokkr Stats'!R3</f>
        <v>29</v>
      </c>
      <c r="E38" s="57">
        <f>'Rokkr Stats'!S3</f>
        <v>0.82758620689655171</v>
      </c>
      <c r="F38" s="55">
        <f>'Rokkr Stats'!T3</f>
        <v>-5</v>
      </c>
      <c r="G38" s="57">
        <f>'Rokkr Stats'!AA3</f>
        <v>53</v>
      </c>
      <c r="H38" s="55">
        <f>'Rokkr Stats'!W3</f>
        <v>0</v>
      </c>
      <c r="I38" s="55">
        <f>'Rokkr Stats'!X3</f>
        <v>3</v>
      </c>
      <c r="J38" s="58">
        <f>'Rokkr Stats'!U3</f>
        <v>0.21052631578947367</v>
      </c>
      <c r="K38" s="58">
        <f>'Rokkr Stats'!V3</f>
        <v>0.22480620155038761</v>
      </c>
      <c r="L38" s="55">
        <f>'Rokkr Stats'!Y3</f>
        <v>0</v>
      </c>
      <c r="M38" s="57">
        <f>'Rokkr Stats'!Z3</f>
        <v>0.54545454545454541</v>
      </c>
      <c r="N38" s="32"/>
      <c r="O38" s="32"/>
      <c r="P38" s="32"/>
    </row>
    <row r="39" spans="1:16" x14ac:dyDescent="0.25">
      <c r="A39" s="55" t="s">
        <v>46</v>
      </c>
      <c r="B39" s="60" t="s">
        <v>45</v>
      </c>
      <c r="C39" s="55">
        <f>'Rokkr Stats'!Q4</f>
        <v>29</v>
      </c>
      <c r="D39" s="55">
        <f>'Rokkr Stats'!R4</f>
        <v>33</v>
      </c>
      <c r="E39" s="57">
        <f>'Rokkr Stats'!S4</f>
        <v>0.87878787878787878</v>
      </c>
      <c r="F39" s="55">
        <f>'Rokkr Stats'!T4</f>
        <v>-4</v>
      </c>
      <c r="G39" s="57">
        <f>'Rokkr Stats'!AA4</f>
        <v>62</v>
      </c>
      <c r="H39" s="55">
        <f>'Rokkr Stats'!W4</f>
        <v>6</v>
      </c>
      <c r="I39" s="55">
        <f>'Rokkr Stats'!X4</f>
        <v>6</v>
      </c>
      <c r="J39" s="58">
        <f>'Rokkr Stats'!U4</f>
        <v>0.25438596491228072</v>
      </c>
      <c r="K39" s="58">
        <f>'Rokkr Stats'!V4</f>
        <v>0.2558139534883721</v>
      </c>
      <c r="L39" s="55">
        <f>'Rokkr Stats'!Y4</f>
        <v>3</v>
      </c>
      <c r="M39" s="57">
        <f>'Rokkr Stats'!Z4</f>
        <v>0.65909090909090906</v>
      </c>
      <c r="N39" s="32"/>
      <c r="O39" s="32"/>
      <c r="P39" s="32"/>
    </row>
    <row r="40" spans="1:16" x14ac:dyDescent="0.25">
      <c r="A40" s="55" t="s">
        <v>47</v>
      </c>
      <c r="B40" s="60" t="s">
        <v>45</v>
      </c>
      <c r="C40" s="55">
        <f>'Rokkr Stats'!Q5</f>
        <v>35</v>
      </c>
      <c r="D40" s="55">
        <f>'Rokkr Stats'!R5</f>
        <v>34</v>
      </c>
      <c r="E40" s="57">
        <f>'Rokkr Stats'!S5</f>
        <v>1.0294117647058822</v>
      </c>
      <c r="F40" s="55">
        <f>'Rokkr Stats'!T5</f>
        <v>1</v>
      </c>
      <c r="G40" s="57">
        <f>'Rokkr Stats'!AA5</f>
        <v>69</v>
      </c>
      <c r="H40" s="55">
        <f>'Rokkr Stats'!W5</f>
        <v>9</v>
      </c>
      <c r="I40" s="55">
        <f>'Rokkr Stats'!X5</f>
        <v>9</v>
      </c>
      <c r="J40" s="58">
        <f>'Rokkr Stats'!U5</f>
        <v>0.30701754385964913</v>
      </c>
      <c r="K40" s="58">
        <f>'Rokkr Stats'!V5</f>
        <v>0.26356589147286824</v>
      </c>
      <c r="L40" s="55">
        <f>'Rokkr Stats'!Y5</f>
        <v>12</v>
      </c>
      <c r="M40" s="57">
        <f>'Rokkr Stats'!Z5</f>
        <v>0.79545454545454541</v>
      </c>
      <c r="N40" s="32"/>
      <c r="O40" s="32"/>
      <c r="P40" s="32"/>
    </row>
    <row r="41" spans="1:16" x14ac:dyDescent="0.25">
      <c r="A41" s="55" t="s">
        <v>48</v>
      </c>
      <c r="B41" s="60" t="s">
        <v>45</v>
      </c>
      <c r="C41" s="55">
        <f>'Rokkr Stats'!Q6</f>
        <v>26</v>
      </c>
      <c r="D41" s="55">
        <f>'Rokkr Stats'!R6</f>
        <v>33</v>
      </c>
      <c r="E41" s="57">
        <f>'Rokkr Stats'!S6</f>
        <v>0.78787878787878785</v>
      </c>
      <c r="F41" s="55">
        <f>'Rokkr Stats'!T6</f>
        <v>-7</v>
      </c>
      <c r="G41" s="57">
        <f>'Rokkr Stats'!AA6</f>
        <v>59</v>
      </c>
      <c r="H41" s="55">
        <f>'Rokkr Stats'!W6</f>
        <v>4</v>
      </c>
      <c r="I41" s="55">
        <f>'Rokkr Stats'!X6</f>
        <v>7</v>
      </c>
      <c r="J41" s="58">
        <f>'Rokkr Stats'!U6</f>
        <v>0.22807017543859648</v>
      </c>
      <c r="K41" s="58">
        <f>'Rokkr Stats'!V6</f>
        <v>0.2558139534883721</v>
      </c>
      <c r="L41" s="55">
        <f>'Rokkr Stats'!Y6</f>
        <v>0</v>
      </c>
      <c r="M41" s="57">
        <f>'Rokkr Stats'!Z6</f>
        <v>0.59090909090909094</v>
      </c>
      <c r="N41" s="32"/>
      <c r="O41" s="32"/>
      <c r="P41" s="32"/>
    </row>
    <row r="42" spans="1:16" x14ac:dyDescent="0.25">
      <c r="A42" s="55" t="s">
        <v>49</v>
      </c>
      <c r="B42" s="66" t="s">
        <v>50</v>
      </c>
      <c r="C42" s="55">
        <f>'Surge Stats'!Q3</f>
        <v>4</v>
      </c>
      <c r="D42" s="55">
        <f>'Surge Stats'!R3</f>
        <v>8</v>
      </c>
      <c r="E42" s="57">
        <f>'Surge Stats'!S3</f>
        <v>0.5</v>
      </c>
      <c r="F42" s="55">
        <f>'Surge Stats'!T3</f>
        <v>-4</v>
      </c>
      <c r="G42" s="57">
        <f>'Surge Stats'!AA3</f>
        <v>12</v>
      </c>
      <c r="H42" s="55">
        <f>'Surge Stats'!W3</f>
        <v>0</v>
      </c>
      <c r="I42" s="55">
        <f>'Surge Stats'!X3</f>
        <v>0</v>
      </c>
      <c r="J42" s="58">
        <f>'Surge Stats'!U3</f>
        <v>0.14814814814814814</v>
      </c>
      <c r="K42" s="58">
        <f>'Surge Stats'!V3</f>
        <v>0.25</v>
      </c>
      <c r="L42" s="55">
        <f>'Surge Stats'!Y3</f>
        <v>0</v>
      </c>
      <c r="M42" s="57">
        <f>'Surge Stats'!Z3</f>
        <v>0.36363636363636365</v>
      </c>
      <c r="N42" s="32"/>
      <c r="O42" s="32"/>
      <c r="P42" s="32"/>
    </row>
    <row r="43" spans="1:16" x14ac:dyDescent="0.25">
      <c r="A43" s="55" t="s">
        <v>51</v>
      </c>
      <c r="B43" s="66" t="s">
        <v>50</v>
      </c>
      <c r="C43" s="55">
        <f>'Surge Stats'!Q4</f>
        <v>7</v>
      </c>
      <c r="D43" s="55">
        <f>'Surge Stats'!R4</f>
        <v>8</v>
      </c>
      <c r="E43" s="57">
        <f>'Surge Stats'!S4</f>
        <v>0.875</v>
      </c>
      <c r="F43" s="55">
        <f>'Surge Stats'!T4</f>
        <v>-1</v>
      </c>
      <c r="G43" s="57">
        <f>'Surge Stats'!AA4</f>
        <v>15</v>
      </c>
      <c r="H43" s="55">
        <f>'Surge Stats'!W4</f>
        <v>2</v>
      </c>
      <c r="I43" s="55">
        <f>'Surge Stats'!X4</f>
        <v>3</v>
      </c>
      <c r="J43" s="58">
        <f>'Surge Stats'!U4</f>
        <v>0.25925925925925924</v>
      </c>
      <c r="K43" s="58">
        <f>'Surge Stats'!V4</f>
        <v>0.25</v>
      </c>
      <c r="L43" s="55">
        <f>'Surge Stats'!Y4</f>
        <v>0</v>
      </c>
      <c r="M43" s="57">
        <f>'Surge Stats'!Z4</f>
        <v>0.63636363636363635</v>
      </c>
      <c r="N43" s="32"/>
      <c r="O43" s="32"/>
      <c r="P43" s="32"/>
    </row>
    <row r="44" spans="1:16" x14ac:dyDescent="0.25">
      <c r="A44" s="55" t="s">
        <v>52</v>
      </c>
      <c r="B44" s="66" t="s">
        <v>50</v>
      </c>
      <c r="C44" s="55">
        <f>'Surge Stats'!Q5</f>
        <v>11</v>
      </c>
      <c r="D44" s="55">
        <f>'Surge Stats'!R5</f>
        <v>7</v>
      </c>
      <c r="E44" s="57">
        <f>'Surge Stats'!S5</f>
        <v>1.5714285714285714</v>
      </c>
      <c r="F44" s="55">
        <f>'Surge Stats'!T5</f>
        <v>4</v>
      </c>
      <c r="G44" s="57">
        <f>'Surge Stats'!AA5</f>
        <v>18</v>
      </c>
      <c r="H44" s="55">
        <f>'Surge Stats'!W5</f>
        <v>1</v>
      </c>
      <c r="I44" s="55">
        <f>'Surge Stats'!X5</f>
        <v>1</v>
      </c>
      <c r="J44" s="58">
        <f>'Surge Stats'!U5</f>
        <v>0.40740740740740738</v>
      </c>
      <c r="K44" s="58">
        <f>'Surge Stats'!V5</f>
        <v>0.21875</v>
      </c>
      <c r="L44" s="55">
        <f>'Surge Stats'!Y5</f>
        <v>2</v>
      </c>
      <c r="M44" s="57">
        <f>'Surge Stats'!Z5</f>
        <v>1</v>
      </c>
      <c r="N44" s="32"/>
      <c r="O44" s="32"/>
      <c r="P44" s="32"/>
    </row>
    <row r="45" spans="1:16" x14ac:dyDescent="0.25">
      <c r="A45" s="55" t="s">
        <v>53</v>
      </c>
      <c r="B45" s="66" t="s">
        <v>50</v>
      </c>
      <c r="C45" s="55">
        <f>'Surge Stats'!Q6</f>
        <v>5</v>
      </c>
      <c r="D45" s="55">
        <f>'Surge Stats'!R6</f>
        <v>9</v>
      </c>
      <c r="E45" s="57">
        <f>'Surge Stats'!S6</f>
        <v>0.55555555555555558</v>
      </c>
      <c r="F45" s="55">
        <f>'Surge Stats'!T6</f>
        <v>-4</v>
      </c>
      <c r="G45" s="57">
        <f>'Surge Stats'!AA6</f>
        <v>14</v>
      </c>
      <c r="H45" s="55">
        <f>'Surge Stats'!W6</f>
        <v>2</v>
      </c>
      <c r="I45" s="55">
        <f>'Surge Stats'!X6</f>
        <v>2</v>
      </c>
      <c r="J45" s="58">
        <f>'Surge Stats'!U6</f>
        <v>0.18518518518518517</v>
      </c>
      <c r="K45" s="58">
        <f>'Surge Stats'!V6</f>
        <v>0.28125</v>
      </c>
      <c r="L45" s="55">
        <f>'Surge Stats'!Y6</f>
        <v>2</v>
      </c>
      <c r="M45" s="57">
        <f>'Surge Stats'!Z6</f>
        <v>0.45454545454545453</v>
      </c>
      <c r="N45" s="32"/>
      <c r="O45" s="32"/>
      <c r="P45" s="32"/>
    </row>
    <row r="46" spans="1:16" x14ac:dyDescent="0.25">
      <c r="A46" s="55" t="s">
        <v>54</v>
      </c>
      <c r="B46" s="67" t="s">
        <v>55</v>
      </c>
      <c r="C46" s="55">
        <f>'Ultra Stats'!Q3</f>
        <v>49</v>
      </c>
      <c r="D46" s="55">
        <f>'Ultra Stats'!R3</f>
        <v>44</v>
      </c>
      <c r="E46" s="57">
        <f>'Ultra Stats'!S3</f>
        <v>1.1136363636363635</v>
      </c>
      <c r="F46" s="55">
        <f>'Ultra Stats'!T3</f>
        <v>5</v>
      </c>
      <c r="G46" s="57">
        <f>'Ultra Stats'!AA3</f>
        <v>93</v>
      </c>
      <c r="H46" s="55">
        <f>'Ultra Stats'!W3</f>
        <v>10</v>
      </c>
      <c r="I46" s="55">
        <f>'Ultra Stats'!X3</f>
        <v>4</v>
      </c>
      <c r="J46" s="58">
        <f>'Ultra Stats'!U3</f>
        <v>0.29518072289156627</v>
      </c>
      <c r="K46" s="58">
        <f>'Ultra Stats'!V3</f>
        <v>0.25730994152046782</v>
      </c>
      <c r="L46" s="55">
        <f>'Ultra Stats'!Y3</f>
        <v>0</v>
      </c>
      <c r="M46" s="57">
        <f>'Ultra Stats'!Z3</f>
        <v>0.83050847457627119</v>
      </c>
      <c r="N46" s="32"/>
      <c r="O46" s="32"/>
      <c r="P46" s="32"/>
    </row>
    <row r="47" spans="1:16" x14ac:dyDescent="0.25">
      <c r="A47" s="55" t="s">
        <v>56</v>
      </c>
      <c r="B47" s="67" t="s">
        <v>55</v>
      </c>
      <c r="C47" s="55">
        <f>'Ultra Stats'!Q4</f>
        <v>32</v>
      </c>
      <c r="D47" s="55">
        <f>'Ultra Stats'!R4</f>
        <v>47</v>
      </c>
      <c r="E47" s="57">
        <f>'Ultra Stats'!S4</f>
        <v>0.68085106382978722</v>
      </c>
      <c r="F47" s="55">
        <f>'Ultra Stats'!T4</f>
        <v>-15</v>
      </c>
      <c r="G47" s="57">
        <f>'Ultra Stats'!AA4</f>
        <v>79</v>
      </c>
      <c r="H47" s="55">
        <f>'Ultra Stats'!W4</f>
        <v>10</v>
      </c>
      <c r="I47" s="55">
        <f>'Ultra Stats'!X4</f>
        <v>18</v>
      </c>
      <c r="J47" s="58">
        <f>'Ultra Stats'!U4</f>
        <v>0.19277108433734941</v>
      </c>
      <c r="K47" s="58">
        <f>'Ultra Stats'!V4</f>
        <v>0.27485380116959063</v>
      </c>
      <c r="L47" s="55">
        <f>'Ultra Stats'!Y4</f>
        <v>3</v>
      </c>
      <c r="M47" s="57">
        <f>'Ultra Stats'!Z4</f>
        <v>0.5423728813559322</v>
      </c>
      <c r="N47" s="32"/>
      <c r="O47" s="32"/>
      <c r="P47" s="32"/>
    </row>
    <row r="48" spans="1:16" x14ac:dyDescent="0.25">
      <c r="A48" s="55" t="s">
        <v>57</v>
      </c>
      <c r="B48" s="67" t="s">
        <v>55</v>
      </c>
      <c r="C48" s="55">
        <f>'Ultra Stats'!Q5</f>
        <v>35</v>
      </c>
      <c r="D48" s="55">
        <f>'Ultra Stats'!R5</f>
        <v>35</v>
      </c>
      <c r="E48" s="57">
        <f>'Ultra Stats'!S5</f>
        <v>1</v>
      </c>
      <c r="F48" s="55">
        <f>'Ultra Stats'!T5</f>
        <v>0</v>
      </c>
      <c r="G48" s="57">
        <f>'Ultra Stats'!AA5</f>
        <v>70</v>
      </c>
      <c r="H48" s="55">
        <f>'Ultra Stats'!W5</f>
        <v>2</v>
      </c>
      <c r="I48" s="55">
        <f>'Ultra Stats'!X5</f>
        <v>3</v>
      </c>
      <c r="J48" s="58">
        <f>'Ultra Stats'!U5</f>
        <v>0.21084337349397592</v>
      </c>
      <c r="K48" s="58">
        <f>'Ultra Stats'!V5</f>
        <v>0.2046783625730994</v>
      </c>
      <c r="L48" s="55">
        <f>'Ultra Stats'!Y5</f>
        <v>6</v>
      </c>
      <c r="M48" s="57">
        <f>'Ultra Stats'!Z5</f>
        <v>0.59322033898305082</v>
      </c>
      <c r="N48" s="32"/>
      <c r="O48" s="32"/>
      <c r="P48" s="32"/>
    </row>
    <row r="49" spans="1:16" x14ac:dyDescent="0.25">
      <c r="A49" s="55" t="s">
        <v>58</v>
      </c>
      <c r="B49" s="67" t="s">
        <v>55</v>
      </c>
      <c r="C49" s="55">
        <f>'Ultra Stats'!Q6</f>
        <v>50</v>
      </c>
      <c r="D49" s="55">
        <f>'Ultra Stats'!R6</f>
        <v>45</v>
      </c>
      <c r="E49" s="57">
        <f>'Ultra Stats'!S6</f>
        <v>1.1111111111111112</v>
      </c>
      <c r="F49" s="55">
        <f>'Ultra Stats'!T6</f>
        <v>5</v>
      </c>
      <c r="G49" s="57">
        <f>'Ultra Stats'!AA6</f>
        <v>95</v>
      </c>
      <c r="H49" s="55">
        <f>'Ultra Stats'!W6</f>
        <v>5</v>
      </c>
      <c r="I49" s="55">
        <f>'Ultra Stats'!X6</f>
        <v>7</v>
      </c>
      <c r="J49" s="58">
        <f>'Ultra Stats'!U6</f>
        <v>0.30120481927710846</v>
      </c>
      <c r="K49" s="58">
        <f>'Ultra Stats'!V6</f>
        <v>0.26315789473684209</v>
      </c>
      <c r="L49" s="55">
        <f>'Ultra Stats'!Y6</f>
        <v>8</v>
      </c>
      <c r="M49" s="57">
        <f>'Ultra Stats'!Z6</f>
        <v>0.84745762711864403</v>
      </c>
      <c r="N49" s="32"/>
      <c r="O49" s="32"/>
      <c r="P49" s="32"/>
    </row>
    <row r="52" spans="1:16" x14ac:dyDescent="0.25">
      <c r="G52" s="53"/>
      <c r="M52" s="53"/>
    </row>
  </sheetData>
  <mergeCells count="1">
    <mergeCell ref="P1:Z1"/>
  </mergeCells>
  <conditionalFormatting sqref="G2:G49">
    <cfRule type="cellIs" dxfId="34" priority="1" operator="between">
      <formula>48</formula>
      <formula>50</formula>
    </cfRule>
    <cfRule type="cellIs" dxfId="33" priority="2" operator="lessThan">
      <formula>48</formula>
    </cfRule>
    <cfRule type="cellIs" dxfId="32" priority="3" operator="greaterThan">
      <formula>50</formula>
    </cfRule>
  </conditionalFormatting>
  <conditionalFormatting sqref="H2:I49">
    <cfRule type="cellIs" dxfId="31" priority="4" operator="between">
      <formula>4</formula>
      <formula>5</formula>
    </cfRule>
    <cfRule type="cellIs" dxfId="30" priority="5" operator="lessThan">
      <formula>4</formula>
    </cfRule>
    <cfRule type="cellIs" dxfId="29" priority="6" operator="greaterThan">
      <formula>5</formula>
    </cfRule>
  </conditionalFormatting>
  <conditionalFormatting sqref="M2:M49">
    <cfRule type="cellIs" dxfId="28" priority="10" operator="between">
      <formula>0.66</formula>
      <formula>0.69</formula>
    </cfRule>
    <cfRule type="cellIs" dxfId="27" priority="11" operator="lessThan">
      <formula>0.66</formula>
    </cfRule>
    <cfRule type="cellIs" dxfId="26" priority="12" operator="greaterThan">
      <formula>0.7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FF"/>
  </sheetPr>
  <dimension ref="A1:Q50"/>
  <sheetViews>
    <sheetView workbookViewId="0">
      <pane ySplit="1" topLeftCell="A2" activePane="bottomLeft" state="frozen"/>
      <selection activeCell="W29" sqref="W29"/>
      <selection pane="bottomLeft" activeCell="W10" sqref="W10"/>
    </sheetView>
  </sheetViews>
  <sheetFormatPr defaultRowHeight="15" x14ac:dyDescent="0.25"/>
  <cols>
    <col min="1" max="1" width="12" bestFit="1" customWidth="1"/>
    <col min="2" max="2" width="10.28515625" bestFit="1" customWidth="1"/>
    <col min="5" max="5" width="9.5703125" bestFit="1" customWidth="1"/>
    <col min="6" max="6" width="12.85546875" bestFit="1" customWidth="1"/>
    <col min="11" max="12" width="9.5703125" bestFit="1" customWidth="1"/>
    <col min="14" max="14" width="12.85546875" bestFit="1" customWidth="1"/>
  </cols>
  <sheetData>
    <row r="1" spans="1:17" x14ac:dyDescent="0.25">
      <c r="A1" s="68" t="s">
        <v>59</v>
      </c>
      <c r="B1" s="68" t="s">
        <v>76</v>
      </c>
      <c r="C1" s="68" t="s">
        <v>61</v>
      </c>
      <c r="D1" s="68" t="s">
        <v>62</v>
      </c>
      <c r="E1" s="68" t="s">
        <v>63</v>
      </c>
      <c r="F1" s="68" t="s">
        <v>67</v>
      </c>
      <c r="G1" s="68" t="s">
        <v>68</v>
      </c>
      <c r="H1" s="68" t="s">
        <v>77</v>
      </c>
      <c r="I1" s="70" t="s">
        <v>73</v>
      </c>
      <c r="J1" s="32"/>
      <c r="K1" s="81" t="s">
        <v>91</v>
      </c>
      <c r="L1" s="81"/>
      <c r="M1" s="81"/>
      <c r="N1" s="81"/>
      <c r="O1" s="81"/>
      <c r="P1" s="81"/>
      <c r="Q1" s="81"/>
    </row>
    <row r="2" spans="1:17" x14ac:dyDescent="0.25">
      <c r="A2" s="55" t="s">
        <v>0</v>
      </c>
      <c r="B2" s="56" t="s">
        <v>1</v>
      </c>
      <c r="C2" s="55">
        <f>'Breach Stats'!AD3</f>
        <v>51</v>
      </c>
      <c r="D2" s="55">
        <f>'Breach Stats'!AE3</f>
        <v>45</v>
      </c>
      <c r="E2" s="57">
        <f>'Breach Stats'!AF3</f>
        <v>1.1333333333333333</v>
      </c>
      <c r="F2" s="55">
        <f>'Breach Stats'!AG3</f>
        <v>96</v>
      </c>
      <c r="G2" s="55">
        <f>'Breach Stats'!AH3</f>
        <v>12</v>
      </c>
      <c r="H2" s="58">
        <f>'Breach Stats'!AI3</f>
        <v>0.27717391304347827</v>
      </c>
      <c r="I2" s="71">
        <f>'Breach Stats'!AJ3</f>
        <v>0.25139664804469275</v>
      </c>
      <c r="J2" s="32"/>
      <c r="K2" s="73" t="s">
        <v>61</v>
      </c>
      <c r="L2" s="73" t="s">
        <v>62</v>
      </c>
      <c r="M2" s="73" t="s">
        <v>63</v>
      </c>
      <c r="N2" s="73" t="s">
        <v>67</v>
      </c>
      <c r="O2" s="73" t="s">
        <v>68</v>
      </c>
      <c r="P2" s="73" t="s">
        <v>77</v>
      </c>
      <c r="Q2" s="73" t="s">
        <v>73</v>
      </c>
    </row>
    <row r="3" spans="1:17" x14ac:dyDescent="0.25">
      <c r="A3" s="55" t="s">
        <v>2</v>
      </c>
      <c r="B3" s="56" t="s">
        <v>1</v>
      </c>
      <c r="C3" s="55">
        <f>'Breach Stats'!AD4</f>
        <v>45</v>
      </c>
      <c r="D3" s="55">
        <f>'Breach Stats'!AE4</f>
        <v>49</v>
      </c>
      <c r="E3" s="57">
        <f>'Breach Stats'!AF4</f>
        <v>0.91836734693877553</v>
      </c>
      <c r="F3" s="55">
        <f>'Breach Stats'!AG4</f>
        <v>94</v>
      </c>
      <c r="G3" s="55">
        <f>'Breach Stats'!AH4</f>
        <v>6</v>
      </c>
      <c r="H3" s="58">
        <f>'Breach Stats'!AI4</f>
        <v>0.24456521739130435</v>
      </c>
      <c r="I3" s="71">
        <f>'Breach Stats'!AJ4</f>
        <v>0.27374301675977653</v>
      </c>
      <c r="J3" s="32"/>
      <c r="K3" s="39">
        <f t="shared" ref="K3:Q3" si="0">AVERAGE(C2:C49)</f>
        <v>64.1875</v>
      </c>
      <c r="L3" s="39">
        <f t="shared" si="0"/>
        <v>63.916666666666664</v>
      </c>
      <c r="M3" s="39">
        <f t="shared" si="0"/>
        <v>1.0068664350418557</v>
      </c>
      <c r="N3" s="39">
        <f t="shared" si="0"/>
        <v>128.10416666666666</v>
      </c>
      <c r="O3" s="32">
        <f t="shared" si="0"/>
        <v>10.5</v>
      </c>
      <c r="P3" s="76">
        <f t="shared" si="0"/>
        <v>0.25</v>
      </c>
      <c r="Q3" s="76">
        <f t="shared" si="0"/>
        <v>0.24999999999999992</v>
      </c>
    </row>
    <row r="4" spans="1:17" x14ac:dyDescent="0.25">
      <c r="A4" s="55" t="s">
        <v>3</v>
      </c>
      <c r="B4" s="56" t="s">
        <v>1</v>
      </c>
      <c r="C4" s="55">
        <f>'Breach Stats'!AD5</f>
        <v>43</v>
      </c>
      <c r="D4" s="55">
        <f>'Breach Stats'!AE5</f>
        <v>34</v>
      </c>
      <c r="E4" s="57">
        <f>'Breach Stats'!AF5</f>
        <v>1.2647058823529411</v>
      </c>
      <c r="F4" s="55">
        <f>'Breach Stats'!AG5</f>
        <v>77</v>
      </c>
      <c r="G4" s="55">
        <f>'Breach Stats'!AH5</f>
        <v>6</v>
      </c>
      <c r="H4" s="58">
        <f>'Breach Stats'!AI5</f>
        <v>0.23369565217391305</v>
      </c>
      <c r="I4" s="71">
        <f>'Breach Stats'!AJ5</f>
        <v>0.18994413407821228</v>
      </c>
      <c r="J4" s="32"/>
      <c r="K4" s="32"/>
      <c r="L4" s="32"/>
      <c r="M4" s="32"/>
      <c r="N4" s="32"/>
      <c r="O4" s="32"/>
      <c r="P4" s="32"/>
    </row>
    <row r="5" spans="1:17" x14ac:dyDescent="0.25">
      <c r="A5" s="55" t="s">
        <v>4</v>
      </c>
      <c r="B5" s="56" t="s">
        <v>1</v>
      </c>
      <c r="C5" s="55">
        <f>'Breach Stats'!AD6</f>
        <v>45</v>
      </c>
      <c r="D5" s="55">
        <f>'Breach Stats'!AE6</f>
        <v>51</v>
      </c>
      <c r="E5" s="57">
        <f>'Breach Stats'!AF6</f>
        <v>0.88235294117647056</v>
      </c>
      <c r="F5" s="55">
        <f>'Breach Stats'!AG6</f>
        <v>96</v>
      </c>
      <c r="G5" s="55">
        <f>'Breach Stats'!AH6</f>
        <v>7</v>
      </c>
      <c r="H5" s="58">
        <f>'Breach Stats'!AI6</f>
        <v>0.24456521739130435</v>
      </c>
      <c r="I5" s="71">
        <f>'Breach Stats'!AJ6</f>
        <v>0.28491620111731841</v>
      </c>
      <c r="J5" s="32"/>
      <c r="K5" s="32"/>
      <c r="L5" s="32"/>
      <c r="M5" s="32"/>
      <c r="N5" s="32"/>
      <c r="O5" s="32"/>
      <c r="P5" s="32"/>
    </row>
    <row r="6" spans="1:17" x14ac:dyDescent="0.25">
      <c r="A6" s="55" t="s">
        <v>5</v>
      </c>
      <c r="B6" s="59" t="s">
        <v>6</v>
      </c>
      <c r="C6" s="55">
        <f>'Faze Stats'!AD3</f>
        <v>108</v>
      </c>
      <c r="D6" s="55">
        <f>'Faze Stats'!AE3</f>
        <v>58</v>
      </c>
      <c r="E6" s="57">
        <f>'Faze Stats'!AF3</f>
        <v>1.8620689655172413</v>
      </c>
      <c r="F6" s="55">
        <f>'Faze Stats'!AG3</f>
        <v>166</v>
      </c>
      <c r="G6" s="55">
        <f>'Faze Stats'!AH3</f>
        <v>25</v>
      </c>
      <c r="H6" s="58">
        <f>'Faze Stats'!AI3</f>
        <v>0.2608695652173913</v>
      </c>
      <c r="I6" s="71">
        <f>'Faze Stats'!AJ3</f>
        <v>0.22307692307692309</v>
      </c>
      <c r="J6" s="32"/>
      <c r="K6" s="32"/>
      <c r="L6" s="32"/>
      <c r="M6" s="32"/>
      <c r="N6" s="32"/>
      <c r="O6" s="32"/>
      <c r="P6" s="32"/>
    </row>
    <row r="7" spans="1:17" x14ac:dyDescent="0.25">
      <c r="A7" s="55" t="s">
        <v>7</v>
      </c>
      <c r="B7" s="59" t="s">
        <v>6</v>
      </c>
      <c r="C7" s="55">
        <f>'Faze Stats'!AD4</f>
        <v>100</v>
      </c>
      <c r="D7" s="55">
        <f>'Faze Stats'!AE4</f>
        <v>54</v>
      </c>
      <c r="E7" s="57">
        <f>'Faze Stats'!AF4</f>
        <v>1.8518518518518519</v>
      </c>
      <c r="F7" s="55">
        <f>'Faze Stats'!AG4</f>
        <v>154</v>
      </c>
      <c r="G7" s="55">
        <f>'Faze Stats'!AH4</f>
        <v>17</v>
      </c>
      <c r="H7" s="58">
        <f>'Faze Stats'!AI4</f>
        <v>0.24154589371980675</v>
      </c>
      <c r="I7" s="71">
        <f>'Faze Stats'!AJ4</f>
        <v>0.2076923076923077</v>
      </c>
      <c r="J7" s="32"/>
      <c r="K7" s="32"/>
      <c r="L7" s="32"/>
      <c r="M7" s="32"/>
      <c r="N7" s="32"/>
      <c r="O7" s="32"/>
      <c r="P7" s="32"/>
    </row>
    <row r="8" spans="1:17" x14ac:dyDescent="0.25">
      <c r="A8" s="55" t="s">
        <v>8</v>
      </c>
      <c r="B8" s="59" t="s">
        <v>6</v>
      </c>
      <c r="C8" s="55">
        <f>'Faze Stats'!AD5</f>
        <v>103</v>
      </c>
      <c r="D8" s="55">
        <f>'Faze Stats'!AE5</f>
        <v>62</v>
      </c>
      <c r="E8" s="57">
        <f>'Faze Stats'!AF5</f>
        <v>1.6612903225806452</v>
      </c>
      <c r="F8" s="55">
        <f>'Faze Stats'!AG5</f>
        <v>165</v>
      </c>
      <c r="G8" s="55">
        <f>'Faze Stats'!AH5</f>
        <v>18</v>
      </c>
      <c r="H8" s="58">
        <f>'Faze Stats'!AI5</f>
        <v>0.24879227053140096</v>
      </c>
      <c r="I8" s="71">
        <f>'Faze Stats'!AJ5</f>
        <v>0.23846153846153847</v>
      </c>
      <c r="J8" s="32"/>
      <c r="K8" s="32"/>
      <c r="L8" s="32"/>
      <c r="M8" s="32"/>
      <c r="N8" s="32"/>
      <c r="O8" s="32"/>
      <c r="P8" s="32"/>
    </row>
    <row r="9" spans="1:17" x14ac:dyDescent="0.25">
      <c r="A9" s="55" t="s">
        <v>9</v>
      </c>
      <c r="B9" s="59" t="s">
        <v>6</v>
      </c>
      <c r="C9" s="55">
        <f>'Faze Stats'!AD6</f>
        <v>103</v>
      </c>
      <c r="D9" s="55">
        <f>'Faze Stats'!AE6</f>
        <v>86</v>
      </c>
      <c r="E9" s="57">
        <f>'Faze Stats'!AF6</f>
        <v>1.1976744186046511</v>
      </c>
      <c r="F9" s="55">
        <f>'Faze Stats'!AG6</f>
        <v>189</v>
      </c>
      <c r="G9" s="55">
        <f>'Faze Stats'!AH6</f>
        <v>19</v>
      </c>
      <c r="H9" s="58">
        <f>'Faze Stats'!AI6</f>
        <v>0.24879227053140096</v>
      </c>
      <c r="I9" s="71">
        <f>'Faze Stats'!AJ6</f>
        <v>0.33076923076923076</v>
      </c>
      <c r="J9" s="32"/>
      <c r="K9" s="32"/>
      <c r="L9" s="32"/>
      <c r="M9" s="32"/>
      <c r="N9" s="32"/>
      <c r="O9" s="32"/>
      <c r="P9" s="32"/>
    </row>
    <row r="10" spans="1:17" x14ac:dyDescent="0.25">
      <c r="A10" s="55" t="s">
        <v>10</v>
      </c>
      <c r="B10" s="60" t="s">
        <v>11</v>
      </c>
      <c r="C10" s="55">
        <f>'LAG Stats'!AD3</f>
        <v>18</v>
      </c>
      <c r="D10" s="55">
        <f>'LAG Stats'!AE3</f>
        <v>16</v>
      </c>
      <c r="E10" s="57">
        <f>'LAG Stats'!AF3</f>
        <v>1.125</v>
      </c>
      <c r="F10" s="55">
        <f>'LAG Stats'!AG3</f>
        <v>34</v>
      </c>
      <c r="G10" s="55">
        <f>'LAG Stats'!AH3</f>
        <v>4</v>
      </c>
      <c r="H10" s="58">
        <f>'LAG Stats'!AI3</f>
        <v>0.31034482758620691</v>
      </c>
      <c r="I10" s="71">
        <f>'LAG Stats'!AJ3</f>
        <v>0.22857142857142856</v>
      </c>
      <c r="J10" s="32"/>
      <c r="K10" s="32"/>
      <c r="L10" s="32"/>
      <c r="M10" s="32"/>
      <c r="N10" s="32"/>
      <c r="O10" s="32"/>
      <c r="P10" s="32"/>
    </row>
    <row r="11" spans="1:17" x14ac:dyDescent="0.25">
      <c r="A11" s="55" t="s">
        <v>12</v>
      </c>
      <c r="B11" s="60" t="s">
        <v>11</v>
      </c>
      <c r="C11" s="55">
        <f>'LAG Stats'!AD4</f>
        <v>13</v>
      </c>
      <c r="D11" s="55">
        <f>'LAG Stats'!AE4</f>
        <v>21</v>
      </c>
      <c r="E11" s="57">
        <f>'LAG Stats'!AF4</f>
        <v>0.61904761904761907</v>
      </c>
      <c r="F11" s="55">
        <f>'LAG Stats'!AG4</f>
        <v>34</v>
      </c>
      <c r="G11" s="55">
        <f>'LAG Stats'!AH4</f>
        <v>2</v>
      </c>
      <c r="H11" s="58">
        <f>'LAG Stats'!AI4</f>
        <v>0.22413793103448276</v>
      </c>
      <c r="I11" s="71">
        <f>'LAG Stats'!AJ4</f>
        <v>0.3</v>
      </c>
      <c r="J11" s="32"/>
      <c r="K11" s="32"/>
      <c r="L11" s="32"/>
      <c r="M11" s="32"/>
      <c r="N11" s="32"/>
      <c r="O11" s="32"/>
      <c r="P11" s="32"/>
    </row>
    <row r="12" spans="1:17" x14ac:dyDescent="0.25">
      <c r="A12" s="55" t="s">
        <v>13</v>
      </c>
      <c r="B12" s="60" t="s">
        <v>11</v>
      </c>
      <c r="C12" s="55">
        <f>'LAG Stats'!AD5</f>
        <v>11</v>
      </c>
      <c r="D12" s="55">
        <f>'LAG Stats'!AE5</f>
        <v>15</v>
      </c>
      <c r="E12" s="57">
        <f>'LAG Stats'!AF5</f>
        <v>0.73333333333333328</v>
      </c>
      <c r="F12" s="55">
        <f>'LAG Stats'!AG5</f>
        <v>26</v>
      </c>
      <c r="G12" s="55">
        <f>'LAG Stats'!AH5</f>
        <v>2</v>
      </c>
      <c r="H12" s="58">
        <f>'LAG Stats'!AI5</f>
        <v>0.18965517241379309</v>
      </c>
      <c r="I12" s="71">
        <f>'LAG Stats'!AJ5</f>
        <v>0.21428571428571427</v>
      </c>
      <c r="J12" s="32"/>
      <c r="K12" s="32"/>
      <c r="L12" s="32"/>
      <c r="M12" s="32"/>
      <c r="N12" s="32"/>
      <c r="O12" s="32"/>
      <c r="P12" s="32"/>
    </row>
    <row r="13" spans="1:17" x14ac:dyDescent="0.25">
      <c r="A13" s="55" t="s">
        <v>14</v>
      </c>
      <c r="B13" s="60" t="s">
        <v>11</v>
      </c>
      <c r="C13" s="55">
        <f>'LAG Stats'!AD6</f>
        <v>16</v>
      </c>
      <c r="D13" s="55">
        <f>'LAG Stats'!AE6</f>
        <v>18</v>
      </c>
      <c r="E13" s="57">
        <f>'LAG Stats'!AF6</f>
        <v>0.88888888888888884</v>
      </c>
      <c r="F13" s="55">
        <f>'LAG Stats'!AG6</f>
        <v>34</v>
      </c>
      <c r="G13" s="55">
        <f>'LAG Stats'!AH6</f>
        <v>4</v>
      </c>
      <c r="H13" s="58">
        <f>'LAG Stats'!AI6</f>
        <v>0.27586206896551724</v>
      </c>
      <c r="I13" s="71">
        <f>'LAG Stats'!AJ6</f>
        <v>0.25714285714285712</v>
      </c>
      <c r="J13" s="32"/>
      <c r="K13" s="32"/>
      <c r="L13" s="32"/>
      <c r="M13" s="32"/>
      <c r="N13" s="32"/>
      <c r="O13" s="32"/>
      <c r="P13" s="32"/>
    </row>
    <row r="14" spans="1:17" x14ac:dyDescent="0.25">
      <c r="A14" s="55" t="s">
        <v>15</v>
      </c>
      <c r="B14" s="59" t="s">
        <v>16</v>
      </c>
      <c r="C14" s="55">
        <f>'LAT Stats'!AD3</f>
        <v>78</v>
      </c>
      <c r="D14" s="55">
        <f>'LAT Stats'!AE3</f>
        <v>68</v>
      </c>
      <c r="E14" s="57">
        <f>'LAT Stats'!AF3</f>
        <v>1.1470588235294117</v>
      </c>
      <c r="F14" s="55">
        <f>'LAT Stats'!AG3</f>
        <v>146</v>
      </c>
      <c r="G14" s="55">
        <f>'LAT Stats'!AH3</f>
        <v>6</v>
      </c>
      <c r="H14" s="58">
        <f>'LAT Stats'!AI3</f>
        <v>0.28782287822878228</v>
      </c>
      <c r="I14" s="71">
        <f>'LAT Stats'!AJ3</f>
        <v>0.27755102040816326</v>
      </c>
      <c r="J14" s="32"/>
      <c r="K14" s="32"/>
      <c r="L14" s="32"/>
      <c r="M14" s="32"/>
      <c r="N14" s="32"/>
      <c r="O14" s="32"/>
      <c r="P14" s="32"/>
    </row>
    <row r="15" spans="1:17" x14ac:dyDescent="0.25">
      <c r="A15" s="55" t="s">
        <v>17</v>
      </c>
      <c r="B15" s="59" t="s">
        <v>16</v>
      </c>
      <c r="C15" s="55">
        <f>'LAT Stats'!AD4</f>
        <v>68</v>
      </c>
      <c r="D15" s="55">
        <f>'LAT Stats'!AE4</f>
        <v>54</v>
      </c>
      <c r="E15" s="57">
        <f>'LAT Stats'!AF4</f>
        <v>1.2592592592592593</v>
      </c>
      <c r="F15" s="55">
        <f>'LAT Stats'!AG4</f>
        <v>122</v>
      </c>
      <c r="G15" s="55">
        <f>'LAT Stats'!AH4</f>
        <v>7</v>
      </c>
      <c r="H15" s="58">
        <f>'LAT Stats'!AI4</f>
        <v>0.25092250922509224</v>
      </c>
      <c r="I15" s="71">
        <f>'LAT Stats'!AJ4</f>
        <v>0.22040816326530613</v>
      </c>
      <c r="J15" s="32"/>
      <c r="K15" s="32"/>
      <c r="L15" s="32"/>
      <c r="M15" s="32"/>
      <c r="N15" s="32"/>
      <c r="O15" s="32"/>
      <c r="P15" s="32"/>
    </row>
    <row r="16" spans="1:17" x14ac:dyDescent="0.25">
      <c r="A16" s="55" t="s">
        <v>18</v>
      </c>
      <c r="B16" s="59" t="s">
        <v>16</v>
      </c>
      <c r="C16" s="55">
        <f>'LAT Stats'!AD5</f>
        <v>58</v>
      </c>
      <c r="D16" s="55">
        <f>'LAT Stats'!AE5</f>
        <v>63</v>
      </c>
      <c r="E16" s="57">
        <f>'LAT Stats'!AF5</f>
        <v>0.92063492063492058</v>
      </c>
      <c r="F16" s="55">
        <f>'LAT Stats'!AG5</f>
        <v>121</v>
      </c>
      <c r="G16" s="55">
        <f>'LAT Stats'!AH5</f>
        <v>5</v>
      </c>
      <c r="H16" s="58">
        <f>'LAT Stats'!AI5</f>
        <v>0.2140221402214022</v>
      </c>
      <c r="I16" s="71">
        <f>'LAT Stats'!AJ5</f>
        <v>0.25714285714285712</v>
      </c>
      <c r="J16" s="32"/>
      <c r="K16" s="32"/>
      <c r="L16" s="32"/>
      <c r="M16" s="32"/>
      <c r="N16" s="32"/>
      <c r="O16" s="32"/>
      <c r="P16" s="32"/>
    </row>
    <row r="17" spans="1:16" x14ac:dyDescent="0.25">
      <c r="A17" s="55" t="s">
        <v>19</v>
      </c>
      <c r="B17" s="59" t="s">
        <v>16</v>
      </c>
      <c r="C17" s="55">
        <f>'LAT Stats'!AD6</f>
        <v>67</v>
      </c>
      <c r="D17" s="55">
        <f>'LAT Stats'!AE6</f>
        <v>60</v>
      </c>
      <c r="E17" s="57">
        <f>'LAT Stats'!AF6</f>
        <v>1.1166666666666667</v>
      </c>
      <c r="F17" s="55">
        <f>'LAT Stats'!AG6</f>
        <v>127</v>
      </c>
      <c r="G17" s="55">
        <f>'LAT Stats'!AH6</f>
        <v>10</v>
      </c>
      <c r="H17" s="58">
        <f>'LAT Stats'!AI6</f>
        <v>0.24723247232472326</v>
      </c>
      <c r="I17" s="71">
        <f>'LAT Stats'!AJ6</f>
        <v>0.24489795918367346</v>
      </c>
      <c r="J17" s="32"/>
      <c r="K17" s="32"/>
      <c r="L17" s="32"/>
      <c r="M17" s="32"/>
      <c r="N17" s="32"/>
      <c r="O17" s="32"/>
      <c r="P17" s="32"/>
    </row>
    <row r="18" spans="1:16" x14ac:dyDescent="0.25">
      <c r="A18" s="55" t="s">
        <v>20</v>
      </c>
      <c r="B18" s="61" t="s">
        <v>21</v>
      </c>
      <c r="C18" s="55">
        <f>'Legion Stats'!AD3</f>
        <v>77</v>
      </c>
      <c r="D18" s="55">
        <f>'Legion Stats'!AE3</f>
        <v>76</v>
      </c>
      <c r="E18" s="57">
        <f>'Legion Stats'!AF3</f>
        <v>1.013157894736842</v>
      </c>
      <c r="F18" s="55">
        <f>'Legion Stats'!AG3</f>
        <v>153</v>
      </c>
      <c r="G18" s="55">
        <f>'Legion Stats'!AH3</f>
        <v>13</v>
      </c>
      <c r="H18" s="58">
        <f>'Legion Stats'!AI3</f>
        <v>0.28838951310861421</v>
      </c>
      <c r="I18" s="71">
        <f>'Legion Stats'!AJ3</f>
        <v>0.2638888888888889</v>
      </c>
      <c r="J18" s="32"/>
      <c r="K18" s="32"/>
      <c r="L18" s="32"/>
      <c r="M18" s="32"/>
      <c r="N18" s="32"/>
      <c r="O18" s="32"/>
      <c r="P18" s="32"/>
    </row>
    <row r="19" spans="1:16" x14ac:dyDescent="0.25">
      <c r="A19" s="55" t="s">
        <v>22</v>
      </c>
      <c r="B19" s="61" t="s">
        <v>21</v>
      </c>
      <c r="C19" s="55">
        <f>'Legion Stats'!AD4</f>
        <v>59</v>
      </c>
      <c r="D19" s="55">
        <f>'Legion Stats'!AE4</f>
        <v>77</v>
      </c>
      <c r="E19" s="57">
        <f>'Legion Stats'!AF4</f>
        <v>0.76623376623376627</v>
      </c>
      <c r="F19" s="55">
        <f>'Legion Stats'!AG4</f>
        <v>136</v>
      </c>
      <c r="G19" s="55">
        <f>'Legion Stats'!AH4</f>
        <v>7</v>
      </c>
      <c r="H19" s="58">
        <f>'Legion Stats'!AI4</f>
        <v>0.22097378277153559</v>
      </c>
      <c r="I19" s="71">
        <f>'Legion Stats'!AJ4</f>
        <v>0.2673611111111111</v>
      </c>
      <c r="J19" s="32"/>
      <c r="K19" s="32"/>
      <c r="L19" s="32"/>
      <c r="M19" s="32"/>
      <c r="N19" s="32"/>
      <c r="O19" s="32"/>
      <c r="P19" s="32"/>
    </row>
    <row r="20" spans="1:16" x14ac:dyDescent="0.25">
      <c r="A20" s="55" t="s">
        <v>23</v>
      </c>
      <c r="B20" s="61" t="s">
        <v>21</v>
      </c>
      <c r="C20" s="55">
        <f>'Legion Stats'!AD5</f>
        <v>66</v>
      </c>
      <c r="D20" s="55">
        <f>'Legion Stats'!AE5</f>
        <v>63</v>
      </c>
      <c r="E20" s="57">
        <f>'Legion Stats'!AF5</f>
        <v>1.0476190476190477</v>
      </c>
      <c r="F20" s="55">
        <f>'Legion Stats'!AG5</f>
        <v>129</v>
      </c>
      <c r="G20" s="55">
        <f>'Legion Stats'!AH5</f>
        <v>9</v>
      </c>
      <c r="H20" s="58">
        <f>'Legion Stats'!AI5</f>
        <v>0.24719101123595505</v>
      </c>
      <c r="I20" s="71">
        <f>'Legion Stats'!AJ5</f>
        <v>0.21875</v>
      </c>
      <c r="J20" s="32"/>
      <c r="K20" s="32"/>
      <c r="L20" s="32"/>
      <c r="M20" s="32"/>
      <c r="N20" s="32"/>
      <c r="O20" s="32"/>
      <c r="P20" s="32"/>
    </row>
    <row r="21" spans="1:16" x14ac:dyDescent="0.25">
      <c r="A21" s="55" t="s">
        <v>24</v>
      </c>
      <c r="B21" s="61" t="s">
        <v>21</v>
      </c>
      <c r="C21" s="55">
        <f>'Legion Stats'!AD6</f>
        <v>65</v>
      </c>
      <c r="D21" s="55">
        <f>'Legion Stats'!AE6</f>
        <v>72</v>
      </c>
      <c r="E21" s="57">
        <f>'Legion Stats'!AF6</f>
        <v>0.90277777777777779</v>
      </c>
      <c r="F21" s="55">
        <f>'Legion Stats'!AG6</f>
        <v>137</v>
      </c>
      <c r="G21" s="55">
        <f>'Legion Stats'!AH6</f>
        <v>11</v>
      </c>
      <c r="H21" s="58">
        <f>'Legion Stats'!AI6</f>
        <v>0.24344569288389514</v>
      </c>
      <c r="I21" s="71">
        <f>'Legion Stats'!AJ6</f>
        <v>0.25</v>
      </c>
      <c r="J21" s="32"/>
      <c r="K21" s="32"/>
      <c r="L21" s="32"/>
      <c r="M21" s="32"/>
      <c r="N21" s="32"/>
      <c r="O21" s="32"/>
      <c r="P21" s="32"/>
    </row>
    <row r="22" spans="1:16" x14ac:dyDescent="0.25">
      <c r="A22" s="55" t="s">
        <v>25</v>
      </c>
      <c r="B22" s="62" t="s">
        <v>26</v>
      </c>
      <c r="C22" s="55">
        <f>'Mutineers Stats'!AD3</f>
        <v>58</v>
      </c>
      <c r="D22" s="55">
        <f>'Mutineers Stats'!AE3</f>
        <v>60</v>
      </c>
      <c r="E22" s="57">
        <f>'Mutineers Stats'!AF3</f>
        <v>0.96666666666666667</v>
      </c>
      <c r="F22" s="55">
        <f>'Mutineers Stats'!AG3</f>
        <v>118</v>
      </c>
      <c r="G22" s="55">
        <f>'Mutineers Stats'!AH3</f>
        <v>9</v>
      </c>
      <c r="H22" s="58">
        <f>'Mutineers Stats'!AI3</f>
        <v>0.25327510917030566</v>
      </c>
      <c r="I22" s="71">
        <f>'Mutineers Stats'!AJ3</f>
        <v>0.27272727272727271</v>
      </c>
      <c r="J22" s="32"/>
      <c r="K22" s="32"/>
      <c r="L22" s="32"/>
      <c r="M22" s="32"/>
      <c r="N22" s="32"/>
      <c r="O22" s="32"/>
      <c r="P22" s="32"/>
    </row>
    <row r="23" spans="1:16" x14ac:dyDescent="0.25">
      <c r="A23" s="55" t="s">
        <v>27</v>
      </c>
      <c r="B23" s="62" t="s">
        <v>26</v>
      </c>
      <c r="C23" s="55">
        <f>'Mutineers Stats'!AD4</f>
        <v>62</v>
      </c>
      <c r="D23" s="55">
        <f>'Mutineers Stats'!AE4</f>
        <v>56</v>
      </c>
      <c r="E23" s="57">
        <f>'Mutineers Stats'!AF4</f>
        <v>1.1071428571428572</v>
      </c>
      <c r="F23" s="55">
        <f>'Mutineers Stats'!AG4</f>
        <v>118</v>
      </c>
      <c r="G23" s="55">
        <f>'Mutineers Stats'!AH4</f>
        <v>15</v>
      </c>
      <c r="H23" s="58">
        <f>'Mutineers Stats'!AI4</f>
        <v>0.27074235807860264</v>
      </c>
      <c r="I23" s="71">
        <f>'Mutineers Stats'!AJ4</f>
        <v>0.25454545454545452</v>
      </c>
      <c r="J23" s="32"/>
      <c r="K23" s="32"/>
      <c r="L23" s="32"/>
      <c r="M23" s="32"/>
      <c r="N23" s="32"/>
      <c r="O23" s="32"/>
      <c r="P23" s="32"/>
    </row>
    <row r="24" spans="1:16" x14ac:dyDescent="0.25">
      <c r="A24" s="55" t="s">
        <v>28</v>
      </c>
      <c r="B24" s="62" t="s">
        <v>26</v>
      </c>
      <c r="C24" s="55">
        <f>'Mutineers Stats'!AD5</f>
        <v>60</v>
      </c>
      <c r="D24" s="55">
        <f>'Mutineers Stats'!AE5</f>
        <v>60</v>
      </c>
      <c r="E24" s="57">
        <f>'Mutineers Stats'!AF5</f>
        <v>1</v>
      </c>
      <c r="F24" s="55">
        <f>'Mutineers Stats'!AG5</f>
        <v>120</v>
      </c>
      <c r="G24" s="55">
        <f>'Mutineers Stats'!AH5</f>
        <v>12</v>
      </c>
      <c r="H24" s="58">
        <f>'Mutineers Stats'!AI5</f>
        <v>0.26200873362445415</v>
      </c>
      <c r="I24" s="71">
        <f>'Mutineers Stats'!AJ5</f>
        <v>0.27272727272727271</v>
      </c>
      <c r="J24" s="32"/>
      <c r="K24" s="32"/>
      <c r="L24" s="32"/>
      <c r="M24" s="32"/>
      <c r="N24" s="32"/>
      <c r="O24" s="32"/>
      <c r="P24" s="32"/>
    </row>
    <row r="25" spans="1:16" x14ac:dyDescent="0.25">
      <c r="A25" s="55" t="s">
        <v>29</v>
      </c>
      <c r="B25" s="62" t="s">
        <v>26</v>
      </c>
      <c r="C25" s="55">
        <f>'Mutineers Stats'!AD6</f>
        <v>49</v>
      </c>
      <c r="D25" s="55">
        <f>'Mutineers Stats'!AE6</f>
        <v>44</v>
      </c>
      <c r="E25" s="57">
        <f>'Mutineers Stats'!AF6</f>
        <v>1.1136363636363635</v>
      </c>
      <c r="F25" s="55">
        <f>'Mutineers Stats'!AG6</f>
        <v>93</v>
      </c>
      <c r="G25" s="55">
        <f>'Mutineers Stats'!AH6</f>
        <v>5</v>
      </c>
      <c r="H25" s="58">
        <f>'Mutineers Stats'!AI6</f>
        <v>0.21397379912663755</v>
      </c>
      <c r="I25" s="71">
        <f>'Mutineers Stats'!AJ6</f>
        <v>0.2</v>
      </c>
      <c r="J25" s="32"/>
      <c r="K25" s="32"/>
      <c r="L25" s="32"/>
      <c r="M25" s="32"/>
      <c r="N25" s="32"/>
      <c r="O25" s="32"/>
      <c r="P25" s="32"/>
    </row>
    <row r="26" spans="1:16" x14ac:dyDescent="0.25">
      <c r="A26" s="55" t="s">
        <v>30</v>
      </c>
      <c r="B26" s="63" t="s">
        <v>31</v>
      </c>
      <c r="C26" s="55">
        <f>'NYSL Stats'!AD3</f>
        <v>191</v>
      </c>
      <c r="D26" s="55">
        <f>'NYSL Stats'!AE3</f>
        <v>183</v>
      </c>
      <c r="E26" s="57">
        <f>'NYSL Stats'!AF3</f>
        <v>1.0437158469945356</v>
      </c>
      <c r="F26" s="55">
        <f>'NYSL Stats'!AG3</f>
        <v>374</v>
      </c>
      <c r="G26" s="55">
        <f>'NYSL Stats'!AH3</f>
        <v>23</v>
      </c>
      <c r="H26" s="58">
        <f>'NYSL Stats'!AI3</f>
        <v>0.28635682158920539</v>
      </c>
      <c r="I26" s="71">
        <f>'NYSL Stats'!AJ3</f>
        <v>0.26715328467153282</v>
      </c>
      <c r="J26" s="32"/>
      <c r="K26" s="32"/>
      <c r="L26" s="32"/>
      <c r="M26" s="32"/>
      <c r="N26" s="32"/>
      <c r="O26" s="32"/>
      <c r="P26" s="32"/>
    </row>
    <row r="27" spans="1:16" x14ac:dyDescent="0.25">
      <c r="A27" s="55" t="s">
        <v>32</v>
      </c>
      <c r="B27" s="63" t="s">
        <v>31</v>
      </c>
      <c r="C27" s="55">
        <f>'NYSL Stats'!AD4</f>
        <v>184</v>
      </c>
      <c r="D27" s="55">
        <f>'NYSL Stats'!AE4</f>
        <v>188</v>
      </c>
      <c r="E27" s="57">
        <f>'NYSL Stats'!AF4</f>
        <v>0.97872340425531912</v>
      </c>
      <c r="F27" s="55">
        <f>'NYSL Stats'!AG4</f>
        <v>372</v>
      </c>
      <c r="G27" s="55">
        <f>'NYSL Stats'!AH4</f>
        <v>42</v>
      </c>
      <c r="H27" s="58">
        <f>'NYSL Stats'!AI4</f>
        <v>0.27586206896551724</v>
      </c>
      <c r="I27" s="71">
        <f>'NYSL Stats'!AJ4</f>
        <v>0.27445255474452557</v>
      </c>
      <c r="J27" s="32"/>
      <c r="K27" s="32"/>
      <c r="L27" s="32"/>
      <c r="M27" s="32"/>
      <c r="N27" s="32"/>
      <c r="O27" s="32"/>
      <c r="P27" s="32"/>
    </row>
    <row r="28" spans="1:16" x14ac:dyDescent="0.25">
      <c r="A28" s="55" t="s">
        <v>33</v>
      </c>
      <c r="B28" s="63" t="s">
        <v>31</v>
      </c>
      <c r="C28" s="55">
        <f>'NYSL Stats'!AD5</f>
        <v>170</v>
      </c>
      <c r="D28" s="55">
        <f>'NYSL Stats'!AE5</f>
        <v>165</v>
      </c>
      <c r="E28" s="57">
        <f>'NYSL Stats'!AF5</f>
        <v>1.0303030303030303</v>
      </c>
      <c r="F28" s="55">
        <f>'NYSL Stats'!AG5</f>
        <v>335</v>
      </c>
      <c r="G28" s="55">
        <f>'NYSL Stats'!AH5</f>
        <v>34</v>
      </c>
      <c r="H28" s="58">
        <f>'NYSL Stats'!AI5</f>
        <v>0.25487256371814093</v>
      </c>
      <c r="I28" s="71">
        <f>'NYSL Stats'!AJ5</f>
        <v>0.24087591240875914</v>
      </c>
      <c r="J28" s="32"/>
      <c r="K28" s="32"/>
      <c r="L28" s="32"/>
      <c r="M28" s="32"/>
      <c r="N28" s="32"/>
      <c r="O28" s="32"/>
      <c r="P28" s="32"/>
    </row>
    <row r="29" spans="1:16" x14ac:dyDescent="0.25">
      <c r="A29" s="55" t="s">
        <v>34</v>
      </c>
      <c r="B29" s="63" t="s">
        <v>31</v>
      </c>
      <c r="C29" s="55">
        <f>'NYSL Stats'!AD6</f>
        <v>122</v>
      </c>
      <c r="D29" s="55">
        <f>'NYSL Stats'!AE6</f>
        <v>149</v>
      </c>
      <c r="E29" s="57">
        <f>'NYSL Stats'!AF6</f>
        <v>0.81879194630872487</v>
      </c>
      <c r="F29" s="55">
        <f>'NYSL Stats'!AG6</f>
        <v>271</v>
      </c>
      <c r="G29" s="55">
        <f>'NYSL Stats'!AH6</f>
        <v>24</v>
      </c>
      <c r="H29" s="58">
        <f>'NYSL Stats'!AI6</f>
        <v>0.18290854572713644</v>
      </c>
      <c r="I29" s="71">
        <f>'NYSL Stats'!AJ6</f>
        <v>0.21751824817518248</v>
      </c>
      <c r="J29" s="32"/>
      <c r="K29" s="32"/>
      <c r="L29" s="32"/>
      <c r="M29" s="32"/>
      <c r="N29" s="32"/>
      <c r="O29" s="32"/>
      <c r="P29" s="32"/>
    </row>
    <row r="30" spans="1:16" x14ac:dyDescent="0.25">
      <c r="A30" s="55" t="s">
        <v>35</v>
      </c>
      <c r="B30" s="62" t="s">
        <v>36</v>
      </c>
      <c r="C30" s="55">
        <f>'Optic Stats'!AD3</f>
        <v>62</v>
      </c>
      <c r="D30" s="55">
        <f>'Optic Stats'!AE3</f>
        <v>46</v>
      </c>
      <c r="E30" s="57">
        <f>'Optic Stats'!AF3</f>
        <v>1.3478260869565217</v>
      </c>
      <c r="F30" s="55">
        <f>'Optic Stats'!AG3</f>
        <v>108</v>
      </c>
      <c r="G30" s="55">
        <f>'Optic Stats'!AH3</f>
        <v>10</v>
      </c>
      <c r="H30" s="58">
        <f>'Optic Stats'!AI3</f>
        <v>0.31</v>
      </c>
      <c r="I30" s="71">
        <f>'Optic Stats'!AJ3</f>
        <v>0.20264317180616739</v>
      </c>
      <c r="J30" s="32"/>
      <c r="K30" s="32"/>
      <c r="L30" s="32"/>
      <c r="M30" s="32"/>
      <c r="N30" s="32"/>
      <c r="O30" s="32"/>
      <c r="P30" s="32"/>
    </row>
    <row r="31" spans="1:16" x14ac:dyDescent="0.25">
      <c r="A31" s="55" t="s">
        <v>37</v>
      </c>
      <c r="B31" s="62" t="s">
        <v>36</v>
      </c>
      <c r="C31" s="55">
        <f>'Optic Stats'!AD4</f>
        <v>49</v>
      </c>
      <c r="D31" s="55">
        <f>'Optic Stats'!AE4</f>
        <v>63</v>
      </c>
      <c r="E31" s="57">
        <f>'Optic Stats'!AF4</f>
        <v>0.77777777777777779</v>
      </c>
      <c r="F31" s="55">
        <f>'Optic Stats'!AG4</f>
        <v>112</v>
      </c>
      <c r="G31" s="55">
        <f>'Optic Stats'!AH4</f>
        <v>7</v>
      </c>
      <c r="H31" s="58">
        <f>'Optic Stats'!AI4</f>
        <v>0.245</v>
      </c>
      <c r="I31" s="71">
        <f>'Optic Stats'!AJ4</f>
        <v>0.27753303964757708</v>
      </c>
      <c r="J31" s="32"/>
      <c r="K31" s="32"/>
      <c r="L31" s="32"/>
      <c r="M31" s="32"/>
      <c r="N31" s="32"/>
      <c r="O31" s="32"/>
      <c r="P31" s="32"/>
    </row>
    <row r="32" spans="1:16" x14ac:dyDescent="0.25">
      <c r="A32" s="55" t="s">
        <v>38</v>
      </c>
      <c r="B32" s="62" t="s">
        <v>36</v>
      </c>
      <c r="C32" s="55">
        <f>'Optic Stats'!AD5</f>
        <v>37</v>
      </c>
      <c r="D32" s="55">
        <f>'Optic Stats'!AE5</f>
        <v>61</v>
      </c>
      <c r="E32" s="57">
        <f>'Optic Stats'!AF5</f>
        <v>0.60655737704918034</v>
      </c>
      <c r="F32" s="55">
        <f>'Optic Stats'!AG5</f>
        <v>98</v>
      </c>
      <c r="G32" s="55">
        <f>'Optic Stats'!AH5</f>
        <v>9</v>
      </c>
      <c r="H32" s="58">
        <f>'Optic Stats'!AI5</f>
        <v>0.185</v>
      </c>
      <c r="I32" s="71">
        <f>'Optic Stats'!AJ5</f>
        <v>0.2687224669603524</v>
      </c>
      <c r="J32" s="32"/>
      <c r="K32" s="32"/>
      <c r="L32" s="32"/>
      <c r="M32" s="32"/>
      <c r="N32" s="32"/>
      <c r="O32" s="32"/>
      <c r="P32" s="32"/>
    </row>
    <row r="33" spans="1:16" x14ac:dyDescent="0.25">
      <c r="A33" s="55" t="s">
        <v>39</v>
      </c>
      <c r="B33" s="62" t="s">
        <v>36</v>
      </c>
      <c r="C33" s="55">
        <f>'Optic Stats'!AD6</f>
        <v>52</v>
      </c>
      <c r="D33" s="55">
        <f>'Optic Stats'!AE6</f>
        <v>57</v>
      </c>
      <c r="E33" s="57">
        <f>'Optic Stats'!AF6</f>
        <v>0.91228070175438591</v>
      </c>
      <c r="F33" s="55">
        <f>'Optic Stats'!AG6</f>
        <v>109</v>
      </c>
      <c r="G33" s="55">
        <f>'Optic Stats'!AH6</f>
        <v>6</v>
      </c>
      <c r="H33" s="58">
        <f>'Optic Stats'!AI6</f>
        <v>0.26</v>
      </c>
      <c r="I33" s="71">
        <f>'Optic Stats'!AJ6</f>
        <v>0.25110132158590309</v>
      </c>
      <c r="J33" s="32"/>
      <c r="K33" s="32"/>
      <c r="L33" s="32"/>
      <c r="M33" s="32"/>
      <c r="N33" s="32"/>
      <c r="O33" s="32"/>
      <c r="P33" s="32"/>
    </row>
    <row r="34" spans="1:16" x14ac:dyDescent="0.25">
      <c r="A34" s="64" t="s">
        <v>40</v>
      </c>
      <c r="B34" s="65" t="s">
        <v>41</v>
      </c>
      <c r="C34" s="55">
        <f>' Royal Ravens Stats'!AD3</f>
        <v>36</v>
      </c>
      <c r="D34" s="55">
        <f>' Royal Ravens Stats'!AE3</f>
        <v>33</v>
      </c>
      <c r="E34" s="57">
        <f>' Royal Ravens Stats'!AF3</f>
        <v>1.0909090909090908</v>
      </c>
      <c r="F34" s="55">
        <f>' Royal Ravens Stats'!AG3</f>
        <v>69</v>
      </c>
      <c r="G34" s="55">
        <f>' Royal Ravens Stats'!AH3</f>
        <v>4</v>
      </c>
      <c r="H34" s="58">
        <f>' Royal Ravens Stats'!AI3</f>
        <v>0.23529411764705882</v>
      </c>
      <c r="I34" s="71">
        <f>' Royal Ravens Stats'!AJ3</f>
        <v>0.20370370370370369</v>
      </c>
      <c r="J34" s="32"/>
      <c r="K34" s="32"/>
      <c r="L34" s="32"/>
      <c r="M34" s="32"/>
      <c r="N34" s="32"/>
      <c r="O34" s="32"/>
      <c r="P34" s="32"/>
    </row>
    <row r="35" spans="1:16" x14ac:dyDescent="0.25">
      <c r="A35" s="55" t="s">
        <v>42</v>
      </c>
      <c r="B35" s="65" t="s">
        <v>41</v>
      </c>
      <c r="C35" s="55">
        <f>' Royal Ravens Stats'!AD4</f>
        <v>35</v>
      </c>
      <c r="D35" s="55">
        <f>' Royal Ravens Stats'!AE4</f>
        <v>46</v>
      </c>
      <c r="E35" s="57">
        <f>' Royal Ravens Stats'!AF4</f>
        <v>0.76086956521739135</v>
      </c>
      <c r="F35" s="55">
        <f>' Royal Ravens Stats'!AG4</f>
        <v>81</v>
      </c>
      <c r="G35" s="55">
        <f>' Royal Ravens Stats'!AH4</f>
        <v>5</v>
      </c>
      <c r="H35" s="58">
        <f>' Royal Ravens Stats'!AI4</f>
        <v>0.22875816993464052</v>
      </c>
      <c r="I35" s="71">
        <f>' Royal Ravens Stats'!AJ4</f>
        <v>0.2839506172839506</v>
      </c>
      <c r="J35" s="32"/>
      <c r="K35" s="32"/>
      <c r="L35" s="32"/>
      <c r="M35" s="32"/>
      <c r="N35" s="32"/>
      <c r="O35" s="32"/>
      <c r="P35" s="32"/>
    </row>
    <row r="36" spans="1:16" x14ac:dyDescent="0.25">
      <c r="A36" s="64" t="s">
        <v>43</v>
      </c>
      <c r="B36" s="65" t="s">
        <v>41</v>
      </c>
      <c r="C36" s="55">
        <f>' Royal Ravens Stats'!AD5</f>
        <v>49</v>
      </c>
      <c r="D36" s="55">
        <f>' Royal Ravens Stats'!AE5</f>
        <v>48</v>
      </c>
      <c r="E36" s="57">
        <f>' Royal Ravens Stats'!AF5</f>
        <v>1.0208333333333333</v>
      </c>
      <c r="F36" s="55">
        <f>' Royal Ravens Stats'!AG5</f>
        <v>97</v>
      </c>
      <c r="G36" s="55">
        <f>' Royal Ravens Stats'!AH5</f>
        <v>2</v>
      </c>
      <c r="H36" s="58">
        <f>' Royal Ravens Stats'!AI5</f>
        <v>0.3202614379084967</v>
      </c>
      <c r="I36" s="71">
        <f>' Royal Ravens Stats'!AJ5</f>
        <v>0.29629629629629628</v>
      </c>
      <c r="J36" s="32"/>
      <c r="K36" s="32"/>
      <c r="L36" s="32"/>
      <c r="M36" s="32"/>
      <c r="N36" s="32"/>
      <c r="O36" s="32"/>
      <c r="P36" s="32"/>
    </row>
    <row r="37" spans="1:16" x14ac:dyDescent="0.25">
      <c r="A37" s="55" t="s">
        <v>44</v>
      </c>
      <c r="B37" s="65" t="s">
        <v>41</v>
      </c>
      <c r="C37" s="55">
        <f>' Royal Ravens Stats'!AD6</f>
        <v>33</v>
      </c>
      <c r="D37" s="55">
        <f>' Royal Ravens Stats'!AE6</f>
        <v>35</v>
      </c>
      <c r="E37" s="57">
        <f>' Royal Ravens Stats'!AF6</f>
        <v>0.94285714285714284</v>
      </c>
      <c r="F37" s="55">
        <f>' Royal Ravens Stats'!AG6</f>
        <v>68</v>
      </c>
      <c r="G37" s="55">
        <f>' Royal Ravens Stats'!AH6</f>
        <v>2</v>
      </c>
      <c r="H37" s="58">
        <f>' Royal Ravens Stats'!AI6</f>
        <v>0.21568627450980393</v>
      </c>
      <c r="I37" s="71">
        <f>' Royal Ravens Stats'!AJ6</f>
        <v>0.21604938271604937</v>
      </c>
      <c r="J37" s="32"/>
      <c r="K37" s="32"/>
      <c r="L37" s="32"/>
      <c r="M37" s="32"/>
      <c r="N37" s="32"/>
      <c r="O37" s="32"/>
      <c r="P37" s="32"/>
    </row>
    <row r="38" spans="1:16" x14ac:dyDescent="0.25">
      <c r="A38" s="55" t="s">
        <v>88</v>
      </c>
      <c r="B38" s="60" t="s">
        <v>45</v>
      </c>
      <c r="C38" s="55">
        <f>'Rokkr Stats'!AD3</f>
        <v>45</v>
      </c>
      <c r="D38" s="55">
        <f>'Rokkr Stats'!AE3</f>
        <v>58</v>
      </c>
      <c r="E38" s="57">
        <f>'Rokkr Stats'!AF3</f>
        <v>0.77586206896551724</v>
      </c>
      <c r="F38" s="55">
        <f>'Rokkr Stats'!AG3</f>
        <v>103</v>
      </c>
      <c r="G38" s="55">
        <f>'Rokkr Stats'!AH3</f>
        <v>10</v>
      </c>
      <c r="H38" s="58">
        <f>'Rokkr Stats'!AI3</f>
        <v>0.21739130434782608</v>
      </c>
      <c r="I38" s="71">
        <f>'Rokkr Stats'!AJ3</f>
        <v>0.2283464566929134</v>
      </c>
      <c r="J38" s="32"/>
      <c r="K38" s="32"/>
      <c r="L38" s="32"/>
      <c r="M38" s="32"/>
      <c r="N38" s="32"/>
      <c r="O38" s="32"/>
      <c r="P38" s="32"/>
    </row>
    <row r="39" spans="1:16" x14ac:dyDescent="0.25">
      <c r="A39" s="55" t="s">
        <v>46</v>
      </c>
      <c r="B39" s="60" t="s">
        <v>45</v>
      </c>
      <c r="C39" s="55">
        <f>'Rokkr Stats'!AD4</f>
        <v>59</v>
      </c>
      <c r="D39" s="55">
        <f>'Rokkr Stats'!AE4</f>
        <v>63</v>
      </c>
      <c r="E39" s="57">
        <f>'Rokkr Stats'!AF4</f>
        <v>0.93650793650793651</v>
      </c>
      <c r="F39" s="55">
        <f>'Rokkr Stats'!AG4</f>
        <v>122</v>
      </c>
      <c r="G39" s="55">
        <f>'Rokkr Stats'!AH4</f>
        <v>10</v>
      </c>
      <c r="H39" s="58">
        <f>'Rokkr Stats'!AI4</f>
        <v>0.28502415458937197</v>
      </c>
      <c r="I39" s="71">
        <f>'Rokkr Stats'!AJ4</f>
        <v>0.24803149606299213</v>
      </c>
      <c r="J39" s="32"/>
      <c r="K39" s="32"/>
      <c r="L39" s="32"/>
      <c r="M39" s="32"/>
      <c r="N39" s="32"/>
      <c r="O39" s="32"/>
      <c r="P39" s="32"/>
    </row>
    <row r="40" spans="1:16" x14ac:dyDescent="0.25">
      <c r="A40" s="55" t="s">
        <v>47</v>
      </c>
      <c r="B40" s="60" t="s">
        <v>45</v>
      </c>
      <c r="C40" s="55">
        <f>'Rokkr Stats'!AD5</f>
        <v>58</v>
      </c>
      <c r="D40" s="55">
        <f>'Rokkr Stats'!AE5</f>
        <v>63</v>
      </c>
      <c r="E40" s="57">
        <f>'Rokkr Stats'!AF5</f>
        <v>0.92063492063492058</v>
      </c>
      <c r="F40" s="55">
        <f>'Rokkr Stats'!AG5</f>
        <v>121</v>
      </c>
      <c r="G40" s="55">
        <f>'Rokkr Stats'!AH5</f>
        <v>9</v>
      </c>
      <c r="H40" s="58">
        <f>'Rokkr Stats'!AI5</f>
        <v>0.28019323671497587</v>
      </c>
      <c r="I40" s="71">
        <f>'Rokkr Stats'!AJ5</f>
        <v>0.24803149606299213</v>
      </c>
      <c r="J40" s="32"/>
      <c r="K40" s="32"/>
      <c r="L40" s="32"/>
      <c r="M40" s="32"/>
      <c r="N40" s="32"/>
      <c r="O40" s="32"/>
      <c r="P40" s="32"/>
    </row>
    <row r="41" spans="1:16" x14ac:dyDescent="0.25">
      <c r="A41" s="55" t="s">
        <v>48</v>
      </c>
      <c r="B41" s="60" t="s">
        <v>45</v>
      </c>
      <c r="C41" s="55">
        <f>'Rokkr Stats'!AD6</f>
        <v>45</v>
      </c>
      <c r="D41" s="55">
        <f>'Rokkr Stats'!AE6</f>
        <v>70</v>
      </c>
      <c r="E41" s="57">
        <f>'Rokkr Stats'!AF6</f>
        <v>0.6428571428571429</v>
      </c>
      <c r="F41" s="55">
        <f>'Rokkr Stats'!AG6</f>
        <v>115</v>
      </c>
      <c r="G41" s="55">
        <f>'Rokkr Stats'!AH6</f>
        <v>11</v>
      </c>
      <c r="H41" s="58">
        <f>'Rokkr Stats'!AI6</f>
        <v>0.21739130434782608</v>
      </c>
      <c r="I41" s="71">
        <f>'Rokkr Stats'!AJ6</f>
        <v>0.27559055118110237</v>
      </c>
      <c r="J41" s="32"/>
      <c r="K41" s="32"/>
      <c r="L41" s="32"/>
      <c r="M41" s="32"/>
      <c r="N41" s="32"/>
      <c r="O41" s="32"/>
      <c r="P41" s="32"/>
    </row>
    <row r="42" spans="1:16" x14ac:dyDescent="0.25">
      <c r="A42" s="55" t="s">
        <v>49</v>
      </c>
      <c r="B42" s="66" t="s">
        <v>50</v>
      </c>
      <c r="C42" s="55">
        <f>'Surge Stats'!AD3</f>
        <v>13</v>
      </c>
      <c r="D42" s="55">
        <f>'Surge Stats'!AE3</f>
        <v>21</v>
      </c>
      <c r="E42" s="57">
        <f>'Surge Stats'!AF3</f>
        <v>0.61904761904761907</v>
      </c>
      <c r="F42" s="55">
        <f>'Surge Stats'!AG3</f>
        <v>34</v>
      </c>
      <c r="G42" s="55">
        <f>'Surge Stats'!AH3</f>
        <v>3</v>
      </c>
      <c r="H42" s="58">
        <f>'Surge Stats'!AI3</f>
        <v>0.1326530612244898</v>
      </c>
      <c r="I42" s="71">
        <f>'Surge Stats'!AJ3</f>
        <v>0.19444444444444445</v>
      </c>
      <c r="J42" s="32"/>
      <c r="K42" s="32"/>
      <c r="L42" s="32"/>
      <c r="M42" s="32"/>
      <c r="N42" s="32"/>
      <c r="O42" s="32"/>
      <c r="P42" s="32"/>
    </row>
    <row r="43" spans="1:16" x14ac:dyDescent="0.25">
      <c r="A43" s="55" t="s">
        <v>51</v>
      </c>
      <c r="B43" s="66" t="s">
        <v>50</v>
      </c>
      <c r="C43" s="55">
        <f>'Surge Stats'!AD4</f>
        <v>30</v>
      </c>
      <c r="D43" s="55">
        <f>'Surge Stats'!AE4</f>
        <v>31</v>
      </c>
      <c r="E43" s="57">
        <f>'Surge Stats'!AF4</f>
        <v>0.967741935483871</v>
      </c>
      <c r="F43" s="55">
        <f>'Surge Stats'!AG4</f>
        <v>61</v>
      </c>
      <c r="G43" s="55">
        <f>'Surge Stats'!AH4</f>
        <v>2</v>
      </c>
      <c r="H43" s="58">
        <f>'Surge Stats'!AI4</f>
        <v>0.30612244897959184</v>
      </c>
      <c r="I43" s="71">
        <f>'Surge Stats'!AJ4</f>
        <v>0.28703703703703703</v>
      </c>
      <c r="J43" s="32"/>
      <c r="K43" s="32"/>
      <c r="L43" s="32"/>
      <c r="M43" s="32"/>
      <c r="N43" s="32"/>
      <c r="O43" s="32"/>
      <c r="P43" s="32"/>
    </row>
    <row r="44" spans="1:16" x14ac:dyDescent="0.25">
      <c r="A44" s="55" t="s">
        <v>52</v>
      </c>
      <c r="B44" s="66" t="s">
        <v>50</v>
      </c>
      <c r="C44" s="55">
        <f>'Surge Stats'!AD5</f>
        <v>28</v>
      </c>
      <c r="D44" s="55">
        <f>'Surge Stats'!AE5</f>
        <v>28</v>
      </c>
      <c r="E44" s="57">
        <f>'Surge Stats'!AF5</f>
        <v>1</v>
      </c>
      <c r="F44" s="55">
        <f>'Surge Stats'!AG5</f>
        <v>56</v>
      </c>
      <c r="G44" s="55">
        <f>'Surge Stats'!AH5</f>
        <v>8</v>
      </c>
      <c r="H44" s="58">
        <f>'Surge Stats'!AI5</f>
        <v>0.2857142857142857</v>
      </c>
      <c r="I44" s="71">
        <f>'Surge Stats'!AJ5</f>
        <v>0.25925925925925924</v>
      </c>
      <c r="J44" s="32"/>
      <c r="K44" s="32"/>
      <c r="L44" s="32"/>
      <c r="M44" s="32"/>
      <c r="N44" s="32"/>
      <c r="O44" s="32"/>
      <c r="P44" s="32"/>
    </row>
    <row r="45" spans="1:16" x14ac:dyDescent="0.25">
      <c r="A45" s="55" t="s">
        <v>53</v>
      </c>
      <c r="B45" s="66" t="s">
        <v>50</v>
      </c>
      <c r="C45" s="55">
        <f>'Surge Stats'!AD6</f>
        <v>27</v>
      </c>
      <c r="D45" s="55">
        <f>'Surge Stats'!AE6</f>
        <v>28</v>
      </c>
      <c r="E45" s="57">
        <f>'Surge Stats'!AF6</f>
        <v>0.9642857142857143</v>
      </c>
      <c r="F45" s="55">
        <f>'Surge Stats'!AG6</f>
        <v>55</v>
      </c>
      <c r="G45" s="55">
        <f>'Surge Stats'!AH6</f>
        <v>3</v>
      </c>
      <c r="H45" s="58">
        <f>'Surge Stats'!AI6</f>
        <v>0.27551020408163263</v>
      </c>
      <c r="I45" s="71">
        <f>'Surge Stats'!AJ6</f>
        <v>0.25925925925925924</v>
      </c>
      <c r="J45" s="32"/>
      <c r="K45" s="32"/>
      <c r="L45" s="32"/>
      <c r="M45" s="32"/>
      <c r="N45" s="32"/>
      <c r="O45" s="32"/>
      <c r="P45" s="32"/>
    </row>
    <row r="46" spans="1:16" x14ac:dyDescent="0.25">
      <c r="A46" s="55" t="s">
        <v>54</v>
      </c>
      <c r="B46" s="67" t="s">
        <v>55</v>
      </c>
      <c r="C46" s="55">
        <f>'Ultra Stats'!AD3</f>
        <v>83</v>
      </c>
      <c r="D46" s="55">
        <f>'Ultra Stats'!AE3</f>
        <v>93</v>
      </c>
      <c r="E46" s="57">
        <f>'Ultra Stats'!AF3</f>
        <v>0.89247311827956988</v>
      </c>
      <c r="F46" s="55">
        <f>'Ultra Stats'!AG3</f>
        <v>176</v>
      </c>
      <c r="G46" s="55">
        <f>'Ultra Stats'!AH3</f>
        <v>14</v>
      </c>
      <c r="H46" s="58">
        <f>'Ultra Stats'!AI3</f>
        <v>0.24924924924924924</v>
      </c>
      <c r="I46" s="71">
        <f>'Ultra Stats'!AJ3</f>
        <v>0.25135135135135134</v>
      </c>
      <c r="J46" s="32"/>
      <c r="K46" s="32"/>
      <c r="L46" s="32"/>
      <c r="M46" s="32"/>
      <c r="N46" s="32"/>
      <c r="O46" s="32"/>
      <c r="P46" s="32"/>
    </row>
    <row r="47" spans="1:16" x14ac:dyDescent="0.25">
      <c r="A47" s="55" t="s">
        <v>56</v>
      </c>
      <c r="B47" s="67" t="s">
        <v>55</v>
      </c>
      <c r="C47" s="55">
        <f>'Ultra Stats'!AD4</f>
        <v>88</v>
      </c>
      <c r="D47" s="55">
        <f>'Ultra Stats'!AE4</f>
        <v>108</v>
      </c>
      <c r="E47" s="57">
        <f>'Ultra Stats'!AF4</f>
        <v>0.81481481481481477</v>
      </c>
      <c r="F47" s="55">
        <f>'Ultra Stats'!AG4</f>
        <v>196</v>
      </c>
      <c r="G47" s="55">
        <f>'Ultra Stats'!AH4</f>
        <v>8</v>
      </c>
      <c r="H47" s="58">
        <f>'Ultra Stats'!AI4</f>
        <v>0.26426426426426425</v>
      </c>
      <c r="I47" s="71">
        <f>'Ultra Stats'!AJ4</f>
        <v>0.29189189189189191</v>
      </c>
      <c r="J47" s="32"/>
      <c r="K47" s="32"/>
      <c r="L47" s="32"/>
      <c r="M47" s="32"/>
      <c r="N47" s="32"/>
      <c r="O47" s="32"/>
      <c r="P47" s="32"/>
    </row>
    <row r="48" spans="1:16" x14ac:dyDescent="0.25">
      <c r="A48" s="55" t="s">
        <v>57</v>
      </c>
      <c r="B48" s="67" t="s">
        <v>55</v>
      </c>
      <c r="C48" s="55">
        <f>'Ultra Stats'!AD5</f>
        <v>87</v>
      </c>
      <c r="D48" s="55">
        <f>'Ultra Stats'!AE5</f>
        <v>74</v>
      </c>
      <c r="E48" s="57">
        <f>'Ultra Stats'!AF5</f>
        <v>1.1756756756756757</v>
      </c>
      <c r="F48" s="55">
        <f>'Ultra Stats'!AG5</f>
        <v>161</v>
      </c>
      <c r="G48" s="55">
        <f>'Ultra Stats'!AH5</f>
        <v>16</v>
      </c>
      <c r="H48" s="58">
        <f>'Ultra Stats'!AI5</f>
        <v>0.26126126126126126</v>
      </c>
      <c r="I48" s="71">
        <f>'Ultra Stats'!AJ5</f>
        <v>0.2</v>
      </c>
      <c r="J48" s="32"/>
      <c r="K48" s="32"/>
      <c r="L48" s="32"/>
      <c r="M48" s="32"/>
      <c r="N48" s="32"/>
      <c r="O48" s="32"/>
      <c r="P48" s="32"/>
    </row>
    <row r="49" spans="1:16" x14ac:dyDescent="0.25">
      <c r="A49" s="55" t="s">
        <v>58</v>
      </c>
      <c r="B49" s="67" t="s">
        <v>55</v>
      </c>
      <c r="C49" s="55">
        <f>'Ultra Stats'!AD6</f>
        <v>75</v>
      </c>
      <c r="D49" s="55">
        <f>'Ultra Stats'!AE6</f>
        <v>95</v>
      </c>
      <c r="E49" s="57">
        <f>'Ultra Stats'!AF6</f>
        <v>0.78947368421052633</v>
      </c>
      <c r="F49" s="55">
        <f>'Ultra Stats'!AG6</f>
        <v>170</v>
      </c>
      <c r="G49" s="55">
        <f>'Ultra Stats'!AH6</f>
        <v>11</v>
      </c>
      <c r="H49" s="58">
        <f>'Ultra Stats'!AI6</f>
        <v>0.22522522522522523</v>
      </c>
      <c r="I49" s="71">
        <f>'Ultra Stats'!AJ6</f>
        <v>0.25675675675675674</v>
      </c>
      <c r="J49" s="32"/>
      <c r="K49" s="32"/>
      <c r="L49" s="32"/>
      <c r="M49" s="32"/>
      <c r="N49" s="32"/>
      <c r="O49" s="32"/>
      <c r="P49" s="32"/>
    </row>
    <row r="50" spans="1:16" x14ac:dyDescent="0.25">
      <c r="E50" s="53"/>
    </row>
  </sheetData>
  <mergeCells count="1">
    <mergeCell ref="K1:Q1"/>
  </mergeCells>
  <conditionalFormatting sqref="E2:E49">
    <cfRule type="cellIs" dxfId="25" priority="4" operator="lessThan">
      <formula>1</formula>
    </cfRule>
    <cfRule type="cellIs" dxfId="24" priority="5" operator="equal">
      <formula>1</formula>
    </cfRule>
    <cfRule type="cellIs" dxfId="23" priority="6" operator="greaterThan">
      <formula>1</formula>
    </cfRule>
  </conditionalFormatting>
  <conditionalFormatting sqref="F2:F49">
    <cfRule type="cellIs" dxfId="22" priority="1" operator="between">
      <formula>128</formula>
      <formula>130</formula>
    </cfRule>
    <cfRule type="cellIs" dxfId="21" priority="2" operator="lessThan">
      <formula>128</formula>
    </cfRule>
    <cfRule type="cellIs" dxfId="20" priority="3" operator="greaterThan">
      <formula>130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J49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33" max="33" width="12.85546875" bestFit="1" customWidth="1"/>
  </cols>
  <sheetData>
    <row r="1" spans="1:36" ht="31.5" x14ac:dyDescent="0.5">
      <c r="A1" s="83" t="s">
        <v>78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  <c r="O1" s="32"/>
      <c r="P1" s="86" t="s">
        <v>83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13"/>
      <c r="AC1" s="82" t="s">
        <v>87</v>
      </c>
      <c r="AD1" s="82"/>
      <c r="AE1" s="82"/>
      <c r="AF1" s="82"/>
      <c r="AG1" s="82"/>
      <c r="AH1" s="82"/>
      <c r="AI1" s="82"/>
      <c r="AJ1" s="82"/>
    </row>
    <row r="2" spans="1:36" x14ac:dyDescent="0.25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6" t="s">
        <v>75</v>
      </c>
      <c r="AA2" s="7" t="s">
        <v>67</v>
      </c>
      <c r="AC2" s="6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6" t="s">
        <v>73</v>
      </c>
    </row>
    <row r="3" spans="1:36" x14ac:dyDescent="0.25">
      <c r="A3" s="44" t="s">
        <v>5</v>
      </c>
      <c r="B3" s="32">
        <f>25+39+25+23+33+26</f>
        <v>171</v>
      </c>
      <c r="C3" s="32">
        <f>23+30+23+19+27+22</f>
        <v>144</v>
      </c>
      <c r="D3" s="39">
        <f>B3/C3</f>
        <v>1.1875</v>
      </c>
      <c r="E3" s="32">
        <f>B3-C3</f>
        <v>27</v>
      </c>
      <c r="F3" s="32">
        <f>B3+C3</f>
        <v>315</v>
      </c>
      <c r="G3" s="32">
        <f>7+2+8+5+13+8</f>
        <v>43</v>
      </c>
      <c r="H3" s="32">
        <f>14+21+16+13+22+20</f>
        <v>106</v>
      </c>
      <c r="I3" s="38">
        <f>B3/$B$7</f>
        <v>0.27447833065810595</v>
      </c>
      <c r="J3" s="38">
        <f>C3/$C$7</f>
        <v>0.2608695652173913</v>
      </c>
      <c r="K3" s="39">
        <f>AVERAGE(B3/$B$8)</f>
        <v>28.5</v>
      </c>
      <c r="L3" s="39">
        <f>AVERAGE(C3/$B$8)</f>
        <v>24</v>
      </c>
      <c r="M3" s="32">
        <f>2964+3978+3177+2710+3894+3158+2410</f>
        <v>22291</v>
      </c>
      <c r="N3" s="43">
        <f>51+14+72+76+121+55</f>
        <v>389</v>
      </c>
      <c r="O3" s="32"/>
      <c r="P3" s="44" t="s">
        <v>5</v>
      </c>
      <c r="Q3" s="8">
        <f>4+6+7+3+6+7</f>
        <v>33</v>
      </c>
      <c r="R3" s="8">
        <f>4+8+4+6+10+8</f>
        <v>40</v>
      </c>
      <c r="S3" s="9">
        <f>Q3/R3</f>
        <v>0.82499999999999996</v>
      </c>
      <c r="T3" s="8">
        <f>Q3-R3</f>
        <v>-7</v>
      </c>
      <c r="U3" s="10">
        <f>Q3/$Q$7</f>
        <v>0.22297297297297297</v>
      </c>
      <c r="V3" s="10">
        <f>R3/$R$7</f>
        <v>0.2857142857142857</v>
      </c>
      <c r="W3" s="8">
        <f>0+2+1+0+4+1</f>
        <v>8</v>
      </c>
      <c r="X3" s="8">
        <f>0+2+0+4+1+0</f>
        <v>7</v>
      </c>
      <c r="Y3" s="8">
        <f>0+0+1+1+1+1</f>
        <v>4</v>
      </c>
      <c r="Z3" s="9">
        <f>Q3/$Q$9</f>
        <v>0.62264150943396224</v>
      </c>
      <c r="AA3" s="31">
        <f>Q3+R3</f>
        <v>73</v>
      </c>
      <c r="AB3" s="78"/>
      <c r="AC3" s="8" t="s">
        <v>5</v>
      </c>
      <c r="AD3" s="8">
        <f>29+19+17+21+22</f>
        <v>108</v>
      </c>
      <c r="AE3" s="8">
        <f>15+11+15+17</f>
        <v>58</v>
      </c>
      <c r="AF3" s="9">
        <f>AD3/AE3</f>
        <v>1.8620689655172413</v>
      </c>
      <c r="AG3" s="8">
        <f>AD3+AE3</f>
        <v>166</v>
      </c>
      <c r="AH3" s="8">
        <f>8+5+3+5+4</f>
        <v>25</v>
      </c>
      <c r="AI3" s="29">
        <f>AD3/$AD$7</f>
        <v>0.2608695652173913</v>
      </c>
      <c r="AJ3" s="29">
        <f>AE3/$AE$7</f>
        <v>0.22307692307692309</v>
      </c>
    </row>
    <row r="4" spans="1:36" x14ac:dyDescent="0.25">
      <c r="A4" s="44" t="s">
        <v>7</v>
      </c>
      <c r="B4" s="32">
        <f>25+31+27+19+33+20</f>
        <v>155</v>
      </c>
      <c r="C4" s="32">
        <f>16+22+24+15+28+24</f>
        <v>129</v>
      </c>
      <c r="D4" s="39">
        <f t="shared" ref="D4:D6" si="0">B4/C4</f>
        <v>1.2015503875968991</v>
      </c>
      <c r="E4" s="32">
        <f t="shared" ref="E4:E6" si="1">B4-C4</f>
        <v>26</v>
      </c>
      <c r="F4" s="32">
        <f t="shared" ref="F4:F6" si="2">B4+C4</f>
        <v>284</v>
      </c>
      <c r="G4" s="32">
        <f>6+8+8+6+11+7</f>
        <v>46</v>
      </c>
      <c r="H4" s="32">
        <f>24+24+22+17+21+13</f>
        <v>121</v>
      </c>
      <c r="I4" s="38">
        <f t="shared" ref="I4:I6" si="3">B4/$B$7</f>
        <v>0.24879614767255218</v>
      </c>
      <c r="J4" s="38">
        <f t="shared" ref="J4:J6" si="4">C4/$C$7</f>
        <v>0.23369565217391305</v>
      </c>
      <c r="K4" s="39">
        <f t="shared" ref="K4:K5" si="5">AVERAGE(B4/$B$8)</f>
        <v>25.833333333333332</v>
      </c>
      <c r="L4" s="39">
        <f t="shared" ref="L4:L6" si="6">AVERAGE(C4/$B$8)</f>
        <v>21.5</v>
      </c>
      <c r="M4" s="32">
        <f>3235+3960+3226+2145+3986</f>
        <v>16552</v>
      </c>
      <c r="N4" s="43">
        <f>84+93+62+75+47+41</f>
        <v>402</v>
      </c>
      <c r="O4" s="32"/>
      <c r="P4" s="44" t="s">
        <v>7</v>
      </c>
      <c r="Q4" s="8">
        <f>5+6+3+3+11+4</f>
        <v>32</v>
      </c>
      <c r="R4" s="8">
        <f>3+7+2+7+8+6</f>
        <v>33</v>
      </c>
      <c r="S4" s="9">
        <f t="shared" ref="S4:S6" si="7">Q4/R4</f>
        <v>0.96969696969696972</v>
      </c>
      <c r="T4" s="8">
        <f t="shared" ref="T4:T6" si="8">Q4-R4</f>
        <v>-1</v>
      </c>
      <c r="U4" s="10">
        <f t="shared" ref="U4:U6" si="9">Q4/$Q$7</f>
        <v>0.21621621621621623</v>
      </c>
      <c r="V4" s="10">
        <f t="shared" ref="V4:V6" si="10">R4/$R$7</f>
        <v>0.23571428571428571</v>
      </c>
      <c r="W4" s="8">
        <f>0+0+0+1+3+0</f>
        <v>4</v>
      </c>
      <c r="X4" s="8">
        <f>0+0+0+1+1+0</f>
        <v>2</v>
      </c>
      <c r="Y4" s="8">
        <f>0+0+0+0+0+0</f>
        <v>0</v>
      </c>
      <c r="Z4" s="9">
        <f t="shared" ref="Z4:Z6" si="11">Q4/$Q$9</f>
        <v>0.60377358490566035</v>
      </c>
      <c r="AA4" s="31">
        <f t="shared" ref="AA4:AA6" si="12">Q4+R4</f>
        <v>65</v>
      </c>
      <c r="AB4" s="78"/>
      <c r="AC4" s="8" t="s">
        <v>7</v>
      </c>
      <c r="AD4" s="8">
        <f>16+20+22+15+27</f>
        <v>100</v>
      </c>
      <c r="AE4" s="8">
        <f>14+8+12+6+14</f>
        <v>54</v>
      </c>
      <c r="AF4" s="9">
        <f t="shared" ref="AF4:AF6" si="13">AD4/AE4</f>
        <v>1.8518518518518519</v>
      </c>
      <c r="AG4" s="8">
        <f t="shared" ref="AG4:AG6" si="14">AD4+AE4</f>
        <v>154</v>
      </c>
      <c r="AH4" s="8">
        <f>2+5+3+4+3</f>
        <v>17</v>
      </c>
      <c r="AI4" s="29">
        <f t="shared" ref="AI4:AI6" si="15">AD4/$AD$7</f>
        <v>0.24154589371980675</v>
      </c>
      <c r="AJ4" s="29">
        <f t="shared" ref="AJ4:AJ6" si="16">AE4/$AE$7</f>
        <v>0.2076923076923077</v>
      </c>
    </row>
    <row r="5" spans="1:36" x14ac:dyDescent="0.25">
      <c r="A5" s="44" t="s">
        <v>8</v>
      </c>
      <c r="B5" s="32">
        <f>27+27+20+19+19+19</f>
        <v>131</v>
      </c>
      <c r="C5" s="32">
        <f>17+26+24+19+25+24</f>
        <v>135</v>
      </c>
      <c r="D5" s="39">
        <f t="shared" si="0"/>
        <v>0.97037037037037033</v>
      </c>
      <c r="E5" s="32">
        <f t="shared" si="1"/>
        <v>-4</v>
      </c>
      <c r="F5" s="32">
        <f t="shared" si="2"/>
        <v>266</v>
      </c>
      <c r="G5" s="32">
        <f>7+7+8+2+8+6</f>
        <v>38</v>
      </c>
      <c r="H5" s="32">
        <f>21+18+13+15+17+13</f>
        <v>97</v>
      </c>
      <c r="I5" s="38">
        <f t="shared" si="3"/>
        <v>0.2102728731942215</v>
      </c>
      <c r="J5" s="38">
        <f t="shared" si="4"/>
        <v>0.24456521739130435</v>
      </c>
      <c r="K5" s="39">
        <f t="shared" si="5"/>
        <v>21.833333333333332</v>
      </c>
      <c r="L5" s="39">
        <f t="shared" si="6"/>
        <v>22.5</v>
      </c>
      <c r="M5" s="32">
        <f>3066+3237+2667+2217+34488+2094</f>
        <v>47769</v>
      </c>
      <c r="N5" s="43">
        <f>89+84+104+27+72+61</f>
        <v>437</v>
      </c>
      <c r="O5" s="32"/>
      <c r="P5" s="44" t="s">
        <v>8</v>
      </c>
      <c r="Q5" s="8">
        <f>10+9+5+6+5+7</f>
        <v>42</v>
      </c>
      <c r="R5" s="8">
        <f>1+7+2+8+7+6</f>
        <v>31</v>
      </c>
      <c r="S5" s="9">
        <f t="shared" si="7"/>
        <v>1.3548387096774193</v>
      </c>
      <c r="T5" s="8">
        <f t="shared" si="8"/>
        <v>11</v>
      </c>
      <c r="U5" s="10">
        <f t="shared" si="9"/>
        <v>0.28378378378378377</v>
      </c>
      <c r="V5" s="10">
        <f t="shared" si="10"/>
        <v>0.22142857142857142</v>
      </c>
      <c r="W5" s="8">
        <f>1+2+2+0+0+2</f>
        <v>7</v>
      </c>
      <c r="X5" s="8">
        <f>1+1+0+1+1+0</f>
        <v>4</v>
      </c>
      <c r="Y5" s="8">
        <f>0+0+1+0+0+0</f>
        <v>1</v>
      </c>
      <c r="Z5" s="9">
        <f t="shared" si="11"/>
        <v>0.79245283018867929</v>
      </c>
      <c r="AA5" s="31">
        <f t="shared" si="12"/>
        <v>73</v>
      </c>
      <c r="AB5" s="78"/>
      <c r="AC5" s="8" t="s">
        <v>8</v>
      </c>
      <c r="AD5" s="8">
        <f>23+20+21+18+21</f>
        <v>103</v>
      </c>
      <c r="AE5" s="8">
        <f>14+13+13+8+14</f>
        <v>62</v>
      </c>
      <c r="AF5" s="9">
        <f t="shared" si="13"/>
        <v>1.6612903225806452</v>
      </c>
      <c r="AG5" s="8">
        <f t="shared" si="14"/>
        <v>165</v>
      </c>
      <c r="AH5" s="8">
        <f>4+3+3+4+4</f>
        <v>18</v>
      </c>
      <c r="AI5" s="29">
        <f t="shared" si="15"/>
        <v>0.24879227053140096</v>
      </c>
      <c r="AJ5" s="29">
        <f t="shared" si="16"/>
        <v>0.23846153846153847</v>
      </c>
    </row>
    <row r="6" spans="1:36" x14ac:dyDescent="0.25">
      <c r="A6" s="44" t="s">
        <v>9</v>
      </c>
      <c r="B6" s="32">
        <f>25+29+34+25+36+17</f>
        <v>166</v>
      </c>
      <c r="C6" s="32">
        <f>23+25+22+18+30+26</f>
        <v>144</v>
      </c>
      <c r="D6" s="39">
        <f t="shared" si="0"/>
        <v>1.1527777777777777</v>
      </c>
      <c r="E6" s="32">
        <f t="shared" si="1"/>
        <v>22</v>
      </c>
      <c r="F6" s="32">
        <f t="shared" si="2"/>
        <v>310</v>
      </c>
      <c r="G6" s="32">
        <f>9+6+9+5+9+8</f>
        <v>46</v>
      </c>
      <c r="H6" s="32">
        <f>17+23+22+19+25+9</f>
        <v>115</v>
      </c>
      <c r="I6" s="38">
        <f t="shared" si="3"/>
        <v>0.2664526484751204</v>
      </c>
      <c r="J6" s="38">
        <f t="shared" si="4"/>
        <v>0.2608695652173913</v>
      </c>
      <c r="K6" s="39">
        <f>AVERAGE(B6/$B$8)</f>
        <v>27.666666666666668</v>
      </c>
      <c r="L6" s="39">
        <f t="shared" si="6"/>
        <v>24</v>
      </c>
      <c r="M6" s="32">
        <f>2635+3009+3863+2910+4098+2160</f>
        <v>18675</v>
      </c>
      <c r="N6" s="43">
        <f>75+70+76+91+67+79</f>
        <v>458</v>
      </c>
      <c r="O6" s="32"/>
      <c r="P6" s="44" t="s">
        <v>9</v>
      </c>
      <c r="Q6" s="8">
        <f>7+7+12+3+9+3</f>
        <v>41</v>
      </c>
      <c r="R6" s="8">
        <f>3+8+1+8+9+7</f>
        <v>36</v>
      </c>
      <c r="S6" s="9">
        <f t="shared" si="7"/>
        <v>1.1388888888888888</v>
      </c>
      <c r="T6" s="8">
        <f t="shared" si="8"/>
        <v>5</v>
      </c>
      <c r="U6" s="10">
        <f t="shared" si="9"/>
        <v>0.27702702702702703</v>
      </c>
      <c r="V6" s="10">
        <f t="shared" si="10"/>
        <v>0.25714285714285712</v>
      </c>
      <c r="W6" s="8">
        <f>5+0+3+0+0+0</f>
        <v>8</v>
      </c>
      <c r="X6" s="8">
        <f>0+4+1+1+1+0</f>
        <v>7</v>
      </c>
      <c r="Y6" s="8">
        <f>2+2+1+0+4+2</f>
        <v>11</v>
      </c>
      <c r="Z6" s="9">
        <f t="shared" si="11"/>
        <v>0.77358490566037741</v>
      </c>
      <c r="AA6" s="31">
        <f t="shared" si="12"/>
        <v>77</v>
      </c>
      <c r="AB6" s="78"/>
      <c r="AC6" s="8" t="s">
        <v>9</v>
      </c>
      <c r="AD6" s="8">
        <f>19+20+18+19+27</f>
        <v>103</v>
      </c>
      <c r="AE6" s="8">
        <f>20+15+16+11+24</f>
        <v>86</v>
      </c>
      <c r="AF6" s="9">
        <f t="shared" si="13"/>
        <v>1.1976744186046511</v>
      </c>
      <c r="AG6" s="8">
        <f t="shared" si="14"/>
        <v>189</v>
      </c>
      <c r="AH6" s="8">
        <f>3+3+3+2+8</f>
        <v>19</v>
      </c>
      <c r="AI6" s="29">
        <f t="shared" si="15"/>
        <v>0.24879227053140096</v>
      </c>
      <c r="AJ6" s="29">
        <f t="shared" si="16"/>
        <v>0.33076923076923076</v>
      </c>
    </row>
    <row r="7" spans="1:36" x14ac:dyDescent="0.25">
      <c r="A7" s="44" t="s">
        <v>79</v>
      </c>
      <c r="B7" s="32">
        <f>SUM(B3:B6)</f>
        <v>623</v>
      </c>
      <c r="C7" s="32">
        <f>SUM(C3:C6)</f>
        <v>552</v>
      </c>
      <c r="D7" s="32"/>
      <c r="E7" s="32"/>
      <c r="F7" s="32">
        <f>SUM(F3:F6)</f>
        <v>1175</v>
      </c>
      <c r="G7" s="32">
        <f>SUM(G3:G6)</f>
        <v>173</v>
      </c>
      <c r="H7" s="32">
        <f>SUM(H3:H6)</f>
        <v>439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148</v>
      </c>
      <c r="R7" s="8">
        <f>SUM(R3:R6)</f>
        <v>140</v>
      </c>
      <c r="S7" s="8"/>
      <c r="T7" s="8"/>
      <c r="U7" s="8"/>
      <c r="V7" s="8"/>
      <c r="W7" s="8">
        <f>SUM(W3:W6)</f>
        <v>27</v>
      </c>
      <c r="X7" s="8">
        <f>SUM(X3:X6)</f>
        <v>20</v>
      </c>
      <c r="Y7" s="8">
        <f>SUM(Y3:Y6)</f>
        <v>16</v>
      </c>
      <c r="Z7" s="8"/>
      <c r="AA7" s="31">
        <f>SUM(AA3:AA6)</f>
        <v>288</v>
      </c>
      <c r="AB7" s="78"/>
      <c r="AC7" s="8" t="s">
        <v>79</v>
      </c>
      <c r="AD7" s="8">
        <f>SUM(AD3:AD6)</f>
        <v>414</v>
      </c>
      <c r="AE7" s="8">
        <f>SUM(AE3:AE6)</f>
        <v>260</v>
      </c>
      <c r="AF7" s="8"/>
      <c r="AG7" s="8"/>
      <c r="AH7" s="8">
        <f>SUM(AH3:AH6)</f>
        <v>79</v>
      </c>
      <c r="AI7" s="8"/>
      <c r="AJ7" s="8"/>
    </row>
    <row r="8" spans="1:36" x14ac:dyDescent="0.25">
      <c r="A8" s="45" t="s">
        <v>80</v>
      </c>
      <c r="B8" s="46">
        <f>1+1+1+1+1+1</f>
        <v>6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 s="8">
        <f>1+1+1+1+1+1</f>
        <v>6</v>
      </c>
      <c r="AA8" s="2"/>
      <c r="AB8" s="78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26">
        <f>7+11+7+8+11+9</f>
        <v>53</v>
      </c>
      <c r="R9" s="3"/>
      <c r="S9" s="3"/>
      <c r="T9" s="3"/>
      <c r="U9" s="3"/>
      <c r="V9" s="3"/>
      <c r="W9" s="3"/>
      <c r="X9" s="3"/>
      <c r="Y9" s="3"/>
      <c r="Z9" s="3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18.7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3"/>
      <c r="R11" s="33"/>
      <c r="S11" s="33"/>
      <c r="T11" s="33"/>
      <c r="U11" s="33"/>
      <c r="V11" s="33"/>
      <c r="AC11" s="33"/>
      <c r="AD11" s="33"/>
      <c r="AE11" s="33"/>
      <c r="AF11" s="33"/>
      <c r="AG11" s="33"/>
      <c r="AH11" s="33"/>
      <c r="AI11" s="33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AC12" s="8"/>
      <c r="AD12" s="8"/>
      <c r="AE12" s="8"/>
      <c r="AF12" s="8"/>
      <c r="AG12" s="8"/>
      <c r="AH12" s="8"/>
      <c r="AI12" s="8"/>
    </row>
    <row r="13" spans="1:36" x14ac:dyDescent="0.25">
      <c r="A13" s="32"/>
      <c r="B13" s="32"/>
      <c r="C13" s="32"/>
      <c r="D13" s="32"/>
      <c r="E13" s="32"/>
      <c r="F13" s="32"/>
      <c r="G13" s="51"/>
      <c r="H13" s="32"/>
      <c r="I13" s="32"/>
      <c r="J13" s="32"/>
      <c r="K13" s="32"/>
      <c r="L13" s="32"/>
      <c r="M13" s="32"/>
      <c r="N13" s="32"/>
      <c r="O13" s="32"/>
      <c r="P13" s="32"/>
      <c r="Q13" s="8"/>
      <c r="AC13" s="8"/>
      <c r="AD13" s="8"/>
      <c r="AE13" s="8"/>
      <c r="AF13" s="8"/>
      <c r="AG13" s="8"/>
      <c r="AH13" s="8"/>
      <c r="AI13" s="29"/>
    </row>
    <row r="14" spans="1:36" x14ac:dyDescent="0.25">
      <c r="A14" s="32"/>
      <c r="B14" s="32"/>
      <c r="C14" s="32"/>
      <c r="D14" s="32"/>
      <c r="E14" s="32"/>
      <c r="F14" s="32"/>
      <c r="G14" s="51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29"/>
      <c r="AC14" s="8"/>
      <c r="AD14" s="8"/>
      <c r="AE14" s="8"/>
      <c r="AF14" s="8"/>
      <c r="AG14" s="8"/>
      <c r="AH14" s="8"/>
      <c r="AI14" s="29"/>
    </row>
    <row r="15" spans="1:36" x14ac:dyDescent="0.25">
      <c r="A15" s="32"/>
      <c r="B15" s="32"/>
      <c r="C15" s="32"/>
      <c r="D15" s="32"/>
      <c r="E15" s="32"/>
      <c r="F15" s="32"/>
      <c r="G15" s="51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29"/>
      <c r="AC15" s="8"/>
      <c r="AD15" s="8"/>
      <c r="AE15" s="8"/>
      <c r="AF15" s="8"/>
      <c r="AG15" s="8"/>
      <c r="AH15" s="8"/>
      <c r="AI15" s="29"/>
    </row>
    <row r="16" spans="1:36" x14ac:dyDescent="0.25">
      <c r="A16" s="32"/>
      <c r="B16" s="32"/>
      <c r="C16" s="32"/>
      <c r="D16" s="32"/>
      <c r="E16" s="32"/>
      <c r="F16" s="32"/>
      <c r="G16" s="51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29"/>
    </row>
    <row r="17" spans="1:22" x14ac:dyDescent="0.25">
      <c r="A17" s="32"/>
      <c r="B17" s="32"/>
      <c r="C17" s="32"/>
      <c r="D17" s="32"/>
      <c r="E17" s="32"/>
      <c r="F17" s="32"/>
      <c r="G17" s="51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29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3">
    <mergeCell ref="AC1:AJ1"/>
    <mergeCell ref="A1:N1"/>
    <mergeCell ref="P1:Z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AJ49"/>
  <sheetViews>
    <sheetView workbookViewId="0">
      <selection activeCell="S33" sqref="S32:S33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29" max="29" width="11" bestFit="1" customWidth="1"/>
    <col min="33" max="33" width="12.85546875" bestFit="1" customWidth="1"/>
  </cols>
  <sheetData>
    <row r="1" spans="1:36" ht="31.5" x14ac:dyDescent="0.5">
      <c r="A1" s="88" t="s">
        <v>78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  <c r="O1" s="32"/>
      <c r="P1" s="91" t="s">
        <v>83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19"/>
      <c r="AC1" s="88" t="s">
        <v>87</v>
      </c>
      <c r="AD1" s="89"/>
      <c r="AE1" s="89"/>
      <c r="AF1" s="89"/>
      <c r="AG1" s="89"/>
      <c r="AH1" s="89"/>
      <c r="AI1" s="89"/>
      <c r="AJ1" s="90"/>
    </row>
    <row r="2" spans="1:36" x14ac:dyDescent="0.25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6" t="s">
        <v>75</v>
      </c>
      <c r="AA2" s="7" t="s">
        <v>67</v>
      </c>
      <c r="AC2" s="5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7" t="s">
        <v>73</v>
      </c>
    </row>
    <row r="3" spans="1:36" x14ac:dyDescent="0.25">
      <c r="A3" s="37" t="s">
        <v>10</v>
      </c>
      <c r="B3" s="32">
        <f>31</f>
        <v>31</v>
      </c>
      <c r="C3" s="32">
        <f>27</f>
        <v>27</v>
      </c>
      <c r="D3" s="39">
        <f>B3/C3</f>
        <v>1.1481481481481481</v>
      </c>
      <c r="E3" s="32">
        <f>B3-C3</f>
        <v>4</v>
      </c>
      <c r="F3" s="32">
        <f>B3+C3</f>
        <v>58</v>
      </c>
      <c r="G3" s="32">
        <f>10</f>
        <v>10</v>
      </c>
      <c r="H3" s="32">
        <f>23</f>
        <v>23</v>
      </c>
      <c r="I3" s="38">
        <f>B3/$B$7</f>
        <v>0.26724137931034481</v>
      </c>
      <c r="J3" s="38">
        <f>C3/$C$7</f>
        <v>0.23478260869565218</v>
      </c>
      <c r="K3" s="39">
        <f>AVERAGE(B3/$B$8)</f>
        <v>31</v>
      </c>
      <c r="L3" s="39">
        <f>AVERAGE(C3/$B$8)</f>
        <v>27</v>
      </c>
      <c r="M3" s="32">
        <f>3075</f>
        <v>3075</v>
      </c>
      <c r="N3" s="43">
        <f>48</f>
        <v>48</v>
      </c>
      <c r="O3" s="32"/>
      <c r="P3" s="37" t="s">
        <v>10</v>
      </c>
      <c r="Q3" s="8">
        <f>8</f>
        <v>8</v>
      </c>
      <c r="R3" s="8">
        <f>7</f>
        <v>7</v>
      </c>
      <c r="S3" s="9">
        <f>Q3/R3</f>
        <v>1.1428571428571428</v>
      </c>
      <c r="T3" s="8">
        <f>Q3-R3</f>
        <v>1</v>
      </c>
      <c r="U3" s="10">
        <f>Q3/$Q$7</f>
        <v>0.4</v>
      </c>
      <c r="V3" s="10">
        <f>R3/$R$7</f>
        <v>0.23333333333333334</v>
      </c>
      <c r="W3" s="8">
        <f>3</f>
        <v>3</v>
      </c>
      <c r="X3" s="8">
        <f>0</f>
        <v>0</v>
      </c>
      <c r="Y3" s="8">
        <f>0</f>
        <v>0</v>
      </c>
      <c r="Z3" s="9">
        <f>Q3/$Q$9</f>
        <v>0.88888888888888884</v>
      </c>
      <c r="AA3" s="14">
        <f>Q3+R3</f>
        <v>15</v>
      </c>
      <c r="AC3" s="24" t="s">
        <v>10</v>
      </c>
      <c r="AD3" s="8">
        <f>18</f>
        <v>18</v>
      </c>
      <c r="AE3" s="8">
        <f>16</f>
        <v>16</v>
      </c>
      <c r="AF3" s="9">
        <f>AD3/AE3</f>
        <v>1.125</v>
      </c>
      <c r="AG3" s="8">
        <f>AD3+AE3</f>
        <v>34</v>
      </c>
      <c r="AH3" s="8">
        <f>4</f>
        <v>4</v>
      </c>
      <c r="AI3" s="10">
        <f>AD3/$AD$7</f>
        <v>0.31034482758620691</v>
      </c>
      <c r="AJ3" s="30">
        <f>AE3/$AE$7</f>
        <v>0.22857142857142856</v>
      </c>
    </row>
    <row r="4" spans="1:36" x14ac:dyDescent="0.25">
      <c r="A4" s="37" t="s">
        <v>12</v>
      </c>
      <c r="B4" s="32">
        <f>36</f>
        <v>36</v>
      </c>
      <c r="C4" s="32">
        <v>28</v>
      </c>
      <c r="D4" s="39">
        <f t="shared" ref="D4:D6" si="0">B4/C4</f>
        <v>1.2857142857142858</v>
      </c>
      <c r="E4" s="32">
        <f t="shared" ref="E4:E6" si="1">B4-C4</f>
        <v>8</v>
      </c>
      <c r="F4" s="32">
        <f t="shared" ref="F4:F6" si="2">B4+C4</f>
        <v>64</v>
      </c>
      <c r="G4" s="32">
        <f>12</f>
        <v>12</v>
      </c>
      <c r="H4" s="32">
        <f>26</f>
        <v>26</v>
      </c>
      <c r="I4" s="38">
        <f t="shared" ref="I4:I6" si="3">B4/$B$7</f>
        <v>0.31034482758620691</v>
      </c>
      <c r="J4" s="38">
        <f t="shared" ref="J4:J6" si="4">C4/$C$7</f>
        <v>0.24347826086956523</v>
      </c>
      <c r="K4" s="39">
        <f t="shared" ref="K4:L6" si="5">AVERAGE(B4/$B$8)</f>
        <v>36</v>
      </c>
      <c r="L4" s="39">
        <f t="shared" si="5"/>
        <v>28</v>
      </c>
      <c r="M4" s="32">
        <f>4101</f>
        <v>4101</v>
      </c>
      <c r="N4" s="43">
        <f>136</f>
        <v>136</v>
      </c>
      <c r="O4" s="32"/>
      <c r="P4" s="37" t="s">
        <v>12</v>
      </c>
      <c r="Q4" s="8">
        <f>4</f>
        <v>4</v>
      </c>
      <c r="R4" s="8">
        <f>7</f>
        <v>7</v>
      </c>
      <c r="S4" s="9">
        <f t="shared" ref="S4:S6" si="6">Q4/R4</f>
        <v>0.5714285714285714</v>
      </c>
      <c r="T4" s="8">
        <f t="shared" ref="T4:T6" si="7">Q4-R4</f>
        <v>-3</v>
      </c>
      <c r="U4" s="10">
        <f t="shared" ref="U4:U6" si="8">Q4/$Q$7</f>
        <v>0.2</v>
      </c>
      <c r="V4" s="10">
        <f t="shared" ref="V4:V6" si="9">R4/$R$7</f>
        <v>0.23333333333333334</v>
      </c>
      <c r="W4" s="8">
        <f>1</f>
        <v>1</v>
      </c>
      <c r="X4" s="8">
        <f>2</f>
        <v>2</v>
      </c>
      <c r="Y4" s="8">
        <f>1</f>
        <v>1</v>
      </c>
      <c r="Z4" s="9">
        <f t="shared" ref="Z4:Z6" si="10">Q4/$Q$9</f>
        <v>0.44444444444444442</v>
      </c>
      <c r="AA4" s="14">
        <f t="shared" ref="AA4:AA6" si="11">Q4+R4</f>
        <v>11</v>
      </c>
      <c r="AC4" s="24" t="s">
        <v>12</v>
      </c>
      <c r="AD4" s="8">
        <f>13</f>
        <v>13</v>
      </c>
      <c r="AE4" s="8">
        <f>21</f>
        <v>21</v>
      </c>
      <c r="AF4" s="9">
        <f t="shared" ref="AF4:AF6" si="12">AD4/AE4</f>
        <v>0.61904761904761907</v>
      </c>
      <c r="AG4" s="8">
        <f t="shared" ref="AG4:AG6" si="13">AD4+AE4</f>
        <v>34</v>
      </c>
      <c r="AH4" s="8">
        <f>2</f>
        <v>2</v>
      </c>
      <c r="AI4" s="10">
        <f t="shared" ref="AI4:AI6" si="14">AD4/$AD$7</f>
        <v>0.22413793103448276</v>
      </c>
      <c r="AJ4" s="30">
        <f t="shared" ref="AJ4:AJ6" si="15">AE4/$AE$7</f>
        <v>0.3</v>
      </c>
    </row>
    <row r="5" spans="1:36" x14ac:dyDescent="0.25">
      <c r="A5" s="37" t="s">
        <v>13</v>
      </c>
      <c r="B5" s="32">
        <f>26</f>
        <v>26</v>
      </c>
      <c r="C5" s="32">
        <f>25</f>
        <v>25</v>
      </c>
      <c r="D5" s="39">
        <f t="shared" si="0"/>
        <v>1.04</v>
      </c>
      <c r="E5" s="32">
        <f t="shared" si="1"/>
        <v>1</v>
      </c>
      <c r="F5" s="32">
        <f t="shared" si="2"/>
        <v>51</v>
      </c>
      <c r="G5" s="32">
        <f>6</f>
        <v>6</v>
      </c>
      <c r="H5" s="32">
        <f>19</f>
        <v>19</v>
      </c>
      <c r="I5" s="38">
        <f t="shared" si="3"/>
        <v>0.22413793103448276</v>
      </c>
      <c r="J5" s="38">
        <f t="shared" si="4"/>
        <v>0.21739130434782608</v>
      </c>
      <c r="K5" s="39">
        <f t="shared" si="5"/>
        <v>26</v>
      </c>
      <c r="L5" s="39">
        <f t="shared" si="5"/>
        <v>25</v>
      </c>
      <c r="M5" s="32">
        <f>3066</f>
        <v>3066</v>
      </c>
      <c r="N5" s="43">
        <f>45</f>
        <v>45</v>
      </c>
      <c r="O5" s="32"/>
      <c r="P5" s="37" t="s">
        <v>13</v>
      </c>
      <c r="Q5" s="8">
        <f>5</f>
        <v>5</v>
      </c>
      <c r="R5" s="8">
        <f>7</f>
        <v>7</v>
      </c>
      <c r="S5" s="9">
        <f t="shared" si="6"/>
        <v>0.7142857142857143</v>
      </c>
      <c r="T5" s="8">
        <f t="shared" si="7"/>
        <v>-2</v>
      </c>
      <c r="U5" s="10">
        <f t="shared" si="8"/>
        <v>0.25</v>
      </c>
      <c r="V5" s="10">
        <f t="shared" si="9"/>
        <v>0.23333333333333334</v>
      </c>
      <c r="W5" s="8">
        <f>0</f>
        <v>0</v>
      </c>
      <c r="X5" s="8">
        <f>0</f>
        <v>0</v>
      </c>
      <c r="Y5" s="8">
        <f>3</f>
        <v>3</v>
      </c>
      <c r="Z5" s="9">
        <f t="shared" si="10"/>
        <v>0.55555555555555558</v>
      </c>
      <c r="AA5" s="14">
        <f t="shared" si="11"/>
        <v>12</v>
      </c>
      <c r="AC5" s="24" t="s">
        <v>13</v>
      </c>
      <c r="AD5" s="8">
        <f>11</f>
        <v>11</v>
      </c>
      <c r="AE5" s="8">
        <f>15</f>
        <v>15</v>
      </c>
      <c r="AF5" s="9">
        <f t="shared" si="12"/>
        <v>0.73333333333333328</v>
      </c>
      <c r="AG5" s="8">
        <f t="shared" si="13"/>
        <v>26</v>
      </c>
      <c r="AH5" s="8">
        <f>2</f>
        <v>2</v>
      </c>
      <c r="AI5" s="10">
        <f t="shared" si="14"/>
        <v>0.18965517241379309</v>
      </c>
      <c r="AJ5" s="30">
        <f t="shared" si="15"/>
        <v>0.21428571428571427</v>
      </c>
    </row>
    <row r="6" spans="1:36" x14ac:dyDescent="0.25">
      <c r="A6" s="37" t="s">
        <v>14</v>
      </c>
      <c r="B6" s="32">
        <f>23</f>
        <v>23</v>
      </c>
      <c r="C6" s="32">
        <f>35</f>
        <v>35</v>
      </c>
      <c r="D6" s="39">
        <f t="shared" si="0"/>
        <v>0.65714285714285714</v>
      </c>
      <c r="E6" s="32">
        <f t="shared" si="1"/>
        <v>-12</v>
      </c>
      <c r="F6" s="32">
        <f t="shared" si="2"/>
        <v>58</v>
      </c>
      <c r="G6" s="32">
        <f>5</f>
        <v>5</v>
      </c>
      <c r="H6" s="32">
        <f>14</f>
        <v>14</v>
      </c>
      <c r="I6" s="38">
        <f t="shared" si="3"/>
        <v>0.19827586206896552</v>
      </c>
      <c r="J6" s="38">
        <f t="shared" si="4"/>
        <v>0.30434782608695654</v>
      </c>
      <c r="K6" s="39">
        <f t="shared" si="5"/>
        <v>23</v>
      </c>
      <c r="L6" s="39">
        <f t="shared" si="5"/>
        <v>35</v>
      </c>
      <c r="M6" s="32">
        <f>3075</f>
        <v>3075</v>
      </c>
      <c r="N6" s="43">
        <f>21</f>
        <v>21</v>
      </c>
      <c r="O6" s="32"/>
      <c r="P6" s="37" t="s">
        <v>14</v>
      </c>
      <c r="Q6" s="8">
        <f>3</f>
        <v>3</v>
      </c>
      <c r="R6" s="8">
        <f>9</f>
        <v>9</v>
      </c>
      <c r="S6" s="9">
        <f t="shared" si="6"/>
        <v>0.33333333333333331</v>
      </c>
      <c r="T6" s="8">
        <f t="shared" si="7"/>
        <v>-6</v>
      </c>
      <c r="U6" s="10">
        <f t="shared" si="8"/>
        <v>0.15</v>
      </c>
      <c r="V6" s="10">
        <f t="shared" si="9"/>
        <v>0.3</v>
      </c>
      <c r="W6" s="8">
        <f>0</f>
        <v>0</v>
      </c>
      <c r="X6" s="8">
        <f>3</f>
        <v>3</v>
      </c>
      <c r="Y6" s="8">
        <f>0</f>
        <v>0</v>
      </c>
      <c r="Z6" s="9">
        <f t="shared" si="10"/>
        <v>0.33333333333333331</v>
      </c>
      <c r="AA6" s="14">
        <f t="shared" si="11"/>
        <v>12</v>
      </c>
      <c r="AC6" s="24" t="s">
        <v>14</v>
      </c>
      <c r="AD6" s="8">
        <f>16</f>
        <v>16</v>
      </c>
      <c r="AE6" s="8">
        <f>18</f>
        <v>18</v>
      </c>
      <c r="AF6" s="9">
        <f t="shared" si="12"/>
        <v>0.88888888888888884</v>
      </c>
      <c r="AG6" s="8">
        <f t="shared" si="13"/>
        <v>34</v>
      </c>
      <c r="AH6" s="8">
        <f>4</f>
        <v>4</v>
      </c>
      <c r="AI6" s="10">
        <f t="shared" si="14"/>
        <v>0.27586206896551724</v>
      </c>
      <c r="AJ6" s="30">
        <f t="shared" si="15"/>
        <v>0.25714285714285712</v>
      </c>
    </row>
    <row r="7" spans="1:36" x14ac:dyDescent="0.25">
      <c r="A7" s="44" t="s">
        <v>79</v>
      </c>
      <c r="B7" s="32">
        <f>SUM(B3:B6)</f>
        <v>116</v>
      </c>
      <c r="C7" s="32">
        <f>SUM(C3:C6)</f>
        <v>115</v>
      </c>
      <c r="D7" s="32"/>
      <c r="E7" s="32"/>
      <c r="F7" s="32">
        <f>SUM(F3:F6)</f>
        <v>231</v>
      </c>
      <c r="G7" s="32">
        <f>SUM(G3:G6)</f>
        <v>33</v>
      </c>
      <c r="H7" s="32">
        <f>SUM(H3:H6)</f>
        <v>82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20</v>
      </c>
      <c r="R7" s="8">
        <f>SUM(R3:R6)</f>
        <v>30</v>
      </c>
      <c r="S7" s="8"/>
      <c r="T7" s="8"/>
      <c r="U7" s="8"/>
      <c r="V7" s="8"/>
      <c r="W7" s="8">
        <f>SUM(W3:W6)</f>
        <v>4</v>
      </c>
      <c r="X7" s="8">
        <f>SUM(X3:X6)</f>
        <v>5</v>
      </c>
      <c r="Y7" s="8">
        <f>SUM(Y3:Y6)</f>
        <v>4</v>
      </c>
      <c r="Z7" s="8"/>
      <c r="AA7" s="14">
        <f>SUM(AA3:AA6)</f>
        <v>50</v>
      </c>
      <c r="AC7" s="25" t="s">
        <v>79</v>
      </c>
      <c r="AD7" s="26">
        <f>SUM(AD3:AD6)</f>
        <v>58</v>
      </c>
      <c r="AE7" s="26">
        <f>SUM(AE3:AE6)</f>
        <v>70</v>
      </c>
      <c r="AF7" s="26"/>
      <c r="AG7" s="26">
        <f>SUM(AG3:AG6)</f>
        <v>128</v>
      </c>
      <c r="AH7" s="26">
        <f>SUM(AH3:AH6)</f>
        <v>12</v>
      </c>
      <c r="AI7" s="26"/>
      <c r="AJ7" s="27"/>
    </row>
    <row r="8" spans="1:36" x14ac:dyDescent="0.25">
      <c r="A8" s="45" t="s">
        <v>80</v>
      </c>
      <c r="B8" s="46">
        <f>1</f>
        <v>1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 s="8">
        <f>1</f>
        <v>1</v>
      </c>
      <c r="AA8" s="2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26">
        <f>9</f>
        <v>9</v>
      </c>
      <c r="R9" s="3"/>
      <c r="S9" s="3"/>
      <c r="T9" s="3"/>
      <c r="U9" s="3"/>
      <c r="V9" s="3"/>
      <c r="W9" s="3"/>
      <c r="X9" s="3"/>
      <c r="Y9" s="3"/>
      <c r="Z9" s="3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18.7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3"/>
      <c r="R11" s="33"/>
      <c r="S11" s="33"/>
      <c r="T11" s="33"/>
      <c r="U11" s="33"/>
      <c r="V11" s="33"/>
      <c r="AC11" s="33"/>
      <c r="AD11" s="33"/>
      <c r="AE11" s="33"/>
      <c r="AF11" s="33"/>
      <c r="AG11" s="33"/>
      <c r="AH11" s="33"/>
      <c r="AI11" s="33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AC12" s="8"/>
      <c r="AD12" s="8"/>
      <c r="AE12" s="8"/>
      <c r="AF12" s="8"/>
      <c r="AG12" s="8"/>
      <c r="AH12" s="8"/>
      <c r="AI12" s="8"/>
    </row>
    <row r="13" spans="1:36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AC13" s="8"/>
      <c r="AD13" s="8"/>
      <c r="AE13" s="8"/>
      <c r="AF13" s="8"/>
      <c r="AG13" s="8"/>
      <c r="AH13" s="8"/>
      <c r="AI13" s="8"/>
    </row>
    <row r="14" spans="1:36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AC14" s="8"/>
      <c r="AD14" s="8"/>
      <c r="AE14" s="8"/>
      <c r="AF14" s="8"/>
      <c r="AG14" s="8"/>
      <c r="AH14" s="8"/>
      <c r="AI14" s="8"/>
    </row>
    <row r="15" spans="1:36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8"/>
      <c r="AC15" s="8"/>
      <c r="AD15" s="8"/>
      <c r="AE15" s="8"/>
      <c r="AF15" s="8"/>
      <c r="AG15" s="8"/>
      <c r="AH15" s="8"/>
      <c r="AI15" s="8"/>
    </row>
    <row r="16" spans="1:36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</row>
    <row r="17" spans="1:22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8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3">
    <mergeCell ref="A1:N1"/>
    <mergeCell ref="P1:Z1"/>
    <mergeCell ref="AC1:AJ1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J49"/>
  <sheetViews>
    <sheetView workbookViewId="0">
      <selection activeCell="S33" sqref="S32:S33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29" max="29" width="11" bestFit="1" customWidth="1"/>
    <col min="33" max="33" width="12.85546875" bestFit="1" customWidth="1"/>
  </cols>
  <sheetData>
    <row r="1" spans="1:36" ht="31.5" x14ac:dyDescent="0.5">
      <c r="A1" s="93" t="s">
        <v>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5"/>
      <c r="O1" s="32"/>
      <c r="P1" s="96" t="s">
        <v>83</v>
      </c>
      <c r="Q1" s="97"/>
      <c r="R1" s="97"/>
      <c r="S1" s="97"/>
      <c r="T1" s="97"/>
      <c r="U1" s="97"/>
      <c r="V1" s="97"/>
      <c r="W1" s="97"/>
      <c r="X1" s="97"/>
      <c r="Y1" s="97"/>
      <c r="Z1" s="98"/>
      <c r="AA1" s="15"/>
      <c r="AC1" s="99" t="s">
        <v>87</v>
      </c>
      <c r="AD1" s="99"/>
      <c r="AE1" s="99"/>
      <c r="AF1" s="99"/>
      <c r="AG1" s="99"/>
      <c r="AH1" s="99"/>
      <c r="AI1" s="99"/>
      <c r="AJ1" s="99"/>
    </row>
    <row r="2" spans="1:36" x14ac:dyDescent="0.25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7" t="s">
        <v>75</v>
      </c>
      <c r="AA2" s="7" t="s">
        <v>67</v>
      </c>
      <c r="AC2" s="6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6" t="s">
        <v>73</v>
      </c>
    </row>
    <row r="3" spans="1:36" x14ac:dyDescent="0.25">
      <c r="A3" s="37" t="s">
        <v>0</v>
      </c>
      <c r="B3" s="32">
        <f>20+23+27+23</f>
        <v>93</v>
      </c>
      <c r="C3" s="32">
        <f>27+26+23+20</f>
        <v>96</v>
      </c>
      <c r="D3" s="39">
        <f>B3/C3</f>
        <v>0.96875</v>
      </c>
      <c r="E3" s="32">
        <f>B3-C3</f>
        <v>-3</v>
      </c>
      <c r="F3" s="32">
        <f>B3+C3</f>
        <v>189</v>
      </c>
      <c r="G3" s="32">
        <f>6+4+3+8</f>
        <v>21</v>
      </c>
      <c r="H3" s="32">
        <f>13+12+17+14</f>
        <v>56</v>
      </c>
      <c r="I3" s="38">
        <f>B3/$B$7</f>
        <v>0.25479452054794521</v>
      </c>
      <c r="J3" s="38">
        <f>C3/$C$7</f>
        <v>0.23244552058111381</v>
      </c>
      <c r="K3" s="39">
        <f>AVERAGE(B3/$B$8)</f>
        <v>23.25</v>
      </c>
      <c r="L3" s="39">
        <f>AVERAGE(C3/$B$8)</f>
        <v>24</v>
      </c>
      <c r="M3" s="32">
        <f>2796+3128+3082+2454</f>
        <v>11460</v>
      </c>
      <c r="N3" s="43">
        <f>53+38+85+39</f>
        <v>215</v>
      </c>
      <c r="O3" s="32"/>
      <c r="P3" s="48" t="s">
        <v>0</v>
      </c>
      <c r="Q3" s="8">
        <f>7+4+5</f>
        <v>16</v>
      </c>
      <c r="R3" s="8">
        <f>6+8+7</f>
        <v>21</v>
      </c>
      <c r="S3" s="9">
        <f>Q3/R3</f>
        <v>0.76190476190476186</v>
      </c>
      <c r="T3" s="8">
        <f>Q3-R3</f>
        <v>-5</v>
      </c>
      <c r="U3" s="10">
        <f>Q3/$Q$7</f>
        <v>0.21052631578947367</v>
      </c>
      <c r="V3" s="10">
        <f>R3/$R$7</f>
        <v>0.23333333333333334</v>
      </c>
      <c r="W3" s="8">
        <f>0+1+0</f>
        <v>1</v>
      </c>
      <c r="X3" s="8">
        <f>0+3+3</f>
        <v>6</v>
      </c>
      <c r="Y3" s="8">
        <f>0+2+3</f>
        <v>5</v>
      </c>
      <c r="Z3" s="14">
        <f>Q3/$Q$9</f>
        <v>0.53333333333333333</v>
      </c>
      <c r="AA3" s="14">
        <f>Q3+R3</f>
        <v>37</v>
      </c>
      <c r="AC3" s="1" t="s">
        <v>0</v>
      </c>
      <c r="AD3" s="8">
        <f>29+22</f>
        <v>51</v>
      </c>
      <c r="AE3" s="8">
        <f>19+26</f>
        <v>45</v>
      </c>
      <c r="AF3" s="9">
        <f>AD3/AE3</f>
        <v>1.1333333333333333</v>
      </c>
      <c r="AG3" s="8">
        <f>AD3+AE3</f>
        <v>96</v>
      </c>
      <c r="AH3" s="8">
        <f>8+4</f>
        <v>12</v>
      </c>
      <c r="AI3" s="29">
        <f>AD3/$AD$7</f>
        <v>0.27717391304347827</v>
      </c>
      <c r="AJ3" s="29">
        <f>AE3/$AE$7</f>
        <v>0.25139664804469275</v>
      </c>
    </row>
    <row r="4" spans="1:36" x14ac:dyDescent="0.25">
      <c r="A4" s="37" t="s">
        <v>2</v>
      </c>
      <c r="B4" s="32">
        <f>29+28+21+20</f>
        <v>98</v>
      </c>
      <c r="C4" s="32">
        <f>34+32+29+30</f>
        <v>125</v>
      </c>
      <c r="D4" s="39">
        <f t="shared" ref="D4:D6" si="0">B4/C4</f>
        <v>0.78400000000000003</v>
      </c>
      <c r="E4" s="32">
        <f t="shared" ref="E4:E6" si="1">B4-C4</f>
        <v>-27</v>
      </c>
      <c r="F4" s="32">
        <f t="shared" ref="F4:F6" si="2">B4+C4</f>
        <v>223</v>
      </c>
      <c r="G4" s="32">
        <f>4+9+4+12</f>
        <v>29</v>
      </c>
      <c r="H4" s="32">
        <f>22+16+17+9</f>
        <v>64</v>
      </c>
      <c r="I4" s="38">
        <f t="shared" ref="I4:I6" si="3">B4/$B$7</f>
        <v>0.26849315068493151</v>
      </c>
      <c r="J4" s="38">
        <f t="shared" ref="J4:J6" si="4">C4/$C$7</f>
        <v>0.30266343825665859</v>
      </c>
      <c r="K4" s="39">
        <f t="shared" ref="K4:K6" si="5">AVERAGE(B4/$B$8)</f>
        <v>24.5</v>
      </c>
      <c r="L4" s="39">
        <f t="shared" ref="L4:L6" si="6">AVERAGE(C4/$B$8)</f>
        <v>31.25</v>
      </c>
      <c r="M4" s="32">
        <f>3683+3124+2540+2943</f>
        <v>12290</v>
      </c>
      <c r="N4" s="43">
        <f>16+19+46+54</f>
        <v>135</v>
      </c>
      <c r="O4" s="32"/>
      <c r="P4" s="48" t="s">
        <v>2</v>
      </c>
      <c r="Q4" s="8">
        <f>7+5+5</f>
        <v>17</v>
      </c>
      <c r="R4" s="8">
        <f>9+11+7</f>
        <v>27</v>
      </c>
      <c r="S4" s="9">
        <f t="shared" ref="S4:S6" si="7">Q4/R4</f>
        <v>0.62962962962962965</v>
      </c>
      <c r="T4" s="8">
        <f t="shared" ref="T4:T6" si="8">Q4-R4</f>
        <v>-10</v>
      </c>
      <c r="U4" s="10">
        <f t="shared" ref="U4:U6" si="9">Q4/$Q$7</f>
        <v>0.22368421052631579</v>
      </c>
      <c r="V4" s="10">
        <f t="shared" ref="V4:V6" si="10">R4/$R$7</f>
        <v>0.3</v>
      </c>
      <c r="W4" s="8">
        <f>1+1+0</f>
        <v>2</v>
      </c>
      <c r="X4" s="8">
        <f>2+1+1</f>
        <v>4</v>
      </c>
      <c r="Y4" s="8">
        <f>1+0+0</f>
        <v>1</v>
      </c>
      <c r="Z4" s="14">
        <f t="shared" ref="Z4:Z6" si="11">Q4/$Q$9</f>
        <v>0.56666666666666665</v>
      </c>
      <c r="AA4" s="14">
        <f t="shared" ref="AA4:AA6" si="12">Q4+R4</f>
        <v>44</v>
      </c>
      <c r="AC4" s="1" t="s">
        <v>2</v>
      </c>
      <c r="AD4" s="8">
        <f>23+22</f>
        <v>45</v>
      </c>
      <c r="AE4" s="8">
        <f>20+29</f>
        <v>49</v>
      </c>
      <c r="AF4" s="9">
        <f t="shared" ref="AF4:AF6" si="13">AD4/AE4</f>
        <v>0.91836734693877553</v>
      </c>
      <c r="AG4" s="8">
        <f t="shared" ref="AG4:AG6" si="14">AD4+AE4</f>
        <v>94</v>
      </c>
      <c r="AH4" s="8">
        <f>2+4</f>
        <v>6</v>
      </c>
      <c r="AI4" s="29">
        <f t="shared" ref="AI4:AI6" si="15">AD4/$AD$7</f>
        <v>0.24456521739130435</v>
      </c>
      <c r="AJ4" s="29">
        <f t="shared" ref="AJ4:AJ6" si="16">AE4/$AE$7</f>
        <v>0.27374301675977653</v>
      </c>
    </row>
    <row r="5" spans="1:36" x14ac:dyDescent="0.25">
      <c r="A5" s="37" t="s">
        <v>3</v>
      </c>
      <c r="B5" s="32">
        <f>29+23+29+17</f>
        <v>98</v>
      </c>
      <c r="C5" s="32">
        <f>22+18+22+20</f>
        <v>82</v>
      </c>
      <c r="D5" s="39">
        <f t="shared" si="0"/>
        <v>1.1951219512195121</v>
      </c>
      <c r="E5" s="32">
        <f t="shared" si="1"/>
        <v>16</v>
      </c>
      <c r="F5" s="32">
        <f t="shared" si="2"/>
        <v>180</v>
      </c>
      <c r="G5" s="32">
        <f>10+9+1+5</f>
        <v>25</v>
      </c>
      <c r="H5" s="32">
        <f>23+18+22+12</f>
        <v>75</v>
      </c>
      <c r="I5" s="38">
        <f t="shared" si="3"/>
        <v>0.26849315068493151</v>
      </c>
      <c r="J5" s="38">
        <f t="shared" si="4"/>
        <v>0.19854721549636803</v>
      </c>
      <c r="K5" s="39">
        <f t="shared" si="5"/>
        <v>24.5</v>
      </c>
      <c r="L5" s="39">
        <f t="shared" si="6"/>
        <v>20.5</v>
      </c>
      <c r="M5" s="32">
        <f>3387+2455+3571+2237</f>
        <v>11650</v>
      </c>
      <c r="N5" s="43">
        <f>52+139+50+49</f>
        <v>290</v>
      </c>
      <c r="O5" s="32"/>
      <c r="P5" s="48" t="s">
        <v>3</v>
      </c>
      <c r="Q5" s="8">
        <f>6+6+5</f>
        <v>17</v>
      </c>
      <c r="R5" s="8">
        <f>6+7+7</f>
        <v>20</v>
      </c>
      <c r="S5" s="9">
        <f t="shared" si="7"/>
        <v>0.85</v>
      </c>
      <c r="T5" s="8">
        <f t="shared" si="8"/>
        <v>-3</v>
      </c>
      <c r="U5" s="10">
        <f t="shared" si="9"/>
        <v>0.22368421052631579</v>
      </c>
      <c r="V5" s="10">
        <f t="shared" si="10"/>
        <v>0.22222222222222221</v>
      </c>
      <c r="W5" s="8">
        <f>0+1+1</f>
        <v>2</v>
      </c>
      <c r="X5" s="8">
        <f>0+1+0</f>
        <v>1</v>
      </c>
      <c r="Y5" s="8">
        <f>0+0+0</f>
        <v>0</v>
      </c>
      <c r="Z5" s="14">
        <f t="shared" si="11"/>
        <v>0.56666666666666665</v>
      </c>
      <c r="AA5" s="14">
        <f t="shared" si="12"/>
        <v>37</v>
      </c>
      <c r="AC5" s="1" t="s">
        <v>3</v>
      </c>
      <c r="AD5" s="8">
        <f>13+30</f>
        <v>43</v>
      </c>
      <c r="AE5" s="8">
        <f>15+19</f>
        <v>34</v>
      </c>
      <c r="AF5" s="9">
        <f t="shared" si="13"/>
        <v>1.2647058823529411</v>
      </c>
      <c r="AG5" s="8">
        <f t="shared" si="14"/>
        <v>77</v>
      </c>
      <c r="AH5" s="8">
        <f>2+4</f>
        <v>6</v>
      </c>
      <c r="AI5" s="29">
        <f t="shared" si="15"/>
        <v>0.23369565217391305</v>
      </c>
      <c r="AJ5" s="29">
        <f t="shared" si="16"/>
        <v>0.18994413407821228</v>
      </c>
    </row>
    <row r="6" spans="1:36" x14ac:dyDescent="0.25">
      <c r="A6" s="37" t="s">
        <v>4</v>
      </c>
      <c r="B6" s="32">
        <f>22+24+17+13</f>
        <v>76</v>
      </c>
      <c r="C6" s="32">
        <f>28+26+28+28</f>
        <v>110</v>
      </c>
      <c r="D6" s="39">
        <f t="shared" si="0"/>
        <v>0.69090909090909092</v>
      </c>
      <c r="E6" s="32">
        <f t="shared" si="1"/>
        <v>-34</v>
      </c>
      <c r="F6" s="32">
        <f t="shared" si="2"/>
        <v>186</v>
      </c>
      <c r="G6" s="32">
        <f>6+5+1+5</f>
        <v>17</v>
      </c>
      <c r="H6" s="32">
        <f>16+17+13+8</f>
        <v>54</v>
      </c>
      <c r="I6" s="38">
        <f t="shared" si="3"/>
        <v>0.20821917808219179</v>
      </c>
      <c r="J6" s="38">
        <f t="shared" si="4"/>
        <v>0.26634382566585957</v>
      </c>
      <c r="K6" s="39">
        <f t="shared" si="5"/>
        <v>19</v>
      </c>
      <c r="L6" s="39">
        <f t="shared" si="6"/>
        <v>27.5</v>
      </c>
      <c r="M6" s="32">
        <f>2633+2747+2368+2160</f>
        <v>9908</v>
      </c>
      <c r="N6" s="43">
        <f>75+44+59+50</f>
        <v>228</v>
      </c>
      <c r="O6" s="32"/>
      <c r="P6" s="48" t="s">
        <v>4</v>
      </c>
      <c r="Q6" s="8">
        <f>9+13+4</f>
        <v>26</v>
      </c>
      <c r="R6" s="8">
        <f>7+7+8</f>
        <v>22</v>
      </c>
      <c r="S6" s="9">
        <f t="shared" si="7"/>
        <v>1.1818181818181819</v>
      </c>
      <c r="T6" s="8">
        <f t="shared" si="8"/>
        <v>4</v>
      </c>
      <c r="U6" s="10">
        <f t="shared" si="9"/>
        <v>0.34210526315789475</v>
      </c>
      <c r="V6" s="10">
        <f t="shared" si="10"/>
        <v>0.24444444444444444</v>
      </c>
      <c r="W6" s="8">
        <f>4+2+0</f>
        <v>6</v>
      </c>
      <c r="X6" s="8">
        <f>3+1+3</f>
        <v>7</v>
      </c>
      <c r="Y6" s="8">
        <f>0+0+0</f>
        <v>0</v>
      </c>
      <c r="Z6" s="14">
        <f t="shared" si="11"/>
        <v>0.8666666666666667</v>
      </c>
      <c r="AA6" s="14">
        <f t="shared" si="12"/>
        <v>48</v>
      </c>
      <c r="AC6" s="1" t="s">
        <v>4</v>
      </c>
      <c r="AD6" s="8">
        <f>27+18</f>
        <v>45</v>
      </c>
      <c r="AE6" s="8">
        <f>27+24</f>
        <v>51</v>
      </c>
      <c r="AF6" s="9">
        <f t="shared" si="13"/>
        <v>0.88235294117647056</v>
      </c>
      <c r="AG6" s="8">
        <f t="shared" si="14"/>
        <v>96</v>
      </c>
      <c r="AH6" s="8">
        <f>4+3</f>
        <v>7</v>
      </c>
      <c r="AI6" s="29">
        <f t="shared" si="15"/>
        <v>0.24456521739130435</v>
      </c>
      <c r="AJ6" s="29">
        <f t="shared" si="16"/>
        <v>0.28491620111731841</v>
      </c>
    </row>
    <row r="7" spans="1:36" x14ac:dyDescent="0.25">
      <c r="A7" s="44" t="s">
        <v>79</v>
      </c>
      <c r="B7" s="32">
        <f>SUM(B3:B6)</f>
        <v>365</v>
      </c>
      <c r="C7" s="32">
        <f>SUM(C3:C6)</f>
        <v>413</v>
      </c>
      <c r="D7" s="32"/>
      <c r="E7" s="32"/>
      <c r="F7" s="32">
        <f>SUM(F3:F6)</f>
        <v>778</v>
      </c>
      <c r="G7" s="32">
        <f>SUM(G3:G6)</f>
        <v>92</v>
      </c>
      <c r="H7" s="32">
        <f>SUM(H3:H6)</f>
        <v>249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76</v>
      </c>
      <c r="R7" s="8">
        <f>SUM(R3:R6)</f>
        <v>90</v>
      </c>
      <c r="S7" s="8"/>
      <c r="T7" s="8"/>
      <c r="U7" s="8"/>
      <c r="V7" s="8"/>
      <c r="W7" s="8">
        <f>SUM(W3:W6)</f>
        <v>11</v>
      </c>
      <c r="X7" s="8">
        <f>SUM(X3:X6)</f>
        <v>18</v>
      </c>
      <c r="Y7" s="8">
        <f>SUM(Y3:Y6)</f>
        <v>6</v>
      </c>
      <c r="Z7" s="11"/>
      <c r="AA7" s="14">
        <f>SUM(AA3:AA6)</f>
        <v>166</v>
      </c>
      <c r="AC7" s="12" t="s">
        <v>79</v>
      </c>
      <c r="AD7" s="8">
        <f>SUM(AD3:AD6)</f>
        <v>184</v>
      </c>
      <c r="AE7" s="8">
        <f>SUM(AE3:AE6)</f>
        <v>179</v>
      </c>
      <c r="AF7" s="8"/>
      <c r="AG7" s="8">
        <f>SUM(AG3:AG6)</f>
        <v>363</v>
      </c>
      <c r="AH7" s="8">
        <f>SUM(AH3:AH6)</f>
        <v>31</v>
      </c>
      <c r="AI7" s="8"/>
      <c r="AJ7" s="8"/>
    </row>
    <row r="8" spans="1:36" x14ac:dyDescent="0.25">
      <c r="A8" s="45" t="s">
        <v>80</v>
      </c>
      <c r="B8" s="46">
        <f>1+1+1+1</f>
        <v>4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 s="8">
        <f>1+1+1</f>
        <v>3</v>
      </c>
      <c r="Z8" s="2"/>
      <c r="AA8" s="2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26">
        <f>10+11+9</f>
        <v>30</v>
      </c>
      <c r="R9" s="3"/>
      <c r="S9" s="3"/>
      <c r="T9" s="3"/>
      <c r="U9" s="3"/>
      <c r="V9" s="3"/>
      <c r="W9" s="3"/>
      <c r="X9" s="3"/>
      <c r="Y9" s="3"/>
      <c r="Z9" s="4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18.7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3"/>
      <c r="R11" s="33"/>
      <c r="S11" s="33"/>
      <c r="T11" s="33"/>
      <c r="U11" s="33"/>
      <c r="V11" s="33"/>
      <c r="AC11" s="33"/>
      <c r="AD11" s="33"/>
      <c r="AE11" s="33"/>
      <c r="AF11" s="33"/>
      <c r="AG11" s="33"/>
      <c r="AH11" s="33"/>
      <c r="AI11" s="33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AC12" s="8"/>
      <c r="AD12" s="8"/>
      <c r="AE12" s="8"/>
      <c r="AF12" s="8"/>
      <c r="AG12" s="8"/>
      <c r="AH12" s="8"/>
      <c r="AI12" s="8"/>
    </row>
    <row r="13" spans="1:36" x14ac:dyDescent="0.25">
      <c r="A13" s="32"/>
      <c r="B13" s="32"/>
      <c r="C13" s="32"/>
      <c r="D13" s="32"/>
      <c r="E13" s="32"/>
      <c r="F13" s="32"/>
      <c r="G13" s="51"/>
      <c r="H13" s="32"/>
      <c r="I13" s="32"/>
      <c r="J13" s="32"/>
      <c r="K13" s="32"/>
      <c r="L13" s="32"/>
      <c r="M13" s="32"/>
      <c r="N13" s="32"/>
      <c r="O13" s="32"/>
      <c r="P13" s="32"/>
      <c r="Q13" s="8"/>
      <c r="R13" s="8"/>
      <c r="S13" s="8"/>
      <c r="T13" s="8"/>
      <c r="U13" s="8"/>
      <c r="V13" s="29"/>
      <c r="AC13" s="8"/>
      <c r="AD13" s="8"/>
      <c r="AE13" s="8"/>
      <c r="AF13" s="8"/>
      <c r="AG13" s="8"/>
      <c r="AH13" s="8"/>
      <c r="AI13" s="29"/>
    </row>
    <row r="14" spans="1:36" x14ac:dyDescent="0.25">
      <c r="A14" s="32"/>
      <c r="B14" s="32"/>
      <c r="C14" s="32"/>
      <c r="D14" s="32"/>
      <c r="E14" s="32"/>
      <c r="F14" s="32"/>
      <c r="G14" s="51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29"/>
      <c r="AC14" s="8"/>
      <c r="AD14" s="8"/>
      <c r="AE14" s="8"/>
      <c r="AF14" s="8"/>
      <c r="AG14" s="8"/>
      <c r="AH14" s="8"/>
      <c r="AI14" s="29"/>
    </row>
    <row r="15" spans="1:36" x14ac:dyDescent="0.25">
      <c r="A15" s="32"/>
      <c r="B15" s="32"/>
      <c r="C15" s="32"/>
      <c r="D15" s="32"/>
      <c r="E15" s="32"/>
      <c r="F15" s="32"/>
      <c r="G15" s="51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29"/>
      <c r="AC15" s="8"/>
      <c r="AD15" s="8"/>
      <c r="AE15" s="8"/>
      <c r="AF15" s="8"/>
      <c r="AG15" s="8"/>
      <c r="AH15" s="8"/>
      <c r="AI15" s="29"/>
    </row>
    <row r="16" spans="1:36" x14ac:dyDescent="0.25">
      <c r="A16" s="32"/>
      <c r="B16" s="32"/>
      <c r="C16" s="32"/>
      <c r="D16" s="32"/>
      <c r="E16" s="32"/>
      <c r="F16" s="32"/>
      <c r="G16" s="51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29"/>
    </row>
    <row r="17" spans="1:22" x14ac:dyDescent="0.25">
      <c r="A17" s="32"/>
      <c r="B17" s="32"/>
      <c r="C17" s="32"/>
      <c r="D17" s="32"/>
      <c r="E17" s="32"/>
      <c r="F17" s="32"/>
      <c r="G17" s="51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29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3">
    <mergeCell ref="A1:N1"/>
    <mergeCell ref="P1:Z1"/>
    <mergeCell ref="AC1:AJ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J49"/>
  <sheetViews>
    <sheetView workbookViewId="0">
      <selection activeCell="S33" sqref="S32:S33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29" max="29" width="11" bestFit="1" customWidth="1"/>
    <col min="33" max="33" width="12.85546875" bestFit="1" customWidth="1"/>
  </cols>
  <sheetData>
    <row r="1" spans="1:36" ht="31.5" x14ac:dyDescent="0.5">
      <c r="A1" s="83" t="s">
        <v>78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  <c r="O1" s="32"/>
      <c r="P1" s="86" t="s">
        <v>83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13"/>
      <c r="AC1" s="82" t="s">
        <v>87</v>
      </c>
      <c r="AD1" s="82"/>
      <c r="AE1" s="82"/>
      <c r="AF1" s="82"/>
      <c r="AG1" s="82"/>
      <c r="AH1" s="82"/>
      <c r="AI1" s="82"/>
      <c r="AJ1" s="82"/>
    </row>
    <row r="2" spans="1:36" x14ac:dyDescent="0.25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6" t="s">
        <v>75</v>
      </c>
      <c r="AA2" s="7" t="s">
        <v>67</v>
      </c>
      <c r="AC2" s="6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6" t="s">
        <v>73</v>
      </c>
    </row>
    <row r="3" spans="1:36" x14ac:dyDescent="0.25">
      <c r="A3" s="37" t="s">
        <v>15</v>
      </c>
      <c r="B3" s="32">
        <f>26+23+20</f>
        <v>69</v>
      </c>
      <c r="C3" s="32">
        <f>19+31+33</f>
        <v>83</v>
      </c>
      <c r="D3" s="39">
        <f>B3/C3</f>
        <v>0.83132530120481929</v>
      </c>
      <c r="E3" s="32">
        <f>B3-C3</f>
        <v>-14</v>
      </c>
      <c r="F3" s="32">
        <f>B3+C3</f>
        <v>152</v>
      </c>
      <c r="G3" s="32">
        <f>8+7+6</f>
        <v>21</v>
      </c>
      <c r="H3" s="32">
        <f>19+16+10</f>
        <v>45</v>
      </c>
      <c r="I3" s="38">
        <f>B3/$B$7</f>
        <v>0.21630094043887146</v>
      </c>
      <c r="J3" s="38">
        <f>C3/$C$7</f>
        <v>0.28327645051194539</v>
      </c>
      <c r="K3" s="39">
        <f>AVERAGE(B3/$B$8)</f>
        <v>23</v>
      </c>
      <c r="L3" s="39">
        <f>AVERAGE(C3/$B$8)</f>
        <v>27.666666666666668</v>
      </c>
      <c r="M3" s="32">
        <f>2969+2920+2894</f>
        <v>8783</v>
      </c>
      <c r="N3" s="43">
        <f>72+98+45</f>
        <v>215</v>
      </c>
      <c r="O3" s="32"/>
      <c r="P3" s="37" t="s">
        <v>15</v>
      </c>
      <c r="Q3" s="8">
        <f>4+7+3</f>
        <v>14</v>
      </c>
      <c r="R3" s="8">
        <f>5+8+9</f>
        <v>22</v>
      </c>
      <c r="S3" s="9">
        <f>Q3/R3</f>
        <v>0.63636363636363635</v>
      </c>
      <c r="T3" s="8">
        <f>Q3-R3</f>
        <v>-8</v>
      </c>
      <c r="U3" s="10">
        <f>Q3/$Q$7</f>
        <v>0.14583333333333334</v>
      </c>
      <c r="V3" s="10">
        <f>R3/$R$7</f>
        <v>0.2857142857142857</v>
      </c>
      <c r="W3" s="8">
        <f>0+3+1</f>
        <v>4</v>
      </c>
      <c r="X3" s="8">
        <f>2+1+5</f>
        <v>8</v>
      </c>
      <c r="Y3" s="8">
        <f>1+2+0</f>
        <v>3</v>
      </c>
      <c r="Z3" s="9">
        <f>Q3/$Q$9</f>
        <v>0.46666666666666667</v>
      </c>
      <c r="AA3" s="14">
        <f>Q3+R3</f>
        <v>36</v>
      </c>
      <c r="AC3" s="1" t="s">
        <v>15</v>
      </c>
      <c r="AD3" s="8">
        <f>27+22+29</f>
        <v>78</v>
      </c>
      <c r="AE3" s="8">
        <f>23+17+28</f>
        <v>68</v>
      </c>
      <c r="AF3" s="9">
        <f>AD3/AE3</f>
        <v>1.1470588235294117</v>
      </c>
      <c r="AG3" s="8">
        <f>AD3+AE3</f>
        <v>146</v>
      </c>
      <c r="AH3" s="8">
        <f>2+2+2</f>
        <v>6</v>
      </c>
      <c r="AI3" s="29">
        <f>AD3/$AD$7</f>
        <v>0.28782287822878228</v>
      </c>
      <c r="AJ3" s="29">
        <f>AE3/$AE$7</f>
        <v>0.27755102040816326</v>
      </c>
    </row>
    <row r="4" spans="1:36" x14ac:dyDescent="0.25">
      <c r="A4" s="37" t="s">
        <v>17</v>
      </c>
      <c r="B4" s="32">
        <f>23+32+22</f>
        <v>77</v>
      </c>
      <c r="C4" s="32">
        <f>13+31+27</f>
        <v>71</v>
      </c>
      <c r="D4" s="39">
        <f t="shared" ref="D4:D6" si="0">B4/C4</f>
        <v>1.0845070422535212</v>
      </c>
      <c r="E4" s="32">
        <f t="shared" ref="E4:E6" si="1">B4-C4</f>
        <v>6</v>
      </c>
      <c r="F4" s="32">
        <f t="shared" ref="F4:F6" si="2">B4+C4</f>
        <v>148</v>
      </c>
      <c r="G4" s="32">
        <f>7+7+6</f>
        <v>20</v>
      </c>
      <c r="H4" s="32">
        <f>19+25+13</f>
        <v>57</v>
      </c>
      <c r="I4" s="38">
        <f t="shared" ref="I4:I6" si="3">B4/$B$7</f>
        <v>0.2413793103448276</v>
      </c>
      <c r="J4" s="38">
        <f t="shared" ref="J4:J6" si="4">C4/$C$7</f>
        <v>0.24232081911262798</v>
      </c>
      <c r="K4" s="39">
        <f t="shared" ref="K4:L6" si="5">AVERAGE(B4/$B$8)</f>
        <v>25.666666666666668</v>
      </c>
      <c r="L4" s="39">
        <f t="shared" si="5"/>
        <v>23.666666666666668</v>
      </c>
      <c r="M4" s="32">
        <f>2784+4146+3266</f>
        <v>10196</v>
      </c>
      <c r="N4" s="43">
        <f>105+66+20</f>
        <v>191</v>
      </c>
      <c r="O4" s="32"/>
      <c r="P4" s="37" t="s">
        <v>17</v>
      </c>
      <c r="Q4" s="8">
        <f>6+9+13</f>
        <v>28</v>
      </c>
      <c r="R4" s="8">
        <f>3+5+9</f>
        <v>17</v>
      </c>
      <c r="S4" s="9">
        <f t="shared" ref="S4:S6" si="6">Q4/R4</f>
        <v>1.6470588235294117</v>
      </c>
      <c r="T4" s="8">
        <f t="shared" ref="T4:T6" si="7">Q4-R4</f>
        <v>11</v>
      </c>
      <c r="U4" s="10">
        <f t="shared" ref="U4:U6" si="8">Q4/$Q$7</f>
        <v>0.29166666666666669</v>
      </c>
      <c r="V4" s="10">
        <f t="shared" ref="V4:V6" si="9">R4/$R$7</f>
        <v>0.22077922077922077</v>
      </c>
      <c r="W4" s="8">
        <f>0+1+1</f>
        <v>2</v>
      </c>
      <c r="X4" s="8">
        <f>0+0+0</f>
        <v>0</v>
      </c>
      <c r="Y4" s="8">
        <f>1+1+0</f>
        <v>2</v>
      </c>
      <c r="Z4" s="9">
        <f t="shared" ref="Z4:Z6" si="10">Q4/$Q$9</f>
        <v>0.93333333333333335</v>
      </c>
      <c r="AA4" s="14">
        <f t="shared" ref="AA4:AA6" si="11">Q4+R4</f>
        <v>45</v>
      </c>
      <c r="AC4" s="1" t="s">
        <v>17</v>
      </c>
      <c r="AD4" s="8">
        <f>26+16+26</f>
        <v>68</v>
      </c>
      <c r="AE4" s="8">
        <f>17+14+23</f>
        <v>54</v>
      </c>
      <c r="AF4" s="9">
        <f t="shared" ref="AF4:AF6" si="12">AD4/AE4</f>
        <v>1.2592592592592593</v>
      </c>
      <c r="AG4" s="8">
        <f t="shared" ref="AG4:AG6" si="13">AD4+AE4</f>
        <v>122</v>
      </c>
      <c r="AH4" s="8">
        <f>6+1+0</f>
        <v>7</v>
      </c>
      <c r="AI4" s="29">
        <f t="shared" ref="AI4:AI6" si="14">AD4/$AD$7</f>
        <v>0.25092250922509224</v>
      </c>
      <c r="AJ4" s="29">
        <f t="shared" ref="AJ4:AJ6" si="15">AE4/$AE$7</f>
        <v>0.22040816326530613</v>
      </c>
    </row>
    <row r="5" spans="1:36" x14ac:dyDescent="0.25">
      <c r="A5" s="37" t="s">
        <v>18</v>
      </c>
      <c r="B5" s="32">
        <f>29+35+34</f>
        <v>98</v>
      </c>
      <c r="C5" s="32">
        <f>16+29+27</f>
        <v>72</v>
      </c>
      <c r="D5" s="39">
        <f t="shared" si="0"/>
        <v>1.3611111111111112</v>
      </c>
      <c r="E5" s="32">
        <f t="shared" si="1"/>
        <v>26</v>
      </c>
      <c r="F5" s="32">
        <f t="shared" si="2"/>
        <v>170</v>
      </c>
      <c r="G5" s="32">
        <f>7+4+15</f>
        <v>26</v>
      </c>
      <c r="H5" s="32">
        <f>22+25+21</f>
        <v>68</v>
      </c>
      <c r="I5" s="38">
        <f t="shared" si="3"/>
        <v>0.30721003134796238</v>
      </c>
      <c r="J5" s="38">
        <f t="shared" si="4"/>
        <v>0.24573378839590443</v>
      </c>
      <c r="K5" s="39">
        <f t="shared" si="5"/>
        <v>32.666666666666664</v>
      </c>
      <c r="L5" s="39">
        <f t="shared" si="5"/>
        <v>24</v>
      </c>
      <c r="M5" s="32">
        <f>3314+3453+3931</f>
        <v>10698</v>
      </c>
      <c r="N5" s="43">
        <f>33+71+59</f>
        <v>163</v>
      </c>
      <c r="O5" s="32"/>
      <c r="P5" s="37" t="s">
        <v>18</v>
      </c>
      <c r="Q5" s="8">
        <f>9+11+8</f>
        <v>28</v>
      </c>
      <c r="R5" s="8">
        <f>4+6+9</f>
        <v>19</v>
      </c>
      <c r="S5" s="9">
        <f t="shared" si="6"/>
        <v>1.4736842105263157</v>
      </c>
      <c r="T5" s="8">
        <f t="shared" si="7"/>
        <v>9</v>
      </c>
      <c r="U5" s="10">
        <f t="shared" si="8"/>
        <v>0.29166666666666669</v>
      </c>
      <c r="V5" s="10">
        <f t="shared" si="9"/>
        <v>0.24675324675324675</v>
      </c>
      <c r="W5" s="8">
        <f>1+1+2</f>
        <v>4</v>
      </c>
      <c r="X5" s="8">
        <f>0+2+1</f>
        <v>3</v>
      </c>
      <c r="Y5" s="8">
        <f>0+0+0</f>
        <v>0</v>
      </c>
      <c r="Z5" s="9">
        <f t="shared" si="10"/>
        <v>0.93333333333333335</v>
      </c>
      <c r="AA5" s="14">
        <f t="shared" si="11"/>
        <v>47</v>
      </c>
      <c r="AC5" s="1" t="s">
        <v>18</v>
      </c>
      <c r="AD5" s="8">
        <f>23+13+22</f>
        <v>58</v>
      </c>
      <c r="AE5" s="8">
        <f>23+14+26</f>
        <v>63</v>
      </c>
      <c r="AF5" s="9">
        <f t="shared" si="12"/>
        <v>0.92063492063492058</v>
      </c>
      <c r="AG5" s="8">
        <f t="shared" si="13"/>
        <v>121</v>
      </c>
      <c r="AH5" s="8">
        <f>2+1+2</f>
        <v>5</v>
      </c>
      <c r="AI5" s="29">
        <f t="shared" si="14"/>
        <v>0.2140221402214022</v>
      </c>
      <c r="AJ5" s="29">
        <f t="shared" si="15"/>
        <v>0.25714285714285712</v>
      </c>
    </row>
    <row r="6" spans="1:36" x14ac:dyDescent="0.25">
      <c r="A6" s="37" t="s">
        <v>19</v>
      </c>
      <c r="B6" s="32">
        <f>23+25+27</f>
        <v>75</v>
      </c>
      <c r="C6" s="32">
        <f>14+28+25</f>
        <v>67</v>
      </c>
      <c r="D6" s="39">
        <f t="shared" si="0"/>
        <v>1.1194029850746268</v>
      </c>
      <c r="E6" s="32">
        <f t="shared" si="1"/>
        <v>8</v>
      </c>
      <c r="F6" s="32">
        <f t="shared" si="2"/>
        <v>142</v>
      </c>
      <c r="G6" s="32">
        <f>5+8+12</f>
        <v>25</v>
      </c>
      <c r="H6" s="32">
        <f>19+12+20</f>
        <v>51</v>
      </c>
      <c r="I6" s="38">
        <f t="shared" si="3"/>
        <v>0.23510971786833856</v>
      </c>
      <c r="J6" s="38">
        <f t="shared" si="4"/>
        <v>0.22866894197952217</v>
      </c>
      <c r="K6" s="39">
        <f t="shared" si="5"/>
        <v>25</v>
      </c>
      <c r="L6" s="39">
        <f t="shared" si="5"/>
        <v>22.333333333333332</v>
      </c>
      <c r="M6" s="32">
        <f>2640+3446+2822</f>
        <v>8908</v>
      </c>
      <c r="N6" s="43">
        <f>75+46+82</f>
        <v>203</v>
      </c>
      <c r="O6" s="32"/>
      <c r="P6" s="37" t="s">
        <v>19</v>
      </c>
      <c r="Q6" s="8">
        <f>9+7+10</f>
        <v>26</v>
      </c>
      <c r="R6" s="8">
        <f>5+7+7</f>
        <v>19</v>
      </c>
      <c r="S6" s="9">
        <f t="shared" si="6"/>
        <v>1.368421052631579</v>
      </c>
      <c r="T6" s="8">
        <f t="shared" si="7"/>
        <v>7</v>
      </c>
      <c r="U6" s="10">
        <f t="shared" si="8"/>
        <v>0.27083333333333331</v>
      </c>
      <c r="V6" s="10">
        <f t="shared" si="9"/>
        <v>0.24675324675324675</v>
      </c>
      <c r="W6" s="8">
        <f>4+2+1</f>
        <v>7</v>
      </c>
      <c r="X6" s="8">
        <f>1+1+0</f>
        <v>2</v>
      </c>
      <c r="Y6" s="8">
        <f>2+1+2</f>
        <v>5</v>
      </c>
      <c r="Z6" s="9">
        <f t="shared" si="10"/>
        <v>0.8666666666666667</v>
      </c>
      <c r="AA6" s="14">
        <f t="shared" si="11"/>
        <v>45</v>
      </c>
      <c r="AC6" s="1" t="s">
        <v>19</v>
      </c>
      <c r="AD6" s="8">
        <f>20+19+28</f>
        <v>67</v>
      </c>
      <c r="AE6" s="8">
        <f>26+10+24</f>
        <v>60</v>
      </c>
      <c r="AF6" s="9">
        <f t="shared" si="12"/>
        <v>1.1166666666666667</v>
      </c>
      <c r="AG6" s="8">
        <f t="shared" si="13"/>
        <v>127</v>
      </c>
      <c r="AH6" s="8">
        <f>4+3+3</f>
        <v>10</v>
      </c>
      <c r="AI6" s="29">
        <f t="shared" si="14"/>
        <v>0.24723247232472326</v>
      </c>
      <c r="AJ6" s="29">
        <f t="shared" si="15"/>
        <v>0.24489795918367346</v>
      </c>
    </row>
    <row r="7" spans="1:36" x14ac:dyDescent="0.25">
      <c r="A7" s="44" t="s">
        <v>79</v>
      </c>
      <c r="B7" s="32">
        <f>SUM(B3:B6)</f>
        <v>319</v>
      </c>
      <c r="C7" s="32">
        <f>SUM(C3:C6)</f>
        <v>293</v>
      </c>
      <c r="D7" s="32"/>
      <c r="E7" s="32"/>
      <c r="F7" s="32">
        <f>SUM(F3:F6)</f>
        <v>612</v>
      </c>
      <c r="G7" s="32"/>
      <c r="H7" s="32">
        <f>SUM(H3:H6)</f>
        <v>221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96</v>
      </c>
      <c r="R7" s="8">
        <f>SUM(R3:R6)</f>
        <v>77</v>
      </c>
      <c r="S7" s="8"/>
      <c r="T7" s="8"/>
      <c r="U7" s="8"/>
      <c r="V7" s="8"/>
      <c r="W7" s="8">
        <f>SUM(W3:W6)</f>
        <v>17</v>
      </c>
      <c r="X7" s="8">
        <f>SUM(X3:X6)</f>
        <v>13</v>
      </c>
      <c r="Y7" s="8">
        <f>SUM(Y3:Y6)</f>
        <v>10</v>
      </c>
      <c r="Z7" s="8"/>
      <c r="AA7" s="14">
        <f>SUM(AA3:AA6)</f>
        <v>173</v>
      </c>
      <c r="AC7" s="12" t="s">
        <v>79</v>
      </c>
      <c r="AD7" s="8">
        <f>SUM(AD3:AD6)</f>
        <v>271</v>
      </c>
      <c r="AE7" s="8">
        <f>SUM(AE3:AE6)</f>
        <v>245</v>
      </c>
      <c r="AF7" s="8"/>
      <c r="AG7" s="8">
        <f>SUM(AG3:AG6)</f>
        <v>516</v>
      </c>
      <c r="AH7" s="8">
        <f>SUM(AH3:AH6)</f>
        <v>28</v>
      </c>
      <c r="AI7" s="8"/>
      <c r="AJ7" s="8"/>
    </row>
    <row r="8" spans="1:36" x14ac:dyDescent="0.25">
      <c r="A8" s="45" t="s">
        <v>80</v>
      </c>
      <c r="B8" s="46">
        <f>1+1+1</f>
        <v>3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 s="8">
        <f>1+1+1</f>
        <v>3</v>
      </c>
      <c r="AA8" s="2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26">
        <f>8+11+11</f>
        <v>30</v>
      </c>
      <c r="R9" s="3"/>
      <c r="S9" s="3"/>
      <c r="T9" s="3"/>
      <c r="U9" s="3"/>
      <c r="V9" s="3"/>
      <c r="W9" s="3"/>
      <c r="X9" s="3"/>
      <c r="Y9" s="3"/>
      <c r="Z9" s="3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18.7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3"/>
      <c r="R11" s="33"/>
      <c r="S11" s="33"/>
      <c r="T11" s="33"/>
      <c r="U11" s="33"/>
      <c r="V11" s="33"/>
      <c r="AC11" s="34"/>
      <c r="AD11" s="34"/>
      <c r="AE11" s="34"/>
      <c r="AF11" s="34"/>
      <c r="AG11" s="34"/>
      <c r="AH11" s="34"/>
      <c r="AI11" s="34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AC12" s="32"/>
      <c r="AD12" s="32"/>
      <c r="AE12" s="32"/>
      <c r="AF12" s="32"/>
      <c r="AG12" s="32"/>
      <c r="AH12" s="32"/>
      <c r="AI12" s="32"/>
    </row>
    <row r="13" spans="1:36" x14ac:dyDescent="0.25">
      <c r="A13" s="32"/>
      <c r="B13" s="32"/>
      <c r="C13" s="32"/>
      <c r="D13" s="32"/>
      <c r="E13" s="32"/>
      <c r="F13" s="32"/>
      <c r="G13" s="51"/>
      <c r="H13" s="32"/>
      <c r="I13" s="32"/>
      <c r="J13" s="32"/>
      <c r="K13" s="32"/>
      <c r="L13" s="32"/>
      <c r="M13" s="32"/>
      <c r="N13" s="32"/>
      <c r="O13" s="32"/>
      <c r="P13" s="32"/>
      <c r="Q13" s="8"/>
      <c r="R13" s="8"/>
      <c r="S13" s="8"/>
      <c r="T13" s="8"/>
      <c r="U13" s="8"/>
      <c r="V13" s="29"/>
    </row>
    <row r="14" spans="1:36" x14ac:dyDescent="0.25">
      <c r="A14" s="32"/>
      <c r="B14" s="32"/>
      <c r="C14" s="32"/>
      <c r="D14" s="32"/>
      <c r="E14" s="32"/>
      <c r="F14" s="32"/>
      <c r="G14" s="51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29"/>
    </row>
    <row r="15" spans="1:36" x14ac:dyDescent="0.25">
      <c r="A15" s="32"/>
      <c r="B15" s="32"/>
      <c r="C15" s="32"/>
      <c r="D15" s="32"/>
      <c r="E15" s="32"/>
      <c r="F15" s="32"/>
      <c r="G15" s="51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29"/>
    </row>
    <row r="16" spans="1:36" x14ac:dyDescent="0.25">
      <c r="A16" s="32"/>
      <c r="B16" s="32"/>
      <c r="C16" s="32"/>
      <c r="D16" s="32"/>
      <c r="E16" s="32"/>
      <c r="F16" s="32"/>
      <c r="G16" s="51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29"/>
    </row>
    <row r="17" spans="1:22" x14ac:dyDescent="0.25">
      <c r="A17" s="32"/>
      <c r="B17" s="32"/>
      <c r="C17" s="32"/>
      <c r="D17" s="32"/>
      <c r="E17" s="32"/>
      <c r="F17" s="32"/>
      <c r="G17" s="51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29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3">
    <mergeCell ref="A1:N1"/>
    <mergeCell ref="P1:Z1"/>
    <mergeCell ref="AC1:AJ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00"/>
  </sheetPr>
  <dimension ref="A1:AJ49"/>
  <sheetViews>
    <sheetView workbookViewId="0">
      <selection activeCell="S33" sqref="S32:S33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29" max="29" width="11" bestFit="1" customWidth="1"/>
    <col min="33" max="33" width="12.85546875" bestFit="1" customWidth="1"/>
  </cols>
  <sheetData>
    <row r="1" spans="1:36" ht="31.5" x14ac:dyDescent="0.5">
      <c r="A1" s="100" t="s">
        <v>78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O1" s="32"/>
      <c r="P1" s="103" t="s">
        <v>83</v>
      </c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20"/>
      <c r="AC1" s="105" t="s">
        <v>87</v>
      </c>
      <c r="AD1" s="105"/>
      <c r="AE1" s="105"/>
      <c r="AF1" s="105"/>
      <c r="AG1" s="105"/>
      <c r="AH1" s="105"/>
      <c r="AI1" s="105"/>
      <c r="AJ1" s="105"/>
    </row>
    <row r="2" spans="1:36" ht="15.75" thickBot="1" x14ac:dyDescent="0.3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6" t="s">
        <v>75</v>
      </c>
      <c r="AA2" s="7" t="s">
        <v>67</v>
      </c>
      <c r="AC2" s="6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6" t="s">
        <v>73</v>
      </c>
    </row>
    <row r="3" spans="1:36" x14ac:dyDescent="0.25">
      <c r="A3" s="40" t="s">
        <v>20</v>
      </c>
      <c r="B3" s="32">
        <f>21+34+17</f>
        <v>72</v>
      </c>
      <c r="C3" s="32">
        <f>29+24+26</f>
        <v>79</v>
      </c>
      <c r="D3" s="39">
        <f>B3/C3</f>
        <v>0.91139240506329111</v>
      </c>
      <c r="E3" s="32">
        <f>B3-C3</f>
        <v>-7</v>
      </c>
      <c r="F3" s="32">
        <f>B3+C3</f>
        <v>151</v>
      </c>
      <c r="G3" s="32">
        <f>5+7+6</f>
        <v>18</v>
      </c>
      <c r="H3" s="32">
        <f>12+22+10</f>
        <v>44</v>
      </c>
      <c r="I3" s="38">
        <f>B3/$B$7</f>
        <v>0.27480916030534353</v>
      </c>
      <c r="J3" s="38">
        <f>C3/$C$7</f>
        <v>0.2687074829931973</v>
      </c>
      <c r="K3" s="39">
        <f>AVERAGE(B3/$B$8)</f>
        <v>24</v>
      </c>
      <c r="L3" s="39">
        <f>AVERAGE(C3/$B$8)</f>
        <v>26.333333333333332</v>
      </c>
      <c r="M3" s="32">
        <f>2374+3413+2528</f>
        <v>8315</v>
      </c>
      <c r="N3" s="43">
        <f>9+89+55</f>
        <v>153</v>
      </c>
      <c r="O3" s="32"/>
      <c r="P3" s="40" t="s">
        <v>20</v>
      </c>
      <c r="Q3" s="8">
        <f>2+6+5</f>
        <v>13</v>
      </c>
      <c r="R3" s="8">
        <f>7+6+9</f>
        <v>22</v>
      </c>
      <c r="S3" s="9">
        <f>Q3/R3</f>
        <v>0.59090909090909094</v>
      </c>
      <c r="T3" s="8">
        <f>Q3-R3</f>
        <v>-9</v>
      </c>
      <c r="U3" s="10">
        <f>Q3/$Q$7</f>
        <v>0.20634920634920634</v>
      </c>
      <c r="V3" s="10">
        <f>R3/$R$7</f>
        <v>0.25287356321839083</v>
      </c>
      <c r="W3" s="8">
        <f>1+0+0</f>
        <v>1</v>
      </c>
      <c r="X3" s="8">
        <f>3+5+2</f>
        <v>10</v>
      </c>
      <c r="Y3" s="8">
        <f>0+1+0</f>
        <v>1</v>
      </c>
      <c r="Z3" s="9">
        <f>Q3/$Q$9</f>
        <v>0.4642857142857143</v>
      </c>
      <c r="AA3" s="31">
        <f>Q3+R3</f>
        <v>35</v>
      </c>
      <c r="AC3" s="16" t="s">
        <v>20</v>
      </c>
      <c r="AD3" s="8">
        <f>18+30+29</f>
        <v>77</v>
      </c>
      <c r="AE3" s="8">
        <f>24+26+26</f>
        <v>76</v>
      </c>
      <c r="AF3" s="9">
        <f>AD3/AE3</f>
        <v>1.013157894736842</v>
      </c>
      <c r="AG3" s="8">
        <f>AD3+AE3</f>
        <v>153</v>
      </c>
      <c r="AH3" s="8">
        <f>5+1+7</f>
        <v>13</v>
      </c>
      <c r="AI3" s="29">
        <f>AD3/$AD$7</f>
        <v>0.28838951310861421</v>
      </c>
      <c r="AJ3" s="29">
        <f>AE3/$AE$7</f>
        <v>0.2638888888888889</v>
      </c>
    </row>
    <row r="4" spans="1:36" x14ac:dyDescent="0.25">
      <c r="A4" s="37" t="s">
        <v>22</v>
      </c>
      <c r="B4" s="32">
        <f>21+23+16</f>
        <v>60</v>
      </c>
      <c r="C4" s="32">
        <f>25+22+28</f>
        <v>75</v>
      </c>
      <c r="D4" s="39">
        <f t="shared" ref="D4:D6" si="0">B4/C4</f>
        <v>0.8</v>
      </c>
      <c r="E4" s="32">
        <f t="shared" ref="E4:E6" si="1">B4-C4</f>
        <v>-15</v>
      </c>
      <c r="F4" s="32">
        <f t="shared" ref="F4:F6" si="2">B4+C4</f>
        <v>135</v>
      </c>
      <c r="G4" s="32">
        <f>6+4+5</f>
        <v>15</v>
      </c>
      <c r="H4" s="32">
        <f>17+18+13</f>
        <v>48</v>
      </c>
      <c r="I4" s="38">
        <f t="shared" ref="I4:I6" si="3">B4/$B$7</f>
        <v>0.22900763358778625</v>
      </c>
      <c r="J4" s="38">
        <f t="shared" ref="J4:J6" si="4">C4/$C$7</f>
        <v>0.25510204081632654</v>
      </c>
      <c r="K4" s="39">
        <f t="shared" ref="K4:L6" si="5">AVERAGE(B4/$B$8)</f>
        <v>20</v>
      </c>
      <c r="L4" s="39">
        <f t="shared" si="5"/>
        <v>25</v>
      </c>
      <c r="M4" s="32">
        <f>2515+2702+2532</f>
        <v>7749</v>
      </c>
      <c r="N4" s="43">
        <f>45+88+25</f>
        <v>158</v>
      </c>
      <c r="O4" s="32"/>
      <c r="P4" s="37" t="s">
        <v>22</v>
      </c>
      <c r="Q4" s="8">
        <f>4+6+3</f>
        <v>13</v>
      </c>
      <c r="R4" s="8">
        <f>6+6+8</f>
        <v>20</v>
      </c>
      <c r="S4" s="9">
        <f t="shared" ref="S4:S6" si="6">Q4/R4</f>
        <v>0.65</v>
      </c>
      <c r="T4" s="8">
        <f t="shared" ref="T4:T6" si="7">Q4-R4</f>
        <v>-7</v>
      </c>
      <c r="U4" s="10">
        <f t="shared" ref="U4:U6" si="8">Q4/$Q$7</f>
        <v>0.20634920634920634</v>
      </c>
      <c r="V4" s="10">
        <f t="shared" ref="V4:V6" si="9">R4/$R$7</f>
        <v>0.22988505747126436</v>
      </c>
      <c r="W4" s="8">
        <f>0+1+1</f>
        <v>2</v>
      </c>
      <c r="X4" s="8">
        <f>1+0+3</f>
        <v>4</v>
      </c>
      <c r="Y4" s="8">
        <f>0+0+0</f>
        <v>0</v>
      </c>
      <c r="Z4" s="9">
        <f t="shared" ref="Z4:Z6" si="10">Q4/$Q$9</f>
        <v>0.4642857142857143</v>
      </c>
      <c r="AA4" s="31">
        <f t="shared" ref="AA4:AA6" si="11">Q4+R4</f>
        <v>33</v>
      </c>
      <c r="AC4" s="1" t="s">
        <v>22</v>
      </c>
      <c r="AD4" s="8">
        <f>12+28+19</f>
        <v>59</v>
      </c>
      <c r="AE4" s="8">
        <f>24+24+29</f>
        <v>77</v>
      </c>
      <c r="AF4" s="9">
        <f t="shared" ref="AF4:AF6" si="12">AD4/AE4</f>
        <v>0.76623376623376627</v>
      </c>
      <c r="AG4" s="8">
        <f t="shared" ref="AG4:AG6" si="13">AD4+AE4</f>
        <v>136</v>
      </c>
      <c r="AH4" s="8">
        <f>0+4+3</f>
        <v>7</v>
      </c>
      <c r="AI4" s="29">
        <f t="shared" ref="AI4:AI6" si="14">AD4/$AD$7</f>
        <v>0.22097378277153559</v>
      </c>
      <c r="AJ4" s="29">
        <f t="shared" ref="AJ4:AJ6" si="15">AE4/$AE$7</f>
        <v>0.2673611111111111</v>
      </c>
    </row>
    <row r="5" spans="1:36" x14ac:dyDescent="0.25">
      <c r="A5" s="37" t="s">
        <v>23</v>
      </c>
      <c r="B5" s="32">
        <f>16+31+14</f>
        <v>61</v>
      </c>
      <c r="C5" s="32">
        <f>24+19+24</f>
        <v>67</v>
      </c>
      <c r="D5" s="39">
        <f t="shared" si="0"/>
        <v>0.91044776119402981</v>
      </c>
      <c r="E5" s="32">
        <f t="shared" si="1"/>
        <v>-6</v>
      </c>
      <c r="F5" s="32">
        <f t="shared" si="2"/>
        <v>128</v>
      </c>
      <c r="G5" s="32">
        <f>3+3+4</f>
        <v>10</v>
      </c>
      <c r="H5" s="32">
        <f>9+23+9</f>
        <v>41</v>
      </c>
      <c r="I5" s="38">
        <f t="shared" si="3"/>
        <v>0.23282442748091603</v>
      </c>
      <c r="J5" s="38">
        <f t="shared" si="4"/>
        <v>0.22789115646258504</v>
      </c>
      <c r="K5" s="39">
        <f t="shared" si="5"/>
        <v>20.333333333333332</v>
      </c>
      <c r="L5" s="39">
        <f t="shared" si="5"/>
        <v>22.333333333333332</v>
      </c>
      <c r="M5" s="32">
        <f>2446+3485+2147</f>
        <v>8078</v>
      </c>
      <c r="N5" s="43">
        <f>40+24+28</f>
        <v>92</v>
      </c>
      <c r="O5" s="32"/>
      <c r="P5" s="37" t="s">
        <v>23</v>
      </c>
      <c r="Q5" s="8">
        <f>3+8+5</f>
        <v>16</v>
      </c>
      <c r="R5" s="8">
        <f>7+7+9</f>
        <v>23</v>
      </c>
      <c r="S5" s="9">
        <f t="shared" si="6"/>
        <v>0.69565217391304346</v>
      </c>
      <c r="T5" s="8">
        <f t="shared" si="7"/>
        <v>-7</v>
      </c>
      <c r="U5" s="10">
        <f t="shared" si="8"/>
        <v>0.25396825396825395</v>
      </c>
      <c r="V5" s="10">
        <f t="shared" si="9"/>
        <v>0.26436781609195403</v>
      </c>
      <c r="W5" s="8">
        <f>0+1+0</f>
        <v>1</v>
      </c>
      <c r="X5" s="8">
        <f>1+0+2</f>
        <v>3</v>
      </c>
      <c r="Y5" s="8">
        <f>0+1+2</f>
        <v>3</v>
      </c>
      <c r="Z5" s="9">
        <f t="shared" si="10"/>
        <v>0.5714285714285714</v>
      </c>
      <c r="AA5" s="31">
        <f t="shared" si="11"/>
        <v>39</v>
      </c>
      <c r="AC5" s="1" t="s">
        <v>23</v>
      </c>
      <c r="AD5" s="8">
        <f>18+24+24</f>
        <v>66</v>
      </c>
      <c r="AE5" s="8">
        <f>18+23+22</f>
        <v>63</v>
      </c>
      <c r="AF5" s="9">
        <f t="shared" si="12"/>
        <v>1.0476190476190477</v>
      </c>
      <c r="AG5" s="8">
        <f t="shared" si="13"/>
        <v>129</v>
      </c>
      <c r="AH5" s="8">
        <f>2+2+5</f>
        <v>9</v>
      </c>
      <c r="AI5" s="29">
        <f t="shared" si="14"/>
        <v>0.24719101123595505</v>
      </c>
      <c r="AJ5" s="29">
        <f t="shared" si="15"/>
        <v>0.21875</v>
      </c>
    </row>
    <row r="6" spans="1:36" x14ac:dyDescent="0.25">
      <c r="A6" s="52" t="s">
        <v>24</v>
      </c>
      <c r="B6" s="32">
        <f>21+22+26</f>
        <v>69</v>
      </c>
      <c r="C6" s="32">
        <f>24+24+25</f>
        <v>73</v>
      </c>
      <c r="D6" s="39">
        <f t="shared" si="0"/>
        <v>0.9452054794520548</v>
      </c>
      <c r="E6" s="32">
        <f t="shared" si="1"/>
        <v>-4</v>
      </c>
      <c r="F6" s="32">
        <f t="shared" si="2"/>
        <v>142</v>
      </c>
      <c r="G6" s="32">
        <f>8+4+12</f>
        <v>24</v>
      </c>
      <c r="H6" s="32">
        <f>15+17+21</f>
        <v>53</v>
      </c>
      <c r="I6" s="38">
        <f t="shared" si="3"/>
        <v>0.26335877862595419</v>
      </c>
      <c r="J6" s="38">
        <f t="shared" si="4"/>
        <v>0.24829931972789115</v>
      </c>
      <c r="K6" s="39">
        <f t="shared" si="5"/>
        <v>23</v>
      </c>
      <c r="L6" s="39">
        <f t="shared" si="5"/>
        <v>24.333333333333332</v>
      </c>
      <c r="M6" s="32">
        <f>2519+2836+2640</f>
        <v>7995</v>
      </c>
      <c r="N6" s="43">
        <f>86+55+59</f>
        <v>200</v>
      </c>
      <c r="O6" s="32"/>
      <c r="P6" s="52" t="s">
        <v>24</v>
      </c>
      <c r="Q6" s="8">
        <f>2+12+7</f>
        <v>21</v>
      </c>
      <c r="R6" s="8">
        <f>7+8+7</f>
        <v>22</v>
      </c>
      <c r="S6" s="9">
        <f t="shared" si="6"/>
        <v>0.95454545454545459</v>
      </c>
      <c r="T6" s="8">
        <f t="shared" si="7"/>
        <v>-1</v>
      </c>
      <c r="U6" s="10">
        <f t="shared" si="8"/>
        <v>0.33333333333333331</v>
      </c>
      <c r="V6" s="10">
        <f t="shared" si="9"/>
        <v>0.25287356321839083</v>
      </c>
      <c r="W6" s="8">
        <f>0+4+0</f>
        <v>4</v>
      </c>
      <c r="X6" s="8">
        <f>1+0+2</f>
        <v>3</v>
      </c>
      <c r="Y6" s="8">
        <f>2+0+1</f>
        <v>3</v>
      </c>
      <c r="Z6" s="9">
        <f t="shared" si="10"/>
        <v>0.75</v>
      </c>
      <c r="AA6" s="31">
        <f t="shared" si="11"/>
        <v>43</v>
      </c>
      <c r="AC6" s="21" t="s">
        <v>24</v>
      </c>
      <c r="AD6" s="8">
        <f>15+26+24</f>
        <v>65</v>
      </c>
      <c r="AE6" s="8">
        <f>21+25+26</f>
        <v>72</v>
      </c>
      <c r="AF6" s="9">
        <f t="shared" si="12"/>
        <v>0.90277777777777779</v>
      </c>
      <c r="AG6" s="8">
        <f t="shared" si="13"/>
        <v>137</v>
      </c>
      <c r="AH6" s="8">
        <f>3+4+4</f>
        <v>11</v>
      </c>
      <c r="AI6" s="29">
        <f t="shared" si="14"/>
        <v>0.24344569288389514</v>
      </c>
      <c r="AJ6" s="29">
        <f t="shared" si="15"/>
        <v>0.25</v>
      </c>
    </row>
    <row r="7" spans="1:36" x14ac:dyDescent="0.25">
      <c r="A7" s="44" t="s">
        <v>79</v>
      </c>
      <c r="B7" s="32">
        <f>SUM(B3:B6)</f>
        <v>262</v>
      </c>
      <c r="C7" s="32">
        <f>SUM(C3:C6)</f>
        <v>294</v>
      </c>
      <c r="D7" s="32"/>
      <c r="E7" s="32"/>
      <c r="F7" s="32">
        <f>SUM(F3:F6)</f>
        <v>556</v>
      </c>
      <c r="G7" s="32">
        <f>SUM(G3:G6)</f>
        <v>67</v>
      </c>
      <c r="H7" s="32">
        <f>SUM(H3:H6)</f>
        <v>186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63</v>
      </c>
      <c r="R7" s="8">
        <f>SUM(R3:R6)</f>
        <v>87</v>
      </c>
      <c r="S7" s="8"/>
      <c r="T7" s="8"/>
      <c r="U7" s="8"/>
      <c r="V7" s="8"/>
      <c r="W7" s="8">
        <f>SUM(W3:W6)</f>
        <v>8</v>
      </c>
      <c r="X7" s="8">
        <f>SUM(X3:X6)</f>
        <v>20</v>
      </c>
      <c r="Y7" s="8">
        <f>SUM(Y3:Y6)</f>
        <v>7</v>
      </c>
      <c r="Z7" s="8"/>
      <c r="AA7" s="14"/>
      <c r="AC7" s="12" t="s">
        <v>79</v>
      </c>
      <c r="AD7" s="8">
        <f>SUM(AD3:AD6)</f>
        <v>267</v>
      </c>
      <c r="AE7" s="8">
        <f>SUM(AE3:AE6)</f>
        <v>288</v>
      </c>
      <c r="AF7" s="8"/>
      <c r="AG7" s="8">
        <f>SUM(AG3:AG6)</f>
        <v>555</v>
      </c>
      <c r="AH7" s="8">
        <f>SUM(AH3:AH6)</f>
        <v>40</v>
      </c>
      <c r="AI7" s="8"/>
      <c r="AJ7" s="8"/>
    </row>
    <row r="8" spans="1:36" x14ac:dyDescent="0.25">
      <c r="A8" s="45" t="s">
        <v>80</v>
      </c>
      <c r="B8" s="46">
        <f>1+1+1</f>
        <v>3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 s="8">
        <f>2+1</f>
        <v>3</v>
      </c>
      <c r="AA8" s="2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26">
        <f>7+11+10</f>
        <v>28</v>
      </c>
      <c r="R9" s="3"/>
      <c r="S9" s="3"/>
      <c r="T9" s="3"/>
      <c r="U9" s="3"/>
      <c r="V9" s="3"/>
      <c r="W9" s="3"/>
      <c r="X9" s="3"/>
      <c r="Y9" s="3"/>
      <c r="Z9" s="3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18.7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4"/>
      <c r="R11" s="34"/>
      <c r="S11" s="34"/>
      <c r="T11" s="34"/>
      <c r="U11" s="34"/>
      <c r="V11" s="34"/>
      <c r="AC11" s="34"/>
      <c r="AD11" s="34"/>
      <c r="AE11" s="34"/>
      <c r="AF11" s="34"/>
      <c r="AG11" s="34"/>
      <c r="AH11" s="34"/>
      <c r="AI11" s="34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AC12" s="8"/>
      <c r="AD12" s="8"/>
      <c r="AE12" s="8"/>
      <c r="AF12" s="8"/>
      <c r="AG12" s="8"/>
      <c r="AH12" s="8"/>
      <c r="AI12" s="8"/>
    </row>
    <row r="13" spans="1:36" x14ac:dyDescent="0.25">
      <c r="A13" s="32"/>
      <c r="B13" s="32"/>
      <c r="C13" s="32"/>
      <c r="D13" s="32"/>
      <c r="E13" s="32"/>
      <c r="F13" s="32"/>
      <c r="G13" s="51"/>
      <c r="H13" s="32"/>
      <c r="I13" s="32"/>
      <c r="J13" s="32"/>
      <c r="K13" s="32"/>
      <c r="L13" s="32"/>
      <c r="M13" s="32"/>
      <c r="N13" s="32"/>
      <c r="O13" s="32"/>
      <c r="P13" s="32"/>
      <c r="Q13" s="8"/>
      <c r="R13" s="8"/>
      <c r="S13" s="8"/>
      <c r="T13" s="8"/>
      <c r="U13" s="8"/>
      <c r="V13" s="29"/>
      <c r="AC13" s="8"/>
      <c r="AD13" s="8"/>
      <c r="AE13" s="8"/>
      <c r="AF13" s="8"/>
      <c r="AG13" s="8"/>
      <c r="AH13" s="8"/>
      <c r="AI13" s="29"/>
    </row>
    <row r="14" spans="1:36" x14ac:dyDescent="0.25">
      <c r="A14" s="32"/>
      <c r="B14" s="32"/>
      <c r="C14" s="32"/>
      <c r="D14" s="32"/>
      <c r="E14" s="32"/>
      <c r="F14" s="32"/>
      <c r="G14" s="51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29"/>
      <c r="AC14" s="8"/>
      <c r="AD14" s="8"/>
      <c r="AE14" s="8"/>
      <c r="AF14" s="8"/>
      <c r="AG14" s="8"/>
      <c r="AH14" s="8"/>
      <c r="AI14" s="29"/>
    </row>
    <row r="15" spans="1:36" x14ac:dyDescent="0.25">
      <c r="A15" s="32"/>
      <c r="B15" s="32"/>
      <c r="C15" s="32"/>
      <c r="D15" s="32"/>
      <c r="E15" s="32"/>
      <c r="F15" s="32"/>
      <c r="G15" s="51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29"/>
      <c r="AC15" s="8"/>
      <c r="AD15" s="8"/>
      <c r="AE15" s="8"/>
      <c r="AF15" s="8"/>
      <c r="AG15" s="8"/>
      <c r="AH15" s="8"/>
      <c r="AI15" s="29"/>
    </row>
    <row r="16" spans="1:36" x14ac:dyDescent="0.25">
      <c r="A16" s="32"/>
      <c r="B16" s="32"/>
      <c r="C16" s="32"/>
      <c r="D16" s="32"/>
      <c r="E16" s="32"/>
      <c r="F16" s="32"/>
      <c r="G16" s="51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29"/>
    </row>
    <row r="17" spans="1:22" x14ac:dyDescent="0.25">
      <c r="A17" s="32"/>
      <c r="B17" s="32"/>
      <c r="C17" s="32"/>
      <c r="D17" s="32"/>
      <c r="E17" s="32"/>
      <c r="F17" s="32"/>
      <c r="G17" s="51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29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3">
    <mergeCell ref="A1:N1"/>
    <mergeCell ref="P1:Z1"/>
    <mergeCell ref="AC1:AJ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J49"/>
  <sheetViews>
    <sheetView workbookViewId="0">
      <selection activeCell="I36" sqref="I36"/>
    </sheetView>
  </sheetViews>
  <sheetFormatPr defaultRowHeight="15" x14ac:dyDescent="0.25"/>
  <cols>
    <col min="1" max="1" width="12.140625" bestFit="1" customWidth="1"/>
    <col min="6" max="6" width="12.85546875" bestFit="1" customWidth="1"/>
    <col min="8" max="8" width="14" bestFit="1" customWidth="1"/>
    <col min="12" max="13" width="11.42578125" customWidth="1"/>
    <col min="14" max="14" width="12.5703125" bestFit="1" customWidth="1"/>
    <col min="16" max="16" width="14.140625" bestFit="1" customWidth="1"/>
    <col min="23" max="23" width="11.28515625" bestFit="1" customWidth="1"/>
    <col min="24" max="24" width="11.42578125" bestFit="1" customWidth="1"/>
    <col min="26" max="26" width="11.28515625" bestFit="1" customWidth="1"/>
    <col min="27" max="27" width="12.85546875" bestFit="1" customWidth="1"/>
    <col min="29" max="29" width="11" bestFit="1" customWidth="1"/>
    <col min="30" max="30" width="9.140625" customWidth="1"/>
    <col min="33" max="33" width="12.85546875" bestFit="1" customWidth="1"/>
  </cols>
  <sheetData>
    <row r="1" spans="1:36" ht="31.5" x14ac:dyDescent="0.5">
      <c r="A1" s="93" t="s">
        <v>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5"/>
      <c r="O1" s="32"/>
      <c r="P1" s="96" t="s">
        <v>83</v>
      </c>
      <c r="Q1" s="97"/>
      <c r="R1" s="97"/>
      <c r="S1" s="97"/>
      <c r="T1" s="97"/>
      <c r="U1" s="97"/>
      <c r="V1" s="97"/>
      <c r="W1" s="97"/>
      <c r="X1" s="97"/>
      <c r="Y1" s="97"/>
      <c r="Z1" s="97"/>
      <c r="AA1" s="15"/>
      <c r="AC1" s="93" t="s">
        <v>87</v>
      </c>
      <c r="AD1" s="94"/>
      <c r="AE1" s="94"/>
      <c r="AF1" s="94"/>
      <c r="AG1" s="94"/>
      <c r="AH1" s="94"/>
      <c r="AI1" s="94"/>
      <c r="AJ1" s="95"/>
    </row>
    <row r="2" spans="1:36" ht="15.75" thickBot="1" x14ac:dyDescent="0.3">
      <c r="A2" s="5" t="s">
        <v>59</v>
      </c>
      <c r="B2" s="6" t="s">
        <v>61</v>
      </c>
      <c r="C2" s="6" t="s">
        <v>62</v>
      </c>
      <c r="D2" s="6" t="s">
        <v>63</v>
      </c>
      <c r="E2" s="6" t="s">
        <v>64</v>
      </c>
      <c r="F2" s="6" t="s">
        <v>67</v>
      </c>
      <c r="G2" s="6" t="s">
        <v>68</v>
      </c>
      <c r="H2" s="6" t="s">
        <v>69</v>
      </c>
      <c r="I2" s="6" t="s">
        <v>71</v>
      </c>
      <c r="J2" s="6" t="s">
        <v>73</v>
      </c>
      <c r="K2" s="6" t="s">
        <v>65</v>
      </c>
      <c r="L2" s="6" t="s">
        <v>66</v>
      </c>
      <c r="M2" s="6" t="s">
        <v>82</v>
      </c>
      <c r="N2" s="7" t="s">
        <v>81</v>
      </c>
      <c r="O2" s="32"/>
      <c r="P2" s="5" t="s">
        <v>59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77</v>
      </c>
      <c r="V2" s="6" t="s">
        <v>73</v>
      </c>
      <c r="W2" s="6" t="s">
        <v>84</v>
      </c>
      <c r="X2" s="6" t="s">
        <v>85</v>
      </c>
      <c r="Y2" s="6" t="s">
        <v>74</v>
      </c>
      <c r="Z2" s="6" t="s">
        <v>75</v>
      </c>
      <c r="AA2" s="7" t="s">
        <v>67</v>
      </c>
      <c r="AC2" s="5" t="s">
        <v>59</v>
      </c>
      <c r="AD2" s="6" t="s">
        <v>61</v>
      </c>
      <c r="AE2" s="6" t="s">
        <v>62</v>
      </c>
      <c r="AF2" s="6" t="s">
        <v>63</v>
      </c>
      <c r="AG2" s="6" t="s">
        <v>67</v>
      </c>
      <c r="AH2" s="6" t="s">
        <v>68</v>
      </c>
      <c r="AI2" s="6" t="s">
        <v>77</v>
      </c>
      <c r="AJ2" s="7" t="s">
        <v>73</v>
      </c>
    </row>
    <row r="3" spans="1:36" x14ac:dyDescent="0.25">
      <c r="A3" s="40" t="s">
        <v>25</v>
      </c>
      <c r="B3" s="32">
        <f>27+22+18</f>
        <v>67</v>
      </c>
      <c r="C3" s="32">
        <f>22+29+24</f>
        <v>75</v>
      </c>
      <c r="D3" s="39">
        <f>B3/C3</f>
        <v>0.89333333333333331</v>
      </c>
      <c r="E3" s="32">
        <f>B3-C3</f>
        <v>-8</v>
      </c>
      <c r="F3" s="32">
        <f>B3+C3</f>
        <v>142</v>
      </c>
      <c r="G3" s="32">
        <f>3+5+2</f>
        <v>10</v>
      </c>
      <c r="H3" s="32">
        <f>22+16+13</f>
        <v>51</v>
      </c>
      <c r="I3" s="38">
        <f>B3/$B$7</f>
        <v>0.21824104234527689</v>
      </c>
      <c r="J3" s="38">
        <f>C3/$C$7</f>
        <v>0.27573529411764708</v>
      </c>
      <c r="K3" s="39">
        <f>AVERAGE(B3/$B$8)</f>
        <v>22.333333333333332</v>
      </c>
      <c r="L3" s="39">
        <f>AVERAGE(C3/$B$8)</f>
        <v>25</v>
      </c>
      <c r="M3" s="32">
        <f>3060+2392+2369</f>
        <v>7821</v>
      </c>
      <c r="N3" s="43">
        <f>29+34+50</f>
        <v>113</v>
      </c>
      <c r="O3" s="32"/>
      <c r="P3" s="40" t="s">
        <v>25</v>
      </c>
      <c r="Q3" s="8">
        <f>10+10+5</f>
        <v>25</v>
      </c>
      <c r="R3" s="8">
        <f>3+7+6</f>
        <v>16</v>
      </c>
      <c r="S3" s="9">
        <f>Q3/R3</f>
        <v>1.5625</v>
      </c>
      <c r="T3" s="8">
        <f>Q3-R3</f>
        <v>9</v>
      </c>
      <c r="U3" s="10">
        <f>Q3/$Q$7</f>
        <v>0.390625</v>
      </c>
      <c r="V3" s="10">
        <f>R3/$R$7</f>
        <v>0.2318840579710145</v>
      </c>
      <c r="W3" s="8">
        <f>0+1+0</f>
        <v>1</v>
      </c>
      <c r="X3" s="8">
        <f>0+1+1</f>
        <v>2</v>
      </c>
      <c r="Y3" s="8">
        <f>1+1+0</f>
        <v>2</v>
      </c>
      <c r="Z3" s="9">
        <f>Q3/$Q$9</f>
        <v>1.0416666666666667</v>
      </c>
      <c r="AA3" s="14">
        <f>Q3+R3</f>
        <v>41</v>
      </c>
      <c r="AC3" s="35" t="s">
        <v>25</v>
      </c>
      <c r="AD3" s="8">
        <f>34+24</f>
        <v>58</v>
      </c>
      <c r="AE3" s="8">
        <f>30+30</f>
        <v>60</v>
      </c>
      <c r="AF3" s="9">
        <f>AD3/AE3</f>
        <v>0.96666666666666667</v>
      </c>
      <c r="AG3" s="8">
        <f>AD3+AE3</f>
        <v>118</v>
      </c>
      <c r="AH3" s="8">
        <f>3+6</f>
        <v>9</v>
      </c>
      <c r="AI3" s="10">
        <f>AD3/$AD$7</f>
        <v>0.25327510917030566</v>
      </c>
      <c r="AJ3" s="30">
        <f>AE3/$AE$7</f>
        <v>0.27272727272727271</v>
      </c>
    </row>
    <row r="4" spans="1:36" x14ac:dyDescent="0.25">
      <c r="A4" s="37" t="s">
        <v>27</v>
      </c>
      <c r="B4" s="32">
        <f>26+34+35</f>
        <v>95</v>
      </c>
      <c r="C4" s="32">
        <f>21+24+20</f>
        <v>65</v>
      </c>
      <c r="D4" s="39">
        <f t="shared" ref="D4:D6" si="0">B4/C4</f>
        <v>1.4615384615384615</v>
      </c>
      <c r="E4" s="32">
        <f t="shared" ref="E4:E6" si="1">B4-C4</f>
        <v>30</v>
      </c>
      <c r="F4" s="32">
        <f t="shared" ref="F4:F6" si="2">B4+C4</f>
        <v>160</v>
      </c>
      <c r="G4" s="32">
        <f>12+7+8</f>
        <v>27</v>
      </c>
      <c r="H4" s="32">
        <f>18+27+29</f>
        <v>74</v>
      </c>
      <c r="I4" s="38">
        <f t="shared" ref="I4:I6" si="3">B4/$B$7</f>
        <v>0.30944625407166126</v>
      </c>
      <c r="J4" s="38">
        <f t="shared" ref="J4:J6" si="4">C4/$C$7</f>
        <v>0.23897058823529413</v>
      </c>
      <c r="K4" s="39">
        <f t="shared" ref="K4:L6" si="5">AVERAGE(B4/$B$8)</f>
        <v>31.666666666666668</v>
      </c>
      <c r="L4" s="39">
        <f t="shared" si="5"/>
        <v>21.666666666666668</v>
      </c>
      <c r="M4" s="32">
        <f>3339+3813+3720</f>
        <v>10872</v>
      </c>
      <c r="N4" s="43">
        <f>80+17</f>
        <v>97</v>
      </c>
      <c r="O4" s="32"/>
      <c r="P4" s="37" t="s">
        <v>27</v>
      </c>
      <c r="Q4" s="8">
        <f>11+6+4</f>
        <v>21</v>
      </c>
      <c r="R4" s="8">
        <f>4+9+6</f>
        <v>19</v>
      </c>
      <c r="S4" s="9">
        <f t="shared" ref="S4:S6" si="6">Q4/R4</f>
        <v>1.1052631578947369</v>
      </c>
      <c r="T4" s="8">
        <f t="shared" ref="T4:T6" si="7">Q4-R4</f>
        <v>2</v>
      </c>
      <c r="U4" s="10">
        <f t="shared" ref="U4:U6" si="8">Q4/$Q$7</f>
        <v>0.328125</v>
      </c>
      <c r="V4" s="10">
        <f t="shared" ref="V4:V6" si="9">R4/$R$7</f>
        <v>0.27536231884057971</v>
      </c>
      <c r="W4" s="8">
        <f>1+2+1</f>
        <v>4</v>
      </c>
      <c r="X4" s="8">
        <f>0+1+2</f>
        <v>3</v>
      </c>
      <c r="Y4" s="8">
        <f>0+0+0</f>
        <v>0</v>
      </c>
      <c r="Z4" s="9">
        <f t="shared" ref="Z4:Z6" si="10">Q4/$Q$9</f>
        <v>0.875</v>
      </c>
      <c r="AA4" s="14">
        <f t="shared" ref="AA4:AA6" si="11">Q4+R4</f>
        <v>40</v>
      </c>
      <c r="AC4" s="24" t="s">
        <v>27</v>
      </c>
      <c r="AD4" s="8">
        <f>36+26</f>
        <v>62</v>
      </c>
      <c r="AE4" s="8">
        <f>30+26</f>
        <v>56</v>
      </c>
      <c r="AF4" s="9">
        <f t="shared" ref="AF4:AF6" si="12">AD4/AE4</f>
        <v>1.1071428571428572</v>
      </c>
      <c r="AG4" s="8">
        <f t="shared" ref="AG4:AG6" si="13">AD4+AE4</f>
        <v>118</v>
      </c>
      <c r="AH4" s="8">
        <f>8+7</f>
        <v>15</v>
      </c>
      <c r="AI4" s="10">
        <f t="shared" ref="AI4:AI6" si="14">AD4/$AD$7</f>
        <v>0.27074235807860264</v>
      </c>
      <c r="AJ4" s="30">
        <f t="shared" ref="AJ4:AJ6" si="15">AE4/$AE$7</f>
        <v>0.25454545454545452</v>
      </c>
    </row>
    <row r="5" spans="1:36" x14ac:dyDescent="0.25">
      <c r="A5" s="37" t="s">
        <v>28</v>
      </c>
      <c r="B5" s="32">
        <f>22+32+20</f>
        <v>74</v>
      </c>
      <c r="C5" s="32">
        <f>20+30+26</f>
        <v>76</v>
      </c>
      <c r="D5" s="39">
        <f t="shared" si="0"/>
        <v>0.97368421052631582</v>
      </c>
      <c r="E5" s="32">
        <f t="shared" si="1"/>
        <v>-2</v>
      </c>
      <c r="F5" s="32">
        <f t="shared" si="2"/>
        <v>150</v>
      </c>
      <c r="G5" s="32">
        <f>7+9+5</f>
        <v>21</v>
      </c>
      <c r="H5" s="32">
        <f>12+19+13</f>
        <v>44</v>
      </c>
      <c r="I5" s="38">
        <f t="shared" si="3"/>
        <v>0.24104234527687296</v>
      </c>
      <c r="J5" s="38">
        <f t="shared" si="4"/>
        <v>0.27941176470588236</v>
      </c>
      <c r="K5" s="39">
        <f t="shared" si="5"/>
        <v>24.666666666666668</v>
      </c>
      <c r="L5" s="39">
        <f t="shared" si="5"/>
        <v>25.333333333333332</v>
      </c>
      <c r="M5" s="32">
        <f>2669+4102+2991</f>
        <v>9762</v>
      </c>
      <c r="N5" s="43">
        <f>63+88+75</f>
        <v>226</v>
      </c>
      <c r="O5" s="32"/>
      <c r="P5" s="37" t="s">
        <v>28</v>
      </c>
      <c r="Q5" s="8">
        <f>3+2+2</f>
        <v>7</v>
      </c>
      <c r="R5" s="8">
        <f>3+7+7</f>
        <v>17</v>
      </c>
      <c r="S5" s="9">
        <f t="shared" si="6"/>
        <v>0.41176470588235292</v>
      </c>
      <c r="T5" s="8">
        <f t="shared" si="7"/>
        <v>-10</v>
      </c>
      <c r="U5" s="10">
        <f t="shared" si="8"/>
        <v>0.109375</v>
      </c>
      <c r="V5" s="10">
        <f t="shared" si="9"/>
        <v>0.24637681159420291</v>
      </c>
      <c r="W5" s="8">
        <f>0+0+0</f>
        <v>0</v>
      </c>
      <c r="X5" s="8">
        <f>3+3+1</f>
        <v>7</v>
      </c>
      <c r="Y5" s="8">
        <f>0+0+0</f>
        <v>0</v>
      </c>
      <c r="Z5" s="9">
        <f t="shared" si="10"/>
        <v>0.29166666666666669</v>
      </c>
      <c r="AA5" s="14">
        <f t="shared" si="11"/>
        <v>24</v>
      </c>
      <c r="AC5" s="24" t="s">
        <v>28</v>
      </c>
      <c r="AD5" s="8">
        <f>37+23</f>
        <v>60</v>
      </c>
      <c r="AE5" s="8">
        <f>30+30</f>
        <v>60</v>
      </c>
      <c r="AF5" s="9">
        <f t="shared" si="12"/>
        <v>1</v>
      </c>
      <c r="AG5" s="8">
        <f t="shared" si="13"/>
        <v>120</v>
      </c>
      <c r="AH5" s="8">
        <f>9+3</f>
        <v>12</v>
      </c>
      <c r="AI5" s="10">
        <f t="shared" si="14"/>
        <v>0.26200873362445415</v>
      </c>
      <c r="AJ5" s="30">
        <f t="shared" si="15"/>
        <v>0.27272727272727271</v>
      </c>
    </row>
    <row r="6" spans="1:36" x14ac:dyDescent="0.25">
      <c r="A6" s="52" t="s">
        <v>29</v>
      </c>
      <c r="B6" s="32">
        <f>30+22+19</f>
        <v>71</v>
      </c>
      <c r="C6" s="32">
        <f>16+21+19</f>
        <v>56</v>
      </c>
      <c r="D6" s="39">
        <f t="shared" si="0"/>
        <v>1.2678571428571428</v>
      </c>
      <c r="E6" s="32">
        <f t="shared" si="1"/>
        <v>15</v>
      </c>
      <c r="F6" s="32">
        <f t="shared" si="2"/>
        <v>127</v>
      </c>
      <c r="G6" s="32">
        <f>11+6+6</f>
        <v>23</v>
      </c>
      <c r="H6" s="32">
        <f>26+16+17</f>
        <v>59</v>
      </c>
      <c r="I6" s="38">
        <f t="shared" si="3"/>
        <v>0.23127035830618892</v>
      </c>
      <c r="J6" s="38">
        <f t="shared" si="4"/>
        <v>0.20588235294117646</v>
      </c>
      <c r="K6" s="39">
        <f t="shared" si="5"/>
        <v>23.666666666666668</v>
      </c>
      <c r="L6" s="39">
        <f t="shared" si="5"/>
        <v>18.666666666666668</v>
      </c>
      <c r="M6" s="32">
        <f>3143+2564+2341</f>
        <v>8048</v>
      </c>
      <c r="N6" s="43">
        <f>103+93+129</f>
        <v>325</v>
      </c>
      <c r="O6" s="32"/>
      <c r="P6" s="52" t="s">
        <v>29</v>
      </c>
      <c r="Q6" s="8">
        <f>7+2+2</f>
        <v>11</v>
      </c>
      <c r="R6" s="8">
        <f>6+5+6</f>
        <v>17</v>
      </c>
      <c r="S6" s="9">
        <f t="shared" si="6"/>
        <v>0.6470588235294118</v>
      </c>
      <c r="T6" s="8">
        <f t="shared" si="7"/>
        <v>-6</v>
      </c>
      <c r="U6" s="10">
        <f t="shared" si="8"/>
        <v>0.171875</v>
      </c>
      <c r="V6" s="10">
        <f t="shared" si="9"/>
        <v>0.24637681159420291</v>
      </c>
      <c r="W6" s="8">
        <f>2+0+0</f>
        <v>2</v>
      </c>
      <c r="X6" s="8">
        <f>3+1+2</f>
        <v>6</v>
      </c>
      <c r="Y6" s="8">
        <f>0+0+0</f>
        <v>0</v>
      </c>
      <c r="Z6" s="9">
        <f t="shared" si="10"/>
        <v>0.45833333333333331</v>
      </c>
      <c r="AA6" s="14">
        <f t="shared" si="11"/>
        <v>28</v>
      </c>
      <c r="AC6" s="36" t="s">
        <v>29</v>
      </c>
      <c r="AD6" s="8">
        <f>24+25</f>
        <v>49</v>
      </c>
      <c r="AE6" s="8">
        <f>21+23</f>
        <v>44</v>
      </c>
      <c r="AF6" s="9">
        <f t="shared" si="12"/>
        <v>1.1136363636363635</v>
      </c>
      <c r="AG6" s="8">
        <f t="shared" si="13"/>
        <v>93</v>
      </c>
      <c r="AH6" s="8">
        <f>2+3</f>
        <v>5</v>
      </c>
      <c r="AI6" s="10">
        <f t="shared" si="14"/>
        <v>0.21397379912663755</v>
      </c>
      <c r="AJ6" s="30">
        <f t="shared" si="15"/>
        <v>0.2</v>
      </c>
    </row>
    <row r="7" spans="1:36" x14ac:dyDescent="0.25">
      <c r="A7" s="44" t="s">
        <v>79</v>
      </c>
      <c r="B7" s="32">
        <f>SUM(B3:B6)</f>
        <v>307</v>
      </c>
      <c r="C7" s="32">
        <f>SUM(C3:C6)</f>
        <v>272</v>
      </c>
      <c r="D7" s="32"/>
      <c r="E7" s="32"/>
      <c r="F7" s="32">
        <f>SUM(F3:F6)</f>
        <v>579</v>
      </c>
      <c r="G7" s="32">
        <f>SUM(G3:G6)</f>
        <v>81</v>
      </c>
      <c r="H7" s="32">
        <f>SUM(H3:H6)</f>
        <v>228</v>
      </c>
      <c r="I7" s="32"/>
      <c r="J7" s="32"/>
      <c r="K7" s="32"/>
      <c r="L7" s="32"/>
      <c r="M7" s="32"/>
      <c r="N7" s="43"/>
      <c r="O7" s="32"/>
      <c r="P7" s="44" t="s">
        <v>79</v>
      </c>
      <c r="Q7" s="8">
        <f>SUM(Q3:Q6)</f>
        <v>64</v>
      </c>
      <c r="R7" s="8">
        <f>SUM(R3:R6)</f>
        <v>69</v>
      </c>
      <c r="S7" s="8"/>
      <c r="T7" s="8"/>
      <c r="U7" s="8"/>
      <c r="V7" s="8"/>
      <c r="W7" s="8">
        <f>SUM(W3:W6)</f>
        <v>7</v>
      </c>
      <c r="X7" s="8">
        <f>SUM(X3:X6)</f>
        <v>18</v>
      </c>
      <c r="Y7" s="8">
        <f>SUM(Y3:Y6)</f>
        <v>2</v>
      </c>
      <c r="Z7" s="8"/>
      <c r="AA7" s="14">
        <f>SUM(AA3:AA6)</f>
        <v>133</v>
      </c>
      <c r="AC7" s="25" t="s">
        <v>79</v>
      </c>
      <c r="AD7" s="26">
        <f>SUM(AD3:AD6)</f>
        <v>229</v>
      </c>
      <c r="AE7" s="26">
        <f>SUM(AE3:AE6)</f>
        <v>220</v>
      </c>
      <c r="AF7" s="26"/>
      <c r="AG7" s="26">
        <f>SUM(AG3:AG6)</f>
        <v>449</v>
      </c>
      <c r="AH7" s="26">
        <f>SUM(AH3:AH6)</f>
        <v>41</v>
      </c>
      <c r="AI7" s="26"/>
      <c r="AJ7" s="27"/>
    </row>
    <row r="8" spans="1:36" x14ac:dyDescent="0.25">
      <c r="A8" s="45" t="s">
        <v>80</v>
      </c>
      <c r="B8" s="46">
        <f>1+1+1</f>
        <v>3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7"/>
      <c r="O8" s="32"/>
      <c r="P8" s="44" t="s">
        <v>80</v>
      </c>
      <c r="Q8">
        <f>1+1+1</f>
        <v>3</v>
      </c>
      <c r="AA8" s="2"/>
    </row>
    <row r="9" spans="1:3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45" t="s">
        <v>86</v>
      </c>
      <c r="Q9" s="3">
        <f>8+9+7</f>
        <v>24</v>
      </c>
      <c r="R9" s="3"/>
      <c r="S9" s="3"/>
      <c r="T9" s="3"/>
      <c r="U9" s="3"/>
      <c r="V9" s="3"/>
      <c r="W9" s="3"/>
      <c r="X9" s="3"/>
      <c r="Y9" s="3"/>
      <c r="Z9" s="3"/>
      <c r="AA9" s="4"/>
    </row>
    <row r="10" spans="1:3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</row>
    <row r="11" spans="1:36" ht="27.75" customHeight="1" x14ac:dyDescent="0.5">
      <c r="A11" s="34"/>
      <c r="B11" s="34"/>
      <c r="C11" s="34"/>
      <c r="D11" s="34"/>
      <c r="E11" s="34"/>
      <c r="F11" s="34"/>
      <c r="G11" s="34"/>
      <c r="H11" s="32"/>
      <c r="I11" s="32"/>
      <c r="J11" s="32"/>
      <c r="K11" s="32"/>
      <c r="L11" s="32"/>
      <c r="M11" s="32"/>
      <c r="N11" s="32"/>
      <c r="O11" s="32"/>
      <c r="P11" s="34"/>
      <c r="Q11" s="33"/>
      <c r="R11" s="33"/>
      <c r="S11" s="33"/>
      <c r="T11" s="33"/>
      <c r="U11" s="33"/>
      <c r="V11" s="33"/>
      <c r="AC11" s="33"/>
      <c r="AD11" s="106" t="s">
        <v>89</v>
      </c>
      <c r="AE11" s="106"/>
      <c r="AF11" s="106"/>
      <c r="AG11" s="106"/>
      <c r="AH11" s="33"/>
      <c r="AI11" s="33"/>
    </row>
    <row r="12" spans="1:36" ht="18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AC12" s="8"/>
      <c r="AD12" s="8"/>
      <c r="AE12" s="8"/>
      <c r="AF12" s="8"/>
      <c r="AG12" s="8"/>
      <c r="AH12" s="8"/>
      <c r="AI12" s="8"/>
    </row>
    <row r="13" spans="1:36" x14ac:dyDescent="0.25">
      <c r="A13" s="32"/>
      <c r="B13" s="32"/>
      <c r="C13" s="32"/>
      <c r="D13" s="32"/>
      <c r="E13" s="32"/>
      <c r="F13" s="32"/>
      <c r="G13" s="51"/>
      <c r="H13" s="32"/>
      <c r="I13" s="32"/>
      <c r="J13" s="32"/>
      <c r="K13" s="32"/>
      <c r="L13" s="32"/>
      <c r="M13" s="32"/>
      <c r="N13" s="32"/>
      <c r="O13" s="32"/>
      <c r="P13" s="32"/>
      <c r="Q13" s="8"/>
      <c r="R13" s="8"/>
      <c r="S13" s="8"/>
      <c r="T13" s="8"/>
      <c r="U13" s="8"/>
      <c r="V13" s="29"/>
      <c r="AC13" s="8"/>
      <c r="AD13" s="8"/>
      <c r="AE13" s="8"/>
      <c r="AF13" s="8"/>
      <c r="AG13" s="8"/>
      <c r="AH13" s="8"/>
      <c r="AI13" s="29"/>
    </row>
    <row r="14" spans="1:36" x14ac:dyDescent="0.25">
      <c r="A14" s="32"/>
      <c r="B14" s="32"/>
      <c r="C14" s="32"/>
      <c r="D14" s="32"/>
      <c r="E14" s="32"/>
      <c r="F14" s="32"/>
      <c r="G14" s="51"/>
      <c r="H14" s="32"/>
      <c r="I14" s="32"/>
      <c r="J14" s="32"/>
      <c r="K14" s="32"/>
      <c r="L14" s="32"/>
      <c r="M14" s="32"/>
      <c r="N14" s="32"/>
      <c r="O14" s="32"/>
      <c r="P14" s="32"/>
      <c r="Q14" s="8"/>
      <c r="R14" s="8"/>
      <c r="S14" s="8"/>
      <c r="T14" s="8"/>
      <c r="U14" s="8"/>
      <c r="V14" s="29"/>
      <c r="AC14" s="8"/>
      <c r="AD14" s="8"/>
      <c r="AE14" s="8"/>
      <c r="AF14" s="8"/>
      <c r="AG14" s="8"/>
      <c r="AH14" s="8"/>
      <c r="AI14" s="29"/>
    </row>
    <row r="15" spans="1:36" x14ac:dyDescent="0.25">
      <c r="A15" s="32"/>
      <c r="B15" s="32"/>
      <c r="C15" s="32"/>
      <c r="D15" s="32"/>
      <c r="E15" s="32"/>
      <c r="F15" s="32"/>
      <c r="G15" s="51"/>
      <c r="H15" s="32"/>
      <c r="I15" s="32"/>
      <c r="J15" s="32"/>
      <c r="K15" s="32"/>
      <c r="L15" s="32"/>
      <c r="M15" s="32"/>
      <c r="N15" s="32"/>
      <c r="O15" s="32"/>
      <c r="P15" s="32"/>
      <c r="Q15" s="8"/>
      <c r="R15" s="8"/>
      <c r="S15" s="8"/>
      <c r="T15" s="8"/>
      <c r="U15" s="8"/>
      <c r="V15" s="29"/>
      <c r="AC15" s="8"/>
      <c r="AD15" s="8"/>
      <c r="AE15" s="8"/>
      <c r="AF15" s="8"/>
      <c r="AG15" s="8"/>
      <c r="AH15" s="8"/>
      <c r="AI15" s="29"/>
    </row>
    <row r="16" spans="1:36" x14ac:dyDescent="0.25">
      <c r="A16" s="32"/>
      <c r="B16" s="32"/>
      <c r="C16" s="32"/>
      <c r="D16" s="32"/>
      <c r="E16" s="32"/>
      <c r="F16" s="32"/>
      <c r="G16" s="51"/>
      <c r="H16" s="32"/>
      <c r="I16" s="32"/>
      <c r="J16" s="32"/>
      <c r="K16" s="32"/>
      <c r="L16" s="32"/>
      <c r="M16" s="32"/>
      <c r="N16" s="32"/>
      <c r="O16" s="32"/>
      <c r="P16" s="32"/>
      <c r="Q16" s="8"/>
      <c r="R16" s="8"/>
      <c r="S16" s="8"/>
      <c r="T16" s="8"/>
      <c r="U16" s="8"/>
      <c r="V16" s="29"/>
    </row>
    <row r="17" spans="1:22" x14ac:dyDescent="0.25">
      <c r="A17" s="32"/>
      <c r="B17" s="32"/>
      <c r="C17" s="32"/>
      <c r="D17" s="32"/>
      <c r="E17" s="32"/>
      <c r="F17" s="32"/>
      <c r="G17" s="51"/>
      <c r="H17" s="32"/>
      <c r="I17" s="32"/>
      <c r="J17" s="32"/>
      <c r="K17" s="32"/>
      <c r="L17" s="32"/>
      <c r="M17" s="32"/>
      <c r="N17" s="32"/>
      <c r="O17" s="32"/>
      <c r="P17" s="32"/>
      <c r="Q17" s="8"/>
      <c r="R17" s="8"/>
      <c r="S17" s="8"/>
      <c r="T17" s="8"/>
      <c r="U17" s="8"/>
      <c r="V17" s="29"/>
    </row>
    <row r="18" spans="1:2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1:2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</row>
    <row r="20" spans="1:2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</row>
    <row r="21" spans="1:2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2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1:2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 spans="1:2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 spans="1:2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 spans="1:2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2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</row>
    <row r="32" spans="1:22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</row>
    <row r="33" spans="1:16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</row>
    <row r="34" spans="1:16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</row>
    <row r="35" spans="1:16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</row>
    <row r="36" spans="1:16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</row>
    <row r="37" spans="1:16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1:16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</row>
    <row r="39" spans="1:16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spans="1:16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  <row r="41" spans="1:16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</row>
    <row r="42" spans="1:16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</row>
    <row r="43" spans="1:16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</row>
    <row r="44" spans="1:16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</row>
    <row r="45" spans="1:16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</row>
    <row r="46" spans="1:16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</row>
    <row r="47" spans="1:16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</row>
    <row r="48" spans="1:16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</row>
    <row r="49" spans="1:16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</row>
  </sheetData>
  <mergeCells count="4">
    <mergeCell ref="A1:N1"/>
    <mergeCell ref="P1:Z1"/>
    <mergeCell ref="AC1:AJ1"/>
    <mergeCell ref="AD11:AG1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U b g b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R u B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b g b V w l j b A 0 m A g A A P A o A A B M A H A B G b 3 J t d W x h c y 9 T Z W N 0 a W 9 u M S 5 t I K I Y A C i g F A A A A A A A A A A A A A A A A A A A A A A A A A A A A M 1 V X W / a M B R 9 R + I / W J k q g Z b R w b r u S z z Q p B U t 6 o q W V H 0 g a D L J H U R 1 b G Q 7 F Q j x 3 2 c T C i y J q T Y q j b x E O u f 6 n n P t n F h A K G N G k Z e 9 m 9 + q l W p F T D C H C L 2 x 7 p 6 A Y 0 K Q w 6 j k j F i o j Q j I a g W p x 2 M p D 0 E h l 7 M Q S O O B 8 c c R Y 4 + 1 q 5 h A Q y 8 A K k X N c r 4 G 9 w K 4 C D q q 1 x z 5 m F L g g c v C N N E F g c M i 5 G K J g 9 u H F n I m O J m K x o y I m V W 3 E U 0 J s Z H k K d T t T L R g 6 a c 3 A Z D a W O Z n M b i W k L Q L z u 1 e T K O 2 l V U P l w M t O d w 0 7 X O W M K l G 7 g K O l F n d z 8 c j N c i a W e M 1 k 7 6 N B u v K D i F e i A n m o q 2 N D 7 f O 1 X B 0 r D T 8 + R S 2 A j 7 H V P x i P H E Y S R O q S S 1 T c G Q v F l a f 4 D l w J S Z V F Z I w k 0 s b L S w f c C I K a C 8 m R K P X V J 6 f N X T f F e w C l p M S v O c + d 6 B p M g K + A m t v T 9 / V i 7 W X d I z H s D q / I n l 3 c Y M M 2 i c b I i 9 0 g j a + 8 l S 2 L 8 3 m M 4 X p f B d v G f A P B v z M g H 8 0 4 O c G / N M u v q x X K z E t P e j y Q H X 7 x 5 S l b v + l G C m / r 5 6 g j e p / D 4 8 x O / l v 0 f i R 7 k 1 P H v 8 z P n l 2 N z 9 5 7 l 7 9 c 9 R E U V a A S o P 0 L x n r P I 2 N y z R n X N h V i 5 A f J 1 C 2 W T h R Y 5 Y Q t 3 h a 8 n M o y 9 U O / t m A f y n H W + 8 P y q f 3 3 T 2 m g C o 7 L y V U O 3 7 1 i G 5 1 j z e j B 9 9 v 6 C 8 v u K u Y C 4 k u C G O R k T W 5 2 B t P c 8 z U v p R a W f U 6 / c F S G p l v z o N u v H 3 J + Q 1 Q S w E C L Q A U A A I A C A B R u B t X n Y h m j 6 M A A A D 2 A A A A E g A A A A A A A A A A A A A A A A A A A A A A Q 2 9 u Z m l n L 1 B h Y 2 t h Z 2 U u e G 1 s U E s B A i 0 A F A A C A A g A U b g b V w / K 6 a u k A A A A 6 Q A A A B M A A A A A A A A A A A A A A A A A 7 w A A A F t D b 2 5 0 Z W 5 0 X 1 R 5 c G V z X S 5 4 b W x Q S w E C L Q A U A A I A C A B R u B t X C W N s D S Y C A A A 8 C g A A E w A A A A A A A A A A A A A A A A D g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M w A A A A A A A K 4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d m V y Y W x s J T I w Q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A y O j U 3 O j Q 2 L j I w M D E 4 N z V a I i A v P j x F b n R y e S B U e X B l P S J G a W x s Q 2 9 s d W 1 u V H l w Z X M i I F Z h b H V l P S J z Q m d Z R E F 3 V U R B d 0 1 G Q l F B Q U F B Q U F B Q U E 9 I i A v P j x F b n R y e S B U e X B l P S J G a W x s Q 2 9 s d W 1 u T m F t Z X M i I F Z h b H V l P S J z W y Z x d W 9 0 O 1 B s Y X l l c i Z x d W 9 0 O y w m c X V v d D t U Z W F t c y Z x d W 9 0 O y w m c X V v d D t L a W x s c y Z x d W 9 0 O y w m c X V v d D t E Z W F 0 a H M m c X V v d D s s J n F 1 b 3 Q 7 S 0 Q m c X V v d D s s J n F 1 b 3 Q 7 K C s v L S k m c X V v d D s s J n F 1 b 3 Q 7 R W 5 n Y W d l b W V u d H M m c X V v d D s s J n F 1 b 3 Q 7 T 0 J K I E t p b G x z J n F 1 b 3 Q 7 L C Z x d W 9 0 O y U g S 2 l s b H M m c X V v d D s s J n F 1 b 3 Q 7 J S B E Z W F 0 a H M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C B D b 2 5 0 c m 9 s L 0 N o Y W 5 n Z W Q g V H l w Z S 5 7 U G x h e W V y L D B 9 J n F 1 b 3 Q 7 L C Z x d W 9 0 O 1 N l Y 3 R p b 2 4 x L 0 9 2 Z X J h b G w g Q 2 9 u d H J v b C 9 D a G F u Z 2 V k I F R 5 c G U u e 1 R l Y W 1 z L D F 9 J n F 1 b 3 Q 7 L C Z x d W 9 0 O 1 N l Y 3 R p b 2 4 x L 0 9 2 Z X J h b G w g Q 2 9 u d H J v b C 9 D a G F u Z 2 V k I F R 5 c G U u e 0 t p b G x z L D J 9 J n F 1 b 3 Q 7 L C Z x d W 9 0 O 1 N l Y 3 R p b 2 4 x L 0 9 2 Z X J h b G w g Q 2 9 u d H J v b C 9 D a G F u Z 2 V k I F R 5 c G U u e 0 R l Y X R o c y w z f S Z x d W 9 0 O y w m c X V v d D t T Z W N 0 a W 9 u M S 9 P d m V y Y W x s I E N v b n R y b 2 w v Q 2 h h b m d l Z C B U e X B l L n t L R C w 0 f S Z x d W 9 0 O y w m c X V v d D t T Z W N 0 a W 9 u M S 9 P d m V y Y W x s I E N v b n R y b 2 w v Q 2 h h b m d l Z C B U e X B l L n s o K y 8 t K S w 1 f S Z x d W 9 0 O y w m c X V v d D t T Z W N 0 a W 9 u M S 9 P d m V y Y W x s I E N v b n R y b 2 w v Q 2 h h b m d l Z C B U e X B l L n t F b m d h Z 2 V t Z W 5 0 c y w 2 f S Z x d W 9 0 O y w m c X V v d D t T Z W N 0 a W 9 u M S 9 P d m V y Y W x s I E N v b n R y b 2 w v Q 2 h h b m d l Z C B U e X B l L n t P Q k o g S 2 l s b H M s N 3 0 m c X V v d D s s J n F 1 b 3 Q 7 U 2 V j d G l v b j E v T 3 Z l c m F s b C B D b 2 5 0 c m 9 s L 0 N o Y W 5 n Z W Q g V H l w Z S 5 7 J S B L a W x s c y w 4 f S Z x d W 9 0 O y w m c X V v d D t T Z W N 0 a W 9 u M S 9 P d m V y Y W x s I E N v b n R y b 2 w v Q 2 h h b m d l Z C B U e X B l L n s l I E R l Y X R o c y w 5 f S Z x d W 9 0 O y w m c X V v d D t T Z W N 0 a W 9 u M S 9 P d m V y Y W x s I E N v b n R y b 2 w v Q 2 h h b m d l Z C B U e X B l L n t D b 2 x 1 b W 4 x M S w x M H 0 m c X V v d D s s J n F 1 b 3 Q 7 U 2 V j d G l v b j E v T 3 Z l c m F s b C B D b 2 5 0 c m 9 s L 0 N o Y W 5 n Z W Q g V H l w Z S 5 7 Q 2 9 s d W 1 u M T I s M T F 9 J n F 1 b 3 Q 7 L C Z x d W 9 0 O 1 N l Y 3 R p b 2 4 x L 0 9 2 Z X J h b G w g Q 2 9 u d H J v b C 9 D a G F u Z 2 V k I F R 5 c G U u e 0 N v b H V t b j E z L D E y f S Z x d W 9 0 O y w m c X V v d D t T Z W N 0 a W 9 u M S 9 P d m V y Y W x s I E N v b n R y b 2 w v Q 2 h h b m d l Z C B U e X B l L n t D b 2 x 1 b W 4 x N C w x M 3 0 m c X V v d D s s J n F 1 b 3 Q 7 U 2 V j d G l v b j E v T 3 Z l c m F s b C B D b 2 5 0 c m 9 s L 0 N o Y W 5 n Z W Q g V H l w Z S 5 7 Q 2 9 s d W 1 u M T U s M T R 9 J n F 1 b 3 Q 7 L C Z x d W 9 0 O 1 N l Y 3 R p b 2 4 x L 0 9 2 Z X J h b G w g Q 2 9 u d H J v b C 9 D a G F u Z 2 V k I F R 5 c G U u e 0 N v b H V t b j E 2 L D E 1 f S Z x d W 9 0 O y w m c X V v d D t T Z W N 0 a W 9 u M S 9 P d m V y Y W x s I E N v b n R y b 2 w v Q 2 h h b m d l Z C B U e X B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9 2 Z X J h b G w g Q 2 9 u d H J v b C 9 D a G F u Z 2 V k I F R 5 c G U u e 1 B s Y X l l c i w w f S Z x d W 9 0 O y w m c X V v d D t T Z W N 0 a W 9 u M S 9 P d m V y Y W x s I E N v b n R y b 2 w v Q 2 h h b m d l Z C B U e X B l L n t U Z W F t c y w x f S Z x d W 9 0 O y w m c X V v d D t T Z W N 0 a W 9 u M S 9 P d m V y Y W x s I E N v b n R y b 2 w v Q 2 h h b m d l Z C B U e X B l L n t L a W x s c y w y f S Z x d W 9 0 O y w m c X V v d D t T Z W N 0 a W 9 u M S 9 P d m V y Y W x s I E N v b n R y b 2 w v Q 2 h h b m d l Z C B U e X B l L n t E Z W F 0 a H M s M 3 0 m c X V v d D s s J n F 1 b 3 Q 7 U 2 V j d G l v b j E v T 3 Z l c m F s b C B D b 2 5 0 c m 9 s L 0 N o Y W 5 n Z W Q g V H l w Z S 5 7 S 0 Q s N H 0 m c X V v d D s s J n F 1 b 3 Q 7 U 2 V j d G l v b j E v T 3 Z l c m F s b C B D b 2 5 0 c m 9 s L 0 N o Y W 5 n Z W Q g V H l w Z S 5 7 K C s v L S k s N X 0 m c X V v d D s s J n F 1 b 3 Q 7 U 2 V j d G l v b j E v T 3 Z l c m F s b C B D b 2 5 0 c m 9 s L 0 N o Y W 5 n Z W Q g V H l w Z S 5 7 R W 5 n Y W d l b W V u d H M s N n 0 m c X V v d D s s J n F 1 b 3 Q 7 U 2 V j d G l v b j E v T 3 Z l c m F s b C B D b 2 5 0 c m 9 s L 0 N o Y W 5 n Z W Q g V H l w Z S 5 7 T 0 J K I E t p b G x z L D d 9 J n F 1 b 3 Q 7 L C Z x d W 9 0 O 1 N l Y 3 R p b 2 4 x L 0 9 2 Z X J h b G w g Q 2 9 u d H J v b C 9 D a G F u Z 2 V k I F R 5 c G U u e y U g S 2 l s b H M s O H 0 m c X V v d D s s J n F 1 b 3 Q 7 U 2 V j d G l v b j E v T 3 Z l c m F s b C B D b 2 5 0 c m 9 s L 0 N o Y W 5 n Z W Q g V H l w Z S 5 7 J S B E Z W F 0 a H M s O X 0 m c X V v d D s s J n F 1 b 3 Q 7 U 2 V j d G l v b j E v T 3 Z l c m F s b C B D b 2 5 0 c m 9 s L 0 N o Y W 5 n Z W Q g V H l w Z S 5 7 Q 2 9 s d W 1 u M T E s M T B 9 J n F 1 b 3 Q 7 L C Z x d W 9 0 O 1 N l Y 3 R p b 2 4 x L 0 9 2 Z X J h b G w g Q 2 9 u d H J v b C 9 D a G F u Z 2 V k I F R 5 c G U u e 0 N v b H V t b j E y L D E x f S Z x d W 9 0 O y w m c X V v d D t T Z W N 0 a W 9 u M S 9 P d m V y Y W x s I E N v b n R y b 2 w v Q 2 h h b m d l Z C B U e X B l L n t D b 2 x 1 b W 4 x M y w x M n 0 m c X V v d D s s J n F 1 b 3 Q 7 U 2 V j d G l v b j E v T 3 Z l c m F s b C B D b 2 5 0 c m 9 s L 0 N o Y W 5 n Z W Q g V H l w Z S 5 7 Q 2 9 s d W 1 u M T Q s M T N 9 J n F 1 b 3 Q 7 L C Z x d W 9 0 O 1 N l Y 3 R p b 2 4 x L 0 9 2 Z X J h b G w g Q 2 9 u d H J v b C 9 D a G F u Z 2 V k I F R 5 c G U u e 0 N v b H V t b j E 1 L D E 0 f S Z x d W 9 0 O y w m c X V v d D t T Z W N 0 a W 9 u M S 9 P d m V y Y W x s I E N v b n R y b 2 w v Q 2 h h b m d l Z C B U e X B l L n t D b 2 x 1 b W 4 x N i w x N X 0 m c X V v d D s s J n F 1 b 3 Q 7 U 2 V j d G l v b j E v T 3 Z l c m F s b C B D b 2 5 0 c m 9 s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m V y Y W x s J T I w Q 2 9 u d H J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J T I w Q 2 9 u d H J v b C 9 P d m V y Y W x s J T I w Q 2 9 u d H J v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w l M j B D b 2 5 0 c m 9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w l M j B D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U y M E h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M Y X N 0 V X B k Y X R l Z C I g V m F s d W U 9 I m Q y M D I z L T A 4 L T I 4 V D A y O j U 3 O j Q 2 L j I w N T Y 0 M T l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S I g L z 4 8 R W 5 0 c n k g V H l w Z T 0 i R m l s b E N v d W 5 0 I i B W Y W x 1 Z T 0 i b D Q 5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G a W x s Q 2 9 s d W 1 u V H l w Z X M i I F Z h b H V l P S J z Q m d Z R k J R V U Z C U V V G Q l F V R k J R V U Z B d 0 F B Q U F B P S I g L z 4 8 R W 5 0 c n k g V H l w Z T 0 i R m l s b E N v b H V t b k 5 h b W V z I i B W Y W x 1 Z T 0 i c 1 s m c X V v d D t Q b G F 5 Z X I m c X V v d D s s J n F 1 b 3 Q 7 V G V h b S Z x d W 9 0 O y w m c X V v d D t L a W x s c y Z x d W 9 0 O y w m c X V v d D t E Z W F 0 a H M m c X V v d D s s J n F 1 b 3 Q 7 S 0 Q m c X V v d D s s J n F 1 b 3 Q 7 K C s v L S k m c X V v d D s s J n F 1 b 3 Q 7 R W 5 n Y W d l b W V u d H M m c X V v d D s s J n F 1 b 3 Q 7 T 0 J K I E t p b G x z J n F 1 b 3 Q 7 L C Z x d W 9 0 O 1 V u d H J h Z G V k I E t p b G x z I C Z x d W 9 0 O y w m c X V v d D s l I C B L a W x s c y Z x d W 9 0 O y w m c X V v d D s l I E R l Y X R o c y Z x d W 9 0 O y w m c X V v d D t B d m c g S 2 l s b H M m c X V v d D s s J n F 1 b 3 Q 7 Q X Z n I E R l Y X R o c y Z x d W 9 0 O y w m c X V v d D t I a W x s I F R p b W U m c X V v d D s s J n F 1 b 3 Q 7 R G F t Y W d l J n F 1 b 3 Q 7 L C Z x d W 9 0 O 0 1 h c H M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C B I U C 9 D a G F u Z 2 V k I F R 5 c G U u e 1 B s Y X l l c i w w f S Z x d W 9 0 O y w m c X V v d D t T Z W N 0 a W 9 u M S 9 P d m V y Y W x s I E h Q L 0 N o Y W 5 n Z W Q g V H l w Z S 5 7 V G V h b S w x f S Z x d W 9 0 O y w m c X V v d D t T Z W N 0 a W 9 u M S 9 P d m V y Y W x s I E h Q L 0 N o Y W 5 n Z W Q g V H l w Z S 5 7 S 2 l s b H M s M n 0 m c X V v d D s s J n F 1 b 3 Q 7 U 2 V j d G l v b j E v T 3 Z l c m F s b C B I U C 9 D a G F u Z 2 V k I F R 5 c G U u e 0 R l Y X R o c y w z f S Z x d W 9 0 O y w m c X V v d D t T Z W N 0 a W 9 u M S 9 P d m V y Y W x s I E h Q L 0 N o Y W 5 n Z W Q g V H l w Z S 5 7 S 0 Q s N H 0 m c X V v d D s s J n F 1 b 3 Q 7 U 2 V j d G l v b j E v T 3 Z l c m F s b C B I U C 9 D a G F u Z 2 V k I F R 5 c G U u e y g r L y 0 p L D V 9 J n F 1 b 3 Q 7 L C Z x d W 9 0 O 1 N l Y 3 R p b 2 4 x L 0 9 2 Z X J h b G w g S F A v Q 2 h h b m d l Z C B U e X B l L n t F b m d h Z 2 V t Z W 5 0 c y w 2 f S Z x d W 9 0 O y w m c X V v d D t T Z W N 0 a W 9 u M S 9 P d m V y Y W x s I E h Q L 0 N o Y W 5 n Z W Q g V H l w Z S 5 7 T 0 J K I E t p b G x z L D d 9 J n F 1 b 3 Q 7 L C Z x d W 9 0 O 1 N l Y 3 R p b 2 4 x L 0 9 2 Z X J h b G w g S F A v Q 2 h h b m d l Z C B U e X B l L n t V b n R y Y W R l Z C B L a W x s c y A s O H 0 m c X V v d D s s J n F 1 b 3 Q 7 U 2 V j d G l v b j E v T 3 Z l c m F s b C B I U C 9 D a G F u Z 2 V k I F R 5 c G U u e y U g I E t p b G x z L D l 9 J n F 1 b 3 Q 7 L C Z x d W 9 0 O 1 N l Y 3 R p b 2 4 x L 0 9 2 Z X J h b G w g S F A v Q 2 h h b m d l Z C B U e X B l L n s l I E R l Y X R o c y w x M H 0 m c X V v d D s s J n F 1 b 3 Q 7 U 2 V j d G l v b j E v T 3 Z l c m F s b C B I U C 9 D a G F u Z 2 V k I F R 5 c G U u e 0 F 2 Z y B L a W x s c y w x M X 0 m c X V v d D s s J n F 1 b 3 Q 7 U 2 V j d G l v b j E v T 3 Z l c m F s b C B I U C 9 D a G F u Z 2 V k I F R 5 c G U u e 0 F 2 Z y B E Z W F 0 a H M s M T J 9 J n F 1 b 3 Q 7 L C Z x d W 9 0 O 1 N l Y 3 R p b 2 4 x L 0 9 2 Z X J h b G w g S F A v Q 2 h h b m d l Z C B U e X B l L n t I a W x s I F R p b W U s M T N 9 J n F 1 b 3 Q 7 L C Z x d W 9 0 O 1 N l Y 3 R p b 2 4 x L 0 9 2 Z X J h b G w g S F A v Q 2 h h b m d l Z C B U e X B l L n t E Y W 1 h Z 2 U s M T R 9 J n F 1 b 3 Q 7 L C Z x d W 9 0 O 1 N l Y 3 R p b 2 4 x L 0 9 2 Z X J h b G w g S F A v Q 2 h h b m d l Z C B U e X B l L n t N Y X B z L D E 1 f S Z x d W 9 0 O y w m c X V v d D t T Z W N 0 a W 9 u M S 9 P d m V y Y W x s I E h Q L 0 N o Y W 5 n Z W Q g V H l w Z S 5 7 Q 2 9 s d W 1 u M T c s M T Z 9 J n F 1 b 3 Q 7 L C Z x d W 9 0 O 1 N l Y 3 R p b 2 4 x L 0 9 2 Z X J h b G w g S F A v Q 2 h h b m d l Z C B U e X B l L n t D b 2 x 1 b W 4 x O C w x N 3 0 m c X V v d D s s J n F 1 b 3 Q 7 U 2 V j d G l v b j E v T 3 Z l c m F s b C B I U C 9 D a G F u Z 2 V k I F R 5 c G U u e 0 N v b H V t b j E 5 L D E 4 f S Z x d W 9 0 O y w m c X V v d D t T Z W N 0 a W 9 u M S 9 P d m V y Y W x s I E h Q L 0 N o Y W 5 n Z W Q g V H l w Z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P d m V y Y W x s I E h Q L 0 N o Y W 5 n Z W Q g V H l w Z S 5 7 U G x h e W V y L D B 9 J n F 1 b 3 Q 7 L C Z x d W 9 0 O 1 N l Y 3 R p b 2 4 x L 0 9 2 Z X J h b G w g S F A v Q 2 h h b m d l Z C B U e X B l L n t U Z W F t L D F 9 J n F 1 b 3 Q 7 L C Z x d W 9 0 O 1 N l Y 3 R p b 2 4 x L 0 9 2 Z X J h b G w g S F A v Q 2 h h b m d l Z C B U e X B l L n t L a W x s c y w y f S Z x d W 9 0 O y w m c X V v d D t T Z W N 0 a W 9 u M S 9 P d m V y Y W x s I E h Q L 0 N o Y W 5 n Z W Q g V H l w Z S 5 7 R G V h d G h z L D N 9 J n F 1 b 3 Q 7 L C Z x d W 9 0 O 1 N l Y 3 R p b 2 4 x L 0 9 2 Z X J h b G w g S F A v Q 2 h h b m d l Z C B U e X B l L n t L R C w 0 f S Z x d W 9 0 O y w m c X V v d D t T Z W N 0 a W 9 u M S 9 P d m V y Y W x s I E h Q L 0 N o Y W 5 n Z W Q g V H l w Z S 5 7 K C s v L S k s N X 0 m c X V v d D s s J n F 1 b 3 Q 7 U 2 V j d G l v b j E v T 3 Z l c m F s b C B I U C 9 D a G F u Z 2 V k I F R 5 c G U u e 0 V u Z 2 F n Z W 1 l b n R z L D Z 9 J n F 1 b 3 Q 7 L C Z x d W 9 0 O 1 N l Y 3 R p b 2 4 x L 0 9 2 Z X J h b G w g S F A v Q 2 h h b m d l Z C B U e X B l L n t P Q k o g S 2 l s b H M s N 3 0 m c X V v d D s s J n F 1 b 3 Q 7 U 2 V j d G l v b j E v T 3 Z l c m F s b C B I U C 9 D a G F u Z 2 V k I F R 5 c G U u e 1 V u d H J h Z G V k I E t p b G x z I C w 4 f S Z x d W 9 0 O y w m c X V v d D t T Z W N 0 a W 9 u M S 9 P d m V y Y W x s I E h Q L 0 N o Y W 5 n Z W Q g V H l w Z S 5 7 J S A g S 2 l s b H M s O X 0 m c X V v d D s s J n F 1 b 3 Q 7 U 2 V j d G l v b j E v T 3 Z l c m F s b C B I U C 9 D a G F u Z 2 V k I F R 5 c G U u e y U g R G V h d G h z L D E w f S Z x d W 9 0 O y w m c X V v d D t T Z W N 0 a W 9 u M S 9 P d m V y Y W x s I E h Q L 0 N o Y W 5 n Z W Q g V H l w Z S 5 7 Q X Z n I E t p b G x z L D E x f S Z x d W 9 0 O y w m c X V v d D t T Z W N 0 a W 9 u M S 9 P d m V y Y W x s I E h Q L 0 N o Y W 5 n Z W Q g V H l w Z S 5 7 Q X Z n I E R l Y X R o c y w x M n 0 m c X V v d D s s J n F 1 b 3 Q 7 U 2 V j d G l v b j E v T 3 Z l c m F s b C B I U C 9 D a G F u Z 2 V k I F R 5 c G U u e 0 h p b G w g V G l t Z S w x M 3 0 m c X V v d D s s J n F 1 b 3 Q 7 U 2 V j d G l v b j E v T 3 Z l c m F s b C B I U C 9 D a G F u Z 2 V k I F R 5 c G U u e 0 R h b W F n Z S w x N H 0 m c X V v d D s s J n F 1 b 3 Q 7 U 2 V j d G l v b j E v T 3 Z l c m F s b C B I U C 9 D a G F u Z 2 V k I F R 5 c G U u e 0 1 h c H M s M T V 9 J n F 1 b 3 Q 7 L C Z x d W 9 0 O 1 N l Y 3 R p b 2 4 x L 0 9 2 Z X J h b G w g S F A v Q 2 h h b m d l Z C B U e X B l L n t D b 2 x 1 b W 4 x N y w x N n 0 m c X V v d D s s J n F 1 b 3 Q 7 U 2 V j d G l v b j E v T 3 Z l c m F s b C B I U C 9 D a G F u Z 2 V k I F R 5 c G U u e 0 N v b H V t b j E 4 L D E 3 f S Z x d W 9 0 O y w m c X V v d D t T Z W N 0 a W 9 u M S 9 P d m V y Y W x s I E h Q L 0 N o Y W 5 n Z W Q g V H l w Z S 5 7 Q 2 9 s d W 1 u M T k s M T h 9 J n F 1 b 3 Q 7 L C Z x d W 9 0 O 1 N l Y 3 R p b 2 4 x L 0 9 2 Z X J h b G w g S F A v Q 2 h h b m d l Z C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w l M j B I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J T I w S F A v T 3 Z l c m F s b C U y M E h Q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U y M F N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4 V D A y O j U 3 O j Q 2 L j I w O T Y x M j d a I i A v P j x F b n R y e S B U e X B l P S J G a W x s Q 2 9 s d W 1 u V H l w Z X M i I F Z h b H V l P S J z Q m d Z R E F 3 V U R B d 0 1 E Q l F V R E J R Q U F B Q T 0 9 I i A v P j x F b n R y e S B U e X B l P S J G a W x s Q 2 9 s d W 1 u T m F t Z X M i I F Z h b H V l P S J z W y Z x d W 9 0 O 1 B s Y X l l c i Z x d W 9 0 O y w m c X V v d D t U Z W F t J n F 1 b 3 Q 7 L C Z x d W 9 0 O 0 t p b G x z J n F 1 b 3 Q 7 L C Z x d W 9 0 O 0 R l Y X R o c y Z x d W 9 0 O y w m c X V v d D t L R C Z x d W 9 0 O y w m c X V v d D s o K y 8 t K S A m c X V v d D s s J n F 1 b 3 Q 7 R W 5 n Y W d l b W V u d H M m c X V v d D s s J n F 1 b 3 Q 7 R m l y c 3 Q g Q m x v b 2 R z J n F 1 b 3 Q 7 L C Z x d W 9 0 O 0 Z p c n N 0 I E R l Y X R o c y Z x d W 9 0 O y w m c X V v d D s l I C B L a W x s c y Z x d W 9 0 O y w m c X V v d D s l I C B E Z W F 0 a H M m c X V v d D s s J n F 1 b 3 Q 7 U G x h b n R z J n F 1 b 3 Q 7 L C Z x d W 9 0 O 0 t p b G x z L 1 J v d W 5 k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J h b G w g U 0 5 E L 0 N o Y W 5 n Z W Q g V H l w Z S 5 7 U G x h e W V y L D B 9 J n F 1 b 3 Q 7 L C Z x d W 9 0 O 1 N l Y 3 R p b 2 4 x L 0 9 2 Z X J h b G w g U 0 5 E L 0 N o Y W 5 n Z W Q g V H l w Z S 5 7 V G V h b S w x f S Z x d W 9 0 O y w m c X V v d D t T Z W N 0 a W 9 u M S 9 P d m V y Y W x s I F N O R C 9 D a G F u Z 2 V k I F R 5 c G U u e 0 t p b G x z L D J 9 J n F 1 b 3 Q 7 L C Z x d W 9 0 O 1 N l Y 3 R p b 2 4 x L 0 9 2 Z X J h b G w g U 0 5 E L 0 N o Y W 5 n Z W Q g V H l w Z S 5 7 R G V h d G h z L D N 9 J n F 1 b 3 Q 7 L C Z x d W 9 0 O 1 N l Y 3 R p b 2 4 x L 0 9 2 Z X J h b G w g U 0 5 E L 0 N o Y W 5 n Z W Q g V H l w Z S 5 7 S 0 Q s N H 0 m c X V v d D s s J n F 1 b 3 Q 7 U 2 V j d G l v b j E v T 3 Z l c m F s b C B T T k Q v Q 2 h h b m d l Z C B U e X B l L n s o K y 8 t K S A s N X 0 m c X V v d D s s J n F 1 b 3 Q 7 U 2 V j d G l v b j E v T 3 Z l c m F s b C B T T k Q v Q 2 h h b m d l Z C B U e X B l L n t F b m d h Z 2 V t Z W 5 0 c y w 2 f S Z x d W 9 0 O y w m c X V v d D t T Z W N 0 a W 9 u M S 9 P d m V y Y W x s I F N O R C 9 D a G F u Z 2 V k I F R 5 c G U u e 0 Z p c n N 0 I E J s b 2 9 k c y w 3 f S Z x d W 9 0 O y w m c X V v d D t T Z W N 0 a W 9 u M S 9 P d m V y Y W x s I F N O R C 9 D a G F u Z 2 V k I F R 5 c G U u e 0 Z p c n N 0 I E R l Y X R o c y w 4 f S Z x d W 9 0 O y w m c X V v d D t T Z W N 0 a W 9 u M S 9 P d m V y Y W x s I F N O R C 9 D a G F u Z 2 V k I F R 5 c G U u e y U g I E t p b G x z L D l 9 J n F 1 b 3 Q 7 L C Z x d W 9 0 O 1 N l Y 3 R p b 2 4 x L 0 9 2 Z X J h b G w g U 0 5 E L 0 N o Y W 5 n Z W Q g V H l w Z S 5 7 J S A g R G V h d G h z L D E w f S Z x d W 9 0 O y w m c X V v d D t T Z W N 0 a W 9 u M S 9 P d m V y Y W x s I F N O R C 9 D a G F u Z 2 V k I F R 5 c G U u e 1 B s Y W 5 0 c y w x M X 0 m c X V v d D s s J n F 1 b 3 Q 7 U 2 V j d G l v b j E v T 3 Z l c m F s b C B T T k Q v Q 2 h h b m d l Z C B U e X B l L n t L a W x s c y 9 S b 3 V u Z C w x M n 0 m c X V v d D s s J n F 1 b 3 Q 7 U 2 V j d G l v b j E v T 3 Z l c m F s b C B T T k Q v Q 2 h h b m d l Z C B U e X B l L n t D b 2 x 1 b W 4 x N C w x M 3 0 m c X V v d D s s J n F 1 b 3 Q 7 U 2 V j d G l v b j E v T 3 Z l c m F s b C B T T k Q v Q 2 h h b m d l Z C B U e X B l L n t D b 2 x 1 b W 4 x N S w x N H 0 m c X V v d D s s J n F 1 b 3 Q 7 U 2 V j d G l v b j E v T 3 Z l c m F s b C B T T k Q v Q 2 h h b m d l Z C B U e X B l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9 2 Z X J h b G w g U 0 5 E L 0 N o Y W 5 n Z W Q g V H l w Z S 5 7 U G x h e W V y L D B 9 J n F 1 b 3 Q 7 L C Z x d W 9 0 O 1 N l Y 3 R p b 2 4 x L 0 9 2 Z X J h b G w g U 0 5 E L 0 N o Y W 5 n Z W Q g V H l w Z S 5 7 V G V h b S w x f S Z x d W 9 0 O y w m c X V v d D t T Z W N 0 a W 9 u M S 9 P d m V y Y W x s I F N O R C 9 D a G F u Z 2 V k I F R 5 c G U u e 0 t p b G x z L D J 9 J n F 1 b 3 Q 7 L C Z x d W 9 0 O 1 N l Y 3 R p b 2 4 x L 0 9 2 Z X J h b G w g U 0 5 E L 0 N o Y W 5 n Z W Q g V H l w Z S 5 7 R G V h d G h z L D N 9 J n F 1 b 3 Q 7 L C Z x d W 9 0 O 1 N l Y 3 R p b 2 4 x L 0 9 2 Z X J h b G w g U 0 5 E L 0 N o Y W 5 n Z W Q g V H l w Z S 5 7 S 0 Q s N H 0 m c X V v d D s s J n F 1 b 3 Q 7 U 2 V j d G l v b j E v T 3 Z l c m F s b C B T T k Q v Q 2 h h b m d l Z C B U e X B l L n s o K y 8 t K S A s N X 0 m c X V v d D s s J n F 1 b 3 Q 7 U 2 V j d G l v b j E v T 3 Z l c m F s b C B T T k Q v Q 2 h h b m d l Z C B U e X B l L n t F b m d h Z 2 V t Z W 5 0 c y w 2 f S Z x d W 9 0 O y w m c X V v d D t T Z W N 0 a W 9 u M S 9 P d m V y Y W x s I F N O R C 9 D a G F u Z 2 V k I F R 5 c G U u e 0 Z p c n N 0 I E J s b 2 9 k c y w 3 f S Z x d W 9 0 O y w m c X V v d D t T Z W N 0 a W 9 u M S 9 P d m V y Y W x s I F N O R C 9 D a G F u Z 2 V k I F R 5 c G U u e 0 Z p c n N 0 I E R l Y X R o c y w 4 f S Z x d W 9 0 O y w m c X V v d D t T Z W N 0 a W 9 u M S 9 P d m V y Y W x s I F N O R C 9 D a G F u Z 2 V k I F R 5 c G U u e y U g I E t p b G x z L D l 9 J n F 1 b 3 Q 7 L C Z x d W 9 0 O 1 N l Y 3 R p b 2 4 x L 0 9 2 Z X J h b G w g U 0 5 E L 0 N o Y W 5 n Z W Q g V H l w Z S 5 7 J S A g R G V h d G h z L D E w f S Z x d W 9 0 O y w m c X V v d D t T Z W N 0 a W 9 u M S 9 P d m V y Y W x s I F N O R C 9 D a G F u Z 2 V k I F R 5 c G U u e 1 B s Y W 5 0 c y w x M X 0 m c X V v d D s s J n F 1 b 3 Q 7 U 2 V j d G l v b j E v T 3 Z l c m F s b C B T T k Q v Q 2 h h b m d l Z C B U e X B l L n t L a W x s c y 9 S b 3 V u Z C w x M n 0 m c X V v d D s s J n F 1 b 3 Q 7 U 2 V j d G l v b j E v T 3 Z l c m F s b C B T T k Q v Q 2 h h b m d l Z C B U e X B l L n t D b 2 x 1 b W 4 x N C w x M 3 0 m c X V v d D s s J n F 1 b 3 Q 7 U 2 V j d G l v b j E v T 3 Z l c m F s b C B T T k Q v Q 2 h h b m d l Z C B U e X B l L n t D b 2 x 1 b W 4 x N S w x N H 0 m c X V v d D s s J n F 1 b 3 Q 7 U 2 V j d G l v b j E v T 3 Z l c m F s b C B T T k Q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2 Z X J h b G w l M j B T T k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U y M F N O R C 9 P d m V y Y W x s J T I w U 0 5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U y M F N O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J T I w U 0 5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U y M E h Q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w l M j B I U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C u 2 / G p g q T 6 Q R V a b m R y c W A A A A A A I A A A A A A B B m A A A A A Q A A I A A A A O J G A v U h S q M v p z S H d U J a w X 5 c D / i i M r J 1 f S v d h R A K z D S o A A A A A A 6 A A A A A A g A A I A A A A M W Q q t 6 q Z T K + H B 7 r h D j K h e 8 Q + Q p A Z Z J x J F a N u f f A K Z z t U A A A A L k j l 0 j C W 7 m j k w 6 5 O a Y 9 d l N z v j B N / i I Q e t c S j 0 c n T 0 G T D 7 X 2 4 w f v 1 c V r v 9 C / t 6 b 6 a j 4 S N r K W A x I + 7 s v W B 0 d y D L D b a s N Y r 8 P d g v w 6 A N v c v F 8 v Q A A A A P u Z O O c D E A 0 j B r U a m 2 M / P w y 0 X C A S a F 5 g 0 y 3 o W G U j S l l h 1 E g X B w Q K i l H U x 6 1 Y z r Z G w v 0 / i G 7 H s b c 8 f 2 A V Q y g Q U F w = < / D a t a M a s h u p > 
</file>

<file path=customXml/itemProps1.xml><?xml version="1.0" encoding="utf-8"?>
<ds:datastoreItem xmlns:ds="http://schemas.openxmlformats.org/officeDocument/2006/customXml" ds:itemID="{815A4339-3D2E-4A9B-8BCB-12EC95551F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Overall HP</vt:lpstr>
      <vt:lpstr>Overall SND</vt:lpstr>
      <vt:lpstr>Overall Control</vt:lpstr>
      <vt:lpstr>Faze Stats</vt:lpstr>
      <vt:lpstr>LAG Stats</vt:lpstr>
      <vt:lpstr>Breach Stats</vt:lpstr>
      <vt:lpstr>LAT Stats</vt:lpstr>
      <vt:lpstr>Legion Stats</vt:lpstr>
      <vt:lpstr>Mutineers Stats</vt:lpstr>
      <vt:lpstr>NYSL Stats</vt:lpstr>
      <vt:lpstr>Optic Stats</vt:lpstr>
      <vt:lpstr> Royal Ravens Stats</vt:lpstr>
      <vt:lpstr>Rokkr Stats</vt:lpstr>
      <vt:lpstr>Surge Stats</vt:lpstr>
      <vt:lpstr>Ultra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Tanner</dc:creator>
  <cp:lastModifiedBy>Avery Tanner</cp:lastModifiedBy>
  <dcterms:created xsi:type="dcterms:W3CDTF">2023-05-24T16:18:50Z</dcterms:created>
  <dcterms:modified xsi:type="dcterms:W3CDTF">2023-08-28T03:02:40Z</dcterms:modified>
</cp:coreProperties>
</file>