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drawings/drawing9.xml" ContentType="application/vnd.openxmlformats-officedocument.drawing+xml"/>
  <Override PartName="/xl/comments7.xml" ContentType="application/vnd.openxmlformats-officedocument.spreadsheetml.comment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8.xml" ContentType="application/vnd.openxmlformats-officedocument.spreadsheetml.comments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s17\Desktop\"/>
    </mc:Choice>
  </mc:AlternateContent>
  <xr:revisionPtr revIDLastSave="0" documentId="13_ncr:1_{A45FAE55-366F-4F2A-823C-F3EC59881004}" xr6:coauthVersionLast="47" xr6:coauthVersionMax="47" xr10:uidLastSave="{00000000-0000-0000-0000-000000000000}"/>
  <bookViews>
    <workbookView xWindow="-110" yWindow="-110" windowWidth="19420" windowHeight="10300" tabRatio="572" activeTab="24" xr2:uid="{00000000-000D-0000-FFFF-FFFF00000000}"/>
  </bookViews>
  <sheets>
    <sheet name="READ FIRST " sheetId="66" r:id="rId1"/>
    <sheet name="GENERAL HOROSCOPE READING" sheetId="50" r:id="rId2"/>
    <sheet name="PERSONAL CALENDAR READING" sheetId="51" r:id="rId3"/>
    <sheet name="1. ZODIAC NATAL" sheetId="56" r:id="rId4"/>
    <sheet name="1. ANNUAL REVOLUTION" sheetId="58" r:id="rId5"/>
    <sheet name="1. FIRDARIA CALCULATOR" sheetId="1" r:id="rId6"/>
    <sheet name="1. LORD OF THE TURN" sheetId="19" r:id="rId7"/>
    <sheet name="2. PROFECTION YEARLY &amp; MONTHLY" sheetId="5" r:id="rId8"/>
    <sheet name="2. SATURN JUPITER CONJ" sheetId="57" r:id="rId9"/>
    <sheet name="2. SOLAR REVOLUTION" sheetId="18" r:id="rId10"/>
    <sheet name="2.DODECATEMORIA TABLE HOROSCOPE" sheetId="52" r:id="rId11"/>
    <sheet name="2. YEAR OF USURPATION(ECLIPSE)" sheetId="43" r:id="rId12"/>
    <sheet name="3. ILLNESS AND PERILOUS YEAR" sheetId="36" r:id="rId13"/>
    <sheet name="AT MONTH" sheetId="71" r:id="rId14"/>
    <sheet name="AGES OF PTOLEMY" sheetId="22" r:id="rId15"/>
    <sheet name="CHALDEAN ORDER" sheetId="20" state="hidden" r:id="rId16"/>
    <sheet name="9th Part  helper" sheetId="11" state="hidden" r:id="rId17"/>
    <sheet name="LUNAR MANSION" sheetId="42" state="hidden" r:id="rId18"/>
    <sheet name="CNT PROGRESSION HLPR-SENSITIVE" sheetId="59" state="hidden" r:id="rId19"/>
    <sheet name="DODECATEMORIA TABLE" sheetId="44" state="hidden" r:id="rId20"/>
    <sheet name="CONTINOUS ZODIAC TABLE" sheetId="45" state="hidden" r:id="rId21"/>
    <sheet name="ZODIAC LORD and ATRIBUTES" sheetId="46" state="hidden" r:id="rId22"/>
    <sheet name="ZODIAC HELPER" sheetId="54" state="hidden" r:id="rId23"/>
    <sheet name="TRIPLICITY TABEL " sheetId="55" state="hidden" r:id="rId24"/>
    <sheet name="HOUSE DEFINITION" sheetId="53" r:id="rId25"/>
    <sheet name="MSLC TABEL " sheetId="70" state="hidden" r:id="rId26"/>
    <sheet name="ZODIAC CALCULATION " sheetId="69" state="hidden" r:id="rId27"/>
    <sheet name="PROFECTION CALCULATION " sheetId="72" state="hidden" r:id="rId28"/>
  </sheets>
  <definedNames>
    <definedName name="_xlnm._FilterDatabase" localSheetId="10" hidden="1">'2.DODECATEMORIA TABLE HOROSCOPE'!$A$18:$D$162</definedName>
    <definedName name="_xlnm.Print_Area" localSheetId="5">'1. FIRDARIA CALCULATOR'!$D$3:$N$82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9" i="58" l="1"/>
  <c r="M28" i="58"/>
  <c r="M27" i="58"/>
  <c r="M25" i="58"/>
  <c r="M24" i="58"/>
  <c r="M23" i="58"/>
  <c r="J39" i="18"/>
  <c r="J25" i="18"/>
  <c r="E11" i="36"/>
  <c r="E12" i="36"/>
  <c r="E13" i="36"/>
  <c r="E14" i="36"/>
  <c r="E15" i="36"/>
  <c r="E16" i="36"/>
  <c r="E17" i="36"/>
  <c r="E18" i="36"/>
  <c r="E19" i="36"/>
  <c r="E20" i="36"/>
  <c r="E21" i="36"/>
  <c r="E10" i="36"/>
  <c r="E5" i="51"/>
  <c r="C38" i="58"/>
  <c r="F6" i="51"/>
  <c r="G6" i="51" s="1"/>
  <c r="I6" i="51" s="1"/>
  <c r="F7" i="51"/>
  <c r="G7" i="51" s="1"/>
  <c r="I7" i="51" s="1"/>
  <c r="F8" i="51"/>
  <c r="G8" i="51" s="1"/>
  <c r="I8" i="51" s="1"/>
  <c r="F9" i="51"/>
  <c r="F10" i="51"/>
  <c r="G10" i="51" s="1"/>
  <c r="I10" i="51" s="1"/>
  <c r="F11" i="51"/>
  <c r="H11" i="51" s="1"/>
  <c r="F12" i="51"/>
  <c r="H12" i="51" s="1"/>
  <c r="F13" i="51"/>
  <c r="H13" i="51" s="1"/>
  <c r="F14" i="51"/>
  <c r="G14" i="51" s="1"/>
  <c r="I14" i="51" s="1"/>
  <c r="F15" i="51"/>
  <c r="G15" i="51" s="1"/>
  <c r="I15" i="51" s="1"/>
  <c r="F16" i="51"/>
  <c r="G16" i="51" s="1"/>
  <c r="I16" i="51" s="1"/>
  <c r="G9" i="51"/>
  <c r="I9" i="51" s="1"/>
  <c r="H9" i="51"/>
  <c r="E8" i="43"/>
  <c r="E9" i="43"/>
  <c r="E10" i="43"/>
  <c r="E7" i="43"/>
  <c r="C2" i="43"/>
  <c r="C4" i="42"/>
  <c r="C2" i="42"/>
  <c r="H10" i="51" l="1"/>
  <c r="G13" i="51"/>
  <c r="I13" i="51" s="1"/>
  <c r="G12" i="51"/>
  <c r="I12" i="51" s="1"/>
  <c r="H16" i="51"/>
  <c r="H8" i="51"/>
  <c r="G11" i="51"/>
  <c r="I11" i="51" s="1"/>
  <c r="H15" i="51"/>
  <c r="H7" i="51"/>
  <c r="H14" i="51"/>
  <c r="H6" i="51"/>
  <c r="C26" i="58"/>
  <c r="F7" i="43" l="1"/>
  <c r="F8" i="43"/>
  <c r="F9" i="43"/>
  <c r="F10" i="43"/>
  <c r="F5" i="72"/>
  <c r="F4" i="72"/>
  <c r="G34" i="44"/>
  <c r="C47" i="58"/>
  <c r="B14" i="43"/>
  <c r="B15" i="43"/>
  <c r="B16" i="43"/>
  <c r="B17" i="43"/>
  <c r="B18" i="43"/>
  <c r="B19" i="43"/>
  <c r="B20" i="43"/>
  <c r="B21" i="43"/>
  <c r="B22" i="43"/>
  <c r="B23" i="43"/>
  <c r="B24" i="43"/>
  <c r="B13" i="43"/>
  <c r="C14" i="43"/>
  <c r="C15" i="43"/>
  <c r="C16" i="43"/>
  <c r="C17" i="43"/>
  <c r="C18" i="43"/>
  <c r="C19" i="43"/>
  <c r="C20" i="43"/>
  <c r="C21" i="43"/>
  <c r="C22" i="43"/>
  <c r="C23" i="43"/>
  <c r="C24" i="43"/>
  <c r="F24" i="43" s="1" a="1"/>
  <c r="F24" i="43" s="1"/>
  <c r="C13" i="43"/>
  <c r="R4" i="19"/>
  <c r="C32" i="56"/>
  <c r="C34" i="56"/>
  <c r="D38" i="56"/>
  <c r="H33" i="44" a="1"/>
  <c r="H33" i="44" s="1"/>
  <c r="E39" i="56" s="1"/>
  <c r="F39" i="56" s="1"/>
  <c r="G33" i="44"/>
  <c r="F33" i="44"/>
  <c r="E33" i="44"/>
  <c r="D39" i="56"/>
  <c r="X27" i="5"/>
  <c r="B4" i="1"/>
  <c r="B5" i="36"/>
  <c r="C8" i="36"/>
  <c r="S16" i="51"/>
  <c r="S6" i="51"/>
  <c r="S7" i="51"/>
  <c r="S8" i="51"/>
  <c r="S9" i="51"/>
  <c r="S10" i="51"/>
  <c r="S11" i="51"/>
  <c r="S12" i="51"/>
  <c r="S13" i="51"/>
  <c r="S14" i="51"/>
  <c r="S15" i="51"/>
  <c r="S5" i="51"/>
  <c r="F4" i="36"/>
  <c r="E4" i="36"/>
  <c r="D37" i="56"/>
  <c r="F2" i="52" s="1"/>
  <c r="K24" i="58"/>
  <c r="K25" i="58"/>
  <c r="K26" i="58"/>
  <c r="K27" i="58"/>
  <c r="K28" i="58"/>
  <c r="K29" i="58"/>
  <c r="K23" i="58"/>
  <c r="H3" i="55"/>
  <c r="H5" i="55"/>
  <c r="G6" i="69"/>
  <c r="G4" i="69"/>
  <c r="G3" i="69"/>
  <c r="F3" i="69"/>
  <c r="I24" i="43" l="1" a="1"/>
  <c r="I24" i="43" s="1"/>
  <c r="G24" i="43" a="1"/>
  <c r="G24" i="43" s="1"/>
  <c r="J24" i="43" s="1"/>
  <c r="H24" i="43" a="1"/>
  <c r="H24" i="43" s="1"/>
  <c r="H3" i="69"/>
  <c r="J87" i="18" s="1"/>
  <c r="Q7" i="51" s="1"/>
  <c r="H4" i="55"/>
  <c r="F19" i="44"/>
  <c r="G17" i="44"/>
  <c r="G18" i="44"/>
  <c r="G19" i="44"/>
  <c r="G16" i="44"/>
  <c r="F17" i="44"/>
  <c r="F18" i="44"/>
  <c r="F16" i="44"/>
  <c r="K104" i="18"/>
  <c r="K103" i="18"/>
  <c r="J104" i="18"/>
  <c r="L104" i="18" s="1"/>
  <c r="J103" i="18"/>
  <c r="L103" i="18" s="1"/>
  <c r="V3" i="57"/>
  <c r="J81" i="18"/>
  <c r="AA6" i="51"/>
  <c r="AA7" i="51"/>
  <c r="AA8" i="51"/>
  <c r="AA9" i="51"/>
  <c r="AA10" i="51"/>
  <c r="AA11" i="51"/>
  <c r="AA12" i="51"/>
  <c r="AA13" i="51"/>
  <c r="AA14" i="51"/>
  <c r="AA15" i="51"/>
  <c r="AA16" i="51"/>
  <c r="AA5" i="51"/>
  <c r="D2" i="45"/>
  <c r="L6" i="51"/>
  <c r="L7" i="51"/>
  <c r="L8" i="51"/>
  <c r="L9" i="51"/>
  <c r="L10" i="51"/>
  <c r="L11" i="51"/>
  <c r="L12" i="51"/>
  <c r="L13" i="51"/>
  <c r="L14" i="51"/>
  <c r="L15" i="51"/>
  <c r="L16" i="51"/>
  <c r="L5" i="51"/>
  <c r="F1" i="52"/>
  <c r="Q8" i="51" l="1"/>
  <c r="Q14" i="51"/>
  <c r="Q10" i="51"/>
  <c r="Q5" i="51"/>
  <c r="Q11" i="51"/>
  <c r="Q6" i="51"/>
  <c r="Q9" i="51"/>
  <c r="Q12" i="51"/>
  <c r="Q16" i="51"/>
  <c r="Q13" i="51"/>
  <c r="Q15" i="51"/>
  <c r="K16" i="52"/>
  <c r="V16" i="51" s="1"/>
  <c r="K15" i="52"/>
  <c r="V15" i="51" s="1"/>
  <c r="K14" i="52"/>
  <c r="V14" i="51" s="1"/>
  <c r="K13" i="52"/>
  <c r="V13" i="51" s="1"/>
  <c r="K12" i="52"/>
  <c r="V12" i="51" s="1"/>
  <c r="K11" i="52"/>
  <c r="V11" i="51" s="1"/>
  <c r="K10" i="52"/>
  <c r="V10" i="51" s="1"/>
  <c r="K9" i="52"/>
  <c r="V9" i="51" s="1"/>
  <c r="K8" i="52"/>
  <c r="V8" i="51" s="1"/>
  <c r="K7" i="52"/>
  <c r="V7" i="51" s="1"/>
  <c r="K6" i="52"/>
  <c r="V6" i="51" s="1"/>
  <c r="K5" i="52"/>
  <c r="V5" i="51" s="1"/>
  <c r="D1" i="59" l="1"/>
  <c r="B33" i="58"/>
  <c r="B31" i="56"/>
  <c r="J75" i="18"/>
  <c r="J76" i="18"/>
  <c r="K76" i="18" s="1"/>
  <c r="J77" i="18"/>
  <c r="J78" i="18"/>
  <c r="C3" i="42"/>
  <c r="C6" i="51"/>
  <c r="C7" i="51"/>
  <c r="C8" i="51"/>
  <c r="C9" i="51"/>
  <c r="C10" i="51"/>
  <c r="C11" i="51"/>
  <c r="C12" i="51"/>
  <c r="C13" i="51"/>
  <c r="C14" i="51"/>
  <c r="C15" i="51"/>
  <c r="C16" i="51"/>
  <c r="C5" i="51"/>
  <c r="L9" i="58"/>
  <c r="L10" i="58"/>
  <c r="L11" i="58"/>
  <c r="L12" i="58"/>
  <c r="L13" i="58"/>
  <c r="L14" i="58"/>
  <c r="L15" i="58"/>
  <c r="L16" i="58"/>
  <c r="L17" i="58"/>
  <c r="L18" i="58"/>
  <c r="L19" i="58"/>
  <c r="L8" i="58"/>
  <c r="C2" i="56"/>
  <c r="J9" i="18" s="1"/>
  <c r="E2" i="58"/>
  <c r="G3" i="55"/>
  <c r="I3" i="55" s="1"/>
  <c r="G14" i="44"/>
  <c r="F14" i="44"/>
  <c r="H17" i="44" a="1"/>
  <c r="H17" i="44" s="1"/>
  <c r="E44" i="58" s="1"/>
  <c r="H16" i="44" a="1"/>
  <c r="H16" i="44" s="1"/>
  <c r="E43" i="58" s="1"/>
  <c r="H18" i="44" a="1"/>
  <c r="H18" i="44" s="1"/>
  <c r="E45" i="58" s="1"/>
  <c r="J82" i="18" s="1"/>
  <c r="H19" i="44" a="1"/>
  <c r="H19" i="44" s="1"/>
  <c r="E46" i="58" s="1"/>
  <c r="J88" i="18" s="1"/>
  <c r="J6" i="18" l="1"/>
  <c r="J38" i="18"/>
  <c r="J3" i="55" a="1"/>
  <c r="J3" i="55" s="1"/>
  <c r="J7" i="18" s="1"/>
  <c r="L3" i="55" a="1"/>
  <c r="L3" i="55" s="1"/>
  <c r="K3" i="55" a="1"/>
  <c r="K3" i="55" s="1"/>
  <c r="G24" i="44"/>
  <c r="G23" i="44"/>
  <c r="G22" i="44"/>
  <c r="F22" i="44"/>
  <c r="G21" i="44"/>
  <c r="F21" i="44"/>
  <c r="E22" i="44"/>
  <c r="E23" i="44"/>
  <c r="E21" i="44"/>
  <c r="H22" i="44" a="1"/>
  <c r="H22" i="44" s="1"/>
  <c r="D35" i="58" s="1"/>
  <c r="D34" i="58"/>
  <c r="L58" i="5"/>
  <c r="L57" i="5"/>
  <c r="L56" i="5"/>
  <c r="L55" i="5"/>
  <c r="L54" i="5"/>
  <c r="L53" i="5"/>
  <c r="L52" i="5"/>
  <c r="L51" i="5"/>
  <c r="L50" i="5"/>
  <c r="L49" i="5"/>
  <c r="L48" i="5"/>
  <c r="L47" i="5"/>
  <c r="B4" i="59"/>
  <c r="J48" i="18" l="1"/>
  <c r="H21" i="44" a="1"/>
  <c r="H21" i="44" s="1"/>
  <c r="D33" i="58" s="1"/>
  <c r="B5" i="59"/>
  <c r="G13" i="44"/>
  <c r="G12" i="44"/>
  <c r="F13" i="44"/>
  <c r="F12" i="44"/>
  <c r="G11" i="44"/>
  <c r="F11" i="44"/>
  <c r="D36" i="58"/>
  <c r="H14" i="44" a="1"/>
  <c r="H14" i="44" s="1"/>
  <c r="H13" i="44" a="1"/>
  <c r="H13" i="44" s="1"/>
  <c r="H12" i="44" a="1"/>
  <c r="H12" i="44" s="1"/>
  <c r="C8" i="58"/>
  <c r="D11" i="36"/>
  <c r="D12" i="36"/>
  <c r="D13" i="36"/>
  <c r="D14" i="36"/>
  <c r="D15" i="36"/>
  <c r="D16" i="36"/>
  <c r="D17" i="36"/>
  <c r="D18" i="36"/>
  <c r="D19" i="36"/>
  <c r="D20" i="36"/>
  <c r="D21" i="36"/>
  <c r="D10" i="36"/>
  <c r="O12" i="18"/>
  <c r="J99" i="18" l="1"/>
  <c r="D34" i="56"/>
  <c r="J47" i="18"/>
  <c r="D33" i="56"/>
  <c r="D32" i="56"/>
  <c r="B6" i="59"/>
  <c r="B6" i="56"/>
  <c r="B7" i="59" l="1"/>
  <c r="E2" i="45"/>
  <c r="E3" i="45" s="1" a="1"/>
  <c r="E3" i="45" s="1"/>
  <c r="G27" i="44"/>
  <c r="G28" i="44"/>
  <c r="G29" i="44"/>
  <c r="G30" i="44"/>
  <c r="G31" i="44"/>
  <c r="G32" i="44"/>
  <c r="G26" i="44"/>
  <c r="E27" i="44"/>
  <c r="E28" i="44"/>
  <c r="E29" i="44"/>
  <c r="E30" i="44"/>
  <c r="E31" i="44"/>
  <c r="E32" i="44"/>
  <c r="E26" i="44"/>
  <c r="G6" i="54"/>
  <c r="G7" i="54"/>
  <c r="I7" i="54" s="1"/>
  <c r="G8" i="54"/>
  <c r="I8" i="54" s="1"/>
  <c r="G9" i="54"/>
  <c r="G10" i="54"/>
  <c r="G11" i="54"/>
  <c r="G12" i="54"/>
  <c r="G13" i="54"/>
  <c r="G14" i="54"/>
  <c r="G15" i="54"/>
  <c r="G16" i="54"/>
  <c r="I16" i="54" s="1"/>
  <c r="I5" i="52" a="1"/>
  <c r="I5" i="52" s="1"/>
  <c r="J5" i="54" s="1"/>
  <c r="I6" i="52" a="1"/>
  <c r="I6" i="52" s="1"/>
  <c r="J6" i="54" s="1"/>
  <c r="I7" i="52" a="1"/>
  <c r="I7" i="52" s="1"/>
  <c r="J7" i="54" s="1"/>
  <c r="I8" i="52" a="1"/>
  <c r="I8" i="52" s="1"/>
  <c r="J8" i="54" s="1"/>
  <c r="I9" i="52" a="1"/>
  <c r="I9" i="52" s="1"/>
  <c r="J9" i="54" s="1"/>
  <c r="I10" i="52" a="1"/>
  <c r="I10" i="52" s="1"/>
  <c r="J10" i="54" s="1"/>
  <c r="I11" i="52" a="1"/>
  <c r="I11" i="52" s="1"/>
  <c r="J11" i="54" s="1"/>
  <c r="I12" i="52" a="1"/>
  <c r="I12" i="52" s="1"/>
  <c r="J12" i="54" s="1"/>
  <c r="I13" i="52" a="1"/>
  <c r="I13" i="52" s="1"/>
  <c r="J13" i="54" s="1"/>
  <c r="I14" i="52" a="1"/>
  <c r="I14" i="52" s="1"/>
  <c r="J14" i="54" s="1"/>
  <c r="I15" i="52" a="1"/>
  <c r="I15" i="52" s="1"/>
  <c r="J15" i="54" s="1"/>
  <c r="I16" i="52" a="1"/>
  <c r="I16" i="52" s="1"/>
  <c r="J16" i="54" s="1"/>
  <c r="D5" i="51"/>
  <c r="D6" i="51"/>
  <c r="D7" i="51"/>
  <c r="D8" i="51"/>
  <c r="E8" i="51" s="1"/>
  <c r="D9" i="51"/>
  <c r="D10" i="51"/>
  <c r="D11" i="51"/>
  <c r="D12" i="51"/>
  <c r="D13" i="51"/>
  <c r="D14" i="51"/>
  <c r="D15" i="51"/>
  <c r="D16" i="51"/>
  <c r="K4" i="46"/>
  <c r="K5" i="46"/>
  <c r="K6" i="46"/>
  <c r="K7" i="46"/>
  <c r="K8" i="46"/>
  <c r="K9" i="46"/>
  <c r="K10" i="46"/>
  <c r="K11" i="46"/>
  <c r="K12" i="46"/>
  <c r="K13" i="46"/>
  <c r="K14" i="46"/>
  <c r="K3" i="46"/>
  <c r="E16" i="51" l="1"/>
  <c r="H15" i="54"/>
  <c r="I15" i="54"/>
  <c r="H14" i="54"/>
  <c r="I14" i="54"/>
  <c r="E15" i="51"/>
  <c r="E14" i="51"/>
  <c r="E6" i="51"/>
  <c r="E13" i="51"/>
  <c r="E11" i="51"/>
  <c r="E10" i="51"/>
  <c r="H13" i="54"/>
  <c r="I13" i="54"/>
  <c r="H12" i="54"/>
  <c r="I12" i="54"/>
  <c r="H11" i="54"/>
  <c r="I11" i="54"/>
  <c r="H10" i="54"/>
  <c r="I10" i="54"/>
  <c r="H9" i="54"/>
  <c r="I9" i="54"/>
  <c r="H6" i="54"/>
  <c r="I6" i="54"/>
  <c r="B8" i="51"/>
  <c r="H8" i="54"/>
  <c r="B16" i="51"/>
  <c r="H16" i="54"/>
  <c r="B7" i="51"/>
  <c r="H7" i="54"/>
  <c r="E7" i="51"/>
  <c r="B8" i="59"/>
  <c r="B6" i="51"/>
  <c r="B13" i="51"/>
  <c r="B12" i="51"/>
  <c r="B9" i="51"/>
  <c r="B10" i="51"/>
  <c r="B7" i="56"/>
  <c r="E4" i="45" a="1"/>
  <c r="E4" i="45" s="1"/>
  <c r="E12" i="51"/>
  <c r="E9" i="51"/>
  <c r="B15" i="51"/>
  <c r="B14" i="51"/>
  <c r="B11" i="51"/>
  <c r="F5" i="51"/>
  <c r="F11" i="36"/>
  <c r="F12" i="36"/>
  <c r="F13" i="36"/>
  <c r="F14" i="36"/>
  <c r="F15" i="36"/>
  <c r="F16" i="36"/>
  <c r="F17" i="36"/>
  <c r="F18" i="36"/>
  <c r="F19" i="36"/>
  <c r="F20" i="36"/>
  <c r="F21" i="36"/>
  <c r="F10" i="36"/>
  <c r="B9" i="59" l="1"/>
  <c r="E5" i="45" a="1"/>
  <c r="E5" i="45" s="1"/>
  <c r="B8" i="56"/>
  <c r="G5" i="51"/>
  <c r="I5" i="51" s="1"/>
  <c r="H5" i="51"/>
  <c r="D3" i="45" a="1"/>
  <c r="D3" i="45" s="1"/>
  <c r="G9" i="44"/>
  <c r="F9" i="44"/>
  <c r="H9" i="44" s="1" a="1"/>
  <c r="H9" i="44" s="1"/>
  <c r="B7" i="36" s="1"/>
  <c r="G5" i="44"/>
  <c r="G6" i="44"/>
  <c r="G7" i="44"/>
  <c r="G4" i="44"/>
  <c r="F5" i="44"/>
  <c r="F6" i="44"/>
  <c r="H6" i="44" s="1" a="1"/>
  <c r="H6" i="44" s="1"/>
  <c r="F7" i="44"/>
  <c r="F4" i="44"/>
  <c r="G2" i="44"/>
  <c r="K7" i="18"/>
  <c r="Q5" i="19" a="1"/>
  <c r="Q5" i="19" s="1"/>
  <c r="R5" i="19" s="1"/>
  <c r="G37" i="44"/>
  <c r="H4" i="44" a="1"/>
  <c r="H4" i="44" s="1"/>
  <c r="H5" i="44" a="1"/>
  <c r="H5" i="44" s="1"/>
  <c r="H11" i="44" a="1"/>
  <c r="H11" i="44" s="1"/>
  <c r="F4" i="42"/>
  <c r="Q6" i="19" l="1" a="1"/>
  <c r="Q6" i="19" s="1"/>
  <c r="R6" i="19" s="1"/>
  <c r="H7" i="44" a="1"/>
  <c r="H7" i="44" s="1"/>
  <c r="F7" i="36"/>
  <c r="E7" i="36"/>
  <c r="D31" i="56"/>
  <c r="B10" i="59"/>
  <c r="D4" i="45" a="1"/>
  <c r="D4" i="45" s="1"/>
  <c r="C9" i="58"/>
  <c r="E6" i="45" a="1"/>
  <c r="E6" i="45" s="1"/>
  <c r="B9" i="56"/>
  <c r="W27" i="5"/>
  <c r="Q3" i="1"/>
  <c r="C4" i="19"/>
  <c r="C5" i="19" s="1"/>
  <c r="C6" i="19" s="1"/>
  <c r="C7" i="19" s="1"/>
  <c r="C8" i="19" s="1"/>
  <c r="C9" i="19" s="1"/>
  <c r="C10" i="19" s="1"/>
  <c r="D4" i="19" s="1"/>
  <c r="D5" i="19" s="1"/>
  <c r="D6" i="19" s="1"/>
  <c r="D7" i="19" s="1"/>
  <c r="D8" i="19" s="1"/>
  <c r="D9" i="19" s="1"/>
  <c r="D10" i="19" s="1"/>
  <c r="E4" i="19" s="1"/>
  <c r="E5" i="19" s="1"/>
  <c r="E6" i="19" s="1"/>
  <c r="E7" i="19" s="1"/>
  <c r="E8" i="19" s="1"/>
  <c r="E9" i="19" s="1"/>
  <c r="E10" i="19" s="1"/>
  <c r="F4" i="19" s="1"/>
  <c r="F5" i="19" s="1"/>
  <c r="F6" i="19" s="1"/>
  <c r="F7" i="19" s="1"/>
  <c r="F8" i="19" s="1"/>
  <c r="F9" i="19" s="1"/>
  <c r="F10" i="19" s="1"/>
  <c r="G4" i="19" s="1"/>
  <c r="G5" i="19" s="1"/>
  <c r="G6" i="19" s="1"/>
  <c r="G7" i="19" s="1"/>
  <c r="G8" i="19" s="1"/>
  <c r="G9" i="19" s="1"/>
  <c r="G10" i="19" s="1"/>
  <c r="H4" i="19" s="1"/>
  <c r="H5" i="19" s="1"/>
  <c r="H6" i="19" s="1"/>
  <c r="H7" i="19" s="1"/>
  <c r="H8" i="19" s="1"/>
  <c r="H9" i="19" s="1"/>
  <c r="H10" i="19" s="1"/>
  <c r="I4" i="19" s="1"/>
  <c r="I5" i="19" s="1"/>
  <c r="I6" i="19" s="1"/>
  <c r="I7" i="19" s="1"/>
  <c r="I8" i="19" s="1"/>
  <c r="I9" i="19" s="1"/>
  <c r="I10" i="19" s="1"/>
  <c r="J4" i="19" s="1"/>
  <c r="J5" i="19" s="1"/>
  <c r="J6" i="19" s="1"/>
  <c r="J7" i="19" s="1"/>
  <c r="J8" i="19" s="1"/>
  <c r="J9" i="19" s="1"/>
  <c r="J10" i="19" s="1"/>
  <c r="K4" i="19" s="1"/>
  <c r="K5" i="19" s="1"/>
  <c r="K6" i="19" s="1"/>
  <c r="K7" i="19" s="1"/>
  <c r="K8" i="19" s="1"/>
  <c r="K9" i="19" s="1"/>
  <c r="K10" i="19" s="1"/>
  <c r="L4" i="19" s="1"/>
  <c r="L5" i="19" s="1"/>
  <c r="L6" i="19" s="1"/>
  <c r="L7" i="19" s="1"/>
  <c r="L8" i="19" s="1"/>
  <c r="L9" i="19" s="1"/>
  <c r="L10" i="19" s="1"/>
  <c r="M4" i="19" s="1"/>
  <c r="M5" i="19" s="1"/>
  <c r="M6" i="19" s="1"/>
  <c r="M7" i="19" s="1"/>
  <c r="M8" i="19" s="1"/>
  <c r="M9" i="19" s="1"/>
  <c r="M10" i="19" s="1"/>
  <c r="N4" i="19" s="1"/>
  <c r="N5" i="19" s="1"/>
  <c r="N6" i="19" s="1"/>
  <c r="N7" i="19" s="1"/>
  <c r="N8" i="19" s="1"/>
  <c r="N9" i="19" s="1"/>
  <c r="N10" i="19" s="1"/>
  <c r="O4" i="19" s="1"/>
  <c r="O5" i="19" s="1"/>
  <c r="O6" i="19" s="1"/>
  <c r="O7" i="19" s="1"/>
  <c r="O8" i="19" s="1"/>
  <c r="O9" i="19" s="1"/>
  <c r="O10" i="19" s="1"/>
  <c r="P4" i="19" s="1"/>
  <c r="P5" i="19" s="1"/>
  <c r="P6" i="19" s="1"/>
  <c r="P7" i="19" s="1"/>
  <c r="P8" i="19" s="1"/>
  <c r="P9" i="19" s="1"/>
  <c r="P10" i="19" s="1"/>
  <c r="F9" i="1"/>
  <c r="G9" i="1"/>
  <c r="L9" i="1"/>
  <c r="M9" i="1"/>
  <c r="F10" i="1"/>
  <c r="L10" i="1"/>
  <c r="F11" i="1"/>
  <c r="L11" i="1"/>
  <c r="F12" i="1"/>
  <c r="L12" i="1"/>
  <c r="F13" i="1"/>
  <c r="L13" i="1"/>
  <c r="F14" i="1"/>
  <c r="L14" i="1"/>
  <c r="F15" i="1"/>
  <c r="L15" i="1"/>
  <c r="F16" i="1"/>
  <c r="L16" i="1"/>
  <c r="F17" i="1"/>
  <c r="L17" i="1"/>
  <c r="F18" i="1"/>
  <c r="L18" i="1"/>
  <c r="F19" i="1"/>
  <c r="L19" i="1"/>
  <c r="F20" i="1"/>
  <c r="L20" i="1"/>
  <c r="F21" i="1"/>
  <c r="L21" i="1"/>
  <c r="F22" i="1"/>
  <c r="L22" i="1"/>
  <c r="F23" i="1"/>
  <c r="L23" i="1"/>
  <c r="F24" i="1"/>
  <c r="L24" i="1"/>
  <c r="F25" i="1"/>
  <c r="L25" i="1"/>
  <c r="F26" i="1"/>
  <c r="L26" i="1"/>
  <c r="F27" i="1"/>
  <c r="L27" i="1"/>
  <c r="F28" i="1"/>
  <c r="L28" i="1"/>
  <c r="F29" i="1"/>
  <c r="L29" i="1"/>
  <c r="F30" i="1"/>
  <c r="F31" i="1"/>
  <c r="F32" i="1"/>
  <c r="F33" i="1"/>
  <c r="F34" i="1"/>
  <c r="F35" i="1"/>
  <c r="F36" i="1"/>
  <c r="F37" i="1"/>
  <c r="L37" i="1"/>
  <c r="F38" i="1"/>
  <c r="L38" i="1"/>
  <c r="F39" i="1"/>
  <c r="L39" i="1"/>
  <c r="F40" i="1"/>
  <c r="L40" i="1"/>
  <c r="F41" i="1"/>
  <c r="L41" i="1"/>
  <c r="F42" i="1"/>
  <c r="L42" i="1"/>
  <c r="F43" i="1"/>
  <c r="L43" i="1"/>
  <c r="F44" i="1"/>
  <c r="L44" i="1"/>
  <c r="F45" i="1"/>
  <c r="L45" i="1"/>
  <c r="F46" i="1"/>
  <c r="L46" i="1"/>
  <c r="F47" i="1"/>
  <c r="L47" i="1"/>
  <c r="F48" i="1"/>
  <c r="L48" i="1"/>
  <c r="F49" i="1"/>
  <c r="L49" i="1"/>
  <c r="F50" i="1"/>
  <c r="L50" i="1"/>
  <c r="L51" i="1"/>
  <c r="L52" i="1"/>
  <c r="L53" i="1"/>
  <c r="L54" i="1"/>
  <c r="L55" i="1"/>
  <c r="L56" i="1"/>
  <c r="L57" i="1"/>
  <c r="F61" i="1"/>
  <c r="L61" i="1"/>
  <c r="F62" i="1"/>
  <c r="L62" i="1"/>
  <c r="F63" i="1"/>
  <c r="L63" i="1"/>
  <c r="F64" i="1"/>
  <c r="L64" i="1"/>
  <c r="F65" i="1"/>
  <c r="L65" i="1"/>
  <c r="F66" i="1"/>
  <c r="L66" i="1"/>
  <c r="F67" i="1"/>
  <c r="L67" i="1"/>
  <c r="F68" i="1"/>
  <c r="L68" i="1"/>
  <c r="F69" i="1"/>
  <c r="L69" i="1"/>
  <c r="F70" i="1"/>
  <c r="L70" i="1"/>
  <c r="F71" i="1"/>
  <c r="L71" i="1"/>
  <c r="F72" i="1"/>
  <c r="L72" i="1"/>
  <c r="F73" i="1"/>
  <c r="L73" i="1"/>
  <c r="F74" i="1"/>
  <c r="L74" i="1"/>
  <c r="F75" i="1"/>
  <c r="L75" i="1"/>
  <c r="F76" i="1"/>
  <c r="L76" i="1"/>
  <c r="F77" i="1"/>
  <c r="L77" i="1"/>
  <c r="F78" i="1"/>
  <c r="L78" i="1"/>
  <c r="F79" i="1"/>
  <c r="L79" i="1"/>
  <c r="F80" i="1"/>
  <c r="L80" i="1"/>
  <c r="F81" i="1"/>
  <c r="L81" i="1"/>
  <c r="C1" i="42" l="1"/>
  <c r="E1" i="42" s="1"/>
  <c r="F1" i="42" s="1"/>
  <c r="C5" i="42" s="1"/>
  <c r="J14" i="18" s="1"/>
  <c r="B5" i="1"/>
  <c r="B1" i="72" s="1"/>
  <c r="Q7" i="19" a="1"/>
  <c r="Q7" i="19" s="1"/>
  <c r="C10" i="58"/>
  <c r="D1" i="42"/>
  <c r="B11" i="59"/>
  <c r="D5" i="45" a="1"/>
  <c r="D5" i="45" s="1"/>
  <c r="E7" i="45" a="1"/>
  <c r="E7" i="45" s="1"/>
  <c r="B10" i="56"/>
  <c r="M47" i="5"/>
  <c r="U47" i="5" s="1"/>
  <c r="U12" i="19"/>
  <c r="K4" i="5"/>
  <c r="L4" i="5"/>
  <c r="G10" i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U11" i="19"/>
  <c r="M10" i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F15" i="19" l="1"/>
  <c r="S4" i="19" s="1"/>
  <c r="R7" i="19"/>
  <c r="Q8" i="19" a="1"/>
  <c r="Q8" i="19" s="1"/>
  <c r="R8" i="19" s="1"/>
  <c r="C11" i="58"/>
  <c r="B12" i="59"/>
  <c r="D6" i="45" a="1"/>
  <c r="D6" i="45" s="1"/>
  <c r="E8" i="45" a="1"/>
  <c r="E8" i="45" s="1"/>
  <c r="B11" i="56"/>
  <c r="M48" i="5"/>
  <c r="U48" i="5" s="1"/>
  <c r="N6" i="51" s="1"/>
  <c r="S6" i="19" l="1"/>
  <c r="T6" i="19" s="1"/>
  <c r="S5" i="19"/>
  <c r="T5" i="19" s="1"/>
  <c r="G4" i="72" a="1"/>
  <c r="G4" i="72" s="1"/>
  <c r="G5" i="72" a="1"/>
  <c r="G5" i="72" s="1"/>
  <c r="M29" i="5" s="1"/>
  <c r="S10" i="19"/>
  <c r="S9" i="19"/>
  <c r="S8" i="19"/>
  <c r="T8" i="19" s="1"/>
  <c r="B21" i="56" a="1"/>
  <c r="B21" i="56" s="1"/>
  <c r="D21" i="56" s="1"/>
  <c r="K21" i="56" s="1"/>
  <c r="T4" i="19"/>
  <c r="F16" i="19"/>
  <c r="S7" i="19"/>
  <c r="Q9" i="19" a="1"/>
  <c r="Q9" i="19" s="1"/>
  <c r="R9" i="19" s="1"/>
  <c r="C12" i="58"/>
  <c r="B13" i="59"/>
  <c r="D7" i="45" a="1"/>
  <c r="D7" i="45" s="1"/>
  <c r="E9" i="45" a="1"/>
  <c r="E9" i="45" s="1"/>
  <c r="B12" i="56"/>
  <c r="M49" i="5"/>
  <c r="U49" i="5" s="1"/>
  <c r="N7" i="51" s="1"/>
  <c r="L24" i="58" l="1"/>
  <c r="J24" i="58"/>
  <c r="J13" i="18"/>
  <c r="M28" i="5"/>
  <c r="S28" i="5" s="1"/>
  <c r="I3" i="5"/>
  <c r="N29" i="5"/>
  <c r="T9" i="19"/>
  <c r="F27" i="44"/>
  <c r="H27" i="44" s="1" a="1"/>
  <c r="H27" i="44" s="1"/>
  <c r="H24" i="58" s="1"/>
  <c r="F17" i="19"/>
  <c r="T7" i="19"/>
  <c r="Q10" i="19" a="1"/>
  <c r="Q10" i="19" s="1"/>
  <c r="R10" i="19" s="1"/>
  <c r="T10" i="19" s="1"/>
  <c r="B29" i="58" a="1"/>
  <c r="B29" i="58" s="1"/>
  <c r="D29" i="58" s="1"/>
  <c r="C13" i="58"/>
  <c r="B37" i="58" s="1" a="1"/>
  <c r="B37" i="58" s="1"/>
  <c r="B14" i="59"/>
  <c r="D8" i="45" a="1"/>
  <c r="D8" i="45" s="1"/>
  <c r="E10" i="45" a="1"/>
  <c r="E10" i="45" s="1"/>
  <c r="B13" i="56"/>
  <c r="B24" i="56" s="1" a="1"/>
  <c r="B24" i="56" s="1"/>
  <c r="M50" i="5"/>
  <c r="U50" i="5" s="1"/>
  <c r="N8" i="51" s="1"/>
  <c r="D24" i="56" l="1"/>
  <c r="J27" i="58"/>
  <c r="F30" i="44"/>
  <c r="H30" i="44" s="1" a="1"/>
  <c r="H30" i="44" s="1"/>
  <c r="E37" i="58"/>
  <c r="K74" i="18" s="1"/>
  <c r="B47" i="58"/>
  <c r="J74" i="18"/>
  <c r="F23" i="44"/>
  <c r="H23" i="44" s="1" a="1"/>
  <c r="H23" i="44" s="1"/>
  <c r="D37" i="58" s="1"/>
  <c r="J50" i="18" s="1"/>
  <c r="Q28" i="5"/>
  <c r="R28" i="5"/>
  <c r="T28" i="5"/>
  <c r="V28" i="5"/>
  <c r="U28" i="5"/>
  <c r="P28" i="5"/>
  <c r="N28" i="5"/>
  <c r="I4" i="5"/>
  <c r="O47" i="5"/>
  <c r="F2" i="44"/>
  <c r="H2" i="44" s="1" a="1"/>
  <c r="H2" i="44" s="1"/>
  <c r="Q47" i="5" s="1"/>
  <c r="C2" i="45" s="1"/>
  <c r="C3" i="45" s="1" a="1"/>
  <c r="C3" i="45" s="1"/>
  <c r="W3" i="11"/>
  <c r="H21" i="56"/>
  <c r="I29" i="58"/>
  <c r="B8" i="36"/>
  <c r="G5" i="69"/>
  <c r="G4" i="55"/>
  <c r="I4" i="55" s="1"/>
  <c r="J100" i="18"/>
  <c r="J20" i="18"/>
  <c r="C14" i="58"/>
  <c r="B15" i="59"/>
  <c r="D9" i="45" a="1"/>
  <c r="D9" i="45" s="1"/>
  <c r="E11" i="45" a="1"/>
  <c r="E11" i="45" s="1"/>
  <c r="B14" i="56"/>
  <c r="M51" i="5"/>
  <c r="U51" i="5" s="1"/>
  <c r="N9" i="51" s="1"/>
  <c r="B23" i="56" l="1" a="1"/>
  <c r="B23" i="56" s="1"/>
  <c r="B25" i="56" a="1"/>
  <c r="B25" i="56" s="1"/>
  <c r="H24" i="56"/>
  <c r="H27" i="58"/>
  <c r="K24" i="56"/>
  <c r="L27" i="58"/>
  <c r="F6" i="69"/>
  <c r="H6" i="69" s="1"/>
  <c r="F45" i="58" s="1"/>
  <c r="D47" i="58"/>
  <c r="F5" i="69"/>
  <c r="H5" i="69" s="1"/>
  <c r="I5" i="69" s="1"/>
  <c r="J24" i="18" s="1"/>
  <c r="F4" i="69"/>
  <c r="H4" i="69" s="1"/>
  <c r="J92" i="18" s="1"/>
  <c r="Y28" i="5"/>
  <c r="Z28" i="5"/>
  <c r="W4" i="11" a="1"/>
  <c r="W4" i="11" s="1"/>
  <c r="R47" i="5"/>
  <c r="Q48" i="5"/>
  <c r="C4" i="45" a="1"/>
  <c r="C4" i="45" s="1"/>
  <c r="P47" i="5"/>
  <c r="O48" i="5" a="1"/>
  <c r="O48" i="5" s="1"/>
  <c r="T47" i="5"/>
  <c r="J5" i="18"/>
  <c r="N41" i="5"/>
  <c r="F14" i="19"/>
  <c r="L5" i="5"/>
  <c r="K5" i="5"/>
  <c r="F8" i="36"/>
  <c r="E8" i="36"/>
  <c r="J4" i="55" a="1"/>
  <c r="J4" i="55" s="1"/>
  <c r="K4" i="55" a="1"/>
  <c r="K4" i="55" s="1"/>
  <c r="L4" i="55" a="1"/>
  <c r="L4" i="55" s="1"/>
  <c r="C15" i="58"/>
  <c r="D10" i="45" a="1"/>
  <c r="D10" i="45" s="1"/>
  <c r="E12" i="45" a="1"/>
  <c r="E12" i="45" s="1"/>
  <c r="B15" i="56"/>
  <c r="M52" i="5"/>
  <c r="U52" i="5" s="1"/>
  <c r="N10" i="51" s="1"/>
  <c r="J28" i="58" l="1"/>
  <c r="F31" i="44"/>
  <c r="H31" i="44" s="1" a="1"/>
  <c r="H31" i="44" s="1"/>
  <c r="D25" i="56"/>
  <c r="J26" i="58"/>
  <c r="F29" i="44"/>
  <c r="H29" i="44" s="1" a="1"/>
  <c r="H29" i="44" s="1"/>
  <c r="D23" i="56"/>
  <c r="B20" i="56" a="1"/>
  <c r="B20" i="56" s="1"/>
  <c r="F26" i="44" s="1"/>
  <c r="H26" i="44" s="1" a="1"/>
  <c r="H26" i="44" s="1"/>
  <c r="R6" i="51"/>
  <c r="R10" i="51"/>
  <c r="R9" i="51"/>
  <c r="R15" i="51"/>
  <c r="R16" i="51"/>
  <c r="R7" i="51"/>
  <c r="R13" i="51"/>
  <c r="R11" i="51"/>
  <c r="R12" i="51"/>
  <c r="R14" i="51"/>
  <c r="R5" i="51"/>
  <c r="R8" i="51"/>
  <c r="P8" i="51"/>
  <c r="J84" i="18"/>
  <c r="P15" i="51"/>
  <c r="P5" i="51"/>
  <c r="P9" i="51"/>
  <c r="P6" i="51"/>
  <c r="P14" i="51"/>
  <c r="P10" i="51"/>
  <c r="P16" i="51"/>
  <c r="P7" i="51"/>
  <c r="P12" i="51"/>
  <c r="P13" i="51"/>
  <c r="P11" i="51"/>
  <c r="S47" i="5"/>
  <c r="O49" i="5" a="1"/>
  <c r="O49" i="5" s="1"/>
  <c r="P48" i="5"/>
  <c r="T48" i="5"/>
  <c r="M6" i="51" s="1"/>
  <c r="AF47" i="5"/>
  <c r="AG47" i="5"/>
  <c r="Z5" i="51" s="1"/>
  <c r="F18" i="19"/>
  <c r="Q49" i="5"/>
  <c r="C5" i="45" a="1"/>
  <c r="C5" i="45" s="1"/>
  <c r="W5" i="11" a="1"/>
  <c r="W5" i="11" s="1"/>
  <c r="R48" i="5"/>
  <c r="M4" i="55"/>
  <c r="J21" i="18" s="1"/>
  <c r="C16" i="58"/>
  <c r="D11" i="45" a="1"/>
  <c r="D11" i="45" s="1"/>
  <c r="E13" i="45" a="1"/>
  <c r="E13" i="45" s="1"/>
  <c r="B16" i="56"/>
  <c r="M53" i="5"/>
  <c r="U53" i="5" s="1"/>
  <c r="N11" i="51" s="1"/>
  <c r="L26" i="58" l="1"/>
  <c r="K23" i="56"/>
  <c r="H26" i="58"/>
  <c r="H23" i="56"/>
  <c r="L28" i="58"/>
  <c r="K25" i="56"/>
  <c r="H25" i="56"/>
  <c r="H28" i="58"/>
  <c r="D20" i="56"/>
  <c r="Q29" i="5"/>
  <c r="R29" i="5"/>
  <c r="V29" i="5"/>
  <c r="J23" i="58"/>
  <c r="B22" i="56" a="1"/>
  <c r="B22" i="56" s="1"/>
  <c r="D22" i="56" s="1"/>
  <c r="T29" i="5"/>
  <c r="P29" i="5"/>
  <c r="G10" i="43"/>
  <c r="H10" i="43" s="1"/>
  <c r="U29" i="5"/>
  <c r="S29" i="5"/>
  <c r="S48" i="5"/>
  <c r="O6" i="51" s="1"/>
  <c r="AF48" i="5"/>
  <c r="W6" i="11" a="1"/>
  <c r="W6" i="11" s="1"/>
  <c r="R49" i="5"/>
  <c r="AF49" i="5" s="1"/>
  <c r="AG48" i="5"/>
  <c r="Z6" i="51" s="1"/>
  <c r="Q50" i="5"/>
  <c r="C6" i="45" a="1"/>
  <c r="C6" i="45" s="1"/>
  <c r="P49" i="5"/>
  <c r="O50" i="5" a="1"/>
  <c r="O50" i="5" s="1"/>
  <c r="T49" i="5"/>
  <c r="M7" i="51" s="1"/>
  <c r="H23" i="58"/>
  <c r="H20" i="56"/>
  <c r="J21" i="56"/>
  <c r="J23" i="56"/>
  <c r="C17" i="58"/>
  <c r="B17" i="56"/>
  <c r="B26" i="56" s="1" a="1"/>
  <c r="B26" i="56" s="1"/>
  <c r="D12" i="45" a="1"/>
  <c r="D12" i="45" s="1"/>
  <c r="M54" i="5"/>
  <c r="U54" i="5" s="1"/>
  <c r="N12" i="51" s="1"/>
  <c r="G9" i="43" l="1"/>
  <c r="H9" i="43" s="1"/>
  <c r="G7" i="43"/>
  <c r="H7" i="43" s="1"/>
  <c r="F13" i="43" s="1" a="1"/>
  <c r="F13" i="43" s="1"/>
  <c r="F3" i="72"/>
  <c r="G3" i="72" s="1" a="1"/>
  <c r="G3" i="72" s="1"/>
  <c r="M27" i="5" s="1"/>
  <c r="U27" i="5" s="1"/>
  <c r="G5" i="55"/>
  <c r="I5" i="55" s="1"/>
  <c r="F32" i="44"/>
  <c r="H32" i="44" s="1" a="1"/>
  <c r="H32" i="44" s="1"/>
  <c r="D26" i="56"/>
  <c r="I60" i="18" s="1" a="1"/>
  <c r="I60" i="18" s="1"/>
  <c r="K60" i="18" s="1"/>
  <c r="J29" i="58"/>
  <c r="L23" i="58"/>
  <c r="J25" i="56"/>
  <c r="J24" i="56"/>
  <c r="K20" i="56"/>
  <c r="J20" i="56"/>
  <c r="J22" i="56"/>
  <c r="F28" i="44"/>
  <c r="H28" i="44" s="1" a="1"/>
  <c r="H28" i="44" s="1"/>
  <c r="H25" i="58" s="1"/>
  <c r="L25" i="58"/>
  <c r="J25" i="58"/>
  <c r="I21" i="43" a="1"/>
  <c r="I21" i="43" s="1"/>
  <c r="I20" i="43" a="1"/>
  <c r="I20" i="43" s="1"/>
  <c r="I14" i="43" a="1"/>
  <c r="I14" i="43" s="1"/>
  <c r="I22" i="43" a="1"/>
  <c r="I22" i="43" s="1"/>
  <c r="I13" i="43" a="1"/>
  <c r="I13" i="43" s="1"/>
  <c r="I17" i="43" a="1"/>
  <c r="I17" i="43" s="1"/>
  <c r="I23" i="43" a="1"/>
  <c r="I23" i="43" s="1"/>
  <c r="I15" i="43" a="1"/>
  <c r="I15" i="43" s="1"/>
  <c r="I18" i="43" a="1"/>
  <c r="I18" i="43" s="1"/>
  <c r="I16" i="43" a="1"/>
  <c r="I16" i="43" s="1"/>
  <c r="I19" i="43" a="1"/>
  <c r="I19" i="43" s="1"/>
  <c r="H21" i="43" a="1"/>
  <c r="H21" i="43" s="1"/>
  <c r="H18" i="43" a="1"/>
  <c r="H18" i="43" s="1"/>
  <c r="H16" i="43" a="1"/>
  <c r="H16" i="43" s="1"/>
  <c r="H17" i="43" a="1"/>
  <c r="H17" i="43" s="1"/>
  <c r="H20" i="43" a="1"/>
  <c r="H20" i="43" s="1"/>
  <c r="H13" i="43" a="1"/>
  <c r="H13" i="43" s="1"/>
  <c r="H23" i="43" a="1"/>
  <c r="H23" i="43" s="1"/>
  <c r="H22" i="43" a="1"/>
  <c r="H22" i="43" s="1"/>
  <c r="H14" i="43" a="1"/>
  <c r="H14" i="43" s="1"/>
  <c r="H19" i="43" a="1"/>
  <c r="H19" i="43" s="1"/>
  <c r="H15" i="43" a="1"/>
  <c r="H15" i="43" s="1"/>
  <c r="K22" i="56"/>
  <c r="B27" i="56" a="1"/>
  <c r="B27" i="56" s="1"/>
  <c r="D27" i="56" s="1"/>
  <c r="G8" i="43"/>
  <c r="H8" i="43" s="1"/>
  <c r="Y29" i="5"/>
  <c r="Z29" i="5"/>
  <c r="P50" i="5"/>
  <c r="O51" i="5" a="1"/>
  <c r="O51" i="5" s="1"/>
  <c r="T50" i="5"/>
  <c r="M8" i="51" s="1"/>
  <c r="S49" i="5"/>
  <c r="O7" i="51" s="1"/>
  <c r="AG49" i="5"/>
  <c r="Z7" i="51" s="1"/>
  <c r="Q51" i="5"/>
  <c r="C7" i="45" a="1"/>
  <c r="C7" i="45" s="1"/>
  <c r="W7" i="11" a="1"/>
  <c r="W7" i="11" s="1"/>
  <c r="R50" i="5"/>
  <c r="AF50" i="5" s="1"/>
  <c r="J3" i="5"/>
  <c r="N47" i="5" s="1"/>
  <c r="N48" i="5" s="1"/>
  <c r="N49" i="5" s="1"/>
  <c r="N50" i="5" s="1"/>
  <c r="N51" i="5" s="1"/>
  <c r="N52" i="5" s="1"/>
  <c r="S27" i="5"/>
  <c r="R27" i="5"/>
  <c r="Q27" i="5"/>
  <c r="V27" i="5"/>
  <c r="T27" i="5"/>
  <c r="B25" i="58" a="1"/>
  <c r="B25" i="58" s="1"/>
  <c r="B27" i="58" a="1"/>
  <c r="B27" i="58" s="1"/>
  <c r="L48" i="18"/>
  <c r="L75" i="18"/>
  <c r="D7" i="54"/>
  <c r="D16" i="54"/>
  <c r="L50" i="18"/>
  <c r="D5" i="54"/>
  <c r="K13" i="54" s="1"/>
  <c r="D6" i="54"/>
  <c r="L77" i="18"/>
  <c r="D8" i="54"/>
  <c r="L47" i="18"/>
  <c r="J83" i="18"/>
  <c r="J89" i="18"/>
  <c r="D10" i="54"/>
  <c r="D12" i="54"/>
  <c r="D9" i="54"/>
  <c r="D15" i="54"/>
  <c r="D13" i="54"/>
  <c r="D11" i="54"/>
  <c r="D14" i="54"/>
  <c r="C18" i="58"/>
  <c r="D13" i="45" a="1"/>
  <c r="D13" i="45" s="1"/>
  <c r="L74" i="18"/>
  <c r="L78" i="18"/>
  <c r="M55" i="5"/>
  <c r="U55" i="5" s="1"/>
  <c r="N13" i="51" s="1"/>
  <c r="F21" i="43" l="1" a="1"/>
  <c r="F21" i="43" s="1"/>
  <c r="F20" i="43" a="1"/>
  <c r="F20" i="43" s="1"/>
  <c r="F16" i="43" a="1"/>
  <c r="F16" i="43" s="1"/>
  <c r="F23" i="43" a="1"/>
  <c r="F23" i="43" s="1"/>
  <c r="F17" i="43" a="1"/>
  <c r="F17" i="43" s="1"/>
  <c r="F15" i="43" a="1"/>
  <c r="F15" i="43" s="1"/>
  <c r="F22" i="43" a="1"/>
  <c r="F22" i="43" s="1"/>
  <c r="F18" i="43" a="1"/>
  <c r="F18" i="43" s="1"/>
  <c r="F14" i="43" a="1"/>
  <c r="F14" i="43" s="1"/>
  <c r="F19" i="43" a="1"/>
  <c r="F19" i="43" s="1"/>
  <c r="P27" i="5"/>
  <c r="I64" i="18" a="1"/>
  <c r="I64" i="18" s="1"/>
  <c r="M64" i="18" s="1"/>
  <c r="I61" i="18" a="1"/>
  <c r="I61" i="18" s="1"/>
  <c r="K61" i="18" s="1"/>
  <c r="J26" i="56"/>
  <c r="I65" i="18" a="1"/>
  <c r="I65" i="18" s="1"/>
  <c r="L65" i="18" s="1"/>
  <c r="I62" i="18" a="1"/>
  <c r="I62" i="18" s="1"/>
  <c r="K62" i="18" s="1"/>
  <c r="I63" i="18" a="1"/>
  <c r="I63" i="18" s="1"/>
  <c r="J63" i="18" s="1"/>
  <c r="I59" i="18" a="1"/>
  <c r="I59" i="18" s="1"/>
  <c r="K8" i="54"/>
  <c r="L29" i="58"/>
  <c r="K26" i="56"/>
  <c r="H29" i="58"/>
  <c r="H26" i="56"/>
  <c r="J5" i="55" a="1"/>
  <c r="J5" i="55" s="1"/>
  <c r="J30" i="18" s="1"/>
  <c r="K5" i="55" a="1"/>
  <c r="K5" i="55" s="1"/>
  <c r="J31" i="18" s="1"/>
  <c r="L5" i="55" a="1"/>
  <c r="L5" i="55" s="1"/>
  <c r="J32" i="18" s="1"/>
  <c r="K32" i="18" s="1"/>
  <c r="N27" i="5"/>
  <c r="B2" i="43"/>
  <c r="F37" i="44" s="1"/>
  <c r="H37" i="44" s="1" a="1"/>
  <c r="H37" i="44" s="1"/>
  <c r="D2" i="43" s="1"/>
  <c r="E13" i="43" s="1"/>
  <c r="M63" i="18"/>
  <c r="K65" i="18"/>
  <c r="M65" i="18"/>
  <c r="K63" i="18"/>
  <c r="J64" i="18"/>
  <c r="J61" i="18"/>
  <c r="J60" i="18"/>
  <c r="H22" i="56"/>
  <c r="F34" i="44"/>
  <c r="H34" i="44" s="1" a="1"/>
  <c r="H34" i="44" s="1"/>
  <c r="H27" i="56" s="1"/>
  <c r="G16" i="43" a="1"/>
  <c r="G16" i="43" s="1"/>
  <c r="G23" i="43" a="1"/>
  <c r="G23" i="43" s="1"/>
  <c r="G15" i="43" a="1"/>
  <c r="G15" i="43" s="1"/>
  <c r="G21" i="43" a="1"/>
  <c r="G21" i="43" s="1"/>
  <c r="G14" i="43" a="1"/>
  <c r="G14" i="43" s="1"/>
  <c r="G19" i="43" a="1"/>
  <c r="G19" i="43" s="1"/>
  <c r="G18" i="43" a="1"/>
  <c r="G18" i="43" s="1"/>
  <c r="G20" i="43" a="1"/>
  <c r="G20" i="43" s="1"/>
  <c r="G13" i="43" a="1"/>
  <c r="G13" i="43" s="1"/>
  <c r="J13" i="43" s="1"/>
  <c r="G22" i="43" a="1"/>
  <c r="G22" i="43" s="1"/>
  <c r="G17" i="43" a="1"/>
  <c r="G17" i="43" s="1"/>
  <c r="L64" i="18"/>
  <c r="J65" i="18"/>
  <c r="F6" i="72"/>
  <c r="G6" i="72" s="1" a="1"/>
  <c r="G6" i="72" s="1"/>
  <c r="M30" i="5" s="1"/>
  <c r="V30" i="5" s="1"/>
  <c r="K64" i="18"/>
  <c r="N53" i="5"/>
  <c r="N54" i="5" s="1"/>
  <c r="N55" i="5" s="1"/>
  <c r="N56" i="5" s="1"/>
  <c r="N57" i="5" s="1"/>
  <c r="N58" i="5" s="1"/>
  <c r="W8" i="11" a="1"/>
  <c r="W8" i="11" s="1"/>
  <c r="R51" i="5"/>
  <c r="AF51" i="5" s="1"/>
  <c r="Q52" i="5"/>
  <c r="C8" i="45" a="1"/>
  <c r="C8" i="45" s="1"/>
  <c r="P51" i="5"/>
  <c r="O52" i="5" a="1"/>
  <c r="O52" i="5" s="1"/>
  <c r="T51" i="5"/>
  <c r="M9" i="51" s="1"/>
  <c r="S50" i="5"/>
  <c r="O8" i="51" s="1"/>
  <c r="AG50" i="5"/>
  <c r="Z8" i="51" s="1"/>
  <c r="Y27" i="5"/>
  <c r="Z27" i="5"/>
  <c r="D27" i="58"/>
  <c r="K31" i="18" s="1"/>
  <c r="D25" i="58"/>
  <c r="K30" i="18" s="1"/>
  <c r="B26" i="58" a="1"/>
  <c r="B26" i="58" s="1"/>
  <c r="B24" i="58" a="1"/>
  <c r="B24" i="58" s="1"/>
  <c r="K12" i="54"/>
  <c r="K5" i="54"/>
  <c r="K6" i="54"/>
  <c r="C19" i="58"/>
  <c r="J9" i="51"/>
  <c r="J11" i="51"/>
  <c r="K15" i="54"/>
  <c r="K16" i="54"/>
  <c r="K9" i="54"/>
  <c r="K10" i="54"/>
  <c r="K14" i="54"/>
  <c r="K7" i="54"/>
  <c r="K11" i="54"/>
  <c r="M56" i="5"/>
  <c r="U56" i="5" s="1"/>
  <c r="N14" i="51" s="1"/>
  <c r="J22" i="43" l="1"/>
  <c r="J15" i="43"/>
  <c r="J17" i="43"/>
  <c r="J23" i="43"/>
  <c r="J16" i="43"/>
  <c r="J19" i="43"/>
  <c r="J20" i="43"/>
  <c r="J14" i="43"/>
  <c r="J21" i="43"/>
  <c r="J18" i="43"/>
  <c r="D46" i="58"/>
  <c r="K78" i="18" s="1"/>
  <c r="B23" i="58" a="1"/>
  <c r="B23" i="58" s="1"/>
  <c r="L63" i="18"/>
  <c r="J62" i="18"/>
  <c r="M59" i="18"/>
  <c r="J59" i="18"/>
  <c r="K59" i="18"/>
  <c r="L59" i="18"/>
  <c r="B2" i="45"/>
  <c r="B3" i="45" s="1" a="1"/>
  <c r="B3" i="45" s="1"/>
  <c r="B4" i="45" s="1" a="1"/>
  <c r="B4" i="45" s="1"/>
  <c r="D13" i="43"/>
  <c r="L62" i="18"/>
  <c r="M62" i="18"/>
  <c r="S30" i="5"/>
  <c r="U30" i="5"/>
  <c r="Q30" i="5"/>
  <c r="R30" i="5"/>
  <c r="N30" i="5"/>
  <c r="M34" i="5" s="1"/>
  <c r="P30" i="5"/>
  <c r="T30" i="5"/>
  <c r="J14" i="51"/>
  <c r="J13" i="51"/>
  <c r="M33" i="5"/>
  <c r="X12" i="51"/>
  <c r="X16" i="51"/>
  <c r="X9" i="51"/>
  <c r="X10" i="51"/>
  <c r="X11" i="51"/>
  <c r="X14" i="51"/>
  <c r="X6" i="51"/>
  <c r="X15" i="51"/>
  <c r="X7" i="51"/>
  <c r="X8" i="51"/>
  <c r="X13" i="51"/>
  <c r="D43" i="58"/>
  <c r="K75" i="18" s="1"/>
  <c r="D45" i="58"/>
  <c r="K77" i="18" s="1"/>
  <c r="T52" i="5"/>
  <c r="M10" i="51" s="1"/>
  <c r="P52" i="5"/>
  <c r="O53" i="5" a="1"/>
  <c r="O53" i="5" s="1"/>
  <c r="S51" i="5"/>
  <c r="O9" i="51" s="1"/>
  <c r="AG51" i="5"/>
  <c r="Z9" i="51" s="1"/>
  <c r="Q53" i="5"/>
  <c r="C9" i="45" a="1"/>
  <c r="C9" i="45" s="1"/>
  <c r="W9" i="11" a="1"/>
  <c r="W9" i="11" s="1"/>
  <c r="R52" i="5"/>
  <c r="AF52" i="5" s="1"/>
  <c r="D24" i="58"/>
  <c r="L60" i="18" s="1"/>
  <c r="M60" i="18"/>
  <c r="B38" i="58"/>
  <c r="F24" i="44" s="1"/>
  <c r="H24" i="44" s="1" a="1"/>
  <c r="H24" i="44" s="1"/>
  <c r="D38" i="58" s="1"/>
  <c r="J49" i="18" s="1"/>
  <c r="L49" i="18" s="1"/>
  <c r="D26" i="58"/>
  <c r="M61" i="18"/>
  <c r="J5" i="51"/>
  <c r="B28" i="58" a="1"/>
  <c r="B28" i="58" s="1"/>
  <c r="D28" i="58" s="1"/>
  <c r="I26" i="58"/>
  <c r="D4" i="58" s="1"/>
  <c r="J8" i="18" s="1"/>
  <c r="J7" i="51"/>
  <c r="J10" i="51"/>
  <c r="J15" i="51"/>
  <c r="J12" i="51"/>
  <c r="J8" i="51"/>
  <c r="J6" i="51"/>
  <c r="J16" i="51"/>
  <c r="M57" i="5"/>
  <c r="U57" i="5" s="1"/>
  <c r="N15" i="51" s="1"/>
  <c r="M58" i="5"/>
  <c r="U58" i="5" s="1"/>
  <c r="N16" i="51" s="1"/>
  <c r="E14" i="43" l="1"/>
  <c r="D14" i="43" s="1"/>
  <c r="D23" i="58"/>
  <c r="E15" i="43"/>
  <c r="D15" i="43" s="1"/>
  <c r="B5" i="45" a="1"/>
  <c r="B5" i="45" s="1"/>
  <c r="Z30" i="5"/>
  <c r="M36" i="5"/>
  <c r="Y30" i="5"/>
  <c r="M38" i="5"/>
  <c r="M35" i="5"/>
  <c r="M37" i="5"/>
  <c r="M39" i="5"/>
  <c r="Q54" i="5"/>
  <c r="C10" i="45" a="1"/>
  <c r="C10" i="45" s="1"/>
  <c r="W10" i="11" a="1"/>
  <c r="W10" i="11" s="1"/>
  <c r="R53" i="5"/>
  <c r="AF53" i="5" s="1"/>
  <c r="P53" i="5"/>
  <c r="O54" i="5" a="1"/>
  <c r="O54" i="5" s="1"/>
  <c r="T53" i="5"/>
  <c r="M11" i="51" s="1"/>
  <c r="S52" i="5"/>
  <c r="O10" i="51" s="1"/>
  <c r="AG52" i="5"/>
  <c r="Z10" i="51" s="1"/>
  <c r="L61" i="18"/>
  <c r="B6" i="36"/>
  <c r="G5" i="54"/>
  <c r="I5" i="54" s="1"/>
  <c r="B6" i="45" l="1" a="1"/>
  <c r="B6" i="45" s="1"/>
  <c r="E16" i="43"/>
  <c r="D16" i="43" s="1"/>
  <c r="S53" i="5"/>
  <c r="O11" i="51" s="1"/>
  <c r="AG53" i="5"/>
  <c r="Z11" i="51" s="1"/>
  <c r="W11" i="11" a="1"/>
  <c r="W11" i="11" s="1"/>
  <c r="R54" i="5"/>
  <c r="AF54" i="5" s="1"/>
  <c r="P54" i="5"/>
  <c r="O55" i="5" a="1"/>
  <c r="O55" i="5" s="1"/>
  <c r="T54" i="5"/>
  <c r="M12" i="51" s="1"/>
  <c r="Q55" i="5"/>
  <c r="C11" i="45" a="1"/>
  <c r="C11" i="45" s="1"/>
  <c r="E6" i="36"/>
  <c r="F6" i="36"/>
  <c r="K11" i="51"/>
  <c r="K7" i="51"/>
  <c r="K10" i="51"/>
  <c r="K13" i="51"/>
  <c r="K6" i="51"/>
  <c r="K16" i="51"/>
  <c r="K14" i="51"/>
  <c r="K12" i="51"/>
  <c r="K8" i="51"/>
  <c r="K9" i="51"/>
  <c r="K15" i="51"/>
  <c r="B5" i="51"/>
  <c r="H5" i="54"/>
  <c r="B7" i="45" l="1" a="1"/>
  <c r="B7" i="45" s="1"/>
  <c r="E17" i="43"/>
  <c r="D17" i="43" s="1"/>
  <c r="K5" i="51"/>
  <c r="X5" i="51"/>
  <c r="N5" i="51"/>
  <c r="M5" i="51"/>
  <c r="O5" i="51"/>
  <c r="T55" i="5"/>
  <c r="M13" i="51" s="1"/>
  <c r="P55" i="5"/>
  <c r="O56" i="5" a="1"/>
  <c r="O56" i="5" s="1"/>
  <c r="S54" i="5"/>
  <c r="O12" i="51" s="1"/>
  <c r="AG54" i="5"/>
  <c r="Z12" i="51" s="1"/>
  <c r="Q56" i="5"/>
  <c r="C12" i="45" a="1"/>
  <c r="C12" i="45" s="1"/>
  <c r="W12" i="11" a="1"/>
  <c r="W12" i="11" s="1"/>
  <c r="R55" i="5"/>
  <c r="AF55" i="5" s="1"/>
  <c r="H8" i="36"/>
  <c r="H7" i="36"/>
  <c r="H6" i="36"/>
  <c r="H9" i="36"/>
  <c r="E18" i="43" l="1"/>
  <c r="D18" i="43" s="1"/>
  <c r="B8" i="45" a="1"/>
  <c r="B8" i="45" s="1"/>
  <c r="P56" i="5"/>
  <c r="T56" i="5"/>
  <c r="M14" i="51" s="1"/>
  <c r="O57" i="5" a="1"/>
  <c r="O57" i="5" s="1"/>
  <c r="W13" i="11" a="1"/>
  <c r="W13" i="11" s="1"/>
  <c r="R56" i="5"/>
  <c r="AF56" i="5" s="1"/>
  <c r="S55" i="5"/>
  <c r="O13" i="51" s="1"/>
  <c r="AG55" i="5"/>
  <c r="Z13" i="51" s="1"/>
  <c r="Q57" i="5"/>
  <c r="C13" i="45" a="1"/>
  <c r="C13" i="45" s="1"/>
  <c r="Q58" i="5" s="1"/>
  <c r="E19" i="43" l="1"/>
  <c r="D19" i="43" s="1"/>
  <c r="B9" i="45" a="1"/>
  <c r="B9" i="45" s="1"/>
  <c r="W14" i="11" a="1"/>
  <c r="W14" i="11" s="1"/>
  <c r="R58" i="5" s="1"/>
  <c r="R57" i="5"/>
  <c r="AF57" i="5" s="1"/>
  <c r="S56" i="5"/>
  <c r="O14" i="51" s="1"/>
  <c r="AG56" i="5"/>
  <c r="Z14" i="51" s="1"/>
  <c r="T57" i="5"/>
  <c r="M15" i="51" s="1"/>
  <c r="P57" i="5"/>
  <c r="O58" i="5" a="1"/>
  <c r="O58" i="5" s="1"/>
  <c r="B10" i="45" l="1" a="1"/>
  <c r="B10" i="45" s="1"/>
  <c r="E20" i="43"/>
  <c r="D20" i="43" s="1"/>
  <c r="P58" i="5"/>
  <c r="AG58" i="5" s="1"/>
  <c r="Z16" i="51" s="1"/>
  <c r="T58" i="5"/>
  <c r="M16" i="51" s="1"/>
  <c r="AF58" i="5"/>
  <c r="S57" i="5"/>
  <c r="O15" i="51" s="1"/>
  <c r="AG57" i="5"/>
  <c r="Z15" i="51" s="1"/>
  <c r="B11" i="45" l="1" a="1"/>
  <c r="B11" i="45" s="1"/>
  <c r="E21" i="43"/>
  <c r="D21" i="43" s="1"/>
  <c r="S58" i="5"/>
  <c r="O16" i="51" s="1"/>
  <c r="E22" i="43" l="1"/>
  <c r="D22" i="43" s="1"/>
  <c r="B12" i="45" a="1"/>
  <c r="B12" i="45" s="1"/>
  <c r="E23" i="43" l="1"/>
  <c r="D23" i="43" s="1"/>
  <c r="B13" i="45" a="1"/>
  <c r="B13" i="45" s="1"/>
  <c r="E24" i="43" s="1"/>
  <c r="D24" i="4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scs 176</author>
    <author>Avianto</author>
    <author>La hut</author>
  </authors>
  <commentList>
    <comment ref="J4" authorId="0" shapeId="0" xr:uid="{4AFC26CB-486E-41AF-BA7A-BE3B772A1B1D}">
      <text>
        <r>
          <rPr>
            <b/>
            <sz val="9"/>
            <color indexed="81"/>
            <rFont val="Tahoma"/>
            <family val="2"/>
          </rPr>
          <t>Dodecatemoria monthly revolution</t>
        </r>
      </text>
    </comment>
    <comment ref="P4" authorId="1" shapeId="0" xr:uid="{B3E0E69F-6F69-46E2-B413-274EEDF4003A}">
      <text>
        <r>
          <rPr>
            <b/>
            <sz val="9"/>
            <color indexed="81"/>
            <rFont val="Tahoma"/>
            <family val="2"/>
          </rPr>
          <t>Compare again in condition of monthly revolution</t>
        </r>
      </text>
    </comment>
    <comment ref="Z4" authorId="2" shapeId="0" xr:uid="{013A96BA-2779-419E-B70C-750A8C8787D4}">
      <text>
        <r>
          <rPr>
            <b/>
            <sz val="9"/>
            <color indexed="81"/>
            <rFont val="Tahoma"/>
            <family val="2"/>
          </rPr>
          <t>IF DON'T HAVE EXACT DATE BIRTH, PLEASE USE ANOTHER NOTE PROGRESION (WITHOUT SENSITIVE) IN SHEET "2. PROFECTION YEARLY &amp; MONTHLY"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 hut</author>
  </authors>
  <commentList>
    <comment ref="D5" authorId="0" shapeId="0" xr:uid="{F040E226-1E7D-4C01-BE1C-798E59B37991}">
      <text>
        <r>
          <rPr>
            <b/>
            <sz val="9"/>
            <color indexed="81"/>
            <rFont val="Tahoma"/>
            <family val="2"/>
          </rPr>
          <t xml:space="preserve">IF ONE OF THIS CELL IS TURNED RED, THERE IS DUPLICATE VALUE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 hut</author>
  </authors>
  <commentList>
    <comment ref="E7" authorId="0" shapeId="0" xr:uid="{C7C12C76-3FDC-454E-8BFD-6B7BFFED9209}">
      <text>
        <r>
          <rPr>
            <b/>
            <sz val="9"/>
            <color indexed="81"/>
            <rFont val="Tahoma"/>
            <family val="2"/>
          </rPr>
          <t xml:space="preserve">IF ONE OF THIS CELL IS TURNED RED, THERE IS DUPLICATE VALUE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Avianto</author>
  </authors>
  <commentList>
    <comment ref="B4" authorId="0" shapeId="0" xr:uid="{9391FBDD-BA0F-45B4-8899-487736396B10}">
      <text>
        <r>
          <rPr>
            <b/>
            <sz val="9"/>
            <color indexed="81"/>
            <rFont val="Tahoma"/>
            <family val="2"/>
          </rPr>
          <t>0 sd 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 hut</author>
  </authors>
  <commentList>
    <comment ref="H55" authorId="0" shapeId="0" xr:uid="{6749F030-5AC1-49EB-BA11-D6AEBBC045ED}">
      <text>
        <r>
          <rPr>
            <b/>
            <sz val="9"/>
            <color indexed="81"/>
            <rFont val="Tahoma"/>
            <family val="2"/>
          </rPr>
          <t>PRIORITIZE ON SLOWER PLANET</t>
        </r>
      </text>
    </comment>
    <comment ref="I80" authorId="0" shapeId="0" xr:uid="{9604FB27-9F07-4C1B-BD90-24F124AD2759}">
      <text>
        <r>
          <rPr>
            <b/>
            <sz val="9"/>
            <color indexed="81"/>
            <rFont val="Tahoma"/>
            <family val="2"/>
          </rPr>
          <t xml:space="preserve">Compare again in condition of monthly revolution
</t>
        </r>
        <r>
          <rPr>
            <b/>
            <sz val="11"/>
            <color indexed="81"/>
            <rFont val="Tahoma"/>
            <family val="2"/>
          </rPr>
          <t>challenging, do not to be dire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 hut</author>
  </authors>
  <commentList>
    <comment ref="F4" authorId="0" shapeId="0" xr:uid="{772188CD-BA21-4748-81E9-2BE30F6075D1}">
      <text>
        <r>
          <rPr>
            <b/>
            <sz val="11"/>
            <color indexed="81"/>
            <rFont val="Tahoma"/>
            <family val="2"/>
          </rPr>
          <t xml:space="preserve">Must convert to excell time format/google time format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Avianto</author>
  </authors>
  <commentList>
    <comment ref="D5" authorId="0" shapeId="0" xr:uid="{01607A11-ACED-4977-91DC-38A651AC456F}">
      <text>
        <r>
          <rPr>
            <b/>
            <sz val="9"/>
            <color indexed="81"/>
            <rFont val="Tahoma"/>
            <family val="2"/>
          </rPr>
          <t>Count from favoured light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Avianto</author>
  </authors>
  <commentList>
    <comment ref="D4" authorId="0" shapeId="0" xr:uid="{A3FADE50-F808-46A1-B0C2-E27F49FDFB1D}">
      <text>
        <r>
          <rPr>
            <b/>
            <sz val="9"/>
            <color indexed="81"/>
            <rFont val="Tahoma"/>
            <family val="2"/>
          </rPr>
          <t>Avianto:</t>
        </r>
        <r>
          <rPr>
            <sz val="9"/>
            <color indexed="81"/>
            <rFont val="Tahoma"/>
            <family val="2"/>
          </rPr>
          <t xml:space="preserve">
MASUKAN SESUAI DENGAN POSISI NATAL HOUSE</t>
        </r>
      </text>
    </comment>
    <comment ref="H4" authorId="0" shapeId="0" xr:uid="{60B9A527-DE86-40A5-90BD-C1C1E9716D75}">
      <text>
        <r>
          <rPr>
            <b/>
            <sz val="9"/>
            <color indexed="81"/>
            <rFont val="Tahoma"/>
            <family val="2"/>
          </rPr>
          <t>Avianto:</t>
        </r>
        <r>
          <rPr>
            <sz val="9"/>
            <color indexed="81"/>
            <rFont val="Tahoma"/>
            <family val="2"/>
          </rPr>
          <t xml:space="preserve">
ISI DENGAN URUTAN MONTHLY RETURN 
</t>
        </r>
      </text>
    </comment>
    <comment ref="J4" authorId="0" shapeId="0" xr:uid="{6EF974B2-3D1F-4C03-B0C4-E9FB30099D3B}">
      <text>
        <r>
          <rPr>
            <b/>
            <sz val="9"/>
            <color indexed="81"/>
            <rFont val="Tahoma"/>
            <family val="2"/>
          </rPr>
          <t>Avianto:</t>
        </r>
        <r>
          <rPr>
            <sz val="9"/>
            <color indexed="81"/>
            <rFont val="Tahoma"/>
            <family val="2"/>
          </rPr>
          <t xml:space="preserve">
DODECATEMORIA MONTHLY REVOLUTION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<sst xmlns="http://schemas.openxmlformats.org/spreadsheetml/2006/main" count="1837" uniqueCount="428">
  <si>
    <t>YEAR BORN</t>
  </si>
  <si>
    <t>MANSIL OF THE MOON NATAL CHART</t>
  </si>
  <si>
    <t xml:space="preserve">SOLAR REVOLUTION MANSION OF THE MOON </t>
  </si>
  <si>
    <t>RESULT</t>
  </si>
  <si>
    <t>INAUSPICIOUS</t>
  </si>
  <si>
    <t>AUSPICIOUS</t>
  </si>
  <si>
    <t>MIXED</t>
  </si>
  <si>
    <t xml:space="preserve">ORIGIN ASCENDANT DEGREE </t>
  </si>
  <si>
    <t>Date of Birth</t>
  </si>
  <si>
    <t>FIRDARIA</t>
  </si>
  <si>
    <t>SATURN</t>
  </si>
  <si>
    <t>Sect</t>
  </si>
  <si>
    <t>HELPER</t>
  </si>
  <si>
    <t>JUPITER</t>
  </si>
  <si>
    <t>Major</t>
  </si>
  <si>
    <t>Minor</t>
  </si>
  <si>
    <t>Time</t>
  </si>
  <si>
    <t>Date</t>
  </si>
  <si>
    <t>Sun</t>
  </si>
  <si>
    <t>Venus</t>
  </si>
  <si>
    <t>Moon</t>
  </si>
  <si>
    <t>Saturn</t>
  </si>
  <si>
    <t>Mercury</t>
  </si>
  <si>
    <t>Jupiter</t>
  </si>
  <si>
    <t xml:space="preserve">No </t>
  </si>
  <si>
    <t>HOUSE</t>
  </si>
  <si>
    <t>ZODIAC</t>
  </si>
  <si>
    <t>NORTH NODE 3 yrs</t>
  </si>
  <si>
    <t>SOUTH NODE 2 yrs</t>
  </si>
  <si>
    <t>Lot of illnes and perilous year</t>
  </si>
  <si>
    <t xml:space="preserve">Degree </t>
  </si>
  <si>
    <t>ARIES</t>
  </si>
  <si>
    <t xml:space="preserve">SOLAR REVOLUTION </t>
  </si>
  <si>
    <t xml:space="preserve">Tabel Tahun Signifikan </t>
  </si>
  <si>
    <t>Umur</t>
  </si>
  <si>
    <t>MOON</t>
  </si>
  <si>
    <t xml:space="preserve">Keterangan </t>
  </si>
  <si>
    <t>Signifikan</t>
  </si>
  <si>
    <t>Lord of Profection</t>
  </si>
  <si>
    <t>DEGREE</t>
  </si>
  <si>
    <t xml:space="preserve">Dodecatemoria </t>
  </si>
  <si>
    <t>DESTINED LIGHT PROFECTION</t>
  </si>
  <si>
    <t>IMPACTFULL</t>
  </si>
  <si>
    <t>DERIVED HOUSE</t>
  </si>
  <si>
    <t>DODECATEMORIA</t>
  </si>
  <si>
    <t>ORIGIN NATAL CHART</t>
  </si>
  <si>
    <t>MONTH</t>
  </si>
  <si>
    <t>CARDINAL IN NATAL CHART</t>
  </si>
  <si>
    <t xml:space="preserve">DODECATEMORIA </t>
  </si>
  <si>
    <t>ECLIPSES 1</t>
  </si>
  <si>
    <t>ECLIPSE 2</t>
  </si>
  <si>
    <t>No</t>
  </si>
  <si>
    <t>KRITERIA</t>
  </si>
  <si>
    <t>PLANET</t>
  </si>
  <si>
    <t xml:space="preserve">Lord of the transfer (PROFECTION) : </t>
  </si>
  <si>
    <t>Ascendant of the years</t>
  </si>
  <si>
    <t>MERCURY</t>
  </si>
  <si>
    <t>Triplicity of the lord ascendant REV/ FARDAR</t>
  </si>
  <si>
    <t xml:space="preserve">Lord of favored light of revolution </t>
  </si>
  <si>
    <t>SUN</t>
  </si>
  <si>
    <t>Ascendant of the nativity</t>
  </si>
  <si>
    <t xml:space="preserve">MASTER OF REVOLUTION </t>
  </si>
  <si>
    <t xml:space="preserve">No. </t>
  </si>
  <si>
    <t xml:space="preserve">POINT OF LIFE </t>
  </si>
  <si>
    <t>DODE-REVO</t>
  </si>
  <si>
    <t>NATAL</t>
  </si>
  <si>
    <t>DESTINED LIGHT</t>
  </si>
  <si>
    <t>CANCER</t>
  </si>
  <si>
    <t>LOF</t>
  </si>
  <si>
    <t>LEO</t>
  </si>
  <si>
    <t>NATAL CHART</t>
  </si>
  <si>
    <t>Solar Revolution 
House</t>
  </si>
  <si>
    <t xml:space="preserve">Planet </t>
  </si>
  <si>
    <t>House</t>
  </si>
  <si>
    <t>REVOLUTION</t>
  </si>
  <si>
    <t>Natal</t>
  </si>
  <si>
    <t>FORTUNE</t>
  </si>
  <si>
    <t>VIRGO</t>
  </si>
  <si>
    <t>HIDDEN</t>
  </si>
  <si>
    <t>AQUARIUS</t>
  </si>
  <si>
    <t>RELIGION</t>
  </si>
  <si>
    <t>BURDENS</t>
  </si>
  <si>
    <t>SAGITARIUS</t>
  </si>
  <si>
    <t>ASSISTANCE</t>
  </si>
  <si>
    <t>LIBRA</t>
  </si>
  <si>
    <t>ZODIAC (REVOLUTION)</t>
  </si>
  <si>
    <t>NATAL HOUSE</t>
  </si>
  <si>
    <t xml:space="preserve">FALLEN MONTH </t>
  </si>
  <si>
    <t>TERM</t>
  </si>
  <si>
    <t xml:space="preserve">LORD PLANETARY HOUR </t>
  </si>
  <si>
    <t>ANNUAL PROFECTION</t>
  </si>
  <si>
    <t xml:space="preserve">ZODIAC &amp; RULLERSHIP </t>
  </si>
  <si>
    <t>H1</t>
  </si>
  <si>
    <t>H11</t>
  </si>
  <si>
    <t xml:space="preserve">Tabel 4 Point of life </t>
  </si>
  <si>
    <t>PROFECTION ASC DATE</t>
  </si>
  <si>
    <t>LORD/SAALKHUDAH</t>
  </si>
  <si>
    <t>Tabel 4 Point of life</t>
  </si>
  <si>
    <t>Point Of life</t>
  </si>
  <si>
    <t>Zodiac</t>
  </si>
  <si>
    <t>Zodiac Lord</t>
  </si>
  <si>
    <t>SAALKHUDAH</t>
  </si>
  <si>
    <t>Destined Light</t>
  </si>
  <si>
    <t>GEMINI</t>
  </si>
  <si>
    <t>Ascendant</t>
  </si>
  <si>
    <t>Midheaven</t>
  </si>
  <si>
    <t>Lot of Fortune</t>
  </si>
  <si>
    <t>Qty</t>
  </si>
  <si>
    <t>Dignity</t>
  </si>
  <si>
    <t>Delineasi</t>
  </si>
  <si>
    <t xml:space="preserve"> </t>
  </si>
  <si>
    <t xml:space="preserve">Lord of the profection year : </t>
  </si>
  <si>
    <t>PROGRESION</t>
  </si>
  <si>
    <t>TERMS</t>
  </si>
  <si>
    <t>Astrologer Note</t>
  </si>
  <si>
    <t>9 th Part</t>
  </si>
  <si>
    <t>STATUS</t>
  </si>
  <si>
    <t>NOTE</t>
  </si>
  <si>
    <t>VENUS</t>
  </si>
  <si>
    <t xml:space="preserve">Month </t>
  </si>
  <si>
    <t>Planet harus  dimulai dari profection tahunan</t>
  </si>
  <si>
    <t>MARS</t>
  </si>
  <si>
    <t>TAURUS</t>
  </si>
  <si>
    <t>SCORPIO</t>
  </si>
  <si>
    <t>CAPRI</t>
  </si>
  <si>
    <t>PISCES</t>
  </si>
  <si>
    <t>ASC</t>
  </si>
  <si>
    <t xml:space="preserve">Mars </t>
  </si>
  <si>
    <t>DEGREEE</t>
  </si>
  <si>
    <t>zod</t>
  </si>
  <si>
    <t>degre AWAL</t>
  </si>
  <si>
    <t>degre AKHIR</t>
  </si>
  <si>
    <t>dodec</t>
  </si>
  <si>
    <t xml:space="preserve">YEAR OF USSURPATION </t>
  </si>
  <si>
    <t>ECLIPSE 1</t>
  </si>
  <si>
    <t>ECLIPSE 3</t>
  </si>
  <si>
    <t>ECLIPSE 4</t>
  </si>
  <si>
    <t>Dodecatemoria</t>
  </si>
  <si>
    <t>LOT OF ILLNESS</t>
  </si>
  <si>
    <t>MODE</t>
  </si>
  <si>
    <t>CARDINAL</t>
  </si>
  <si>
    <t>FIXED</t>
  </si>
  <si>
    <t>MUTABLE</t>
  </si>
  <si>
    <t>CAPRICORN</t>
  </si>
  <si>
    <t>PLANET 1</t>
  </si>
  <si>
    <t>PLANET 2</t>
  </si>
  <si>
    <t>PLANET 3</t>
  </si>
  <si>
    <t>PLANET 4</t>
  </si>
  <si>
    <t>PLANET 5</t>
  </si>
  <si>
    <t>PLANET 6</t>
  </si>
  <si>
    <t>CONDITION</t>
  </si>
  <si>
    <t>GOOD HOUSE</t>
  </si>
  <si>
    <t>BAD HOUSE</t>
  </si>
  <si>
    <t>x</t>
  </si>
  <si>
    <t>TEMPERAMENT 1</t>
  </si>
  <si>
    <t>TEMPERAMENT 2</t>
  </si>
  <si>
    <t>HOT</t>
  </si>
  <si>
    <t>COLD</t>
  </si>
  <si>
    <t>DRY</t>
  </si>
  <si>
    <t>COUNT</t>
  </si>
  <si>
    <t>Primary association</t>
  </si>
  <si>
    <t>Secondary associations</t>
  </si>
  <si>
    <t>head</t>
  </si>
  <si>
    <t>eyes, adrenals, blood pressure</t>
  </si>
  <si>
    <t>neck</t>
  </si>
  <si>
    <t>throat, shoulders, ears</t>
  </si>
  <si>
    <t>shoulders</t>
  </si>
  <si>
    <t>lungs, nerves, arms, fingers</t>
  </si>
  <si>
    <t>chest</t>
  </si>
  <si>
    <t>breasts, sides, some bodily fluids and organs</t>
  </si>
  <si>
    <t>sides</t>
  </si>
  <si>
    <t>stomach, heart, spine, upper back, spleen</t>
  </si>
  <si>
    <t>belly</t>
  </si>
  <si>
    <t>abdomen, intestines, gallbladder, pancreas, liver</t>
  </si>
  <si>
    <t>buttocks</t>
  </si>
  <si>
    <t>hips, lower back, kidneys, endocrines</t>
  </si>
  <si>
    <t>genitalia</t>
  </si>
  <si>
    <t>pelvis, urinary bladder, rectum</t>
  </si>
  <si>
    <t>thighs</t>
  </si>
  <si>
    <t>legs, hips, groin</t>
  </si>
  <si>
    <t>knees</t>
  </si>
  <si>
    <t>shin, bones, skin, sinew, nerve</t>
  </si>
  <si>
    <t>lower leg</t>
  </si>
  <si>
    <t>ankle, calf, some blood vessels</t>
  </si>
  <si>
    <t>feet</t>
  </si>
  <si>
    <t>sole, extremity</t>
  </si>
  <si>
    <t>-07:00:00</t>
  </si>
  <si>
    <t>ASC ZODIAC</t>
  </si>
  <si>
    <t xml:space="preserve">CONDITION OF THE SICKNESS </t>
  </si>
  <si>
    <t>CONCLUSION</t>
  </si>
  <si>
    <t>Head, face and ears</t>
  </si>
  <si>
    <t>Neck and throat</t>
  </si>
  <si>
    <t>Arms, hands, shoulders and shoulder blades</t>
  </si>
  <si>
    <t>Breast, bosom, ribs, stomach and spleen</t>
  </si>
  <si>
    <t>Heart, back, spinal column</t>
  </si>
  <si>
    <t>Belly, intestines e diaphragm</t>
  </si>
  <si>
    <t>Bellybutton, kidneys, bladder, urinary system (purification of blood)</t>
  </si>
  <si>
    <t>Genitals and anus</t>
  </si>
  <si>
    <t>Thighs, buttocks and muscles in general</t>
  </si>
  <si>
    <t>Knees (and black bile)</t>
  </si>
  <si>
    <t>Legs and ankles (circulatory system)</t>
  </si>
  <si>
    <t>Feet (and phlegm)</t>
  </si>
  <si>
    <t>MEDIC</t>
  </si>
  <si>
    <t>Another associations</t>
  </si>
  <si>
    <t>TEMPERAMENT</t>
  </si>
  <si>
    <t>MOIST/WET</t>
  </si>
  <si>
    <t>PLANET RULLER</t>
  </si>
  <si>
    <t>FINAL DESCRIPTION</t>
  </si>
  <si>
    <t>CHOLERIC</t>
  </si>
  <si>
    <t>MELANCHOLIC</t>
  </si>
  <si>
    <t>SANGUINE</t>
  </si>
  <si>
    <t>PHLEGMATIC</t>
  </si>
  <si>
    <t>Note progression</t>
  </si>
  <si>
    <t>SUB TOPIK</t>
  </si>
  <si>
    <t>ZODIAC CHARACTER</t>
  </si>
  <si>
    <t>NUMBER COUNT</t>
  </si>
  <si>
    <t>ZODIAC DROP LIST</t>
  </si>
  <si>
    <t>STARTING DATE</t>
  </si>
  <si>
    <t xml:space="preserve">ASTROLOGER Note </t>
  </si>
  <si>
    <t>TESTIMONI</t>
  </si>
  <si>
    <t xml:space="preserve">MAIN TOPIK HOUSE </t>
  </si>
  <si>
    <t>ASTROSEEK DATA</t>
  </si>
  <si>
    <t xml:space="preserve">NATAL HOUSE </t>
  </si>
  <si>
    <t xml:space="preserve">MAIN TOPIK </t>
  </si>
  <si>
    <t>X</t>
  </si>
  <si>
    <t>WANING</t>
  </si>
  <si>
    <t>WAXING</t>
  </si>
  <si>
    <t>ASC MONTHLY  RETURN</t>
  </si>
  <si>
    <t>ADJ DATE</t>
  </si>
  <si>
    <t xml:space="preserve">VERSE 1 </t>
  </si>
  <si>
    <t xml:space="preserve">LUNAR MANSION  </t>
  </si>
  <si>
    <t>VERSE 2</t>
  </si>
  <si>
    <t>CALCULATE</t>
  </si>
  <si>
    <t>ASC MONTHLY LUNAR RETURN</t>
  </si>
  <si>
    <t>WANING/
WAXING</t>
  </si>
  <si>
    <t>ECLIPSE EVENT
(BASED ON ASTROSEEK)</t>
  </si>
  <si>
    <t>ZODIAC ON ECLIPSE</t>
  </si>
  <si>
    <t>DSC</t>
  </si>
  <si>
    <t>MC</t>
  </si>
  <si>
    <t>IC</t>
  </si>
  <si>
    <t>POINT</t>
  </si>
  <si>
    <t>MONTH 
(BASED ON ASTROSEEK)</t>
  </si>
  <si>
    <r>
      <t xml:space="preserve">DODECATEMORIA 
</t>
    </r>
    <r>
      <rPr>
        <u val="double"/>
        <sz val="11"/>
        <color rgb="FFFF0000"/>
        <rFont val="Calibri"/>
        <family val="2"/>
        <scheme val="minor"/>
      </rPr>
      <t>(sensitive)</t>
    </r>
  </si>
  <si>
    <r>
      <t xml:space="preserve">ASTROLOGER NOTE
</t>
    </r>
    <r>
      <rPr>
        <u val="double"/>
        <sz val="11"/>
        <color rgb="FFFF0000"/>
        <rFont val="Calibri"/>
        <family val="2"/>
        <scheme val="minor"/>
      </rPr>
      <t>(Sensitive)</t>
    </r>
  </si>
  <si>
    <t xml:space="preserve">ASSIGNMENT </t>
  </si>
  <si>
    <t>PROFECTION</t>
  </si>
  <si>
    <t>TYPE</t>
  </si>
  <si>
    <t>SUCUDENT</t>
  </si>
  <si>
    <t>CADENT</t>
  </si>
  <si>
    <t>BOUND</t>
  </si>
  <si>
    <t>LUNAR
MANSION</t>
  </si>
  <si>
    <t>PLANET 7</t>
  </si>
  <si>
    <t>MODALITY</t>
  </si>
  <si>
    <t>SLING OF FATE</t>
  </si>
  <si>
    <t>Lot of Hiden (Natal)</t>
  </si>
  <si>
    <t>Lot of Religion(piety-Natal)</t>
  </si>
  <si>
    <t xml:space="preserve">Lot of the religion of the age </t>
  </si>
  <si>
    <t>LORD</t>
  </si>
  <si>
    <t xml:space="preserve">LORD </t>
  </si>
  <si>
    <t>REVOLUTION OF THE YEAR</t>
  </si>
  <si>
    <t>USURPATION</t>
  </si>
  <si>
    <t>Planetary Hours</t>
  </si>
  <si>
    <t>Age</t>
  </si>
  <si>
    <t>LORD OF LUNAR MANSION LINK</t>
  </si>
  <si>
    <t>CALCULATOR PLANETARY HOURS LINK</t>
  </si>
  <si>
    <t xml:space="preserve">LORD posisition in annual revolution </t>
  </si>
  <si>
    <t xml:space="preserve">LORD Lot of Religion of Ages </t>
  </si>
  <si>
    <t>Condition of the year</t>
  </si>
  <si>
    <t>ECLIPSE TRANSIT IN NATAL CHART</t>
  </si>
  <si>
    <t>SQUARE</t>
  </si>
  <si>
    <t>ZODIAC LORD</t>
  </si>
  <si>
    <t>AGES START</t>
  </si>
  <si>
    <t xml:space="preserve">AGES END </t>
  </si>
  <si>
    <t>ECLIPSE</t>
  </si>
  <si>
    <t>ILLNESS AND PERILOUS YEAR</t>
  </si>
  <si>
    <t>4 POINT IN REVOLUTION</t>
  </si>
  <si>
    <t>Favoured Light</t>
  </si>
  <si>
    <t xml:space="preserve">Destined Light </t>
  </si>
  <si>
    <t>ANGGULAR PLANET</t>
  </si>
  <si>
    <t>DEFINITION HOUSE</t>
  </si>
  <si>
    <t>ELEMENT</t>
  </si>
  <si>
    <t>FIRE</t>
  </si>
  <si>
    <t>EARTH</t>
  </si>
  <si>
    <t>AIR</t>
  </si>
  <si>
    <t>WATER</t>
  </si>
  <si>
    <t>ELEMENTALY</t>
  </si>
  <si>
    <t>TRIPLICITY 1</t>
  </si>
  <si>
    <t>TRIPLICITY 2</t>
  </si>
  <si>
    <t>TRIPLICITY 3</t>
  </si>
  <si>
    <t>DAY/NIGHT</t>
  </si>
  <si>
    <t>NOCTURNAL</t>
  </si>
  <si>
    <t>DIURNAL</t>
  </si>
  <si>
    <t xml:space="preserve">ELEMENT </t>
  </si>
  <si>
    <t>ASSIGNMENT</t>
  </si>
  <si>
    <t>MASTER OF NATIVITY</t>
  </si>
  <si>
    <t>DATE CONVERT</t>
  </si>
  <si>
    <t xml:space="preserve">TABEL 1 </t>
  </si>
  <si>
    <t xml:space="preserve">MONTH
(BASED ON ASTROSEEK) </t>
  </si>
  <si>
    <t>NOW(YEAR)</t>
  </si>
  <si>
    <t xml:space="preserve">Lot of Annual Revoulution </t>
  </si>
  <si>
    <t xml:space="preserve">Lot </t>
  </si>
  <si>
    <t>Degree</t>
  </si>
  <si>
    <t>MOON ON 
ZODIAC</t>
  </si>
  <si>
    <r>
      <t xml:space="preserve">Degre 
Ascendant
</t>
    </r>
    <r>
      <rPr>
        <sz val="11"/>
        <color rgb="FFFF0000"/>
        <rFont val="Calibri"/>
        <family val="2"/>
        <scheme val="minor"/>
      </rPr>
      <t>(</t>
    </r>
    <r>
      <rPr>
        <u val="double"/>
        <sz val="11"/>
        <color rgb="FFFF0000"/>
        <rFont val="Calibri"/>
        <family val="2"/>
        <scheme val="minor"/>
      </rPr>
      <t>sensitive</t>
    </r>
    <r>
      <rPr>
        <sz val="11"/>
        <color rgb="FFFF0000"/>
        <rFont val="Calibri"/>
        <family val="2"/>
        <scheme val="minor"/>
      </rPr>
      <t>)</t>
    </r>
  </si>
  <si>
    <t xml:space="preserve">CONDITION MOON </t>
  </si>
  <si>
    <t>YES</t>
  </si>
  <si>
    <t xml:space="preserve">Coruption of the month </t>
  </si>
  <si>
    <t>MASTER OF REVOLUTION 
POSITION</t>
  </si>
  <si>
    <t>START DATE</t>
  </si>
  <si>
    <t>END DATE</t>
  </si>
  <si>
    <t>INTENSE</t>
  </si>
  <si>
    <t>STARTING 
MOMENT</t>
  </si>
  <si>
    <t xml:space="preserve">Estrangement of the month </t>
  </si>
  <si>
    <t>General Condition of the month</t>
  </si>
  <si>
    <t>Alignment of fortune and soul</t>
  </si>
  <si>
    <t>General Condition</t>
  </si>
  <si>
    <t>MOST PLANET</t>
  </si>
  <si>
    <t>LoF 
(EVENT HAPPEN)</t>
  </si>
  <si>
    <t>LINK ANNUAL PROFECTION ASTROSEEK</t>
  </si>
  <si>
    <t>Lord of the Turn</t>
  </si>
  <si>
    <t>CONFIGURATION OF SOLAR RETURN :</t>
  </si>
  <si>
    <t>LINK SOLAR RETUR CHART (ASTROSEEK)</t>
  </si>
  <si>
    <t xml:space="preserve">Derived from LOF </t>
  </si>
  <si>
    <t xml:space="preserve">LOT OF BURDENS </t>
  </si>
  <si>
    <t>ASC
DEGREEE MONTHLY REVOLUTION</t>
  </si>
  <si>
    <t>DELINEATION</t>
  </si>
  <si>
    <t xml:space="preserve">DELINEATION </t>
  </si>
  <si>
    <t>2</t>
  </si>
  <si>
    <t>CONDITION OF THE MOON</t>
  </si>
  <si>
    <t>REVOLUTION CHART</t>
  </si>
  <si>
    <t>NO</t>
  </si>
  <si>
    <t>Shift 
Month</t>
  </si>
  <si>
    <t>MONTH
 OF ACTION</t>
  </si>
  <si>
    <t>Month
 of
 Joy</t>
  </si>
  <si>
    <t>ZODIAC MOON</t>
  </si>
  <si>
    <t>DAY CHART/NIGHT CHART</t>
  </si>
  <si>
    <t>TRIPLICITY OF RULLER SHIP</t>
  </si>
  <si>
    <t xml:space="preserve">CONDITION OF THE MOON </t>
  </si>
  <si>
    <t xml:space="preserve">MOVEMENT OF THE MOON </t>
  </si>
  <si>
    <t xml:space="preserve">RIPLE EFFECT </t>
  </si>
  <si>
    <t>LOT</t>
  </si>
  <si>
    <t xml:space="preserve">DEEDS OF THE SOUL </t>
  </si>
  <si>
    <t>TIME OF ALLIANCES</t>
  </si>
  <si>
    <t xml:space="preserve">ZODIAC </t>
  </si>
  <si>
    <t xml:space="preserve">NO </t>
  </si>
  <si>
    <t>COUNT FROM 
STARTING DEGREE</t>
  </si>
  <si>
    <t>FORTUNE OF THE MOON</t>
  </si>
  <si>
    <t>ANGULAR</t>
  </si>
  <si>
    <t>SUCCEDENT</t>
  </si>
  <si>
    <t xml:space="preserve">LOT OF BURDEN </t>
  </si>
  <si>
    <t>END</t>
  </si>
  <si>
    <t>STARTING</t>
  </si>
  <si>
    <t>Time
 of alliances</t>
  </si>
  <si>
    <t>Deeds 
of 
the soul</t>
  </si>
  <si>
    <t>Month 
of Destiny</t>
  </si>
  <si>
    <t xml:space="preserve">TRIPLICITY LORDS </t>
  </si>
  <si>
    <t xml:space="preserve">TRIPLICITY LORD </t>
  </si>
  <si>
    <t>HOUSE REVOLUTION</t>
  </si>
  <si>
    <t>GUARDIAN OF THE HOROSCOPE</t>
  </si>
  <si>
    <t xml:space="preserve">GUARDIAN OF THE HOROSCOPE </t>
  </si>
  <si>
    <t xml:space="preserve">HOUSE REVOLUTION </t>
  </si>
  <si>
    <t xml:space="preserve">FAVORED LIGHT ZODIAC LORD </t>
  </si>
  <si>
    <t>OPTION 1</t>
  </si>
  <si>
    <t>OPTION 2</t>
  </si>
  <si>
    <t>1. MASTER OF REVOLUTION CANDIDATE</t>
  </si>
  <si>
    <r>
      <t>ASC</t>
    </r>
    <r>
      <rPr>
        <b/>
        <u val="double"/>
        <sz val="16"/>
        <color theme="1"/>
        <rFont val="Calibri"/>
        <family val="2"/>
        <scheme val="minor"/>
      </rPr>
      <t>(sensitive)</t>
    </r>
  </si>
  <si>
    <r>
      <t>MC</t>
    </r>
    <r>
      <rPr>
        <b/>
        <u val="double"/>
        <sz val="16"/>
        <color theme="1"/>
        <rFont val="Calibri"/>
        <family val="2"/>
        <scheme val="minor"/>
      </rPr>
      <t>(sensitive)</t>
    </r>
  </si>
  <si>
    <t xml:space="preserve">RETURN </t>
  </si>
  <si>
    <t>RETURN</t>
  </si>
  <si>
    <t>ZODIAC 
NATAL</t>
  </si>
  <si>
    <t xml:space="preserve">5. </t>
  </si>
  <si>
    <t>DODECATEMORIA 4 POINT  IN REVOLUTION</t>
  </si>
  <si>
    <t xml:space="preserve">6. </t>
  </si>
  <si>
    <t>CHANGGING HOUSE, MIDHEAVEN AND CARDINES</t>
  </si>
  <si>
    <t>7.</t>
  </si>
  <si>
    <t xml:space="preserve"> LOT OF REVOLUTION (Sensitive)</t>
  </si>
  <si>
    <t>FORTUNE OF THE MOON ?</t>
  </si>
  <si>
    <t xml:space="preserve">ASPECT
SAULKHUDAH </t>
  </si>
  <si>
    <t>LORD Lot of hidden Conjunct LoF</t>
  </si>
  <si>
    <t xml:space="preserve">LORD LOT OF HIDDEN </t>
  </si>
  <si>
    <t>Lot of Ilness</t>
  </si>
  <si>
    <t>DATE MONTHLY LUNAR MANSION (ASTRO SEEK )</t>
  </si>
  <si>
    <t>Condition Lord ANNUAL REV</t>
  </si>
  <si>
    <t>OPPOSITION</t>
  </si>
  <si>
    <t>SEXTILE</t>
  </si>
  <si>
    <t>TRINE</t>
  </si>
  <si>
    <t>CONJUCTION</t>
  </si>
  <si>
    <t>ASPECT</t>
  </si>
  <si>
    <t>YES/NO</t>
  </si>
  <si>
    <t xml:space="preserve">Lots Of union </t>
  </si>
  <si>
    <r>
      <t xml:space="preserve">MAIN TOPIK 
</t>
    </r>
    <r>
      <rPr>
        <b/>
        <sz val="16"/>
        <color rgb="FFFF0000"/>
        <rFont val="Calibri"/>
        <family val="2"/>
      </rPr>
      <t>(SENSITIVE)</t>
    </r>
  </si>
  <si>
    <r>
      <t xml:space="preserve">Peak Month
</t>
    </r>
    <r>
      <rPr>
        <b/>
        <u val="double"/>
        <sz val="11"/>
        <color rgb="FFFF0000"/>
        <rFont val="Calibri"/>
        <family val="2"/>
      </rPr>
      <t>(Sensitive)</t>
    </r>
  </si>
  <si>
    <r>
      <t xml:space="preserve">Fallen Month
</t>
    </r>
    <r>
      <rPr>
        <b/>
        <u val="double"/>
        <sz val="11"/>
        <color rgb="FFFF0000"/>
        <rFont val="Calibri"/>
        <family val="2"/>
      </rPr>
      <t>(Sensitive)</t>
    </r>
  </si>
  <si>
    <t>PERIOD OF FELICITY</t>
  </si>
  <si>
    <t>AGE</t>
  </si>
  <si>
    <t xml:space="preserve">PLANETARY HOURS </t>
  </si>
  <si>
    <t xml:space="preserve">1st Turn </t>
  </si>
  <si>
    <t>11nd Turn</t>
  </si>
  <si>
    <t xml:space="preserve">LORD of the Soul </t>
  </si>
  <si>
    <t>POSITION OF AGE</t>
  </si>
  <si>
    <t>The Great Turn 11nd</t>
  </si>
  <si>
    <t>The Great Turn 1st</t>
  </si>
  <si>
    <t xml:space="preserve">The Great Year </t>
  </si>
  <si>
    <t>LORD LUNAR 
MANSION</t>
  </si>
  <si>
    <t>TURNING OF 
THE SOUL</t>
  </si>
  <si>
    <t>NOCTURNAL/DIURNAL</t>
  </si>
  <si>
    <t>DATE</t>
  </si>
  <si>
    <t>PERIODE</t>
  </si>
  <si>
    <t>AUSPICES OF THE MOON</t>
  </si>
  <si>
    <t xml:space="preserve">ZODIAC PROFECTED </t>
  </si>
  <si>
    <t>PROFECTED POINT</t>
  </si>
  <si>
    <t>-</t>
  </si>
  <si>
    <t>CONCLUSION ECLIPSE</t>
  </si>
  <si>
    <t>CONCLUSION  HOUSE</t>
  </si>
  <si>
    <t>YEAR  OF PROFECTION</t>
  </si>
  <si>
    <t xml:space="preserve">LOT OF FORTUNE ON HOUSE </t>
  </si>
  <si>
    <t>H1 - HELM</t>
  </si>
  <si>
    <t>H2 Gate of Hades</t>
  </si>
  <si>
    <t>H3 - The House of the Goddess</t>
  </si>
  <si>
    <t>H4 -Subterranean</t>
  </si>
  <si>
    <t>H5  Good Fortune</t>
  </si>
  <si>
    <t>H6-Bad Fortune</t>
  </si>
  <si>
    <t>H7- Setting</t>
  </si>
  <si>
    <t>H8-Inactive</t>
  </si>
  <si>
    <t>H9- The House of God</t>
  </si>
  <si>
    <t>H10 - Midheaven</t>
  </si>
  <si>
    <t>H11 Good Spirit</t>
  </si>
  <si>
    <t>H12 Bad 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</si>
</sst>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[$-409]d\-mmm\-yyyy;@"/>
    <numFmt numFmtId="166" formatCode="_-* #,##0_-;\-* #,##0_-;_-* &quot;-&quot;??_-;_-@_-"/>
    <numFmt numFmtId="167" formatCode="[$-409]d\-mmm\-yy;@"/>
    <numFmt numFmtId="168" formatCode="[$-409]dd\-mmm\-yy;@"/>
    <numFmt numFmtId="169" formatCode="[$-409]mmm\-yy;@"/>
  </numFmts>
  <fonts count="4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232323"/>
      <name val="Verdana"/>
      <family val="2"/>
    </font>
    <font>
      <b/>
      <sz val="16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5"/>
      <color theme="1"/>
      <name val="Calibri"/>
      <family val="2"/>
    </font>
    <font>
      <b/>
      <sz val="11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</font>
    <font>
      <sz val="14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6"/>
      <color theme="1"/>
      <name val="Calibri"/>
      <family val="2"/>
    </font>
    <font>
      <sz val="22"/>
      <color theme="1"/>
      <name val="Calibri"/>
      <family val="2"/>
      <scheme val="minor"/>
    </font>
    <font>
      <b/>
      <sz val="16"/>
      <name val="Calibri"/>
      <family val="2"/>
    </font>
    <font>
      <b/>
      <sz val="18"/>
      <color theme="1"/>
      <name val="Calibri"/>
      <family val="2"/>
    </font>
    <font>
      <u/>
      <sz val="14"/>
      <color theme="10"/>
      <name val="Calibri"/>
      <family val="2"/>
      <scheme val="minor"/>
    </font>
    <font>
      <b/>
      <sz val="11"/>
      <color indexed="81"/>
      <name val="Tahoma"/>
      <family val="2"/>
    </font>
    <font>
      <b/>
      <u val="double"/>
      <sz val="14"/>
      <color theme="1"/>
      <name val="Calibri"/>
      <family val="2"/>
      <scheme val="minor"/>
    </font>
    <font>
      <b/>
      <u val="double"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rgb="FFFF0000"/>
      <name val="Calibri"/>
      <family val="2"/>
    </font>
    <font>
      <b/>
      <u val="double"/>
      <sz val="11"/>
      <color rgb="FFFF0000"/>
      <name val="Calibri"/>
      <family val="2"/>
    </font>
    <font>
      <sz val="14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1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DashDotDot">
        <color auto="1"/>
      </left>
      <right/>
      <top style="mediumDashDotDot">
        <color auto="1"/>
      </top>
      <bottom/>
      <diagonal/>
    </border>
    <border>
      <left/>
      <right style="mediumDashDotDot">
        <color auto="1"/>
      </right>
      <top style="mediumDashDotDot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DashDot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DashDotDot">
        <color auto="1"/>
      </right>
      <top style="hair">
        <color indexed="64"/>
      </top>
      <bottom style="thin">
        <color auto="1"/>
      </bottom>
      <diagonal/>
    </border>
    <border>
      <left/>
      <right style="mediumDashDotDot">
        <color auto="1"/>
      </right>
      <top style="thin">
        <color auto="1"/>
      </top>
      <bottom style="thin">
        <color auto="1"/>
      </bottom>
      <diagonal/>
    </border>
    <border>
      <left style="mediumDashDotDot">
        <color auto="1"/>
      </left>
      <right style="thin">
        <color auto="1"/>
      </right>
      <top style="thin">
        <color auto="1"/>
      </top>
      <bottom style="mediumDashDotDot">
        <color auto="1"/>
      </bottom>
      <diagonal/>
    </border>
    <border>
      <left/>
      <right style="mediumDashDotDot">
        <color auto="1"/>
      </right>
      <top style="thin">
        <color auto="1"/>
      </top>
      <bottom style="mediumDashDotDot">
        <color auto="1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DashDotDot">
        <color indexed="64"/>
      </left>
      <right style="thin">
        <color indexed="64"/>
      </right>
      <top style="mediumDashDotDot">
        <color indexed="64"/>
      </top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mediumDashDotDot">
        <color indexed="64"/>
      </top>
      <bottom style="mediumDashDotDot">
        <color indexed="64"/>
      </bottom>
      <diagonal/>
    </border>
    <border>
      <left style="thin">
        <color indexed="64"/>
      </left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0" fontId="8" fillId="0" borderId="0" applyNumberForma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</cellStyleXfs>
  <cellXfs count="6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0" xfId="0" applyFill="1"/>
    <xf numFmtId="0" fontId="0" fillId="0" borderId="15" xfId="0" applyBorder="1"/>
    <xf numFmtId="0" fontId="0" fillId="0" borderId="17" xfId="0" applyBorder="1"/>
    <xf numFmtId="0" fontId="7" fillId="0" borderId="0" xfId="0" applyFont="1"/>
    <xf numFmtId="0" fontId="0" fillId="5" borderId="15" xfId="0" applyFill="1" applyBorder="1"/>
    <xf numFmtId="0" fontId="0" fillId="0" borderId="18" xfId="0" applyBorder="1"/>
    <xf numFmtId="0" fontId="7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8" xfId="0" applyBorder="1"/>
    <xf numFmtId="0" fontId="0" fillId="0" borderId="0" xfId="0" applyAlignment="1">
      <alignment wrapText="1"/>
    </xf>
    <xf numFmtId="0" fontId="0" fillId="6" borderId="29" xfId="0" applyFill="1" applyBorder="1" applyAlignment="1">
      <alignment wrapText="1"/>
    </xf>
    <xf numFmtId="0" fontId="3" fillId="0" borderId="0" xfId="0" applyFont="1" applyAlignment="1">
      <alignment horizontal="left"/>
    </xf>
    <xf numFmtId="0" fontId="0" fillId="0" borderId="43" xfId="0" applyBorder="1"/>
    <xf numFmtId="0" fontId="0" fillId="0" borderId="44" xfId="0" applyBorder="1" applyAlignment="1">
      <alignment horizontal="left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4" xfId="0" applyBorder="1" applyAlignment="1">
      <alignment wrapText="1"/>
    </xf>
    <xf numFmtId="0" fontId="3" fillId="0" borderId="43" xfId="0" applyFont="1" applyBorder="1"/>
    <xf numFmtId="0" fontId="0" fillId="0" borderId="51" xfId="0" applyBorder="1"/>
    <xf numFmtId="0" fontId="0" fillId="3" borderId="18" xfId="0" applyFill="1" applyBorder="1"/>
    <xf numFmtId="0" fontId="0" fillId="3" borderId="51" xfId="0" applyFill="1" applyBorder="1"/>
    <xf numFmtId="0" fontId="3" fillId="0" borderId="15" xfId="0" applyFont="1" applyBorder="1"/>
    <xf numFmtId="0" fontId="0" fillId="5" borderId="18" xfId="0" applyFill="1" applyBorder="1"/>
    <xf numFmtId="0" fontId="8" fillId="0" borderId="0" xfId="1"/>
    <xf numFmtId="0" fontId="3" fillId="0" borderId="22" xfId="0" applyFont="1" applyBorder="1"/>
    <xf numFmtId="0" fontId="0" fillId="0" borderId="55" xfId="0" applyBorder="1"/>
    <xf numFmtId="0" fontId="0" fillId="0" borderId="55" xfId="0" applyBorder="1" applyAlignment="1">
      <alignment vertical="center"/>
    </xf>
    <xf numFmtId="0" fontId="0" fillId="0" borderId="0" xfId="0" applyAlignment="1">
      <alignment horizontal="left"/>
    </xf>
    <xf numFmtId="0" fontId="0" fillId="0" borderId="43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2" applyFont="1" applyFill="1"/>
    <xf numFmtId="164" fontId="0" fillId="0" borderId="9" xfId="2" applyFont="1" applyFill="1" applyBorder="1"/>
    <xf numFmtId="164" fontId="0" fillId="0" borderId="4" xfId="2" applyFont="1" applyFill="1" applyBorder="1"/>
    <xf numFmtId="164" fontId="0" fillId="0" borderId="6" xfId="2" applyFont="1" applyFill="1" applyBorder="1"/>
    <xf numFmtId="164" fontId="0" fillId="0" borderId="0" xfId="2" applyFont="1" applyAlignment="1">
      <alignment horizontal="center" vertical="center" wrapText="1"/>
    </xf>
    <xf numFmtId="0" fontId="10" fillId="0" borderId="0" xfId="0" applyFont="1"/>
    <xf numFmtId="0" fontId="11" fillId="3" borderId="0" xfId="0" applyFont="1" applyFill="1"/>
    <xf numFmtId="0" fontId="0" fillId="3" borderId="15" xfId="0" applyFill="1" applyBorder="1"/>
    <xf numFmtId="0" fontId="0" fillId="7" borderId="0" xfId="0" applyFill="1"/>
    <xf numFmtId="21" fontId="0" fillId="0" borderId="0" xfId="0" applyNumberFormat="1"/>
    <xf numFmtId="45" fontId="0" fillId="0" borderId="0" xfId="0" applyNumberFormat="1"/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0" fillId="4" borderId="18" xfId="0" applyFill="1" applyBorder="1"/>
    <xf numFmtId="45" fontId="0" fillId="4" borderId="20" xfId="0" applyNumberFormat="1" applyFill="1" applyBorder="1" applyAlignment="1">
      <alignment vertical="center"/>
    </xf>
    <xf numFmtId="45" fontId="0" fillId="4" borderId="18" xfId="0" applyNumberFormat="1" applyFill="1" applyBorder="1" applyAlignment="1">
      <alignment vertical="center"/>
    </xf>
    <xf numFmtId="0" fontId="0" fillId="4" borderId="20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165" fontId="0" fillId="0" borderId="0" xfId="0" applyNumberFormat="1"/>
    <xf numFmtId="0" fontId="0" fillId="0" borderId="15" xfId="0" applyBorder="1" applyAlignment="1">
      <alignment wrapText="1"/>
    </xf>
    <xf numFmtId="22" fontId="10" fillId="0" borderId="0" xfId="0" applyNumberFormat="1" applyFont="1"/>
    <xf numFmtId="0" fontId="14" fillId="4" borderId="15" xfId="0" applyFont="1" applyFill="1" applyBorder="1"/>
    <xf numFmtId="0" fontId="0" fillId="4" borderId="15" xfId="0" applyFill="1" applyBorder="1"/>
    <xf numFmtId="0" fontId="0" fillId="0" borderId="15" xfId="0" applyBorder="1" applyAlignment="1">
      <alignment vertical="center" wrapText="1"/>
    </xf>
    <xf numFmtId="0" fontId="3" fillId="0" borderId="0" xfId="0" applyFont="1" applyAlignment="1">
      <alignment wrapText="1"/>
    </xf>
    <xf numFmtId="0" fontId="11" fillId="5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 wrapText="1"/>
    </xf>
    <xf numFmtId="0" fontId="9" fillId="0" borderId="0" xfId="4"/>
    <xf numFmtId="0" fontId="9" fillId="0" borderId="15" xfId="4" applyBorder="1"/>
    <xf numFmtId="0" fontId="9" fillId="4" borderId="15" xfId="4" applyFill="1" applyBorder="1"/>
    <xf numFmtId="0" fontId="9" fillId="5" borderId="15" xfId="4" applyFill="1" applyBorder="1"/>
    <xf numFmtId="0" fontId="9" fillId="0" borderId="0" xfId="4" quotePrefix="1"/>
    <xf numFmtId="45" fontId="9" fillId="0" borderId="0" xfId="4" applyNumberFormat="1"/>
    <xf numFmtId="0" fontId="0" fillId="4" borderId="15" xfId="0" applyFill="1" applyBorder="1" applyAlignment="1">
      <alignment horizontal="center" vertical="center" wrapText="1"/>
    </xf>
    <xf numFmtId="0" fontId="0" fillId="4" borderId="18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5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43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15" fontId="0" fillId="0" borderId="0" xfId="0" applyNumberFormat="1"/>
    <xf numFmtId="0" fontId="5" fillId="4" borderId="15" xfId="0" applyFont="1" applyFill="1" applyBorder="1" applyAlignment="1">
      <alignment vertical="center" wrapText="1"/>
    </xf>
    <xf numFmtId="0" fontId="5" fillId="8" borderId="15" xfId="0" applyFont="1" applyFill="1" applyBorder="1" applyAlignment="1">
      <alignment vertical="center" wrapText="1"/>
    </xf>
    <xf numFmtId="0" fontId="12" fillId="4" borderId="15" xfId="0" applyFont="1" applyFill="1" applyBorder="1" applyAlignment="1">
      <alignment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6" fillId="4" borderId="15" xfId="0" quotePrefix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vertical="center" wrapText="1"/>
    </xf>
    <xf numFmtId="0" fontId="9" fillId="0" borderId="0" xfId="4" applyAlignment="1">
      <alignment wrapText="1"/>
    </xf>
    <xf numFmtId="20" fontId="0" fillId="0" borderId="0" xfId="0" applyNumberFormat="1"/>
    <xf numFmtId="21" fontId="17" fillId="5" borderId="15" xfId="0" applyNumberFormat="1" applyFont="1" applyFill="1" applyBorder="1" applyAlignment="1">
      <alignment horizontal="center" vertical="center" wrapText="1"/>
    </xf>
    <xf numFmtId="45" fontId="9" fillId="4" borderId="15" xfId="4" applyNumberFormat="1" applyFill="1" applyBorder="1"/>
    <xf numFmtId="0" fontId="0" fillId="4" borderId="18" xfId="0" applyFill="1" applyBorder="1" applyAlignment="1">
      <alignment vertical="center" wrapText="1"/>
    </xf>
    <xf numFmtId="0" fontId="0" fillId="4" borderId="27" xfId="0" applyFill="1" applyBorder="1" applyAlignment="1">
      <alignment vertical="center" wrapText="1"/>
    </xf>
    <xf numFmtId="0" fontId="9" fillId="4" borderId="18" xfId="4" applyFill="1" applyBorder="1"/>
    <xf numFmtId="0" fontId="11" fillId="4" borderId="15" xfId="0" applyFont="1" applyFill="1" applyBorder="1" applyAlignment="1">
      <alignment horizontal="center" vertical="center"/>
    </xf>
    <xf numFmtId="0" fontId="9" fillId="4" borderId="15" xfId="0" applyFont="1" applyFill="1" applyBorder="1"/>
    <xf numFmtId="0" fontId="6" fillId="0" borderId="23" xfId="0" applyFont="1" applyBorder="1"/>
    <xf numFmtId="0" fontId="6" fillId="0" borderId="22" xfId="0" applyFont="1" applyBorder="1"/>
    <xf numFmtId="0" fontId="0" fillId="0" borderId="0" xfId="0" applyAlignment="1">
      <alignment vertical="top"/>
    </xf>
    <xf numFmtId="0" fontId="13" fillId="0" borderId="0" xfId="0" applyFont="1" applyAlignment="1">
      <alignment horizontal="center"/>
    </xf>
    <xf numFmtId="0" fontId="3" fillId="0" borderId="56" xfId="0" applyFont="1" applyBorder="1"/>
    <xf numFmtId="0" fontId="3" fillId="0" borderId="62" xfId="0" applyFont="1" applyBorder="1"/>
    <xf numFmtId="0" fontId="0" fillId="0" borderId="17" xfId="0" applyBorder="1" applyAlignment="1">
      <alignment wrapText="1"/>
    </xf>
    <xf numFmtId="21" fontId="0" fillId="5" borderId="15" xfId="0" applyNumberFormat="1" applyFill="1" applyBorder="1" applyAlignment="1">
      <alignment wrapText="1"/>
    </xf>
    <xf numFmtId="21" fontId="0" fillId="3" borderId="15" xfId="0" applyNumberForma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 vertical="center"/>
    </xf>
    <xf numFmtId="0" fontId="9" fillId="0" borderId="0" xfId="5"/>
    <xf numFmtId="168" fontId="0" fillId="0" borderId="0" xfId="0" applyNumberFormat="1" applyAlignment="1">
      <alignment wrapText="1"/>
    </xf>
    <xf numFmtId="166" fontId="11" fillId="0" borderId="0" xfId="2" applyNumberFormat="1" applyFont="1"/>
    <xf numFmtId="167" fontId="0" fillId="0" borderId="0" xfId="0" applyNumberFormat="1"/>
    <xf numFmtId="0" fontId="19" fillId="0" borderId="0" xfId="0" applyFont="1" applyAlignment="1">
      <alignment wrapText="1"/>
    </xf>
    <xf numFmtId="168" fontId="3" fillId="0" borderId="0" xfId="0" applyNumberFormat="1" applyFont="1" applyAlignment="1">
      <alignment wrapText="1"/>
    </xf>
    <xf numFmtId="168" fontId="9" fillId="0" borderId="0" xfId="0" applyNumberFormat="1" applyFont="1" applyAlignment="1">
      <alignment wrapText="1"/>
    </xf>
    <xf numFmtId="168" fontId="0" fillId="0" borderId="0" xfId="0" applyNumberFormat="1"/>
    <xf numFmtId="0" fontId="9" fillId="4" borderId="51" xfId="0" applyFont="1" applyFill="1" applyBorder="1"/>
    <xf numFmtId="0" fontId="0" fillId="2" borderId="15" xfId="0" applyFill="1" applyBorder="1"/>
    <xf numFmtId="0" fontId="9" fillId="4" borderId="18" xfId="0" applyFont="1" applyFill="1" applyBorder="1"/>
    <xf numFmtId="168" fontId="9" fillId="0" borderId="0" xfId="0" applyNumberFormat="1" applyFont="1"/>
    <xf numFmtId="0" fontId="9" fillId="4" borderId="21" xfId="0" applyFont="1" applyFill="1" applyBorder="1"/>
    <xf numFmtId="0" fontId="0" fillId="11" borderId="0" xfId="0" applyFill="1"/>
    <xf numFmtId="0" fontId="9" fillId="11" borderId="0" xfId="0" applyFont="1" applyFill="1"/>
    <xf numFmtId="0" fontId="0" fillId="7" borderId="41" xfId="0" applyFill="1" applyBorder="1"/>
    <xf numFmtId="0" fontId="9" fillId="13" borderId="0" xfId="0" applyFont="1" applyFill="1"/>
    <xf numFmtId="0" fontId="0" fillId="13" borderId="0" xfId="0" applyFill="1"/>
    <xf numFmtId="0" fontId="0" fillId="3" borderId="0" xfId="0" applyFill="1"/>
    <xf numFmtId="0" fontId="3" fillId="4" borderId="15" xfId="0" applyFont="1" applyFill="1" applyBorder="1"/>
    <xf numFmtId="0" fontId="3" fillId="2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45" fontId="0" fillId="4" borderId="15" xfId="0" applyNumberFormat="1" applyFill="1" applyBorder="1"/>
    <xf numFmtId="0" fontId="3" fillId="2" borderId="42" xfId="0" applyFont="1" applyFill="1" applyBorder="1" applyAlignment="1">
      <alignment wrapText="1"/>
    </xf>
    <xf numFmtId="0" fontId="3" fillId="2" borderId="30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 wrapText="1"/>
    </xf>
    <xf numFmtId="0" fontId="3" fillId="2" borderId="31" xfId="0" applyFont="1" applyFill="1" applyBorder="1" applyAlignment="1">
      <alignment vertical="center"/>
    </xf>
    <xf numFmtId="0" fontId="3" fillId="2" borderId="52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33" xfId="0" applyFont="1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4" borderId="51" xfId="0" applyFill="1" applyBorder="1"/>
    <xf numFmtId="0" fontId="3" fillId="2" borderId="15" xfId="0" applyFont="1" applyFill="1" applyBorder="1" applyAlignment="1">
      <alignment vertical="center" wrapText="1"/>
    </xf>
    <xf numFmtId="0" fontId="0" fillId="0" borderId="75" xfId="0" applyBorder="1" applyAlignment="1">
      <alignment horizontal="center" wrapText="1"/>
    </xf>
    <xf numFmtId="0" fontId="0" fillId="0" borderId="75" xfId="0" applyBorder="1" applyAlignment="1">
      <alignment horizontal="center"/>
    </xf>
    <xf numFmtId="0" fontId="3" fillId="2" borderId="15" xfId="0" applyFont="1" applyFill="1" applyBorder="1" applyAlignment="1">
      <alignment vertical="center"/>
    </xf>
    <xf numFmtId="167" fontId="0" fillId="0" borderId="0" xfId="0" applyNumberFormat="1" applyAlignment="1">
      <alignment horizontal="left" wrapText="1"/>
    </xf>
    <xf numFmtId="0" fontId="3" fillId="0" borderId="15" xfId="0" applyFont="1" applyBorder="1" applyAlignment="1">
      <alignment horizontal="left" vertical="center"/>
    </xf>
    <xf numFmtId="0" fontId="31" fillId="0" borderId="0" xfId="0" applyFont="1"/>
    <xf numFmtId="0" fontId="31" fillId="0" borderId="44" xfId="0" applyFont="1" applyBorder="1"/>
    <xf numFmtId="0" fontId="24" fillId="0" borderId="0" xfId="0" applyFont="1"/>
    <xf numFmtId="0" fontId="24" fillId="0" borderId="44" xfId="0" applyFont="1" applyBorder="1"/>
    <xf numFmtId="0" fontId="0" fillId="0" borderId="44" xfId="0" applyBorder="1" applyAlignment="1">
      <alignment vertical="top"/>
    </xf>
    <xf numFmtId="0" fontId="0" fillId="0" borderId="0" xfId="0" applyAlignment="1">
      <alignment horizontal="left" wrapText="1"/>
    </xf>
    <xf numFmtId="0" fontId="16" fillId="4" borderId="21" xfId="0" applyFont="1" applyFill="1" applyBorder="1" applyAlignment="1">
      <alignment horizontal="center" vertical="center"/>
    </xf>
    <xf numFmtId="21" fontId="0" fillId="5" borderId="15" xfId="0" applyNumberFormat="1" applyFill="1" applyBorder="1"/>
    <xf numFmtId="0" fontId="8" fillId="0" borderId="75" xfId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0" fillId="4" borderId="18" xfId="0" applyFill="1" applyBorder="1" applyAlignment="1">
      <alignment horizontal="center" vertical="center" wrapText="1"/>
    </xf>
    <xf numFmtId="0" fontId="3" fillId="2" borderId="15" xfId="0" applyFont="1" applyFill="1" applyBorder="1"/>
    <xf numFmtId="0" fontId="0" fillId="4" borderId="20" xfId="0" applyFill="1" applyBorder="1" applyAlignment="1">
      <alignment horizontal="center" vertical="center"/>
    </xf>
    <xf numFmtId="0" fontId="9" fillId="2" borderId="0" xfId="4" applyFill="1"/>
    <xf numFmtId="0" fontId="9" fillId="2" borderId="15" xfId="4" applyFill="1" applyBorder="1"/>
    <xf numFmtId="0" fontId="0" fillId="5" borderId="27" xfId="0" applyFill="1" applyBorder="1" applyAlignment="1">
      <alignment vertical="center"/>
    </xf>
    <xf numFmtId="0" fontId="12" fillId="5" borderId="15" xfId="0" applyFont="1" applyFill="1" applyBorder="1" applyAlignment="1">
      <alignment vertical="center"/>
    </xf>
    <xf numFmtId="0" fontId="0" fillId="0" borderId="44" xfId="0" applyBorder="1" applyAlignment="1">
      <alignment horizontal="center"/>
    </xf>
    <xf numFmtId="21" fontId="9" fillId="4" borderId="15" xfId="4" applyNumberFormat="1" applyFill="1" applyBorder="1"/>
    <xf numFmtId="0" fontId="0" fillId="4" borderId="15" xfId="0" quotePrefix="1" applyFill="1" applyBorder="1" applyAlignment="1">
      <alignment horizontal="center" vertical="center"/>
    </xf>
    <xf numFmtId="0" fontId="3" fillId="2" borderId="30" xfId="0" applyFont="1" applyFill="1" applyBorder="1" applyAlignment="1">
      <alignment vertical="center" wrapText="1"/>
    </xf>
    <xf numFmtId="0" fontId="7" fillId="2" borderId="22" xfId="0" applyFont="1" applyFill="1" applyBorder="1"/>
    <xf numFmtId="0" fontId="0" fillId="2" borderId="23" xfId="0" applyFill="1" applyBorder="1"/>
    <xf numFmtId="0" fontId="0" fillId="4" borderId="19" xfId="0" applyFill="1" applyBorder="1" applyAlignment="1">
      <alignment horizontal="center" vertical="center" wrapText="1"/>
    </xf>
    <xf numFmtId="0" fontId="0" fillId="4" borderId="19" xfId="0" applyFill="1" applyBorder="1"/>
    <xf numFmtId="0" fontId="0" fillId="4" borderId="19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0" fontId="0" fillId="2" borderId="87" xfId="0" applyFill="1" applyBorder="1" applyAlignment="1">
      <alignment vertical="center"/>
    </xf>
    <xf numFmtId="0" fontId="0" fillId="2" borderId="87" xfId="0" applyFill="1" applyBorder="1" applyAlignment="1">
      <alignment vertical="center" wrapText="1"/>
    </xf>
    <xf numFmtId="0" fontId="0" fillId="2" borderId="16" xfId="0" applyFill="1" applyBorder="1" applyAlignment="1">
      <alignment horizontal="left" vertical="center" wrapText="1"/>
    </xf>
    <xf numFmtId="45" fontId="0" fillId="4" borderId="19" xfId="0" applyNumberFormat="1" applyFill="1" applyBorder="1" applyAlignment="1">
      <alignment vertical="center"/>
    </xf>
    <xf numFmtId="0" fontId="0" fillId="4" borderId="19" xfId="0" applyFill="1" applyBorder="1" applyAlignment="1">
      <alignment horizontal="left" vertical="center"/>
    </xf>
    <xf numFmtId="167" fontId="0" fillId="4" borderId="49" xfId="0" quotePrefix="1" applyNumberFormat="1" applyFill="1" applyBorder="1" applyAlignment="1">
      <alignment vertical="center"/>
    </xf>
    <xf numFmtId="167" fontId="0" fillId="4" borderId="26" xfId="0" quotePrefix="1" applyNumberFormat="1" applyFill="1" applyBorder="1" applyAlignment="1">
      <alignment vertical="center"/>
    </xf>
    <xf numFmtId="167" fontId="0" fillId="4" borderId="90" xfId="0" quotePrefix="1" applyNumberFormat="1" applyFill="1" applyBorder="1" applyAlignment="1">
      <alignment vertical="center"/>
    </xf>
    <xf numFmtId="169" fontId="0" fillId="4" borderId="18" xfId="0" quotePrefix="1" applyNumberFormat="1" applyFill="1" applyBorder="1" applyAlignment="1">
      <alignment vertical="center"/>
    </xf>
    <xf numFmtId="169" fontId="0" fillId="4" borderId="51" xfId="0" quotePrefix="1" applyNumberFormat="1" applyFill="1" applyBorder="1" applyAlignment="1">
      <alignment vertical="center"/>
    </xf>
    <xf numFmtId="0" fontId="0" fillId="4" borderId="15" xfId="0" applyFill="1" applyBorder="1" applyAlignment="1">
      <alignment wrapText="1"/>
    </xf>
    <xf numFmtId="0" fontId="5" fillId="2" borderId="56" xfId="0" applyFont="1" applyFill="1" applyBorder="1"/>
    <xf numFmtId="0" fontId="5" fillId="2" borderId="15" xfId="0" applyFont="1" applyFill="1" applyBorder="1"/>
    <xf numFmtId="0" fontId="5" fillId="2" borderId="1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/>
    </xf>
    <xf numFmtId="0" fontId="0" fillId="15" borderId="0" xfId="0" applyFill="1"/>
    <xf numFmtId="0" fontId="11" fillId="0" borderId="15" xfId="0" applyFont="1" applyBorder="1"/>
    <xf numFmtId="0" fontId="0" fillId="2" borderId="15" xfId="0" applyFill="1" applyBorder="1" applyAlignment="1">
      <alignment vertical="center" wrapText="1"/>
    </xf>
    <xf numFmtId="0" fontId="5" fillId="2" borderId="28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0" fillId="4" borderId="15" xfId="0" applyFill="1" applyBorder="1" applyAlignment="1">
      <alignment horizontal="center" vertical="center"/>
    </xf>
    <xf numFmtId="167" fontId="30" fillId="2" borderId="84" xfId="0" applyNumberFormat="1" applyFont="1" applyFill="1" applyBorder="1" applyAlignment="1">
      <alignment horizontal="left" vertical="center" wrapText="1"/>
    </xf>
    <xf numFmtId="167" fontId="30" fillId="2" borderId="84" xfId="0" applyNumberFormat="1" applyFont="1" applyFill="1" applyBorder="1" applyAlignment="1">
      <alignment vertical="center" wrapText="1"/>
    </xf>
    <xf numFmtId="166" fontId="32" fillId="2" borderId="84" xfId="2" applyNumberFormat="1" applyFont="1" applyFill="1" applyBorder="1" applyAlignment="1">
      <alignment vertical="center" wrapText="1"/>
    </xf>
    <xf numFmtId="0" fontId="30" fillId="2" borderId="84" xfId="0" applyFont="1" applyFill="1" applyBorder="1" applyAlignment="1">
      <alignment vertical="center" wrapText="1"/>
    </xf>
    <xf numFmtId="168" fontId="30" fillId="2" borderId="84" xfId="0" applyNumberFormat="1" applyFont="1" applyFill="1" applyBorder="1" applyAlignment="1">
      <alignment vertical="center" wrapText="1"/>
    </xf>
    <xf numFmtId="0" fontId="30" fillId="16" borderId="84" xfId="0" applyFont="1" applyFill="1" applyBorder="1" applyAlignment="1">
      <alignment vertical="center" wrapText="1"/>
    </xf>
    <xf numFmtId="0" fontId="27" fillId="16" borderId="84" xfId="0" applyFont="1" applyFill="1" applyBorder="1" applyAlignment="1">
      <alignment vertical="center" wrapText="1"/>
    </xf>
    <xf numFmtId="0" fontId="27" fillId="16" borderId="83" xfId="0" applyFont="1" applyFill="1" applyBorder="1" applyAlignment="1">
      <alignment vertical="center" wrapText="1"/>
    </xf>
    <xf numFmtId="0" fontId="27" fillId="16" borderId="16" xfId="0" applyFont="1" applyFill="1" applyBorder="1" applyAlignment="1">
      <alignment vertical="center" wrapText="1"/>
    </xf>
    <xf numFmtId="0" fontId="3" fillId="2" borderId="0" xfId="0" applyFont="1" applyFill="1"/>
    <xf numFmtId="0" fontId="18" fillId="2" borderId="0" xfId="0" applyFont="1" applyFill="1" applyAlignment="1">
      <alignment wrapText="1"/>
    </xf>
    <xf numFmtId="168" fontId="9" fillId="0" borderId="0" xfId="4" applyNumberFormat="1"/>
    <xf numFmtId="168" fontId="9" fillId="7" borderId="0" xfId="0" applyNumberFormat="1" applyFont="1" applyFill="1"/>
    <xf numFmtId="168" fontId="9" fillId="4" borderId="18" xfId="0" applyNumberFormat="1" applyFont="1" applyFill="1" applyBorder="1"/>
    <xf numFmtId="168" fontId="9" fillId="4" borderId="51" xfId="0" applyNumberFormat="1" applyFont="1" applyFill="1" applyBorder="1"/>
    <xf numFmtId="169" fontId="0" fillId="4" borderId="21" xfId="0" quotePrefix="1" applyNumberFormat="1" applyFill="1" applyBorder="1" applyAlignment="1">
      <alignment vertical="center"/>
    </xf>
    <xf numFmtId="168" fontId="9" fillId="4" borderId="21" xfId="0" applyNumberFormat="1" applyFont="1" applyFill="1" applyBorder="1"/>
    <xf numFmtId="0" fontId="9" fillId="2" borderId="15" xfId="4" applyFill="1" applyBorder="1" applyAlignment="1">
      <alignment wrapText="1"/>
    </xf>
    <xf numFmtId="0" fontId="28" fillId="2" borderId="87" xfId="0" applyFont="1" applyFill="1" applyBorder="1" applyAlignment="1">
      <alignment horizontal="center" vertical="center"/>
    </xf>
    <xf numFmtId="168" fontId="3" fillId="2" borderId="16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4" borderId="15" xfId="0" applyFill="1" applyBorder="1" applyAlignment="1">
      <alignment vertical="center"/>
    </xf>
    <xf numFmtId="167" fontId="9" fillId="9" borderId="15" xfId="4" applyNumberFormat="1" applyFill="1" applyBorder="1" applyAlignment="1">
      <alignment wrapText="1"/>
    </xf>
    <xf numFmtId="0" fontId="0" fillId="9" borderId="15" xfId="0" applyFill="1" applyBorder="1"/>
    <xf numFmtId="0" fontId="0" fillId="0" borderId="75" xfId="0" applyBorder="1"/>
    <xf numFmtId="0" fontId="14" fillId="0" borderId="0" xfId="0" applyFont="1"/>
    <xf numFmtId="0" fontId="3" fillId="0" borderId="0" xfId="0" applyFont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wrapText="1"/>
    </xf>
    <xf numFmtId="21" fontId="3" fillId="2" borderId="15" xfId="0" applyNumberFormat="1" applyFont="1" applyFill="1" applyBorder="1"/>
    <xf numFmtId="0" fontId="0" fillId="5" borderId="15" xfId="0" applyFill="1" applyBorder="1" applyAlignment="1">
      <alignment vertical="center"/>
    </xf>
    <xf numFmtId="0" fontId="0" fillId="0" borderId="15" xfId="0" applyBorder="1" applyAlignment="1">
      <alignment horizontal="center"/>
    </xf>
    <xf numFmtId="0" fontId="3" fillId="4" borderId="15" xfId="0" applyFont="1" applyFill="1" applyBorder="1" applyAlignment="1">
      <alignment vertical="center"/>
    </xf>
    <xf numFmtId="0" fontId="3" fillId="14" borderId="0" xfId="0" applyFont="1" applyFill="1"/>
    <xf numFmtId="0" fontId="3" fillId="14" borderId="15" xfId="0" applyFont="1" applyFill="1" applyBorder="1" applyAlignment="1">
      <alignment vertical="center"/>
    </xf>
    <xf numFmtId="0" fontId="16" fillId="4" borderId="18" xfId="0" applyFont="1" applyFill="1" applyBorder="1" applyAlignment="1">
      <alignment horizontal="center" vertical="center"/>
    </xf>
    <xf numFmtId="0" fontId="16" fillId="4" borderId="5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center"/>
    </xf>
    <xf numFmtId="0" fontId="0" fillId="0" borderId="56" xfId="0" applyBorder="1"/>
    <xf numFmtId="21" fontId="0" fillId="4" borderId="15" xfId="0" applyNumberFormat="1" applyFill="1" applyBorder="1"/>
    <xf numFmtId="21" fontId="0" fillId="4" borderId="15" xfId="0" applyNumberForma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5" fillId="2" borderId="15" xfId="0" applyFont="1" applyFill="1" applyBorder="1" applyAlignment="1">
      <alignment vertical="center"/>
    </xf>
    <xf numFmtId="0" fontId="3" fillId="3" borderId="33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 wrapText="1"/>
    </xf>
    <xf numFmtId="0" fontId="3" fillId="0" borderId="0" xfId="4" applyFont="1"/>
    <xf numFmtId="0" fontId="6" fillId="5" borderId="15" xfId="0" applyFont="1" applyFill="1" applyBorder="1" applyAlignment="1">
      <alignment vertical="center"/>
    </xf>
    <xf numFmtId="0" fontId="6" fillId="3" borderId="15" xfId="0" applyFont="1" applyFill="1" applyBorder="1" applyAlignment="1">
      <alignment vertical="center"/>
    </xf>
    <xf numFmtId="0" fontId="3" fillId="2" borderId="16" xfId="4" applyFont="1" applyFill="1" applyBorder="1" applyAlignment="1">
      <alignment vertical="center" wrapText="1"/>
    </xf>
    <xf numFmtId="168" fontId="3" fillId="2" borderId="16" xfId="4" applyNumberFormat="1" applyFont="1" applyFill="1" applyBorder="1" applyAlignment="1">
      <alignment vertical="center" wrapText="1"/>
    </xf>
    <xf numFmtId="0" fontId="3" fillId="2" borderId="16" xfId="4" applyFont="1" applyFill="1" applyBorder="1" applyAlignment="1">
      <alignment vertical="center"/>
    </xf>
    <xf numFmtId="0" fontId="24" fillId="5" borderId="15" xfId="4" applyFont="1" applyFill="1" applyBorder="1"/>
    <xf numFmtId="15" fontId="24" fillId="5" borderId="15" xfId="0" applyNumberFormat="1" applyFont="1" applyFill="1" applyBorder="1" applyAlignment="1">
      <alignment horizontal="center" vertical="center"/>
    </xf>
    <xf numFmtId="45" fontId="24" fillId="5" borderId="15" xfId="4" applyNumberFormat="1" applyFont="1" applyFill="1" applyBorder="1"/>
    <xf numFmtId="0" fontId="24" fillId="4" borderId="15" xfId="4" applyFont="1" applyFill="1" applyBorder="1"/>
    <xf numFmtId="21" fontId="16" fillId="4" borderId="15" xfId="0" applyNumberFormat="1" applyFont="1" applyFill="1" applyBorder="1" applyAlignment="1">
      <alignment vertical="center" wrapText="1"/>
    </xf>
    <xf numFmtId="0" fontId="0" fillId="2" borderId="15" xfId="0" applyFill="1" applyBorder="1" applyAlignment="1">
      <alignment vertical="center"/>
    </xf>
    <xf numFmtId="0" fontId="12" fillId="3" borderId="15" xfId="0" applyFont="1" applyFill="1" applyBorder="1" applyAlignment="1">
      <alignment vertical="center" wrapText="1"/>
    </xf>
    <xf numFmtId="0" fontId="12" fillId="3" borderId="15" xfId="0" applyFont="1" applyFill="1" applyBorder="1" applyAlignment="1">
      <alignment vertical="center"/>
    </xf>
    <xf numFmtId="0" fontId="34" fillId="7" borderId="0" xfId="1" applyFont="1" applyFill="1" applyAlignment="1">
      <alignment wrapText="1"/>
    </xf>
    <xf numFmtId="0" fontId="0" fillId="3" borderId="16" xfId="0" applyFill="1" applyBorder="1" applyAlignment="1">
      <alignment vertical="center"/>
    </xf>
    <xf numFmtId="0" fontId="3" fillId="2" borderId="15" xfId="4" applyFont="1" applyFill="1" applyBorder="1" applyAlignment="1">
      <alignment vertical="center" wrapText="1"/>
    </xf>
    <xf numFmtId="0" fontId="25" fillId="5" borderId="15" xfId="0" applyFont="1" applyFill="1" applyBorder="1" applyAlignment="1">
      <alignment horizontal="center" vertical="center" wrapText="1"/>
    </xf>
    <xf numFmtId="0" fontId="24" fillId="5" borderId="15" xfId="0" applyFont="1" applyFill="1" applyBorder="1" applyAlignment="1">
      <alignment horizontal="center" vertical="center" wrapText="1"/>
    </xf>
    <xf numFmtId="0" fontId="9" fillId="0" borderId="0" xfId="4" applyAlignment="1">
      <alignment vertical="center"/>
    </xf>
    <xf numFmtId="21" fontId="0" fillId="5" borderId="15" xfId="0" applyNumberForma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11" fillId="4" borderId="15" xfId="4" applyFont="1" applyFill="1" applyBorder="1"/>
    <xf numFmtId="0" fontId="0" fillId="0" borderId="0" xfId="0" applyAlignment="1">
      <alignment horizontal="right"/>
    </xf>
    <xf numFmtId="0" fontId="0" fillId="4" borderId="15" xfId="0" applyFill="1" applyBorder="1" applyAlignment="1">
      <alignment horizontal="right"/>
    </xf>
    <xf numFmtId="0" fontId="6" fillId="15" borderId="0" xfId="0" applyFont="1" applyFill="1"/>
    <xf numFmtId="0" fontId="6" fillId="17" borderId="0" xfId="0" applyFont="1" applyFill="1"/>
    <xf numFmtId="0" fontId="14" fillId="12" borderId="0" xfId="0" applyFont="1" applyFill="1" applyAlignment="1">
      <alignment vertical="center"/>
    </xf>
    <xf numFmtId="0" fontId="7" fillId="2" borderId="15" xfId="0" applyFont="1" applyFill="1" applyBorder="1"/>
    <xf numFmtId="0" fontId="7" fillId="2" borderId="17" xfId="0" applyFont="1" applyFill="1" applyBorder="1"/>
    <xf numFmtId="0" fontId="9" fillId="4" borderId="0" xfId="4" applyFill="1"/>
    <xf numFmtId="0" fontId="0" fillId="4" borderId="16" xfId="0" applyFill="1" applyBorder="1"/>
    <xf numFmtId="0" fontId="7" fillId="0" borderId="23" xfId="0" applyFont="1" applyBorder="1"/>
    <xf numFmtId="0" fontId="7" fillId="0" borderId="43" xfId="0" applyFont="1" applyBorder="1"/>
    <xf numFmtId="0" fontId="6" fillId="0" borderId="0" xfId="0" applyFont="1" applyAlignment="1">
      <alignment vertical="center"/>
    </xf>
    <xf numFmtId="169" fontId="24" fillId="4" borderId="15" xfId="0" quotePrefix="1" applyNumberFormat="1" applyFont="1" applyFill="1" applyBorder="1" applyAlignment="1">
      <alignment horizontal="left" vertical="center" wrapText="1"/>
    </xf>
    <xf numFmtId="15" fontId="24" fillId="4" borderId="15" xfId="0" applyNumberFormat="1" applyFont="1" applyFill="1" applyBorder="1" applyAlignment="1">
      <alignment horizontal="center" vertical="center"/>
    </xf>
    <xf numFmtId="168" fontId="24" fillId="4" borderId="15" xfId="0" quotePrefix="1" applyNumberFormat="1" applyFont="1" applyFill="1" applyBorder="1" applyAlignment="1">
      <alignment horizontal="center" vertical="center"/>
    </xf>
    <xf numFmtId="166" fontId="26" fillId="4" borderId="15" xfId="2" quotePrefix="1" applyNumberFormat="1" applyFont="1" applyFill="1" applyBorder="1" applyAlignment="1">
      <alignment horizontal="center" vertical="center"/>
    </xf>
    <xf numFmtId="15" fontId="26" fillId="4" borderId="15" xfId="0" applyNumberFormat="1" applyFont="1" applyFill="1" applyBorder="1" applyAlignment="1">
      <alignment horizontal="center" vertical="center" wrapText="1"/>
    </xf>
    <xf numFmtId="168" fontId="26" fillId="4" borderId="15" xfId="0" applyNumberFormat="1" applyFont="1" applyFill="1" applyBorder="1" applyAlignment="1">
      <alignment horizontal="center" vertical="center" wrapText="1"/>
    </xf>
    <xf numFmtId="0" fontId="25" fillId="4" borderId="15" xfId="0" applyFont="1" applyFill="1" applyBorder="1" applyAlignment="1">
      <alignment horizontal="left" vertical="center" wrapText="1"/>
    </xf>
    <xf numFmtId="0" fontId="25" fillId="4" borderId="15" xfId="0" applyFont="1" applyFill="1" applyBorder="1" applyAlignment="1">
      <alignment horizontal="center" vertical="center" wrapText="1"/>
    </xf>
    <xf numFmtId="0" fontId="25" fillId="4" borderId="15" xfId="0" quotePrefix="1" applyFont="1" applyFill="1" applyBorder="1" applyAlignment="1">
      <alignment horizontal="center" vertical="center" wrapText="1"/>
    </xf>
    <xf numFmtId="0" fontId="25" fillId="0" borderId="15" xfId="0" quotePrefix="1" applyFont="1" applyBorder="1" applyAlignment="1">
      <alignment horizontal="center" vertical="center" wrapText="1"/>
    </xf>
    <xf numFmtId="0" fontId="24" fillId="4" borderId="15" xfId="0" applyFont="1" applyFill="1" applyBorder="1" applyAlignment="1">
      <alignment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5" xfId="0" quotePrefix="1" applyFont="1" applyBorder="1" applyAlignment="1">
      <alignment horizontal="left" vertical="center" wrapText="1"/>
    </xf>
    <xf numFmtId="0" fontId="25" fillId="5" borderId="15" xfId="0" applyFont="1" applyFill="1" applyBorder="1" applyAlignment="1">
      <alignment vertical="center" wrapText="1"/>
    </xf>
    <xf numFmtId="0" fontId="25" fillId="0" borderId="15" xfId="0" applyFont="1" applyBorder="1" applyAlignment="1">
      <alignment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1" fillId="4" borderId="0" xfId="4" applyFont="1" applyFill="1"/>
    <xf numFmtId="0" fontId="0" fillId="2" borderId="15" xfId="0" applyFill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57" xfId="0" applyFont="1" applyFill="1" applyBorder="1"/>
    <xf numFmtId="0" fontId="0" fillId="2" borderId="58" xfId="0" applyFill="1" applyBorder="1"/>
    <xf numFmtId="0" fontId="0" fillId="2" borderId="69" xfId="0" applyFill="1" applyBorder="1"/>
    <xf numFmtId="0" fontId="0" fillId="4" borderId="17" xfId="0" applyFill="1" applyBorder="1" applyAlignment="1">
      <alignment horizontal="center" vertical="center"/>
    </xf>
    <xf numFmtId="0" fontId="3" fillId="0" borderId="75" xfId="0" applyFont="1" applyBorder="1" applyAlignment="1">
      <alignment vertical="center" wrapText="1"/>
    </xf>
    <xf numFmtId="0" fontId="6" fillId="0" borderId="21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51" xfId="0" applyFont="1" applyBorder="1" applyAlignment="1">
      <alignment vertical="center"/>
    </xf>
    <xf numFmtId="0" fontId="7" fillId="2" borderId="15" xfId="4" applyFont="1" applyFill="1" applyBorder="1" applyAlignment="1">
      <alignment vertical="center" wrapText="1"/>
    </xf>
    <xf numFmtId="168" fontId="16" fillId="4" borderId="15" xfId="4" applyNumberFormat="1" applyFont="1" applyFill="1" applyBorder="1" applyAlignment="1">
      <alignment vertical="center"/>
    </xf>
    <xf numFmtId="0" fontId="9" fillId="3" borderId="0" xfId="4" applyFill="1"/>
    <xf numFmtId="0" fontId="0" fillId="2" borderId="15" xfId="0" applyFill="1" applyBorder="1" applyAlignment="1">
      <alignment wrapText="1"/>
    </xf>
    <xf numFmtId="0" fontId="9" fillId="5" borderId="15" xfId="0" applyFont="1" applyFill="1" applyBorder="1" applyAlignment="1">
      <alignment vertical="center" wrapText="1"/>
    </xf>
    <xf numFmtId="0" fontId="11" fillId="4" borderId="15" xfId="0" applyFont="1" applyFill="1" applyBorder="1" applyAlignment="1">
      <alignment wrapText="1"/>
    </xf>
    <xf numFmtId="21" fontId="0" fillId="4" borderId="17" xfId="0" applyNumberFormat="1" applyFill="1" applyBorder="1"/>
    <xf numFmtId="0" fontId="0" fillId="4" borderId="17" xfId="0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 wrapText="1"/>
    </xf>
    <xf numFmtId="0" fontId="7" fillId="2" borderId="93" xfId="0" applyFont="1" applyFill="1" applyBorder="1"/>
    <xf numFmtId="0" fontId="0" fillId="4" borderId="94" xfId="0" applyFill="1" applyBorder="1" applyAlignment="1">
      <alignment vertical="center"/>
    </xf>
    <xf numFmtId="0" fontId="0" fillId="4" borderId="95" xfId="0" applyFill="1" applyBorder="1" applyAlignment="1">
      <alignment horizontal="right"/>
    </xf>
    <xf numFmtId="166" fontId="12" fillId="4" borderId="95" xfId="2" applyNumberFormat="1" applyFont="1" applyFill="1" applyBorder="1" applyAlignment="1">
      <alignment horizontal="right"/>
    </xf>
    <xf numFmtId="0" fontId="7" fillId="2" borderId="96" xfId="0" applyFont="1" applyFill="1" applyBorder="1"/>
    <xf numFmtId="0" fontId="0" fillId="4" borderId="97" xfId="0" applyFill="1" applyBorder="1" applyAlignment="1">
      <alignment horizontal="right"/>
    </xf>
    <xf numFmtId="0" fontId="3" fillId="2" borderId="70" xfId="0" applyFont="1" applyFill="1" applyBorder="1" applyAlignment="1">
      <alignment vertical="center"/>
    </xf>
    <xf numFmtId="0" fontId="0" fillId="0" borderId="75" xfId="0" applyBorder="1" applyAlignment="1">
      <alignment wrapText="1"/>
    </xf>
    <xf numFmtId="0" fontId="38" fillId="0" borderId="0" xfId="1" applyFont="1" applyFill="1" applyBorder="1" applyAlignment="1">
      <alignment horizontal="center" vertical="center" wrapText="1"/>
    </xf>
    <xf numFmtId="0" fontId="38" fillId="0" borderId="0" xfId="1" applyFont="1" applyFill="1" applyAlignment="1">
      <alignment horizontal="center" vertical="center" wrapText="1"/>
    </xf>
    <xf numFmtId="0" fontId="0" fillId="4" borderId="38" xfId="0" applyFill="1" applyBorder="1"/>
    <xf numFmtId="21" fontId="0" fillId="4" borderId="38" xfId="0" applyNumberFormat="1" applyFill="1" applyBorder="1" applyAlignment="1">
      <alignment wrapText="1"/>
    </xf>
    <xf numFmtId="0" fontId="11" fillId="2" borderId="15" xfId="0" applyFont="1" applyFill="1" applyBorder="1" applyAlignment="1">
      <alignment horizontal="left" vertical="center"/>
    </xf>
    <xf numFmtId="0" fontId="0" fillId="4" borderId="57" xfId="0" applyFill="1" applyBorder="1"/>
    <xf numFmtId="0" fontId="0" fillId="4" borderId="18" xfId="0" applyFill="1" applyBorder="1" applyAlignment="1">
      <alignment wrapText="1"/>
    </xf>
    <xf numFmtId="0" fontId="0" fillId="4" borderId="69" xfId="0" applyFill="1" applyBorder="1"/>
    <xf numFmtId="0" fontId="0" fillId="2" borderId="16" xfId="0" applyFill="1" applyBorder="1"/>
    <xf numFmtId="165" fontId="11" fillId="5" borderId="15" xfId="0" applyNumberFormat="1" applyFont="1" applyFill="1" applyBorder="1" applyAlignment="1">
      <alignment horizontal="center"/>
    </xf>
    <xf numFmtId="166" fontId="0" fillId="4" borderId="15" xfId="2" applyNumberFormat="1" applyFont="1" applyFill="1" applyBorder="1"/>
    <xf numFmtId="0" fontId="0" fillId="2" borderId="9" xfId="0" applyFill="1" applyBorder="1"/>
    <xf numFmtId="0" fontId="0" fillId="8" borderId="15" xfId="0" applyFill="1" applyBorder="1"/>
    <xf numFmtId="0" fontId="0" fillId="4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1" fillId="5" borderId="18" xfId="0" applyFont="1" applyFill="1" applyBorder="1" applyAlignment="1">
      <alignment horizontal="left" vertical="center" wrapText="1"/>
    </xf>
    <xf numFmtId="0" fontId="11" fillId="5" borderId="27" xfId="0" applyFont="1" applyFill="1" applyBorder="1" applyAlignment="1">
      <alignment horizontal="left" vertical="center" wrapText="1"/>
    </xf>
    <xf numFmtId="0" fontId="0" fillId="0" borderId="98" xfId="0" applyBorder="1"/>
    <xf numFmtId="0" fontId="0" fillId="0" borderId="99" xfId="0" applyBorder="1"/>
    <xf numFmtId="0" fontId="0" fillId="0" borderId="101" xfId="0" applyBorder="1"/>
    <xf numFmtId="0" fontId="0" fillId="0" borderId="102" xfId="0" applyBorder="1"/>
    <xf numFmtId="0" fontId="0" fillId="0" borderId="104" xfId="0" applyBorder="1"/>
    <xf numFmtId="0" fontId="0" fillId="0" borderId="105" xfId="0" applyBorder="1"/>
    <xf numFmtId="165" fontId="0" fillId="4" borderId="5" xfId="0" applyNumberFormat="1" applyFill="1" applyBorder="1"/>
    <xf numFmtId="165" fontId="0" fillId="4" borderId="7" xfId="0" applyNumberFormat="1" applyFill="1" applyBorder="1"/>
    <xf numFmtId="165" fontId="0" fillId="4" borderId="8" xfId="0" applyNumberFormat="1" applyFill="1" applyBorder="1"/>
    <xf numFmtId="165" fontId="0" fillId="4" borderId="10" xfId="0" applyNumberFormat="1" applyFill="1" applyBorder="1"/>
    <xf numFmtId="165" fontId="0" fillId="4" borderId="4" xfId="0" applyNumberFormat="1" applyFill="1" applyBorder="1"/>
    <xf numFmtId="165" fontId="0" fillId="4" borderId="14" xfId="0" applyNumberFormat="1" applyFill="1" applyBorder="1"/>
    <xf numFmtId="15" fontId="0" fillId="4" borderId="5" xfId="0" applyNumberFormat="1" applyFill="1" applyBorder="1"/>
    <xf numFmtId="15" fontId="0" fillId="4" borderId="100" xfId="0" applyNumberFormat="1" applyFill="1" applyBorder="1"/>
    <xf numFmtId="15" fontId="0" fillId="4" borderId="103" xfId="0" applyNumberFormat="1" applyFill="1" applyBorder="1"/>
    <xf numFmtId="15" fontId="0" fillId="4" borderId="106" xfId="0" applyNumberFormat="1" applyFill="1" applyBorder="1"/>
    <xf numFmtId="15" fontId="0" fillId="4" borderId="7" xfId="0" applyNumberFormat="1" applyFill="1" applyBorder="1"/>
    <xf numFmtId="15" fontId="0" fillId="4" borderId="8" xfId="0" applyNumberFormat="1" applyFill="1" applyBorder="1"/>
    <xf numFmtId="15" fontId="0" fillId="4" borderId="10" xfId="0" applyNumberFormat="1" applyFill="1" applyBorder="1"/>
    <xf numFmtId="15" fontId="0" fillId="4" borderId="4" xfId="0" applyNumberFormat="1" applyFill="1" applyBorder="1"/>
    <xf numFmtId="15" fontId="0" fillId="4" borderId="14" xfId="0" applyNumberFormat="1" applyFill="1" applyBorder="1"/>
    <xf numFmtId="0" fontId="0" fillId="4" borderId="15" xfId="0" applyFill="1" applyBorder="1" applyAlignment="1">
      <alignment horizontal="left" vertical="center"/>
    </xf>
    <xf numFmtId="0" fontId="0" fillId="2" borderId="57" xfId="0" applyFill="1" applyBorder="1" applyAlignment="1">
      <alignment horizontal="center" vertical="center"/>
    </xf>
    <xf numFmtId="166" fontId="11" fillId="0" borderId="0" xfId="2" applyNumberFormat="1" applyFont="1" applyFill="1"/>
    <xf numFmtId="167" fontId="23" fillId="0" borderId="0" xfId="0" applyNumberFormat="1" applyFont="1" applyAlignment="1">
      <alignment wrapText="1"/>
    </xf>
    <xf numFmtId="166" fontId="23" fillId="0" borderId="0" xfId="2" applyNumberFormat="1" applyFont="1" applyFill="1" applyAlignment="1">
      <alignment wrapText="1"/>
    </xf>
    <xf numFmtId="0" fontId="22" fillId="0" borderId="0" xfId="0" applyFont="1" applyAlignment="1">
      <alignment wrapText="1"/>
    </xf>
    <xf numFmtId="168" fontId="22" fillId="0" borderId="0" xfId="0" applyNumberFormat="1" applyFont="1" applyAlignment="1">
      <alignment wrapText="1"/>
    </xf>
    <xf numFmtId="167" fontId="19" fillId="0" borderId="0" xfId="0" applyNumberFormat="1" applyFont="1" applyAlignment="1">
      <alignment wrapText="1"/>
    </xf>
    <xf numFmtId="166" fontId="21" fillId="0" borderId="0" xfId="2" applyNumberFormat="1" applyFont="1" applyFill="1" applyAlignment="1">
      <alignment wrapText="1"/>
    </xf>
    <xf numFmtId="0" fontId="20" fillId="0" borderId="0" xfId="0" applyFont="1" applyAlignment="1">
      <alignment wrapText="1"/>
    </xf>
    <xf numFmtId="168" fontId="20" fillId="0" borderId="0" xfId="0" applyNumberFormat="1" applyFont="1" applyAlignment="1">
      <alignment wrapText="1"/>
    </xf>
    <xf numFmtId="168" fontId="19" fillId="0" borderId="0" xfId="0" applyNumberFormat="1" applyFont="1" applyAlignment="1">
      <alignment wrapText="1"/>
    </xf>
    <xf numFmtId="168" fontId="9" fillId="0" borderId="0" xfId="4" applyNumberFormat="1" applyAlignment="1">
      <alignment vertical="center"/>
    </xf>
    <xf numFmtId="167" fontId="9" fillId="0" borderId="0" xfId="4" applyNumberFormat="1"/>
    <xf numFmtId="166" fontId="25" fillId="4" borderId="15" xfId="2" applyNumberFormat="1" applyFont="1" applyFill="1" applyBorder="1" applyAlignment="1">
      <alignment horizontal="center" vertical="center" wrapText="1"/>
    </xf>
    <xf numFmtId="0" fontId="3" fillId="0" borderId="58" xfId="0" applyFont="1" applyBorder="1" applyAlignment="1">
      <alignment vertical="center" wrapText="1"/>
    </xf>
    <xf numFmtId="0" fontId="0" fillId="0" borderId="58" xfId="0" applyBorder="1" applyAlignment="1">
      <alignment vertical="center"/>
    </xf>
    <xf numFmtId="0" fontId="3" fillId="0" borderId="88" xfId="0" applyFont="1" applyBorder="1"/>
    <xf numFmtId="0" fontId="0" fillId="0" borderId="88" xfId="0" applyBorder="1"/>
    <xf numFmtId="0" fontId="3" fillId="0" borderId="41" xfId="0" applyFont="1" applyBorder="1"/>
    <xf numFmtId="0" fontId="0" fillId="0" borderId="41" xfId="0" applyBorder="1"/>
    <xf numFmtId="0" fontId="9" fillId="0" borderId="0" xfId="0" applyFont="1" applyAlignment="1">
      <alignment horizontal="center" vertical="center" wrapText="1"/>
    </xf>
    <xf numFmtId="167" fontId="9" fillId="0" borderId="0" xfId="4" applyNumberFormat="1" applyAlignment="1">
      <alignment wrapText="1"/>
    </xf>
    <xf numFmtId="0" fontId="7" fillId="4" borderId="15" xfId="0" applyFont="1" applyFill="1" applyBorder="1"/>
    <xf numFmtId="0" fontId="0" fillId="2" borderId="15" xfId="0" applyFill="1" applyBorder="1" applyAlignment="1">
      <alignment horizontal="center" vertical="center"/>
    </xf>
    <xf numFmtId="164" fontId="0" fillId="4" borderId="18" xfId="2" applyFont="1" applyFill="1" applyBorder="1" applyAlignment="1">
      <alignment horizontal="center" vertical="center" wrapText="1"/>
    </xf>
    <xf numFmtId="164" fontId="0" fillId="3" borderId="18" xfId="2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8" borderId="0" xfId="0" applyFill="1" applyAlignment="1">
      <alignment vertical="center"/>
    </xf>
    <xf numFmtId="0" fontId="0" fillId="8" borderId="46" xfId="0" applyFill="1" applyBorder="1" applyAlignment="1">
      <alignment vertical="center"/>
    </xf>
    <xf numFmtId="0" fontId="0" fillId="4" borderId="71" xfId="0" applyFill="1" applyBorder="1"/>
    <xf numFmtId="0" fontId="0" fillId="4" borderId="17" xfId="0" applyFill="1" applyBorder="1"/>
    <xf numFmtId="0" fontId="0" fillId="4" borderId="86" xfId="0" applyFill="1" applyBorder="1"/>
    <xf numFmtId="0" fontId="41" fillId="7" borderId="107" xfId="0" applyFont="1" applyFill="1" applyBorder="1"/>
    <xf numFmtId="0" fontId="41" fillId="7" borderId="108" xfId="0" applyFont="1" applyFill="1" applyBorder="1"/>
    <xf numFmtId="0" fontId="7" fillId="7" borderId="109" xfId="0" applyFont="1" applyFill="1" applyBorder="1"/>
    <xf numFmtId="0" fontId="3" fillId="2" borderId="0" xfId="0" applyFont="1" applyFill="1" applyAlignment="1">
      <alignment vertical="center" wrapText="1"/>
    </xf>
    <xf numFmtId="0" fontId="3" fillId="3" borderId="15" xfId="0" applyFont="1" applyFill="1" applyBorder="1" applyAlignment="1">
      <alignment vertical="center"/>
    </xf>
    <xf numFmtId="0" fontId="0" fillId="8" borderId="16" xfId="0" applyFill="1" applyBorder="1"/>
    <xf numFmtId="0" fontId="10" fillId="18" borderId="15" xfId="0" applyFont="1" applyFill="1" applyBorder="1"/>
    <xf numFmtId="0" fontId="15" fillId="0" borderId="0" xfId="0" applyFont="1" applyAlignment="1">
      <alignment vertical="center" wrapText="1"/>
    </xf>
    <xf numFmtId="0" fontId="7" fillId="5" borderId="108" xfId="0" applyFont="1" applyFill="1" applyBorder="1"/>
    <xf numFmtId="0" fontId="12" fillId="4" borderId="16" xfId="0" applyFont="1" applyFill="1" applyBorder="1" applyAlignment="1">
      <alignment vertical="center" wrapText="1"/>
    </xf>
    <xf numFmtId="0" fontId="7" fillId="4" borderId="57" xfId="0" applyFont="1" applyFill="1" applyBorder="1"/>
    <xf numFmtId="0" fontId="11" fillId="0" borderId="0" xfId="0" applyFont="1"/>
    <xf numFmtId="0" fontId="3" fillId="4" borderId="0" xfId="0" applyFont="1" applyFill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164" fontId="0" fillId="4" borderId="18" xfId="2" applyFont="1" applyFill="1" applyBorder="1" applyAlignment="1">
      <alignment vertical="center" wrapText="1"/>
    </xf>
    <xf numFmtId="164" fontId="0" fillId="4" borderId="27" xfId="2" applyFont="1" applyFill="1" applyBorder="1" applyAlignment="1">
      <alignment vertical="center" wrapText="1"/>
    </xf>
    <xf numFmtId="164" fontId="0" fillId="3" borderId="21" xfId="2" applyFont="1" applyFill="1" applyBorder="1" applyAlignment="1">
      <alignment horizontal="center" vertical="center" wrapText="1"/>
    </xf>
    <xf numFmtId="164" fontId="0" fillId="3" borderId="27" xfId="2" applyFont="1" applyFill="1" applyBorder="1" applyAlignment="1">
      <alignment horizontal="center" vertical="center" wrapText="1"/>
    </xf>
    <xf numFmtId="0" fontId="3" fillId="0" borderId="28" xfId="0" applyFont="1" applyBorder="1" applyAlignment="1">
      <alignment wrapText="1"/>
    </xf>
    <xf numFmtId="0" fontId="3" fillId="0" borderId="26" xfId="0" applyFont="1" applyBorder="1" applyAlignment="1">
      <alignment vertical="center" wrapText="1"/>
    </xf>
    <xf numFmtId="0" fontId="3" fillId="0" borderId="26" xfId="0" applyFont="1" applyBorder="1" applyAlignment="1">
      <alignment wrapText="1"/>
    </xf>
    <xf numFmtId="167" fontId="9" fillId="9" borderId="0" xfId="4" applyNumberFormat="1" applyFill="1" applyAlignment="1">
      <alignment wrapText="1"/>
    </xf>
    <xf numFmtId="45" fontId="9" fillId="4" borderId="0" xfId="4" applyNumberFormat="1" applyFill="1"/>
    <xf numFmtId="164" fontId="0" fillId="3" borderId="66" xfId="2" applyFont="1" applyFill="1" applyBorder="1" applyAlignment="1">
      <alignment horizontal="center" vertical="center" wrapText="1"/>
    </xf>
    <xf numFmtId="164" fontId="0" fillId="4" borderId="113" xfId="2" applyFont="1" applyFill="1" applyBorder="1" applyAlignment="1">
      <alignment horizontal="center" vertical="center" wrapText="1"/>
    </xf>
    <xf numFmtId="164" fontId="0" fillId="3" borderId="113" xfId="2" applyFont="1" applyFill="1" applyBorder="1" applyAlignment="1">
      <alignment horizontal="center" vertical="center" wrapText="1"/>
    </xf>
    <xf numFmtId="164" fontId="0" fillId="3" borderId="114" xfId="2" applyFont="1" applyFill="1" applyBorder="1" applyAlignment="1">
      <alignment horizontal="center" vertical="center" wrapText="1"/>
    </xf>
    <xf numFmtId="0" fontId="42" fillId="2" borderId="16" xfId="0" applyFont="1" applyFill="1" applyBorder="1" applyAlignment="1">
      <alignment wrapText="1"/>
    </xf>
    <xf numFmtId="0" fontId="0" fillId="2" borderId="87" xfId="0" applyFill="1" applyBorder="1"/>
    <xf numFmtId="0" fontId="3" fillId="0" borderId="115" xfId="0" applyFont="1" applyBorder="1" applyAlignment="1">
      <alignment wrapText="1"/>
    </xf>
    <xf numFmtId="0" fontId="9" fillId="4" borderId="116" xfId="4" applyFill="1" applyBorder="1"/>
    <xf numFmtId="0" fontId="0" fillId="4" borderId="116" xfId="0" applyFill="1" applyBorder="1" applyAlignment="1">
      <alignment vertical="center" wrapText="1"/>
    </xf>
    <xf numFmtId="0" fontId="11" fillId="5" borderId="116" xfId="0" applyFont="1" applyFill="1" applyBorder="1" applyAlignment="1">
      <alignment horizontal="left" vertical="center" wrapText="1"/>
    </xf>
    <xf numFmtId="164" fontId="0" fillId="4" borderId="116" xfId="2" applyFont="1" applyFill="1" applyBorder="1" applyAlignment="1">
      <alignment vertical="center" wrapText="1"/>
    </xf>
    <xf numFmtId="0" fontId="9" fillId="4" borderId="27" xfId="4" applyFill="1" applyBorder="1"/>
    <xf numFmtId="168" fontId="11" fillId="5" borderId="15" xfId="0" applyNumberFormat="1" applyFont="1" applyFill="1" applyBorder="1" applyAlignment="1">
      <alignment horizontal="center" vertical="center"/>
    </xf>
    <xf numFmtId="21" fontId="0" fillId="4" borderId="15" xfId="0" applyNumberForma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vertical="center" wrapText="1"/>
    </xf>
    <xf numFmtId="0" fontId="0" fillId="5" borderId="15" xfId="0" applyFill="1" applyBorder="1" applyAlignment="1">
      <alignment horizontal="center" vertical="center"/>
    </xf>
    <xf numFmtId="21" fontId="0" fillId="5" borderId="15" xfId="0" applyNumberFormat="1" applyFill="1" applyBorder="1" applyAlignment="1">
      <alignment horizontal="center" vertical="center"/>
    </xf>
    <xf numFmtId="0" fontId="0" fillId="0" borderId="88" xfId="0" applyBorder="1" applyAlignment="1">
      <alignment horizontal="left"/>
    </xf>
    <xf numFmtId="0" fontId="0" fillId="4" borderId="57" xfId="0" applyFill="1" applyBorder="1" applyAlignment="1">
      <alignment vertical="center"/>
    </xf>
    <xf numFmtId="22" fontId="11" fillId="0" borderId="0" xfId="0" applyNumberFormat="1" applyFont="1"/>
    <xf numFmtId="0" fontId="11" fillId="5" borderId="15" xfId="2" applyNumberFormat="1" applyFont="1" applyFill="1" applyBorder="1" applyAlignment="1">
      <alignment horizontal="center"/>
    </xf>
    <xf numFmtId="0" fontId="33" fillId="11" borderId="0" xfId="0" applyFont="1" applyFill="1" applyAlignment="1">
      <alignment horizontal="center"/>
    </xf>
    <xf numFmtId="0" fontId="27" fillId="16" borderId="119" xfId="0" applyFont="1" applyFill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1" fillId="0" borderId="18" xfId="0" applyFont="1" applyBorder="1" applyAlignment="1">
      <alignment vertical="top" wrapText="1"/>
    </xf>
    <xf numFmtId="0" fontId="0" fillId="0" borderId="18" xfId="0" applyBorder="1" applyAlignment="1">
      <alignment wrapText="1"/>
    </xf>
    <xf numFmtId="0" fontId="0" fillId="0" borderId="18" xfId="0" applyBorder="1" applyAlignment="1">
      <alignment vertical="top" wrapText="1"/>
    </xf>
    <xf numFmtId="0" fontId="11" fillId="0" borderId="19" xfId="0" applyFont="1" applyBorder="1" applyAlignment="1">
      <alignment vertical="center" wrapText="1"/>
    </xf>
    <xf numFmtId="0" fontId="11" fillId="0" borderId="19" xfId="0" applyFont="1" applyBorder="1" applyAlignment="1">
      <alignment vertical="top" wrapText="1"/>
    </xf>
    <xf numFmtId="0" fontId="0" fillId="0" borderId="19" xfId="0" applyBorder="1" applyAlignment="1">
      <alignment vertical="center" wrapText="1"/>
    </xf>
    <xf numFmtId="0" fontId="0" fillId="0" borderId="19" xfId="0" applyBorder="1"/>
    <xf numFmtId="0" fontId="11" fillId="0" borderId="20" xfId="0" applyFont="1" applyBorder="1" applyAlignment="1">
      <alignment vertical="center" wrapText="1"/>
    </xf>
    <xf numFmtId="0" fontId="11" fillId="0" borderId="20" xfId="0" applyFont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2" borderId="33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168" fontId="0" fillId="4" borderId="15" xfId="0" applyNumberFormat="1" applyFill="1" applyBorder="1" applyAlignment="1">
      <alignment horizontal="center"/>
    </xf>
    <xf numFmtId="0" fontId="11" fillId="4" borderId="15" xfId="0" applyFont="1" applyFill="1" applyBorder="1"/>
    <xf numFmtId="164" fontId="25" fillId="4" borderId="15" xfId="2" quotePrefix="1" applyFont="1" applyFill="1" applyBorder="1" applyAlignment="1">
      <alignment horizontal="center" vertical="center" wrapText="1"/>
    </xf>
    <xf numFmtId="164" fontId="0" fillId="0" borderId="0" xfId="2" applyFont="1"/>
    <xf numFmtId="164" fontId="0" fillId="0" borderId="0" xfId="2" applyFont="1" applyAlignment="1">
      <alignment horizontal="center"/>
    </xf>
    <xf numFmtId="164" fontId="0" fillId="0" borderId="4" xfId="2" applyFont="1" applyBorder="1"/>
    <xf numFmtId="164" fontId="0" fillId="0" borderId="99" xfId="2" applyFont="1" applyBorder="1"/>
    <xf numFmtId="164" fontId="0" fillId="0" borderId="102" xfId="2" applyFont="1" applyBorder="1"/>
    <xf numFmtId="164" fontId="0" fillId="0" borderId="105" xfId="2" applyFont="1" applyBorder="1"/>
    <xf numFmtId="164" fontId="0" fillId="0" borderId="6" xfId="2" applyFont="1" applyBorder="1"/>
    <xf numFmtId="164" fontId="0" fillId="0" borderId="9" xfId="2" applyFont="1" applyBorder="1"/>
    <xf numFmtId="0" fontId="11" fillId="3" borderId="15" xfId="0" applyFont="1" applyFill="1" applyBorder="1" applyAlignment="1">
      <alignment wrapText="1"/>
    </xf>
    <xf numFmtId="0" fontId="27" fillId="10" borderId="82" xfId="0" applyFont="1" applyFill="1" applyBorder="1" applyAlignment="1">
      <alignment horizontal="center" vertical="center" wrapText="1"/>
    </xf>
    <xf numFmtId="0" fontId="27" fillId="10" borderId="41" xfId="0" applyFont="1" applyFill="1" applyBorder="1" applyAlignment="1">
      <alignment horizontal="center" vertical="center" wrapText="1"/>
    </xf>
    <xf numFmtId="0" fontId="14" fillId="12" borderId="85" xfId="0" applyFont="1" applyFill="1" applyBorder="1" applyAlignment="1">
      <alignment horizontal="center" wrapText="1"/>
    </xf>
    <xf numFmtId="0" fontId="33" fillId="11" borderId="85" xfId="0" applyFont="1" applyFill="1" applyBorder="1" applyAlignment="1">
      <alignment horizontal="center"/>
    </xf>
    <xf numFmtId="0" fontId="33" fillId="11" borderId="92" xfId="0" applyFont="1" applyFill="1" applyBorder="1" applyAlignment="1">
      <alignment horizontal="center"/>
    </xf>
    <xf numFmtId="0" fontId="0" fillId="4" borderId="15" xfId="0" applyFill="1" applyBorder="1" applyAlignment="1">
      <alignment horizontal="left"/>
    </xf>
    <xf numFmtId="0" fontId="3" fillId="2" borderId="15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9" fillId="4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6" xfId="0" applyFill="1" applyBorder="1" applyAlignment="1">
      <alignment horizontal="left" vertical="center" wrapText="1"/>
    </xf>
    <xf numFmtId="0" fontId="8" fillId="15" borderId="0" xfId="1" applyFill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left" vertical="center" wrapText="1"/>
    </xf>
    <xf numFmtId="0" fontId="8" fillId="15" borderId="0" xfId="1" applyFill="1" applyBorder="1" applyAlignment="1">
      <alignment horizontal="center" wrapText="1"/>
    </xf>
    <xf numFmtId="0" fontId="8" fillId="15" borderId="0" xfId="1" applyFill="1" applyAlignment="1">
      <alignment horizontal="center" wrapText="1"/>
    </xf>
    <xf numFmtId="0" fontId="5" fillId="4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/>
    </xf>
    <xf numFmtId="0" fontId="3" fillId="2" borderId="58" xfId="0" applyFont="1" applyFill="1" applyBorder="1" applyAlignment="1">
      <alignment horizontal="center"/>
    </xf>
    <xf numFmtId="0" fontId="3" fillId="2" borderId="69" xfId="0" applyFont="1" applyFill="1" applyBorder="1" applyAlignment="1">
      <alignment horizontal="center"/>
    </xf>
    <xf numFmtId="0" fontId="0" fillId="5" borderId="87" xfId="0" applyFill="1" applyBorder="1" applyAlignment="1">
      <alignment horizontal="center" wrapText="1"/>
    </xf>
    <xf numFmtId="0" fontId="0" fillId="5" borderId="111" xfId="0" applyFill="1" applyBorder="1" applyAlignment="1">
      <alignment horizontal="center" wrapText="1"/>
    </xf>
    <xf numFmtId="0" fontId="0" fillId="5" borderId="75" xfId="0" applyFill="1" applyBorder="1" applyAlignment="1">
      <alignment horizontal="center" wrapText="1"/>
    </xf>
    <xf numFmtId="0" fontId="0" fillId="5" borderId="44" xfId="0" applyFill="1" applyBorder="1" applyAlignment="1">
      <alignment horizontal="center" wrapText="1"/>
    </xf>
    <xf numFmtId="0" fontId="0" fillId="5" borderId="112" xfId="0" applyFill="1" applyBorder="1" applyAlignment="1">
      <alignment horizontal="center" wrapText="1"/>
    </xf>
    <xf numFmtId="0" fontId="0" fillId="5" borderId="47" xfId="0" applyFill="1" applyBorder="1" applyAlignment="1">
      <alignment horizontal="center" wrapText="1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2" borderId="110" xfId="0" applyFont="1" applyFill="1" applyBorder="1" applyAlignment="1">
      <alignment horizontal="center"/>
    </xf>
    <xf numFmtId="0" fontId="0" fillId="9" borderId="0" xfId="0" applyFill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164" fontId="0" fillId="4" borderId="117" xfId="2" applyFont="1" applyFill="1" applyBorder="1" applyAlignment="1">
      <alignment horizontal="center" vertical="center" wrapText="1"/>
    </xf>
    <xf numFmtId="164" fontId="0" fillId="4" borderId="80" xfId="2" applyFont="1" applyFill="1" applyBorder="1" applyAlignment="1">
      <alignment horizontal="center" vertical="center" wrapText="1"/>
    </xf>
    <xf numFmtId="164" fontId="0" fillId="4" borderId="118" xfId="2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left"/>
    </xf>
    <xf numFmtId="0" fontId="3" fillId="0" borderId="46" xfId="0" applyFont="1" applyBorder="1" applyAlignment="1">
      <alignment horizontal="left"/>
    </xf>
    <xf numFmtId="0" fontId="3" fillId="2" borderId="31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0" fillId="8" borderId="21" xfId="0" applyFill="1" applyBorder="1" applyAlignment="1">
      <alignment horizontal="left" vertical="top" wrapText="1"/>
    </xf>
    <xf numFmtId="0" fontId="0" fillId="8" borderId="79" xfId="0" applyFill="1" applyBorder="1" applyAlignment="1">
      <alignment horizontal="left" vertical="top" wrapText="1"/>
    </xf>
    <xf numFmtId="0" fontId="0" fillId="8" borderId="18" xfId="0" applyFill="1" applyBorder="1" applyAlignment="1">
      <alignment horizontal="left" vertical="top" wrapText="1"/>
    </xf>
    <xf numFmtId="0" fontId="0" fillId="8" borderId="80" xfId="0" applyFill="1" applyBorder="1" applyAlignment="1">
      <alignment horizontal="left" vertical="top" wrapText="1"/>
    </xf>
    <xf numFmtId="0" fontId="0" fillId="8" borderId="51" xfId="0" applyFill="1" applyBorder="1" applyAlignment="1">
      <alignment horizontal="left" vertical="top" wrapText="1"/>
    </xf>
    <xf numFmtId="0" fontId="0" fillId="8" borderId="81" xfId="0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2" borderId="52" xfId="0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34" fillId="7" borderId="0" xfId="1" applyFont="1" applyFill="1" applyAlignment="1">
      <alignment horizontal="center" vertical="center" wrapText="1"/>
    </xf>
    <xf numFmtId="0" fontId="0" fillId="3" borderId="31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87" xfId="0" applyFill="1" applyBorder="1" applyAlignment="1">
      <alignment horizontal="center" vertical="center"/>
    </xf>
    <xf numFmtId="0" fontId="0" fillId="2" borderId="88" xfId="0" applyFill="1" applyBorder="1" applyAlignment="1">
      <alignment horizontal="center" vertical="center"/>
    </xf>
    <xf numFmtId="0" fontId="0" fillId="2" borderId="89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164" fontId="0" fillId="4" borderId="116" xfId="2" applyFont="1" applyFill="1" applyBorder="1" applyAlignment="1">
      <alignment horizontal="center" vertical="center" wrapText="1"/>
    </xf>
    <xf numFmtId="164" fontId="0" fillId="4" borderId="18" xfId="2" applyFont="1" applyFill="1" applyBorder="1" applyAlignment="1">
      <alignment horizontal="center" vertical="center" wrapText="1"/>
    </xf>
    <xf numFmtId="164" fontId="0" fillId="4" borderId="27" xfId="2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5" fillId="2" borderId="63" xfId="0" applyFont="1" applyFill="1" applyBorder="1" applyAlignment="1">
      <alignment horizontal="center" vertical="center"/>
    </xf>
    <xf numFmtId="0" fontId="5" fillId="2" borderId="64" xfId="0" applyFont="1" applyFill="1" applyBorder="1" applyAlignment="1">
      <alignment horizontal="center" vertical="center"/>
    </xf>
    <xf numFmtId="0" fontId="5" fillId="2" borderId="65" xfId="0" applyFont="1" applyFill="1" applyBorder="1" applyAlignment="1">
      <alignment horizontal="center" vertical="center"/>
    </xf>
    <xf numFmtId="0" fontId="5" fillId="2" borderId="76" xfId="0" applyFont="1" applyFill="1" applyBorder="1" applyAlignment="1">
      <alignment horizontal="center" vertical="center"/>
    </xf>
    <xf numFmtId="0" fontId="5" fillId="2" borderId="77" xfId="0" applyFont="1" applyFill="1" applyBorder="1" applyAlignment="1">
      <alignment horizontal="center" vertical="center"/>
    </xf>
    <xf numFmtId="0" fontId="5" fillId="2" borderId="78" xfId="0" applyFont="1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4" borderId="69" xfId="0" applyFill="1" applyBorder="1" applyAlignment="1">
      <alignment horizontal="center" vertical="center"/>
    </xf>
    <xf numFmtId="0" fontId="0" fillId="8" borderId="15" xfId="0" applyFill="1" applyBorder="1" applyAlignment="1">
      <alignment horizontal="left" vertical="center" wrapText="1"/>
    </xf>
    <xf numFmtId="0" fontId="0" fillId="8" borderId="25" xfId="0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6" fillId="4" borderId="51" xfId="0" applyFont="1" applyFill="1" applyBorder="1" applyAlignment="1">
      <alignment horizontal="center" vertical="center"/>
    </xf>
    <xf numFmtId="0" fontId="13" fillId="2" borderId="67" xfId="0" applyFont="1" applyFill="1" applyBorder="1" applyAlignment="1">
      <alignment horizontal="center" vertical="center" wrapText="1"/>
    </xf>
    <xf numFmtId="0" fontId="13" fillId="2" borderId="6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8" borderId="15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/>
    </xf>
    <xf numFmtId="0" fontId="0" fillId="5" borderId="87" xfId="0" applyFill="1" applyBorder="1" applyAlignment="1">
      <alignment horizontal="center"/>
    </xf>
    <xf numFmtId="0" fontId="0" fillId="5" borderId="88" xfId="0" applyFill="1" applyBorder="1" applyAlignment="1">
      <alignment horizontal="center"/>
    </xf>
    <xf numFmtId="0" fontId="0" fillId="5" borderId="75" xfId="0" applyFill="1" applyBorder="1" applyAlignment="1">
      <alignment horizontal="center"/>
    </xf>
    <xf numFmtId="0" fontId="0" fillId="8" borderId="21" xfId="0" applyFill="1" applyBorder="1" applyAlignment="1">
      <alignment horizontal="left" vertical="center" wrapText="1"/>
    </xf>
    <xf numFmtId="0" fontId="0" fillId="8" borderId="79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center"/>
    </xf>
    <xf numFmtId="0" fontId="0" fillId="5" borderId="57" xfId="0" applyFill="1" applyBorder="1" applyAlignment="1">
      <alignment horizontal="center"/>
    </xf>
    <xf numFmtId="0" fontId="0" fillId="5" borderId="58" xfId="0" applyFill="1" applyBorder="1" applyAlignment="1">
      <alignment horizontal="center"/>
    </xf>
    <xf numFmtId="0" fontId="0" fillId="5" borderId="69" xfId="0" applyFill="1" applyBorder="1" applyAlignment="1">
      <alignment horizontal="center"/>
    </xf>
    <xf numFmtId="0" fontId="0" fillId="8" borderId="18" xfId="0" applyFill="1" applyBorder="1" applyAlignment="1">
      <alignment horizontal="left" vertical="center" wrapText="1"/>
    </xf>
    <xf numFmtId="0" fontId="0" fillId="8" borderId="80" xfId="0" applyFill="1" applyBorder="1" applyAlignment="1">
      <alignment horizontal="left" vertical="center" wrapText="1"/>
    </xf>
    <xf numFmtId="0" fontId="0" fillId="0" borderId="44" xfId="0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66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/>
    </xf>
    <xf numFmtId="0" fontId="24" fillId="4" borderId="15" xfId="0" applyFont="1" applyFill="1" applyBorder="1" applyAlignment="1">
      <alignment horizontal="center" vertical="center" wrapText="1"/>
    </xf>
    <xf numFmtId="0" fontId="36" fillId="2" borderId="15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0" fillId="2" borderId="82" xfId="0" applyFill="1" applyBorder="1" applyAlignment="1">
      <alignment horizontal="center" vertical="center"/>
    </xf>
    <xf numFmtId="0" fontId="3" fillId="2" borderId="7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28" xfId="0" applyFont="1" applyFill="1" applyBorder="1" applyAlignment="1">
      <alignment horizontal="center" vertical="center" wrapText="1"/>
    </xf>
    <xf numFmtId="0" fontId="5" fillId="2" borderId="9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/>
    </xf>
    <xf numFmtId="0" fontId="5" fillId="2" borderId="56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86" xfId="0" applyFont="1" applyFill="1" applyBorder="1" applyAlignment="1">
      <alignment horizontal="left" vertical="center"/>
    </xf>
    <xf numFmtId="0" fontId="0" fillId="8" borderId="51" xfId="0" applyFill="1" applyBorder="1" applyAlignment="1">
      <alignment horizontal="left" vertical="center" wrapText="1"/>
    </xf>
    <xf numFmtId="0" fontId="0" fillId="8" borderId="81" xfId="0" applyFill="1" applyBorder="1" applyAlignment="1">
      <alignment horizontal="left" vertical="center" wrapText="1"/>
    </xf>
    <xf numFmtId="0" fontId="16" fillId="4" borderId="21" xfId="0" applyFont="1" applyFill="1" applyBorder="1" applyAlignment="1">
      <alignment horizontal="center" vertical="center"/>
    </xf>
    <xf numFmtId="0" fontId="38" fillId="7" borderId="75" xfId="1" applyFont="1" applyFill="1" applyBorder="1" applyAlignment="1">
      <alignment horizontal="center" vertical="center" wrapText="1"/>
    </xf>
    <xf numFmtId="0" fontId="38" fillId="7" borderId="0" xfId="1" applyFont="1" applyFill="1" applyAlignment="1">
      <alignment horizontal="center" vertical="center" wrapText="1"/>
    </xf>
    <xf numFmtId="0" fontId="3" fillId="2" borderId="87" xfId="0" applyFont="1" applyFill="1" applyBorder="1" applyAlignment="1">
      <alignment horizontal="center" vertical="center" wrapText="1"/>
    </xf>
    <xf numFmtId="0" fontId="3" fillId="2" borderId="8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5" borderId="16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9" fillId="9" borderId="15" xfId="4" applyFill="1" applyBorder="1" applyAlignment="1">
      <alignment horizontal="center" vertical="center" wrapText="1"/>
    </xf>
    <xf numFmtId="167" fontId="9" fillId="2" borderId="57" xfId="4" applyNumberFormat="1" applyFill="1" applyBorder="1" applyAlignment="1">
      <alignment horizontal="center" wrapText="1"/>
    </xf>
    <xf numFmtId="167" fontId="9" fillId="2" borderId="58" xfId="4" applyNumberFormat="1" applyFill="1" applyBorder="1" applyAlignment="1">
      <alignment horizontal="center" wrapText="1"/>
    </xf>
    <xf numFmtId="167" fontId="9" fillId="2" borderId="69" xfId="4" applyNumberFormat="1" applyFill="1" applyBorder="1" applyAlignment="1">
      <alignment horizontal="center" wrapText="1"/>
    </xf>
    <xf numFmtId="0" fontId="0" fillId="2" borderId="57" xfId="0" applyFill="1" applyBorder="1" applyAlignment="1">
      <alignment horizontal="center"/>
    </xf>
    <xf numFmtId="0" fontId="0" fillId="2" borderId="5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4" borderId="21" xfId="0" applyFill="1" applyBorder="1" applyAlignment="1">
      <alignment vertical="center" wrapText="1"/>
    </xf>
  </cellXfs>
  <cellStyles count="6">
    <cellStyle name="Comma" xfId="2" builtinId="3"/>
    <cellStyle name="Hyperlink" xfId="1" builtinId="8"/>
    <cellStyle name="Normal" xfId="0" builtinId="0"/>
    <cellStyle name="Normal 2" xfId="3" xr:uid="{8BD4F66A-E1EC-4350-95F7-C07D3650DD9C}"/>
    <cellStyle name="Normal 5" xfId="4" xr:uid="{76E362B8-DC68-4FB8-A480-1938B8D1F67C}"/>
    <cellStyle name="Normal 8" xfId="5" xr:uid="{723542C8-2210-4E9D-A27D-639D2EDEDDAC}"/>
  </cellStyles>
  <dxfs count="33">
    <dxf>
      <fill>
        <patternFill>
          <bgColor rgb="FFFFC7CE"/>
        </patternFill>
      </fill>
    </dxf>
    <dxf>
      <font>
        <color rgb="FF9C0006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1" tint="4.9989318521683403E-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va.com/design/DAGnyZlTiNA/jfh0QJ-jt3F6u_8B612tjQ/view?utm_content=DAGnyZlTiNA&amp;utm_campaign=designshare&amp;utm_medium=link2&amp;utm_source=uniquelinks&amp;utlId=h730463b8d9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PERSONAL CALENDAR READING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'PERSONAL CALENDAR READING'!A1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PERSONAL CALENDAR READING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PERSONAL CALENDAR READING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PERSONAL CALENDAR READING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PERSONAL CALENDAR READING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PERSONAL CALENDAR READING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4</xdr:row>
      <xdr:rowOff>114301</xdr:rowOff>
    </xdr:from>
    <xdr:to>
      <xdr:col>7</xdr:col>
      <xdr:colOff>342900</xdr:colOff>
      <xdr:row>12</xdr:row>
      <xdr:rowOff>9525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C54B10-B4BD-FE70-0FD6-A0FD49A397A5}"/>
            </a:ext>
          </a:extLst>
        </xdr:cNvPr>
        <xdr:cNvSpPr txBox="1"/>
      </xdr:nvSpPr>
      <xdr:spPr>
        <a:xfrm>
          <a:off x="590550" y="876301"/>
          <a:ext cx="4019550" cy="1419224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7200" b="1"/>
            <a:t>CLICK</a:t>
          </a:r>
          <a:r>
            <a:rPr lang="en-US" sz="7200" b="1" baseline="0"/>
            <a:t> ME</a:t>
          </a:r>
          <a:endParaRPr lang="en-US" sz="7200" b="1"/>
        </a:p>
        <a:p>
          <a:endParaRPr lang="en-US" sz="36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105814</xdr:colOff>
      <xdr:row>0</xdr:row>
      <xdr:rowOff>0</xdr:rowOff>
    </xdr:from>
    <xdr:ext cx="6908800" cy="8409214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9091C873-D5C8-4A12-BAD3-086B2495F4D6}"/>
            </a:ext>
          </a:extLst>
        </xdr:cNvPr>
        <xdr:cNvSpPr txBox="1"/>
      </xdr:nvSpPr>
      <xdr:spPr>
        <a:xfrm>
          <a:off x="10688089" y="0"/>
          <a:ext cx="6908800" cy="8409214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ysClr val="windowText" lastClr="000000"/>
              </a:solidFill>
              <a:latin typeface="Calibri"/>
              <a:ea typeface="Calibri"/>
              <a:cs typeface="Calibri"/>
              <a:sym typeface="Calibri"/>
            </a:rPr>
            <a:t>xxxxxxxxxx</a:t>
          </a:r>
          <a:endParaRPr sz="1100">
            <a:solidFill>
              <a:sysClr val="windowText" lastClr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272143</xdr:colOff>
      <xdr:row>0</xdr:row>
      <xdr:rowOff>0</xdr:rowOff>
    </xdr:from>
    <xdr:to>
      <xdr:col>26</xdr:col>
      <xdr:colOff>421821</xdr:colOff>
      <xdr:row>4</xdr:row>
      <xdr:rowOff>149679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640E58-F883-4A16-B31E-F01A220296B6}"/>
            </a:ext>
          </a:extLst>
        </xdr:cNvPr>
        <xdr:cNvSpPr/>
      </xdr:nvSpPr>
      <xdr:spPr>
        <a:xfrm>
          <a:off x="12885964" y="0"/>
          <a:ext cx="3224893" cy="7620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PERSONAL CALENDAR READING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799353</xdr:colOff>
      <xdr:row>19</xdr:row>
      <xdr:rowOff>4028</xdr:rowOff>
    </xdr:from>
    <xdr:to>
      <xdr:col>18</xdr:col>
      <xdr:colOff>134471</xdr:colOff>
      <xdr:row>26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B8D821-618A-5F35-06C9-3F85C268C8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36" r="9156" b="14253"/>
        <a:stretch/>
      </xdr:blipFill>
      <xdr:spPr>
        <a:xfrm>
          <a:off x="799353" y="4135263"/>
          <a:ext cx="6648824" cy="1303325"/>
        </a:xfrm>
        <a:prstGeom prst="rect">
          <a:avLst/>
        </a:prstGeom>
      </xdr:spPr>
    </xdr:pic>
    <xdr:clientData/>
  </xdr:twoCellAnchor>
  <xdr:twoCellAnchor>
    <xdr:from>
      <xdr:col>23</xdr:col>
      <xdr:colOff>38100</xdr:colOff>
      <xdr:row>0</xdr:row>
      <xdr:rowOff>0</xdr:rowOff>
    </xdr:from>
    <xdr:to>
      <xdr:col>27</xdr:col>
      <xdr:colOff>414618</xdr:colOff>
      <xdr:row>6</xdr:row>
      <xdr:rowOff>145676</xdr:rowOff>
    </xdr:to>
    <xdr:sp macro="" textlink="">
      <xdr:nvSpPr>
        <xdr:cNvPr id="5" name="Arrow: Left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AC450D-BCB3-4307-AA31-D2EF45771AC3}"/>
            </a:ext>
          </a:extLst>
        </xdr:cNvPr>
        <xdr:cNvSpPr/>
      </xdr:nvSpPr>
      <xdr:spPr>
        <a:xfrm>
          <a:off x="8980394" y="0"/>
          <a:ext cx="3043518" cy="15240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PERSONAL CALENDAR READING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34636</xdr:colOff>
      <xdr:row>0</xdr:row>
      <xdr:rowOff>17318</xdr:rowOff>
    </xdr:from>
    <xdr:to>
      <xdr:col>6</xdr:col>
      <xdr:colOff>588819</xdr:colOff>
      <xdr:row>5</xdr:row>
      <xdr:rowOff>34636</xdr:rowOff>
    </xdr:to>
    <xdr:sp macro="" textlink="">
      <xdr:nvSpPr>
        <xdr:cNvPr id="8" name="Arrow: Left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907E4D-DB3C-4EE1-867C-67499297BFB4}"/>
            </a:ext>
          </a:extLst>
        </xdr:cNvPr>
        <xdr:cNvSpPr/>
      </xdr:nvSpPr>
      <xdr:spPr>
        <a:xfrm>
          <a:off x="1853045" y="17318"/>
          <a:ext cx="2372592" cy="1437409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PERSONAL CALENDAR READING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11205</xdr:colOff>
      <xdr:row>0</xdr:row>
      <xdr:rowOff>0</xdr:rowOff>
    </xdr:from>
    <xdr:to>
      <xdr:col>18</xdr:col>
      <xdr:colOff>571500</xdr:colOff>
      <xdr:row>2</xdr:row>
      <xdr:rowOff>67234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F28F815-B55B-317B-CD1C-CE10D64720B8}"/>
            </a:ext>
          </a:extLst>
        </xdr:cNvPr>
        <xdr:cNvSpPr txBox="1"/>
      </xdr:nvSpPr>
      <xdr:spPr>
        <a:xfrm>
          <a:off x="7877734" y="0"/>
          <a:ext cx="3585884" cy="448234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BASED ON</a:t>
          </a:r>
          <a:r>
            <a:rPr lang="en-US" sz="1100" baseline="0">
              <a:solidFill>
                <a:sysClr val="windowText" lastClr="000000"/>
              </a:solidFill>
            </a:rPr>
            <a:t> ARIES INGRESS WITH JUPITER SATURN CONJUCTION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201995</xdr:colOff>
      <xdr:row>4</xdr:row>
      <xdr:rowOff>124866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A3ABE3-0A46-4A6C-9FD3-0DDDD780242D}"/>
            </a:ext>
          </a:extLst>
        </xdr:cNvPr>
        <xdr:cNvSpPr/>
      </xdr:nvSpPr>
      <xdr:spPr>
        <a:xfrm>
          <a:off x="0" y="0"/>
          <a:ext cx="3875924" cy="1145402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PERSONAL CALENDAR READING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198503</xdr:colOff>
      <xdr:row>0</xdr:row>
      <xdr:rowOff>0</xdr:rowOff>
    </xdr:from>
    <xdr:to>
      <xdr:col>17</xdr:col>
      <xdr:colOff>748392</xdr:colOff>
      <xdr:row>3</xdr:row>
      <xdr:rowOff>271343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013B8-CDBB-43B9-95BF-FE1FAE533F9A}"/>
            </a:ext>
          </a:extLst>
        </xdr:cNvPr>
        <xdr:cNvSpPr/>
      </xdr:nvSpPr>
      <xdr:spPr>
        <a:xfrm>
          <a:off x="10349432" y="0"/>
          <a:ext cx="4958603" cy="15232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PERSONAL CALENDAR READING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515470</xdr:colOff>
      <xdr:row>0</xdr:row>
      <xdr:rowOff>11206</xdr:rowOff>
    </xdr:from>
    <xdr:to>
      <xdr:col>13</xdr:col>
      <xdr:colOff>571500</xdr:colOff>
      <xdr:row>1</xdr:row>
      <xdr:rowOff>593912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642B4E-D2AC-7FDE-FAC0-5CF359C1886A}"/>
            </a:ext>
          </a:extLst>
        </xdr:cNvPr>
        <xdr:cNvSpPr/>
      </xdr:nvSpPr>
      <xdr:spPr>
        <a:xfrm>
          <a:off x="10667999" y="11206"/>
          <a:ext cx="2286001" cy="784412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PERSONAL CALENDAR READING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452747</xdr:colOff>
      <xdr:row>0</xdr:row>
      <xdr:rowOff>0</xdr:rowOff>
    </xdr:from>
    <xdr:to>
      <xdr:col>10</xdr:col>
      <xdr:colOff>981314</xdr:colOff>
      <xdr:row>3</xdr:row>
      <xdr:rowOff>111259</xdr:rowOff>
    </xdr:to>
    <xdr:sp macro="" textlink="">
      <xdr:nvSpPr>
        <xdr:cNvPr id="9" name="Arrow: Left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132F45-4FBB-48E8-A935-A961E210EFC0}"/>
            </a:ext>
          </a:extLst>
        </xdr:cNvPr>
        <xdr:cNvSpPr/>
      </xdr:nvSpPr>
      <xdr:spPr>
        <a:xfrm>
          <a:off x="8725890" y="0"/>
          <a:ext cx="3875924" cy="1145402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PERSONAL CALENDAR READING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400050</xdr:colOff>
      <xdr:row>31</xdr:row>
      <xdr:rowOff>66675</xdr:rowOff>
    </xdr:to>
    <xdr:pic>
      <xdr:nvPicPr>
        <xdr:cNvPr id="14457" name="Picture 1">
          <a:extLst>
            <a:ext uri="{FF2B5EF4-FFF2-40B4-BE49-F238E27FC236}">
              <a16:creationId xmlns:a16="http://schemas.microsoft.com/office/drawing/2014/main" id="{55F18520-A151-54AF-5610-F8AD68B72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84871" cy="6257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773525" cy="7324725"/>
    <xdr:sp macro="" textlink="">
      <xdr:nvSpPr>
        <xdr:cNvPr id="2" name="Shape 16">
          <a:extLst>
            <a:ext uri="{FF2B5EF4-FFF2-40B4-BE49-F238E27FC236}">
              <a16:creationId xmlns:a16="http://schemas.microsoft.com/office/drawing/2014/main" id="{0C8CBB65-A463-430B-B89E-BB43FB8749C3}"/>
            </a:ext>
          </a:extLst>
        </xdr:cNvPr>
        <xdr:cNvSpPr txBox="1"/>
      </xdr:nvSpPr>
      <xdr:spPr>
        <a:xfrm>
          <a:off x="0" y="0"/>
          <a:ext cx="16773525" cy="73247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horoscopes.astro-seek.com/lunar-mansions-astrology-online-calculator" TargetMode="External"/><Relationship Id="rId1" Type="http://schemas.openxmlformats.org/officeDocument/2006/relationships/hyperlink" Target="https://horoscopes.astro-seek.com/planetary-hours-today-astrology-calculator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horoscopes.astro-seek.com/calculate-profections-astrology/" TargetMode="External"/><Relationship Id="rId1" Type="http://schemas.openxmlformats.org/officeDocument/2006/relationships/hyperlink" Target="https://horoscopes.astro-seek.com/calculate-profections-astrology/" TargetMode="External"/><Relationship Id="rId4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horoscopes.astro-seek.com/solar-return-chart" TargetMode="External"/><Relationship Id="rId1" Type="http://schemas.openxmlformats.org/officeDocument/2006/relationships/hyperlink" Target="https://horoscopes.astro-seek.com/solar-return-chart" TargetMode="External"/><Relationship Id="rId6" Type="http://schemas.openxmlformats.org/officeDocument/2006/relationships/comments" Target="../comments6.xml"/><Relationship Id="rId5" Type="http://schemas.openxmlformats.org/officeDocument/2006/relationships/vmlDrawing" Target="../drawings/vmlDrawing6.vml"/><Relationship Id="rId4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horoscopes.astro-seek.com/eclipses-in-natal-chart-houses-astrology-calculator" TargetMode="External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405A-9DC0-4849-A859-89E4F45E8C29}">
  <sheetPr>
    <tabColor rgb="FFFF0000"/>
  </sheetPr>
  <dimension ref="A1"/>
  <sheetViews>
    <sheetView workbookViewId="0">
      <selection activeCell="K12" sqref="K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1039-BDA0-4147-9FEB-ABF3E278637E}">
  <sheetPr codeName="Sheet24">
    <tabColor rgb="FF00B050"/>
  </sheetPr>
  <dimension ref="A21:A1000"/>
  <sheetViews>
    <sheetView zoomScale="40" zoomScaleNormal="40" workbookViewId="0">
      <selection activeCell="AJ26" sqref="AJ26"/>
    </sheetView>
  </sheetViews>
  <sheetFormatPr defaultColWidth="14.453125" defaultRowHeight="15" customHeight="1" x14ac:dyDescent="0.35"/>
  <cols>
    <col min="1" max="23" width="8.7265625" style="117" customWidth="1"/>
    <col min="24" max="16384" width="14.453125" style="117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5C89-E0E8-4F27-9F7C-032B563084E5}">
  <sheetPr codeName="Sheet4">
    <tabColor rgb="FF00B050"/>
    <pageSetUpPr fitToPage="1"/>
  </sheetPr>
  <dimension ref="A1:AI1001"/>
  <sheetViews>
    <sheetView zoomScale="55" zoomScaleNormal="55" workbookViewId="0">
      <pane xSplit="9" ySplit="4" topLeftCell="S5" activePane="bottomRight" state="frozen"/>
      <selection activeCell="G10" sqref="G10:H11"/>
      <selection pane="topRight" activeCell="G10" sqref="G10:H11"/>
      <selection pane="bottomLeft" activeCell="G10" sqref="G10:H11"/>
      <selection pane="bottomRight" activeCell="AJ6" sqref="AJ6"/>
    </sheetView>
  </sheetViews>
  <sheetFormatPr defaultColWidth="14.453125" defaultRowHeight="15" customHeight="1" x14ac:dyDescent="0.35"/>
  <cols>
    <col min="1" max="1" width="4.81640625" customWidth="1"/>
    <col min="2" max="2" width="15.81640625" style="155" customWidth="1"/>
    <col min="3" max="3" width="15" style="120" hidden="1" customWidth="1"/>
    <col min="4" max="4" width="13.7265625" style="120" hidden="1" customWidth="1"/>
    <col min="5" max="5" width="14.26953125" style="119" hidden="1" customWidth="1"/>
    <col min="6" max="6" width="14.54296875" style="119" hidden="1" customWidth="1"/>
    <col min="7" max="7" width="12.453125" style="119" hidden="1" customWidth="1"/>
    <col min="8" max="8" width="13.453125" style="19" bestFit="1" customWidth="1"/>
    <col min="9" max="9" width="13.453125" style="118" bestFit="1" customWidth="1"/>
    <col min="10" max="10" width="17.26953125" style="19" customWidth="1"/>
    <col min="11" max="11" width="16.1796875" bestFit="1" customWidth="1"/>
    <col min="12" max="12" width="8.26953125" bestFit="1" customWidth="1"/>
    <col min="13" max="13" width="11.7265625" bestFit="1" customWidth="1"/>
    <col min="14" max="14" width="8.54296875" customWidth="1"/>
    <col min="15" max="16" width="10" bestFit="1" customWidth="1"/>
    <col min="17" max="17" width="8.1796875" bestFit="1" customWidth="1"/>
    <col min="18" max="18" width="9.26953125" customWidth="1"/>
    <col min="19" max="19" width="6.54296875" customWidth="1"/>
    <col min="20" max="20" width="9.453125" customWidth="1"/>
    <col min="21" max="21" width="13.453125" customWidth="1"/>
    <col min="22" max="22" width="11.26953125" customWidth="1"/>
    <col min="23" max="23" width="10.36328125" customWidth="1"/>
    <col min="24" max="24" width="11.1796875" customWidth="1"/>
    <col min="25" max="25" width="17.08984375" customWidth="1"/>
    <col min="26" max="26" width="28.453125" style="55" customWidth="1"/>
    <col min="27" max="27" width="9" style="19" bestFit="1" customWidth="1"/>
    <col min="28" max="34" width="8.7265625" customWidth="1"/>
    <col min="35" max="35" width="18.54296875" style="124" bestFit="1" customWidth="1"/>
    <col min="36" max="47" width="8.7265625" customWidth="1"/>
  </cols>
  <sheetData>
    <row r="1" spans="1:35" ht="14.5" x14ac:dyDescent="0.35">
      <c r="I1" s="123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AI1" s="124" t="s">
        <v>224</v>
      </c>
    </row>
    <row r="2" spans="1:35" ht="14.5" x14ac:dyDescent="0.35">
      <c r="I2" s="123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</row>
    <row r="3" spans="1:35" ht="21" customHeight="1" x14ac:dyDescent="0.55000000000000004">
      <c r="H3" s="487" t="s">
        <v>310</v>
      </c>
      <c r="I3" s="487"/>
      <c r="J3" s="121"/>
      <c r="K3" s="121"/>
      <c r="L3" s="488" t="s">
        <v>219</v>
      </c>
      <c r="M3" s="488"/>
      <c r="N3" s="488"/>
      <c r="O3" s="488"/>
      <c r="P3" s="488"/>
      <c r="Q3" s="488"/>
      <c r="R3" s="488"/>
      <c r="S3" s="488"/>
      <c r="T3" s="488"/>
      <c r="U3" s="488"/>
      <c r="V3" s="488"/>
      <c r="W3" s="488"/>
      <c r="X3" s="489"/>
      <c r="Y3" s="456"/>
      <c r="Z3" s="485" t="s">
        <v>218</v>
      </c>
      <c r="AA3" s="486"/>
    </row>
    <row r="4" spans="1:35" ht="69" customHeight="1" x14ac:dyDescent="0.35">
      <c r="A4" s="207" t="s">
        <v>330</v>
      </c>
      <c r="B4" s="207" t="s">
        <v>311</v>
      </c>
      <c r="C4" s="208" t="s">
        <v>217</v>
      </c>
      <c r="D4" s="208" t="s">
        <v>216</v>
      </c>
      <c r="E4" s="209" t="s">
        <v>215</v>
      </c>
      <c r="F4" s="209" t="s">
        <v>214</v>
      </c>
      <c r="G4" s="209" t="s">
        <v>228</v>
      </c>
      <c r="H4" s="210" t="s">
        <v>308</v>
      </c>
      <c r="I4" s="211" t="s">
        <v>309</v>
      </c>
      <c r="J4" s="210" t="s">
        <v>213</v>
      </c>
      <c r="K4" s="212" t="s">
        <v>390</v>
      </c>
      <c r="L4" s="213" t="s">
        <v>332</v>
      </c>
      <c r="M4" s="213" t="s">
        <v>391</v>
      </c>
      <c r="N4" s="213" t="s">
        <v>331</v>
      </c>
      <c r="O4" s="213" t="s">
        <v>354</v>
      </c>
      <c r="P4" s="213" t="s">
        <v>392</v>
      </c>
      <c r="Q4" s="213" t="s">
        <v>353</v>
      </c>
      <c r="R4" s="213" t="s">
        <v>352</v>
      </c>
      <c r="S4" s="213" t="s">
        <v>333</v>
      </c>
      <c r="T4" s="213" t="s">
        <v>306</v>
      </c>
      <c r="U4" s="213" t="s">
        <v>312</v>
      </c>
      <c r="V4" s="213" t="s">
        <v>313</v>
      </c>
      <c r="W4" s="214" t="s">
        <v>314</v>
      </c>
      <c r="X4" s="457" t="s">
        <v>273</v>
      </c>
      <c r="Y4" s="214" t="s">
        <v>315</v>
      </c>
      <c r="Z4" s="215" t="s">
        <v>212</v>
      </c>
      <c r="AA4" s="215" t="s">
        <v>317</v>
      </c>
    </row>
    <row r="5" spans="1:35" ht="37" x14ac:dyDescent="0.35">
      <c r="A5" s="304">
        <v>1</v>
      </c>
      <c r="B5" s="289">
        <f>'ZODIAC HELPER'!G5</f>
        <v>0</v>
      </c>
      <c r="C5" s="290">
        <f>'2.DODECATEMORIA TABLE HOROSCOPE'!F5</f>
        <v>0</v>
      </c>
      <c r="D5" s="291">
        <f>'2.DODECATEMORIA TABLE HOROSCOPE'!G5</f>
        <v>0</v>
      </c>
      <c r="E5" s="292" t="e">
        <f>VLOOKUP(D5,'ZODIAC HELPER'!A:C,3,FALSE)</f>
        <v>#N/A</v>
      </c>
      <c r="F5" s="292" t="e">
        <f>VLOOKUP(D5,'ZODIAC HELPER'!A:B,2,FALSE)</f>
        <v>#N/A</v>
      </c>
      <c r="G5" s="292" t="e">
        <f t="shared" ref="G5:G16" si="0">IF(F5 = "MUTABLE", 10,0)</f>
        <v>#N/A</v>
      </c>
      <c r="H5" s="293" t="e">
        <f>IF(F5 = "MUTABLE", C5+20, C5)</f>
        <v>#N/A</v>
      </c>
      <c r="I5" s="294" t="e">
        <f>C5+E5+G5</f>
        <v>#N/A</v>
      </c>
      <c r="J5" s="295" t="str">
        <f>VLOOKUP(D5,'1. ANNUAL REVOLUTION'!$C$8:$L$19,10,FALSE)</f>
        <v>H1 - HELM</v>
      </c>
      <c r="K5" s="295" t="e">
        <f>VLOOKUP(B5,'ZODIAC HELPER'!G:K,5,FALSE)</f>
        <v>#REF!</v>
      </c>
      <c r="L5" s="296" t="str">
        <f>IF('2.DODECATEMORIA TABLE HOROSCOPE'!L5="CARDINAL","YES","")</f>
        <v/>
      </c>
      <c r="M5" s="296" t="e">
        <f>IF(VLOOKUP(B5,'2. PROFECTION YEARLY &amp; MONTHLY'!$L$47:$U$58,9,FALSE)="PEAK MONTH","YES","")</f>
        <v>#N/A</v>
      </c>
      <c r="N5" s="296" t="str">
        <f>IF(INDEX('2. PROFECTION YEARLY &amp; MONTHLY'!$U$47:$U$58,MATCH('PERSONAL CALENDAR READING'!B5,'2. PROFECTION YEARLY &amp; MONTHLY'!$L$47:$L$58,0))="SHIFT MONTH","YES","")</f>
        <v>YES</v>
      </c>
      <c r="O5" s="296" t="e">
        <f>IF(VLOOKUP(B5,'2. PROFECTION YEARLY &amp; MONTHLY'!$L$47:$S$58,8,FALSE)="MONTH OF DESTINY","YES","")</f>
        <v>#N/A</v>
      </c>
      <c r="P5" s="296" t="e">
        <f>IF(A5='1. ANNUAL REVOLUTION'!$F$45,"YES","")</f>
        <v>#N/A</v>
      </c>
      <c r="Q5" s="296" t="e">
        <f>IF(A5='2. SOLAR REVOLUTION'!$J$87,"YES","")</f>
        <v>#N/A</v>
      </c>
      <c r="R5" s="296" t="e">
        <f>IF(A5='2. SOLAR REVOLUTION'!$J$92,"YES","")</f>
        <v>#N/A</v>
      </c>
      <c r="S5" s="296" t="str">
        <f>IF('2.DODECATEMORIA TABLE HOROSCOPE'!N5="YES","YES","")</f>
        <v/>
      </c>
      <c r="T5" s="271"/>
      <c r="U5" s="271"/>
      <c r="V5" s="297" t="str">
        <f>IF('2.DODECATEMORIA TABLE HOROSCOPE'!K5="FALL", "WORST",
IF('2.DODECATEMORIA TABLE HOROSCOPE'!K5="DETRIMENT", "LESS WORST",
IF('2.DODECATEMORIA TABLE HOROSCOPE'!K5="EXALTED", "GREAT",
IF('2.DODECATEMORIA TABLE HOROSCOPE'!K5="DIGNITY", "MAGNIFICENT", ""))))</f>
        <v/>
      </c>
      <c r="W5" s="271"/>
      <c r="X5" s="475" t="str">
        <f>INDEX('2. YEAR OF USURPATION(ECLIPSE)'!$J$13:$J$24,MATCH('PERSONAL CALENDAR READING'!B5,'2. YEAR OF USURPATION(ECLIPSE)'!$B$13:$B$24,0))</f>
        <v xml:space="preserve"> ,  ,  , </v>
      </c>
      <c r="Y5" s="298"/>
      <c r="Z5" s="299" t="e">
        <f>'2. PROFECTION YEARLY &amp; MONTHLY'!AG47</f>
        <v>#N/A</v>
      </c>
      <c r="AA5" s="391">
        <f>'2.DODECATEMORIA TABLE HOROSCOPE'!M5</f>
        <v>0</v>
      </c>
      <c r="AB5" s="231"/>
    </row>
    <row r="6" spans="1:35" ht="37" x14ac:dyDescent="0.35">
      <c r="A6" s="304">
        <v>2</v>
      </c>
      <c r="B6" s="289">
        <f>'ZODIAC HELPER'!G6</f>
        <v>0</v>
      </c>
      <c r="C6" s="290">
        <f>'2.DODECATEMORIA TABLE HOROSCOPE'!F6</f>
        <v>0</v>
      </c>
      <c r="D6" s="291">
        <f>'2.DODECATEMORIA TABLE HOROSCOPE'!G6</f>
        <v>0</v>
      </c>
      <c r="E6" s="292" t="e">
        <f>VLOOKUP(D6,'ZODIAC HELPER'!A:C,3,FALSE)</f>
        <v>#N/A</v>
      </c>
      <c r="F6" s="292" t="e">
        <f>VLOOKUP(D6,'ZODIAC HELPER'!A:B,2,FALSE)</f>
        <v>#N/A</v>
      </c>
      <c r="G6" s="292" t="e">
        <f t="shared" si="0"/>
        <v>#N/A</v>
      </c>
      <c r="H6" s="293" t="e">
        <f t="shared" ref="H6:H16" si="1">IF(F6 = "MUTABLE", C6+20, C6)</f>
        <v>#N/A</v>
      </c>
      <c r="I6" s="294" t="e">
        <f t="shared" ref="I6:I16" si="2">C6+E6+G6</f>
        <v>#N/A</v>
      </c>
      <c r="J6" s="295" t="str">
        <f>VLOOKUP(D6,'1. ANNUAL REVOLUTION'!$C$8:$L$19,10,FALSE)</f>
        <v>H1 - HELM</v>
      </c>
      <c r="K6" s="295" t="e">
        <f>VLOOKUP(B6,'ZODIAC HELPER'!G:K,5,FALSE)</f>
        <v>#REF!</v>
      </c>
      <c r="L6" s="296" t="str">
        <f>IF('2.DODECATEMORIA TABLE HOROSCOPE'!L6="CARDINAL","YES","")</f>
        <v/>
      </c>
      <c r="M6" s="296" t="e">
        <f>IF(VLOOKUP(B6,'2. PROFECTION YEARLY &amp; MONTHLY'!$L$47:$U$58,9,FALSE)="PEAK MONTH","YES","")</f>
        <v>#N/A</v>
      </c>
      <c r="N6" s="296" t="str">
        <f>IF(INDEX('2. PROFECTION YEARLY &amp; MONTHLY'!$U$47:$U$58,MATCH('PERSONAL CALENDAR READING'!B6,'2. PROFECTION YEARLY &amp; MONTHLY'!$L$47:$L$58,0))="SHIFT MONTH","YES","")</f>
        <v>YES</v>
      </c>
      <c r="O6" s="296" t="e">
        <f>IF(VLOOKUP(B6,'2. PROFECTION YEARLY &amp; MONTHLY'!$L$47:$S$58,8,FALSE)="MONTH OF DESTINY","YES","")</f>
        <v>#N/A</v>
      </c>
      <c r="P6" s="296" t="e">
        <f>IF(A6='1. ANNUAL REVOLUTION'!$F$45,"YES","")</f>
        <v>#N/A</v>
      </c>
      <c r="Q6" s="296" t="e">
        <f>IF(A6='2. SOLAR REVOLUTION'!$J$87,"YES","")</f>
        <v>#N/A</v>
      </c>
      <c r="R6" s="296" t="e">
        <f>IF(A6='2. SOLAR REVOLUTION'!$J$92,"YES","")</f>
        <v>#N/A</v>
      </c>
      <c r="S6" s="296" t="str">
        <f>IF('2.DODECATEMORIA TABLE HOROSCOPE'!N6="YES","YES","")</f>
        <v/>
      </c>
      <c r="T6" s="271"/>
      <c r="U6" s="271"/>
      <c r="V6" s="297" t="str">
        <f>IF('2.DODECATEMORIA TABLE HOROSCOPE'!K6="FALL", "WORST",
IF('2.DODECATEMORIA TABLE HOROSCOPE'!K6="DETRIMENT", "LESS WORST",
IF('2.DODECATEMORIA TABLE HOROSCOPE'!K6="EXALTED", "GREAT",
IF('2.DODECATEMORIA TABLE HOROSCOPE'!K6="DIGNITY", "MAGNIFICENT", ""))))</f>
        <v/>
      </c>
      <c r="W6" s="271"/>
      <c r="X6" s="475" t="str">
        <f>INDEX('2. YEAR OF USURPATION(ECLIPSE)'!$J$13:$J$24,MATCH('PERSONAL CALENDAR READING'!B6,'2. YEAR OF USURPATION(ECLIPSE)'!$B$13:$B$24,0))</f>
        <v xml:space="preserve"> ,  ,  , </v>
      </c>
      <c r="Y6" s="300"/>
      <c r="Z6" s="299" t="e">
        <f>'2. PROFECTION YEARLY &amp; MONTHLY'!AG48</f>
        <v>#N/A</v>
      </c>
      <c r="AA6" s="391">
        <f>'2.DODECATEMORIA TABLE HOROSCOPE'!M6</f>
        <v>0</v>
      </c>
      <c r="AB6" s="231"/>
    </row>
    <row r="7" spans="1:35" ht="37" x14ac:dyDescent="0.35">
      <c r="A7" s="304">
        <v>3</v>
      </c>
      <c r="B7" s="289">
        <f>'ZODIAC HELPER'!G7</f>
        <v>0</v>
      </c>
      <c r="C7" s="290">
        <f>'2.DODECATEMORIA TABLE HOROSCOPE'!F7</f>
        <v>0</v>
      </c>
      <c r="D7" s="291">
        <f>'2.DODECATEMORIA TABLE HOROSCOPE'!G7</f>
        <v>0</v>
      </c>
      <c r="E7" s="292" t="e">
        <f>VLOOKUP(D7,'ZODIAC HELPER'!A:C,3,FALSE)</f>
        <v>#N/A</v>
      </c>
      <c r="F7" s="292" t="e">
        <f>VLOOKUP(D7,'ZODIAC HELPER'!A:B,2,FALSE)</f>
        <v>#N/A</v>
      </c>
      <c r="G7" s="292" t="e">
        <f t="shared" si="0"/>
        <v>#N/A</v>
      </c>
      <c r="H7" s="293" t="e">
        <f t="shared" si="1"/>
        <v>#N/A</v>
      </c>
      <c r="I7" s="294" t="e">
        <f t="shared" si="2"/>
        <v>#N/A</v>
      </c>
      <c r="J7" s="295" t="str">
        <f>VLOOKUP(D7,'1. ANNUAL REVOLUTION'!$C$8:$L$19,10,FALSE)</f>
        <v>H1 - HELM</v>
      </c>
      <c r="K7" s="295" t="e">
        <f>VLOOKUP(B7,'ZODIAC HELPER'!G:K,5,FALSE)</f>
        <v>#REF!</v>
      </c>
      <c r="L7" s="296" t="str">
        <f>IF('2.DODECATEMORIA TABLE HOROSCOPE'!L7="CARDINAL","YES","")</f>
        <v/>
      </c>
      <c r="M7" s="296" t="e">
        <f>IF(VLOOKUP(B7,'2. PROFECTION YEARLY &amp; MONTHLY'!$L$47:$U$58,9,FALSE)="PEAK MONTH","YES","")</f>
        <v>#N/A</v>
      </c>
      <c r="N7" s="296" t="str">
        <f>IF(INDEX('2. PROFECTION YEARLY &amp; MONTHLY'!$U$47:$U$58,MATCH('PERSONAL CALENDAR READING'!B7,'2. PROFECTION YEARLY &amp; MONTHLY'!$L$47:$L$58,0))="SHIFT MONTH","YES","")</f>
        <v>YES</v>
      </c>
      <c r="O7" s="296" t="e">
        <f>IF(VLOOKUP(B7,'2. PROFECTION YEARLY &amp; MONTHLY'!$L$47:$S$58,8,FALSE)="MONTH OF DESTINY","YES","")</f>
        <v>#N/A</v>
      </c>
      <c r="P7" s="296" t="e">
        <f>IF(A7='1. ANNUAL REVOLUTION'!$F$45,"YES","")</f>
        <v>#N/A</v>
      </c>
      <c r="Q7" s="296" t="e">
        <f>IF(A7='2. SOLAR REVOLUTION'!$J$87,"YES","")</f>
        <v>#N/A</v>
      </c>
      <c r="R7" s="296" t="e">
        <f>IF(A7='2. SOLAR REVOLUTION'!$J$92,"YES","")</f>
        <v>#N/A</v>
      </c>
      <c r="S7" s="296" t="str">
        <f>IF('2.DODECATEMORIA TABLE HOROSCOPE'!N7="YES","YES","")</f>
        <v/>
      </c>
      <c r="T7" s="271"/>
      <c r="U7" s="271"/>
      <c r="V7" s="297" t="str">
        <f>IF('2.DODECATEMORIA TABLE HOROSCOPE'!K7="FALL", "WORST",
IF('2.DODECATEMORIA TABLE HOROSCOPE'!K7="DETRIMENT", "LESS WORST",
IF('2.DODECATEMORIA TABLE HOROSCOPE'!K7="EXALTED", "GREAT",
IF('2.DODECATEMORIA TABLE HOROSCOPE'!K7="DIGNITY", "MAGNIFICENT", ""))))</f>
        <v/>
      </c>
      <c r="W7" s="271"/>
      <c r="X7" s="475" t="str">
        <f>INDEX('2. YEAR OF USURPATION(ECLIPSE)'!$J$13:$J$24,MATCH('PERSONAL CALENDAR READING'!B7,'2. YEAR OF USURPATION(ECLIPSE)'!$B$13:$B$24,0))</f>
        <v xml:space="preserve"> ,  ,  , </v>
      </c>
      <c r="Y7" s="300"/>
      <c r="Z7" s="299" t="e">
        <f>'2. PROFECTION YEARLY &amp; MONTHLY'!AG49</f>
        <v>#N/A</v>
      </c>
      <c r="AA7" s="391">
        <f>'2.DODECATEMORIA TABLE HOROSCOPE'!M7</f>
        <v>0</v>
      </c>
      <c r="AB7" s="231"/>
    </row>
    <row r="8" spans="1:35" ht="37" x14ac:dyDescent="0.35">
      <c r="A8" s="304">
        <v>4</v>
      </c>
      <c r="B8" s="289">
        <f>'ZODIAC HELPER'!G8</f>
        <v>0</v>
      </c>
      <c r="C8" s="290">
        <f>'2.DODECATEMORIA TABLE HOROSCOPE'!F8</f>
        <v>0</v>
      </c>
      <c r="D8" s="291">
        <f>'2.DODECATEMORIA TABLE HOROSCOPE'!G8</f>
        <v>0</v>
      </c>
      <c r="E8" s="292" t="e">
        <f>VLOOKUP(D8,'ZODIAC HELPER'!A:C,3,FALSE)</f>
        <v>#N/A</v>
      </c>
      <c r="F8" s="292" t="e">
        <f>VLOOKUP(D8,'ZODIAC HELPER'!A:B,2,FALSE)</f>
        <v>#N/A</v>
      </c>
      <c r="G8" s="292" t="e">
        <f t="shared" si="0"/>
        <v>#N/A</v>
      </c>
      <c r="H8" s="293" t="e">
        <f t="shared" si="1"/>
        <v>#N/A</v>
      </c>
      <c r="I8" s="294" t="e">
        <f t="shared" si="2"/>
        <v>#N/A</v>
      </c>
      <c r="J8" s="295" t="str">
        <f>VLOOKUP(D8,'1. ANNUAL REVOLUTION'!$C$8:$L$19,10,FALSE)</f>
        <v>H1 - HELM</v>
      </c>
      <c r="K8" s="295" t="e">
        <f>VLOOKUP(B8,'ZODIAC HELPER'!G:K,5,FALSE)</f>
        <v>#REF!</v>
      </c>
      <c r="L8" s="296" t="str">
        <f>IF('2.DODECATEMORIA TABLE HOROSCOPE'!L8="CARDINAL","YES","")</f>
        <v/>
      </c>
      <c r="M8" s="296" t="e">
        <f>IF(VLOOKUP(B8,'2. PROFECTION YEARLY &amp; MONTHLY'!$L$47:$U$58,9,FALSE)="PEAK MONTH","YES","")</f>
        <v>#N/A</v>
      </c>
      <c r="N8" s="296" t="str">
        <f>IF(INDEX('2. PROFECTION YEARLY &amp; MONTHLY'!$U$47:$U$58,MATCH('PERSONAL CALENDAR READING'!B8,'2. PROFECTION YEARLY &amp; MONTHLY'!$L$47:$L$58,0))="SHIFT MONTH","YES","")</f>
        <v>YES</v>
      </c>
      <c r="O8" s="296" t="e">
        <f>IF(VLOOKUP(B8,'2. PROFECTION YEARLY &amp; MONTHLY'!$L$47:$S$58,8,FALSE)="MONTH OF DESTINY","YES","")</f>
        <v>#N/A</v>
      </c>
      <c r="P8" s="296" t="e">
        <f>IF(A8='1. ANNUAL REVOLUTION'!$F$45,"YES","")</f>
        <v>#N/A</v>
      </c>
      <c r="Q8" s="296" t="e">
        <f>IF(A8='2. SOLAR REVOLUTION'!$J$87,"YES","")</f>
        <v>#N/A</v>
      </c>
      <c r="R8" s="296" t="e">
        <f>IF(A8='2. SOLAR REVOLUTION'!$J$92,"YES","")</f>
        <v>#N/A</v>
      </c>
      <c r="S8" s="296" t="str">
        <f>IF('2.DODECATEMORIA TABLE HOROSCOPE'!N8="YES","YES","")</f>
        <v/>
      </c>
      <c r="T8" s="271"/>
      <c r="U8" s="271"/>
      <c r="V8" s="297" t="str">
        <f>IF('2.DODECATEMORIA TABLE HOROSCOPE'!K8="FALL", "WORST",
IF('2.DODECATEMORIA TABLE HOROSCOPE'!K8="DETRIMENT", "LESS WORST",
IF('2.DODECATEMORIA TABLE HOROSCOPE'!K8="EXALTED", "GREAT",
IF('2.DODECATEMORIA TABLE HOROSCOPE'!K8="DIGNITY", "MAGNIFICENT", ""))))</f>
        <v/>
      </c>
      <c r="W8" s="271"/>
      <c r="X8" s="475" t="str">
        <f>INDEX('2. YEAR OF USURPATION(ECLIPSE)'!$J$13:$J$24,MATCH('PERSONAL CALENDAR READING'!B8,'2. YEAR OF USURPATION(ECLIPSE)'!$B$13:$B$24,0))</f>
        <v xml:space="preserve"> ,  ,  , </v>
      </c>
      <c r="Y8" s="300"/>
      <c r="Z8" s="299" t="e">
        <f>'2. PROFECTION YEARLY &amp; MONTHLY'!AG50</f>
        <v>#N/A</v>
      </c>
      <c r="AA8" s="391">
        <f>'2.DODECATEMORIA TABLE HOROSCOPE'!M8</f>
        <v>0</v>
      </c>
      <c r="AB8" s="231"/>
    </row>
    <row r="9" spans="1:35" ht="37" x14ac:dyDescent="0.35">
      <c r="A9" s="304">
        <v>5</v>
      </c>
      <c r="B9" s="289">
        <f>'ZODIAC HELPER'!G9</f>
        <v>0</v>
      </c>
      <c r="C9" s="290">
        <f>'2.DODECATEMORIA TABLE HOROSCOPE'!F9</f>
        <v>0</v>
      </c>
      <c r="D9" s="291">
        <f>'2.DODECATEMORIA TABLE HOROSCOPE'!G9</f>
        <v>0</v>
      </c>
      <c r="E9" s="292" t="e">
        <f>VLOOKUP(D9,'ZODIAC HELPER'!A:C,3,FALSE)</f>
        <v>#N/A</v>
      </c>
      <c r="F9" s="292" t="e">
        <f>VLOOKUP(D9,'ZODIAC HELPER'!A:B,2,FALSE)</f>
        <v>#N/A</v>
      </c>
      <c r="G9" s="292" t="e">
        <f t="shared" si="0"/>
        <v>#N/A</v>
      </c>
      <c r="H9" s="293" t="e">
        <f t="shared" si="1"/>
        <v>#N/A</v>
      </c>
      <c r="I9" s="294" t="e">
        <f t="shared" si="2"/>
        <v>#N/A</v>
      </c>
      <c r="J9" s="295" t="str">
        <f>VLOOKUP(D9,'1. ANNUAL REVOLUTION'!$C$8:$L$19,10,FALSE)</f>
        <v>H1 - HELM</v>
      </c>
      <c r="K9" s="295" t="e">
        <f>VLOOKUP(B9,'ZODIAC HELPER'!G:K,5,FALSE)</f>
        <v>#REF!</v>
      </c>
      <c r="L9" s="296" t="str">
        <f>IF('2.DODECATEMORIA TABLE HOROSCOPE'!L9="CARDINAL","YES","")</f>
        <v/>
      </c>
      <c r="M9" s="296" t="e">
        <f>IF(VLOOKUP(B9,'2. PROFECTION YEARLY &amp; MONTHLY'!$L$47:$U$58,9,FALSE)="PEAK MONTH","YES","")</f>
        <v>#N/A</v>
      </c>
      <c r="N9" s="296" t="str">
        <f>IF(INDEX('2. PROFECTION YEARLY &amp; MONTHLY'!$U$47:$U$58,MATCH('PERSONAL CALENDAR READING'!B9,'2. PROFECTION YEARLY &amp; MONTHLY'!$L$47:$L$58,0))="SHIFT MONTH","YES","")</f>
        <v>YES</v>
      </c>
      <c r="O9" s="296" t="e">
        <f>IF(VLOOKUP(B9,'2. PROFECTION YEARLY &amp; MONTHLY'!$L$47:$S$58,8,FALSE)="MONTH OF DESTINY","YES","")</f>
        <v>#N/A</v>
      </c>
      <c r="P9" s="296" t="e">
        <f>IF(A9='1. ANNUAL REVOLUTION'!$F$45,"YES","")</f>
        <v>#N/A</v>
      </c>
      <c r="Q9" s="296" t="e">
        <f>IF(A9='2. SOLAR REVOLUTION'!$J$87,"YES","")</f>
        <v>#N/A</v>
      </c>
      <c r="R9" s="296" t="e">
        <f>IF(A9='2. SOLAR REVOLUTION'!$J$92,"YES","")</f>
        <v>#N/A</v>
      </c>
      <c r="S9" s="296" t="str">
        <f>IF('2.DODECATEMORIA TABLE HOROSCOPE'!N9="YES","YES","")</f>
        <v/>
      </c>
      <c r="T9" s="271"/>
      <c r="U9" s="271"/>
      <c r="V9" s="297" t="str">
        <f>IF('2.DODECATEMORIA TABLE HOROSCOPE'!K9="FALL", "WORST",
IF('2.DODECATEMORIA TABLE HOROSCOPE'!K9="DETRIMENT", "LESS WORST",
IF('2.DODECATEMORIA TABLE HOROSCOPE'!K9="EXALTED", "GREAT",
IF('2.DODECATEMORIA TABLE HOROSCOPE'!K9="DIGNITY", "MAGNIFICENT", ""))))</f>
        <v/>
      </c>
      <c r="W9" s="271"/>
      <c r="X9" s="475" t="str">
        <f>INDEX('2. YEAR OF USURPATION(ECLIPSE)'!$J$13:$J$24,MATCH('PERSONAL CALENDAR READING'!B9,'2. YEAR OF USURPATION(ECLIPSE)'!$B$13:$B$24,0))</f>
        <v xml:space="preserve"> ,  ,  , </v>
      </c>
      <c r="Y9" s="298"/>
      <c r="Z9" s="299" t="e">
        <f>'2. PROFECTION YEARLY &amp; MONTHLY'!AG51</f>
        <v>#N/A</v>
      </c>
      <c r="AA9" s="391">
        <f>'2.DODECATEMORIA TABLE HOROSCOPE'!M9</f>
        <v>0</v>
      </c>
      <c r="AB9" s="231"/>
    </row>
    <row r="10" spans="1:35" ht="37" x14ac:dyDescent="0.35">
      <c r="A10" s="304">
        <v>6</v>
      </c>
      <c r="B10" s="289">
        <f>'ZODIAC HELPER'!G10</f>
        <v>0</v>
      </c>
      <c r="C10" s="290">
        <f>'2.DODECATEMORIA TABLE HOROSCOPE'!F10</f>
        <v>0</v>
      </c>
      <c r="D10" s="291">
        <f>'2.DODECATEMORIA TABLE HOROSCOPE'!G10</f>
        <v>0</v>
      </c>
      <c r="E10" s="292" t="e">
        <f>VLOOKUP(D10,'ZODIAC HELPER'!A:C,3,FALSE)</f>
        <v>#N/A</v>
      </c>
      <c r="F10" s="292" t="e">
        <f>VLOOKUP(D10,'ZODIAC HELPER'!A:B,2,FALSE)</f>
        <v>#N/A</v>
      </c>
      <c r="G10" s="292" t="e">
        <f t="shared" si="0"/>
        <v>#N/A</v>
      </c>
      <c r="H10" s="293" t="e">
        <f t="shared" si="1"/>
        <v>#N/A</v>
      </c>
      <c r="I10" s="294" t="e">
        <f t="shared" si="2"/>
        <v>#N/A</v>
      </c>
      <c r="J10" s="295" t="str">
        <f>VLOOKUP(D10,'1. ANNUAL REVOLUTION'!$C$8:$L$19,10,FALSE)</f>
        <v>H1 - HELM</v>
      </c>
      <c r="K10" s="295" t="e">
        <f>VLOOKUP(B10,'ZODIAC HELPER'!G:K,5,FALSE)</f>
        <v>#REF!</v>
      </c>
      <c r="L10" s="296" t="str">
        <f>IF('2.DODECATEMORIA TABLE HOROSCOPE'!L10="CARDINAL","YES","")</f>
        <v/>
      </c>
      <c r="M10" s="296" t="e">
        <f>IF(VLOOKUP(B10,'2. PROFECTION YEARLY &amp; MONTHLY'!$L$47:$U$58,9,FALSE)="PEAK MONTH","YES","")</f>
        <v>#N/A</v>
      </c>
      <c r="N10" s="296" t="str">
        <f>IF(INDEX('2. PROFECTION YEARLY &amp; MONTHLY'!$U$47:$U$58,MATCH('PERSONAL CALENDAR READING'!B10,'2. PROFECTION YEARLY &amp; MONTHLY'!$L$47:$L$58,0))="SHIFT MONTH","YES","")</f>
        <v>YES</v>
      </c>
      <c r="O10" s="296" t="e">
        <f>IF(VLOOKUP(B10,'2. PROFECTION YEARLY &amp; MONTHLY'!$L$47:$S$58,8,FALSE)="MONTH OF DESTINY","YES","")</f>
        <v>#N/A</v>
      </c>
      <c r="P10" s="296" t="e">
        <f>IF(A10='1. ANNUAL REVOLUTION'!$F$45,"YES","")</f>
        <v>#N/A</v>
      </c>
      <c r="Q10" s="296" t="e">
        <f>IF(A10='2. SOLAR REVOLUTION'!$J$87,"YES","")</f>
        <v>#N/A</v>
      </c>
      <c r="R10" s="296" t="e">
        <f>IF(A10='2. SOLAR REVOLUTION'!$J$92,"YES","")</f>
        <v>#N/A</v>
      </c>
      <c r="S10" s="296" t="str">
        <f>IF('2.DODECATEMORIA TABLE HOROSCOPE'!N10="YES","YES","")</f>
        <v/>
      </c>
      <c r="T10" s="271"/>
      <c r="U10" s="271"/>
      <c r="V10" s="297" t="str">
        <f>IF('2.DODECATEMORIA TABLE HOROSCOPE'!K10="FALL", "WORST",
IF('2.DODECATEMORIA TABLE HOROSCOPE'!K10="DETRIMENT", "LESS WORST",
IF('2.DODECATEMORIA TABLE HOROSCOPE'!K10="EXALTED", "GREAT",
IF('2.DODECATEMORIA TABLE HOROSCOPE'!K10="DIGNITY", "MAGNIFICENT", ""))))</f>
        <v/>
      </c>
      <c r="W10" s="271"/>
      <c r="X10" s="475" t="str">
        <f>INDEX('2. YEAR OF USURPATION(ECLIPSE)'!$J$13:$J$24,MATCH('PERSONAL CALENDAR READING'!B10,'2. YEAR OF USURPATION(ECLIPSE)'!$B$13:$B$24,0))</f>
        <v xml:space="preserve"> ,  ,  , </v>
      </c>
      <c r="Y10" s="300"/>
      <c r="Z10" s="299" t="e">
        <f>'2. PROFECTION YEARLY &amp; MONTHLY'!AG52</f>
        <v>#N/A</v>
      </c>
      <c r="AA10" s="391">
        <f>'2.DODECATEMORIA TABLE HOROSCOPE'!M10</f>
        <v>0</v>
      </c>
      <c r="AB10" s="231"/>
    </row>
    <row r="11" spans="1:35" ht="37" x14ac:dyDescent="0.35">
      <c r="A11" s="304">
        <v>7</v>
      </c>
      <c r="B11" s="289">
        <f>'ZODIAC HELPER'!G11</f>
        <v>0</v>
      </c>
      <c r="C11" s="290">
        <f>'2.DODECATEMORIA TABLE HOROSCOPE'!F11</f>
        <v>0</v>
      </c>
      <c r="D11" s="291">
        <f>'2.DODECATEMORIA TABLE HOROSCOPE'!G11</f>
        <v>0</v>
      </c>
      <c r="E11" s="292" t="e">
        <f>VLOOKUP(D11,'ZODIAC HELPER'!A:C,3,FALSE)</f>
        <v>#N/A</v>
      </c>
      <c r="F11" s="292" t="e">
        <f>VLOOKUP(D11,'ZODIAC HELPER'!A:B,2,FALSE)</f>
        <v>#N/A</v>
      </c>
      <c r="G11" s="292" t="e">
        <f t="shared" si="0"/>
        <v>#N/A</v>
      </c>
      <c r="H11" s="293" t="e">
        <f t="shared" si="1"/>
        <v>#N/A</v>
      </c>
      <c r="I11" s="294" t="e">
        <f t="shared" si="2"/>
        <v>#N/A</v>
      </c>
      <c r="J11" s="295" t="str">
        <f>VLOOKUP(D11,'1. ANNUAL REVOLUTION'!$C$8:$L$19,10,FALSE)</f>
        <v>H1 - HELM</v>
      </c>
      <c r="K11" s="295" t="e">
        <f>VLOOKUP(B11,'ZODIAC HELPER'!G:K,5,FALSE)</f>
        <v>#REF!</v>
      </c>
      <c r="L11" s="296" t="str">
        <f>IF('2.DODECATEMORIA TABLE HOROSCOPE'!L11="CARDINAL","YES","")</f>
        <v/>
      </c>
      <c r="M11" s="296" t="e">
        <f>IF(VLOOKUP(B11,'2. PROFECTION YEARLY &amp; MONTHLY'!$L$47:$U$58,9,FALSE)="PEAK MONTH","YES","")</f>
        <v>#N/A</v>
      </c>
      <c r="N11" s="296" t="str">
        <f>IF(INDEX('2. PROFECTION YEARLY &amp; MONTHLY'!$U$47:$U$58,MATCH('PERSONAL CALENDAR READING'!B11,'2. PROFECTION YEARLY &amp; MONTHLY'!$L$47:$L$58,0))="SHIFT MONTH","YES","")</f>
        <v>YES</v>
      </c>
      <c r="O11" s="296" t="e">
        <f>IF(VLOOKUP(B11,'2. PROFECTION YEARLY &amp; MONTHLY'!$L$47:$S$58,8,FALSE)="MONTH OF DESTINY","YES","")</f>
        <v>#N/A</v>
      </c>
      <c r="P11" s="296" t="e">
        <f>IF(A11='1. ANNUAL REVOLUTION'!$F$45,"YES","")</f>
        <v>#N/A</v>
      </c>
      <c r="Q11" s="296" t="e">
        <f>IF(A11='2. SOLAR REVOLUTION'!$J$87,"YES","")</f>
        <v>#N/A</v>
      </c>
      <c r="R11" s="296" t="e">
        <f>IF(A11='2. SOLAR REVOLUTION'!$J$92,"YES","")</f>
        <v>#N/A</v>
      </c>
      <c r="S11" s="296" t="str">
        <f>IF('2.DODECATEMORIA TABLE HOROSCOPE'!N11="YES","YES","")</f>
        <v/>
      </c>
      <c r="T11" s="271"/>
      <c r="U11" s="271"/>
      <c r="V11" s="297" t="str">
        <f>IF('2.DODECATEMORIA TABLE HOROSCOPE'!K11="FALL", "WORST",
IF('2.DODECATEMORIA TABLE HOROSCOPE'!K11="DETRIMENT", "LESS WORST",
IF('2.DODECATEMORIA TABLE HOROSCOPE'!K11="EXALTED", "GREAT",
IF('2.DODECATEMORIA TABLE HOROSCOPE'!K11="DIGNITY", "MAGNIFICENT", ""))))</f>
        <v/>
      </c>
      <c r="W11" s="271"/>
      <c r="X11" s="475" t="str">
        <f>INDEX('2. YEAR OF USURPATION(ECLIPSE)'!$J$13:$J$24,MATCH('PERSONAL CALENDAR READING'!B11,'2. YEAR OF USURPATION(ECLIPSE)'!$B$13:$B$24,0))</f>
        <v xml:space="preserve"> ,  ,  , </v>
      </c>
      <c r="Y11" s="298"/>
      <c r="Z11" s="299" t="e">
        <f>'2. PROFECTION YEARLY &amp; MONTHLY'!AG53</f>
        <v>#N/A</v>
      </c>
      <c r="AA11" s="391">
        <f>'2.DODECATEMORIA TABLE HOROSCOPE'!M11</f>
        <v>0</v>
      </c>
      <c r="AB11" s="231"/>
    </row>
    <row r="12" spans="1:35" ht="37" x14ac:dyDescent="0.35">
      <c r="A12" s="304">
        <v>8</v>
      </c>
      <c r="B12" s="289">
        <f>'ZODIAC HELPER'!G12</f>
        <v>0</v>
      </c>
      <c r="C12" s="290">
        <f>'2.DODECATEMORIA TABLE HOROSCOPE'!F12</f>
        <v>0</v>
      </c>
      <c r="D12" s="291">
        <f>'2.DODECATEMORIA TABLE HOROSCOPE'!G12</f>
        <v>0</v>
      </c>
      <c r="E12" s="292" t="e">
        <f>VLOOKUP(D12,'ZODIAC HELPER'!A:C,3,FALSE)</f>
        <v>#N/A</v>
      </c>
      <c r="F12" s="292" t="e">
        <f>VLOOKUP(D12,'ZODIAC HELPER'!A:B,2,FALSE)</f>
        <v>#N/A</v>
      </c>
      <c r="G12" s="292" t="e">
        <f t="shared" si="0"/>
        <v>#N/A</v>
      </c>
      <c r="H12" s="293" t="e">
        <f t="shared" si="1"/>
        <v>#N/A</v>
      </c>
      <c r="I12" s="294" t="e">
        <f t="shared" si="2"/>
        <v>#N/A</v>
      </c>
      <c r="J12" s="295" t="str">
        <f>VLOOKUP(D12,'1. ANNUAL REVOLUTION'!$C$8:$L$19,10,FALSE)</f>
        <v>H1 - HELM</v>
      </c>
      <c r="K12" s="295" t="e">
        <f>VLOOKUP(B12,'ZODIAC HELPER'!G:K,5,FALSE)</f>
        <v>#REF!</v>
      </c>
      <c r="L12" s="296" t="str">
        <f>IF('2.DODECATEMORIA TABLE HOROSCOPE'!L12="CARDINAL","YES","")</f>
        <v/>
      </c>
      <c r="M12" s="296" t="e">
        <f>IF(VLOOKUP(B12,'2. PROFECTION YEARLY &amp; MONTHLY'!$L$47:$U$58,9,FALSE)="PEAK MONTH","YES","")</f>
        <v>#N/A</v>
      </c>
      <c r="N12" s="296" t="str">
        <f>IF(INDEX('2. PROFECTION YEARLY &amp; MONTHLY'!$U$47:$U$58,MATCH('PERSONAL CALENDAR READING'!B12,'2. PROFECTION YEARLY &amp; MONTHLY'!$L$47:$L$58,0))="SHIFT MONTH","YES","")</f>
        <v>YES</v>
      </c>
      <c r="O12" s="296" t="e">
        <f>IF(VLOOKUP(B12,'2. PROFECTION YEARLY &amp; MONTHLY'!$L$47:$S$58,8,FALSE)="MONTH OF DESTINY","YES","")</f>
        <v>#N/A</v>
      </c>
      <c r="P12" s="296" t="e">
        <f>IF(A12='1. ANNUAL REVOLUTION'!$F$45,"YES","")</f>
        <v>#N/A</v>
      </c>
      <c r="Q12" s="296" t="e">
        <f>IF(A12='2. SOLAR REVOLUTION'!$J$87,"YES","")</f>
        <v>#N/A</v>
      </c>
      <c r="R12" s="296" t="e">
        <f>IF(A12='2. SOLAR REVOLUTION'!$J$92,"YES","")</f>
        <v>#N/A</v>
      </c>
      <c r="S12" s="296" t="str">
        <f>IF('2.DODECATEMORIA TABLE HOROSCOPE'!N12="YES","YES","")</f>
        <v/>
      </c>
      <c r="T12" s="271"/>
      <c r="U12" s="271"/>
      <c r="V12" s="297" t="str">
        <f>IF('2.DODECATEMORIA TABLE HOROSCOPE'!K12="FALL", "WORST",
IF('2.DODECATEMORIA TABLE HOROSCOPE'!K12="DETRIMENT", "LESS WORST",
IF('2.DODECATEMORIA TABLE HOROSCOPE'!K12="EXALTED", "GREAT",
IF('2.DODECATEMORIA TABLE HOROSCOPE'!K12="DIGNITY", "MAGNIFICENT", ""))))</f>
        <v/>
      </c>
      <c r="W12" s="271"/>
      <c r="X12" s="475" t="str">
        <f>INDEX('2. YEAR OF USURPATION(ECLIPSE)'!$J$13:$J$24,MATCH('PERSONAL CALENDAR READING'!B12,'2. YEAR OF USURPATION(ECLIPSE)'!$B$13:$B$24,0))</f>
        <v xml:space="preserve"> ,  ,  , </v>
      </c>
      <c r="Y12" s="300"/>
      <c r="Z12" s="299" t="e">
        <f>'2. PROFECTION YEARLY &amp; MONTHLY'!AG54</f>
        <v>#N/A</v>
      </c>
      <c r="AA12" s="391">
        <f>'2.DODECATEMORIA TABLE HOROSCOPE'!M12</f>
        <v>0</v>
      </c>
      <c r="AB12" s="231"/>
    </row>
    <row r="13" spans="1:35" ht="37" x14ac:dyDescent="0.35">
      <c r="A13" s="304">
        <v>9</v>
      </c>
      <c r="B13" s="289">
        <f>'ZODIAC HELPER'!G13</f>
        <v>0</v>
      </c>
      <c r="C13" s="290">
        <f>'2.DODECATEMORIA TABLE HOROSCOPE'!F13</f>
        <v>0</v>
      </c>
      <c r="D13" s="291">
        <f>'2.DODECATEMORIA TABLE HOROSCOPE'!G13</f>
        <v>0</v>
      </c>
      <c r="E13" s="292" t="e">
        <f>VLOOKUP(D13,'ZODIAC HELPER'!A:C,3,FALSE)</f>
        <v>#N/A</v>
      </c>
      <c r="F13" s="292" t="e">
        <f>VLOOKUP(D13,'ZODIAC HELPER'!A:B,2,FALSE)</f>
        <v>#N/A</v>
      </c>
      <c r="G13" s="292" t="e">
        <f t="shared" si="0"/>
        <v>#N/A</v>
      </c>
      <c r="H13" s="293" t="e">
        <f t="shared" si="1"/>
        <v>#N/A</v>
      </c>
      <c r="I13" s="294" t="e">
        <f t="shared" si="2"/>
        <v>#N/A</v>
      </c>
      <c r="J13" s="295" t="str">
        <f>VLOOKUP(D13,'1. ANNUAL REVOLUTION'!$C$8:$L$19,10,FALSE)</f>
        <v>H1 - HELM</v>
      </c>
      <c r="K13" s="295" t="e">
        <f>VLOOKUP(B13,'ZODIAC HELPER'!G:K,5,FALSE)</f>
        <v>#REF!</v>
      </c>
      <c r="L13" s="296" t="str">
        <f>IF('2.DODECATEMORIA TABLE HOROSCOPE'!L13="CARDINAL","YES","")</f>
        <v/>
      </c>
      <c r="M13" s="296" t="e">
        <f>IF(VLOOKUP(B13,'2. PROFECTION YEARLY &amp; MONTHLY'!$L$47:$U$58,9,FALSE)="PEAK MONTH","YES","")</f>
        <v>#N/A</v>
      </c>
      <c r="N13" s="296" t="str">
        <f>IF(INDEX('2. PROFECTION YEARLY &amp; MONTHLY'!$U$47:$U$58,MATCH('PERSONAL CALENDAR READING'!B13,'2. PROFECTION YEARLY &amp; MONTHLY'!$L$47:$L$58,0))="SHIFT MONTH","YES","")</f>
        <v>YES</v>
      </c>
      <c r="O13" s="296" t="e">
        <f>IF(VLOOKUP(B13,'2. PROFECTION YEARLY &amp; MONTHLY'!$L$47:$S$58,8,FALSE)="MONTH OF DESTINY","YES","")</f>
        <v>#N/A</v>
      </c>
      <c r="P13" s="296" t="e">
        <f>IF(A13='1. ANNUAL REVOLUTION'!$F$45,"YES","")</f>
        <v>#N/A</v>
      </c>
      <c r="Q13" s="296" t="e">
        <f>IF(A13='2. SOLAR REVOLUTION'!$J$87,"YES","")</f>
        <v>#N/A</v>
      </c>
      <c r="R13" s="296" t="e">
        <f>IF(A13='2. SOLAR REVOLUTION'!$J$92,"YES","")</f>
        <v>#N/A</v>
      </c>
      <c r="S13" s="296" t="str">
        <f>IF('2.DODECATEMORIA TABLE HOROSCOPE'!N13="YES","YES","")</f>
        <v/>
      </c>
      <c r="T13" s="271"/>
      <c r="U13" s="271"/>
      <c r="V13" s="297" t="str">
        <f>IF('2.DODECATEMORIA TABLE HOROSCOPE'!K13="FALL", "WORST",
IF('2.DODECATEMORIA TABLE HOROSCOPE'!K13="DETRIMENT", "LESS WORST",
IF('2.DODECATEMORIA TABLE HOROSCOPE'!K13="EXALTED", "GREAT",
IF('2.DODECATEMORIA TABLE HOROSCOPE'!K13="DIGNITY", "MAGNIFICENT", ""))))</f>
        <v/>
      </c>
      <c r="W13" s="271"/>
      <c r="X13" s="475" t="str">
        <f>INDEX('2. YEAR OF USURPATION(ECLIPSE)'!$J$13:$J$24,MATCH('PERSONAL CALENDAR READING'!B13,'2. YEAR OF USURPATION(ECLIPSE)'!$B$13:$B$24,0))</f>
        <v xml:space="preserve"> ,  ,  , </v>
      </c>
      <c r="Y13" s="301"/>
      <c r="Z13" s="299" t="e">
        <f>'2. PROFECTION YEARLY &amp; MONTHLY'!AG55</f>
        <v>#N/A</v>
      </c>
      <c r="AA13" s="391">
        <f>'2.DODECATEMORIA TABLE HOROSCOPE'!M13</f>
        <v>0</v>
      </c>
      <c r="AB13" s="231"/>
    </row>
    <row r="14" spans="1:35" ht="37" x14ac:dyDescent="0.35">
      <c r="A14" s="304">
        <v>10</v>
      </c>
      <c r="B14" s="289">
        <f>'ZODIAC HELPER'!G14</f>
        <v>0</v>
      </c>
      <c r="C14" s="290">
        <f>'2.DODECATEMORIA TABLE HOROSCOPE'!F14</f>
        <v>0</v>
      </c>
      <c r="D14" s="291">
        <f>'2.DODECATEMORIA TABLE HOROSCOPE'!G14</f>
        <v>0</v>
      </c>
      <c r="E14" s="292" t="e">
        <f>VLOOKUP(D14,'ZODIAC HELPER'!A:C,3,FALSE)</f>
        <v>#N/A</v>
      </c>
      <c r="F14" s="292" t="e">
        <f>VLOOKUP(D14,'ZODIAC HELPER'!A:B,2,FALSE)</f>
        <v>#N/A</v>
      </c>
      <c r="G14" s="292" t="e">
        <f t="shared" si="0"/>
        <v>#N/A</v>
      </c>
      <c r="H14" s="293" t="e">
        <f t="shared" si="1"/>
        <v>#N/A</v>
      </c>
      <c r="I14" s="294" t="e">
        <f t="shared" si="2"/>
        <v>#N/A</v>
      </c>
      <c r="J14" s="295" t="str">
        <f>VLOOKUP(D14,'1. ANNUAL REVOLUTION'!$C$8:$L$19,10,FALSE)</f>
        <v>H1 - HELM</v>
      </c>
      <c r="K14" s="295" t="e">
        <f>VLOOKUP(B14,'ZODIAC HELPER'!G:K,5,FALSE)</f>
        <v>#REF!</v>
      </c>
      <c r="L14" s="296" t="str">
        <f>IF('2.DODECATEMORIA TABLE HOROSCOPE'!L14="CARDINAL","YES","")</f>
        <v/>
      </c>
      <c r="M14" s="296" t="e">
        <f>IF(VLOOKUP(B14,'2. PROFECTION YEARLY &amp; MONTHLY'!$L$47:$U$58,9,FALSE)="PEAK MONTH","YES","")</f>
        <v>#N/A</v>
      </c>
      <c r="N14" s="296" t="str">
        <f>IF(INDEX('2. PROFECTION YEARLY &amp; MONTHLY'!$U$47:$U$58,MATCH('PERSONAL CALENDAR READING'!B14,'2. PROFECTION YEARLY &amp; MONTHLY'!$L$47:$L$58,0))="SHIFT MONTH","YES","")</f>
        <v>YES</v>
      </c>
      <c r="O14" s="296" t="e">
        <f>IF(VLOOKUP(B14,'2. PROFECTION YEARLY &amp; MONTHLY'!$L$47:$S$58,8,FALSE)="MONTH OF DESTINY","YES","")</f>
        <v>#N/A</v>
      </c>
      <c r="P14" s="296" t="e">
        <f>IF(A14='1. ANNUAL REVOLUTION'!$F$45,"YES","")</f>
        <v>#N/A</v>
      </c>
      <c r="Q14" s="296" t="e">
        <f>IF(A14='2. SOLAR REVOLUTION'!$J$87,"YES","")</f>
        <v>#N/A</v>
      </c>
      <c r="R14" s="296" t="e">
        <f>IF(A14='2. SOLAR REVOLUTION'!$J$92,"YES","")</f>
        <v>#N/A</v>
      </c>
      <c r="S14" s="296" t="str">
        <f>IF('2.DODECATEMORIA TABLE HOROSCOPE'!N14="YES","YES","")</f>
        <v/>
      </c>
      <c r="T14" s="271"/>
      <c r="U14" s="271"/>
      <c r="V14" s="297" t="str">
        <f>IF('2.DODECATEMORIA TABLE HOROSCOPE'!K14="FALL", "WORST",
IF('2.DODECATEMORIA TABLE HOROSCOPE'!K14="DETRIMENT", "LESS WORST",
IF('2.DODECATEMORIA TABLE HOROSCOPE'!K14="EXALTED", "GREAT",
IF('2.DODECATEMORIA TABLE HOROSCOPE'!K14="DIGNITY", "MAGNIFICENT", ""))))</f>
        <v/>
      </c>
      <c r="W14" s="271"/>
      <c r="X14" s="475" t="str">
        <f>INDEX('2. YEAR OF USURPATION(ECLIPSE)'!$J$13:$J$24,MATCH('PERSONAL CALENDAR READING'!B14,'2. YEAR OF USURPATION(ECLIPSE)'!$B$13:$B$24,0))</f>
        <v xml:space="preserve"> ,  ,  , </v>
      </c>
      <c r="Y14" s="301"/>
      <c r="Z14" s="299" t="e">
        <f>'2. PROFECTION YEARLY &amp; MONTHLY'!AG56</f>
        <v>#N/A</v>
      </c>
      <c r="AA14" s="391">
        <f>'2.DODECATEMORIA TABLE HOROSCOPE'!M14</f>
        <v>0</v>
      </c>
      <c r="AB14" s="231"/>
    </row>
    <row r="15" spans="1:35" ht="37" x14ac:dyDescent="0.35">
      <c r="A15" s="304">
        <v>11</v>
      </c>
      <c r="B15" s="289">
        <f>'ZODIAC HELPER'!G15</f>
        <v>0</v>
      </c>
      <c r="C15" s="290">
        <f>'2.DODECATEMORIA TABLE HOROSCOPE'!F15</f>
        <v>0</v>
      </c>
      <c r="D15" s="291">
        <f>'2.DODECATEMORIA TABLE HOROSCOPE'!G15</f>
        <v>0</v>
      </c>
      <c r="E15" s="292" t="e">
        <f>VLOOKUP(D15,'ZODIAC HELPER'!A:C,3,FALSE)</f>
        <v>#N/A</v>
      </c>
      <c r="F15" s="292" t="e">
        <f>VLOOKUP(D15,'ZODIAC HELPER'!A:B,2,FALSE)</f>
        <v>#N/A</v>
      </c>
      <c r="G15" s="292" t="e">
        <f t="shared" si="0"/>
        <v>#N/A</v>
      </c>
      <c r="H15" s="293" t="e">
        <f t="shared" si="1"/>
        <v>#N/A</v>
      </c>
      <c r="I15" s="294" t="e">
        <f t="shared" si="2"/>
        <v>#N/A</v>
      </c>
      <c r="J15" s="295" t="str">
        <f>VLOOKUP(D15,'1. ANNUAL REVOLUTION'!$C$8:$L$19,10,FALSE)</f>
        <v>H1 - HELM</v>
      </c>
      <c r="K15" s="295" t="e">
        <f>VLOOKUP(B15,'ZODIAC HELPER'!G:K,5,FALSE)</f>
        <v>#REF!</v>
      </c>
      <c r="L15" s="296" t="str">
        <f>IF('2.DODECATEMORIA TABLE HOROSCOPE'!L15="CARDINAL","YES","")</f>
        <v/>
      </c>
      <c r="M15" s="296" t="e">
        <f>IF(VLOOKUP(B15,'2. PROFECTION YEARLY &amp; MONTHLY'!$L$47:$U$58,9,FALSE)="PEAK MONTH","YES","")</f>
        <v>#N/A</v>
      </c>
      <c r="N15" s="296" t="str">
        <f>IF(INDEX('2. PROFECTION YEARLY &amp; MONTHLY'!$U$47:$U$58,MATCH('PERSONAL CALENDAR READING'!B15,'2. PROFECTION YEARLY &amp; MONTHLY'!$L$47:$L$58,0))="SHIFT MONTH","YES","")</f>
        <v>YES</v>
      </c>
      <c r="O15" s="296" t="e">
        <f>IF(VLOOKUP(B15,'2. PROFECTION YEARLY &amp; MONTHLY'!$L$47:$S$58,8,FALSE)="MONTH OF DESTINY","YES","")</f>
        <v>#N/A</v>
      </c>
      <c r="P15" s="296" t="e">
        <f>IF(A15='1. ANNUAL REVOLUTION'!$F$45,"YES","")</f>
        <v>#N/A</v>
      </c>
      <c r="Q15" s="296" t="e">
        <f>IF(A15='2. SOLAR REVOLUTION'!$J$87,"YES","")</f>
        <v>#N/A</v>
      </c>
      <c r="R15" s="296" t="e">
        <f>IF(A15='2. SOLAR REVOLUTION'!$J$92,"YES","")</f>
        <v>#N/A</v>
      </c>
      <c r="S15" s="296" t="str">
        <f>IF('2.DODECATEMORIA TABLE HOROSCOPE'!N15="YES","YES","")</f>
        <v/>
      </c>
      <c r="T15" s="271"/>
      <c r="U15" s="271"/>
      <c r="V15" s="297" t="str">
        <f>IF('2.DODECATEMORIA TABLE HOROSCOPE'!K15="FALL", "WORST",
IF('2.DODECATEMORIA TABLE HOROSCOPE'!K15="DETRIMENT", "LESS WORST",
IF('2.DODECATEMORIA TABLE HOROSCOPE'!K15="EXALTED", "GREAT",
IF('2.DODECATEMORIA TABLE HOROSCOPE'!K15="DIGNITY", "MAGNIFICENT", ""))))</f>
        <v/>
      </c>
      <c r="W15" s="271"/>
      <c r="X15" s="475" t="str">
        <f>INDEX('2. YEAR OF USURPATION(ECLIPSE)'!$J$13:$J$24,MATCH('PERSONAL CALENDAR READING'!B15,'2. YEAR OF USURPATION(ECLIPSE)'!$B$13:$B$24,0))</f>
        <v xml:space="preserve"> ,  ,  , </v>
      </c>
      <c r="Y15" s="300"/>
      <c r="Z15" s="299" t="e">
        <f>'2. PROFECTION YEARLY &amp; MONTHLY'!AG57</f>
        <v>#N/A</v>
      </c>
      <c r="AA15" s="391">
        <f>'2.DODECATEMORIA TABLE HOROSCOPE'!M15</f>
        <v>0</v>
      </c>
      <c r="AB15" s="231"/>
    </row>
    <row r="16" spans="1:35" ht="37" x14ac:dyDescent="0.35">
      <c r="A16" s="304">
        <v>12</v>
      </c>
      <c r="B16" s="289">
        <f>'ZODIAC HELPER'!G16</f>
        <v>0</v>
      </c>
      <c r="C16" s="290">
        <f>'2.DODECATEMORIA TABLE HOROSCOPE'!F16</f>
        <v>0</v>
      </c>
      <c r="D16" s="291">
        <f>'2.DODECATEMORIA TABLE HOROSCOPE'!G16</f>
        <v>0</v>
      </c>
      <c r="E16" s="292" t="e">
        <f>VLOOKUP(D16,'ZODIAC HELPER'!A:C,3,FALSE)</f>
        <v>#N/A</v>
      </c>
      <c r="F16" s="292" t="e">
        <f>VLOOKUP(D16,'ZODIAC HELPER'!A:B,2,FALSE)</f>
        <v>#N/A</v>
      </c>
      <c r="G16" s="292" t="e">
        <f t="shared" si="0"/>
        <v>#N/A</v>
      </c>
      <c r="H16" s="293" t="e">
        <f t="shared" si="1"/>
        <v>#N/A</v>
      </c>
      <c r="I16" s="294" t="e">
        <f t="shared" si="2"/>
        <v>#N/A</v>
      </c>
      <c r="J16" s="295" t="str">
        <f>VLOOKUP(D16,'1. ANNUAL REVOLUTION'!$C$8:$L$19,10,FALSE)</f>
        <v>H1 - HELM</v>
      </c>
      <c r="K16" s="295" t="e">
        <f>VLOOKUP(B16,'ZODIAC HELPER'!G:K,5,FALSE)</f>
        <v>#REF!</v>
      </c>
      <c r="L16" s="296" t="str">
        <f>IF('2.DODECATEMORIA TABLE HOROSCOPE'!L16="CARDINAL","YES","")</f>
        <v/>
      </c>
      <c r="M16" s="296" t="e">
        <f>IF(VLOOKUP(B16,'2. PROFECTION YEARLY &amp; MONTHLY'!$L$47:$U$58,9,FALSE)="PEAK MONTH","YES","")</f>
        <v>#N/A</v>
      </c>
      <c r="N16" s="296" t="str">
        <f>IF(INDEX('2. PROFECTION YEARLY &amp; MONTHLY'!$U$47:$U$58,MATCH('PERSONAL CALENDAR READING'!B16,'2. PROFECTION YEARLY &amp; MONTHLY'!$L$47:$L$58,0))="SHIFT MONTH","YES","")</f>
        <v>YES</v>
      </c>
      <c r="O16" s="296" t="e">
        <f>IF(VLOOKUP(B16,'2. PROFECTION YEARLY &amp; MONTHLY'!$L$47:$S$58,8,FALSE)="MONTH OF DESTINY","YES","")</f>
        <v>#N/A</v>
      </c>
      <c r="P16" s="296" t="e">
        <f>IF(A16='1. ANNUAL REVOLUTION'!$F$45,"YES","")</f>
        <v>#N/A</v>
      </c>
      <c r="Q16" s="296" t="e">
        <f>IF(A16='2. SOLAR REVOLUTION'!$J$87,"YES","")</f>
        <v>#N/A</v>
      </c>
      <c r="R16" s="296" t="e">
        <f>IF(A16='2. SOLAR REVOLUTION'!$J$92,"YES","")</f>
        <v>#N/A</v>
      </c>
      <c r="S16" s="296" t="str">
        <f>IF('2.DODECATEMORIA TABLE HOROSCOPE'!N16="YES","YES","")</f>
        <v/>
      </c>
      <c r="T16" s="271"/>
      <c r="U16" s="302"/>
      <c r="V16" s="297" t="str">
        <f>IF('2.DODECATEMORIA TABLE HOROSCOPE'!K16="FALL", "WORST",
IF('2.DODECATEMORIA TABLE HOROSCOPE'!K16="DETRIMENT", "LESS WORST",
IF('2.DODECATEMORIA TABLE HOROSCOPE'!K16="EXALTED", "GREAT",
IF('2.DODECATEMORIA TABLE HOROSCOPE'!K16="DIGNITY", "MAGNIFICENT", ""))))</f>
        <v/>
      </c>
      <c r="W16" s="302"/>
      <c r="X16" s="475" t="str">
        <f>INDEX('2. YEAR OF USURPATION(ECLIPSE)'!$J$13:$J$24,MATCH('PERSONAL CALENDAR READING'!B16,'2. YEAR OF USURPATION(ECLIPSE)'!$B$13:$B$24,0))</f>
        <v xml:space="preserve"> ,  ,  , </v>
      </c>
      <c r="Y16" s="303"/>
      <c r="Z16" s="299" t="e">
        <f>'2. PROFECTION YEARLY &amp; MONTHLY'!AG58</f>
        <v>#N/A</v>
      </c>
      <c r="AA16" s="391">
        <f>'2.DODECATEMORIA TABLE HOROSCOPE'!M16</f>
        <v>0</v>
      </c>
      <c r="AB16" s="231"/>
    </row>
    <row r="17" spans="2:35" ht="14.5" x14ac:dyDescent="0.35">
      <c r="E17" s="379"/>
      <c r="F17" s="379"/>
      <c r="G17" s="379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</row>
    <row r="18" spans="2:35" ht="19.5" x14ac:dyDescent="0.45">
      <c r="B18" s="380"/>
      <c r="C18" s="380"/>
      <c r="D18" s="381"/>
      <c r="E18" s="381"/>
      <c r="F18" s="381"/>
      <c r="G18" s="382"/>
      <c r="H18" s="383"/>
      <c r="I18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55"/>
      <c r="Y18" s="55"/>
      <c r="Z18" s="19"/>
      <c r="AA18"/>
      <c r="AH18" s="124"/>
      <c r="AI18"/>
    </row>
    <row r="19" spans="2:35" ht="14.5" x14ac:dyDescent="0.35">
      <c r="B19" s="384"/>
      <c r="C19" s="384"/>
      <c r="D19" s="385"/>
      <c r="E19" s="385"/>
      <c r="F19" s="385"/>
      <c r="G19" s="386"/>
      <c r="H19" s="387"/>
      <c r="I19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55"/>
      <c r="Y19" s="55"/>
      <c r="Z19" s="19"/>
      <c r="AA19"/>
      <c r="AH19" s="124"/>
      <c r="AI19"/>
    </row>
    <row r="20" spans="2:35" ht="14.5" x14ac:dyDescent="0.35">
      <c r="B20" s="120"/>
      <c r="D20" s="379"/>
      <c r="E20" s="379"/>
      <c r="F20" s="379"/>
      <c r="G20" s="121"/>
      <c r="H20" s="388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55"/>
      <c r="Y20" s="55"/>
      <c r="Z20" s="19"/>
      <c r="AA20"/>
      <c r="AH20" s="124"/>
      <c r="AI20"/>
    </row>
    <row r="21" spans="2:35" ht="14.5" x14ac:dyDescent="0.35">
      <c r="H21" s="68"/>
      <c r="I21" s="122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</row>
    <row r="22" spans="2:35" ht="15.75" customHeight="1" x14ac:dyDescent="0.35"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</row>
    <row r="23" spans="2:35" ht="15.75" customHeight="1" x14ac:dyDescent="0.35"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</row>
    <row r="24" spans="2:35" ht="15.75" customHeight="1" x14ac:dyDescent="0.35"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</row>
    <row r="25" spans="2:35" ht="15.75" customHeight="1" x14ac:dyDescent="0.35"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</row>
    <row r="26" spans="2:35" ht="15.75" customHeight="1" x14ac:dyDescent="0.35"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</row>
    <row r="27" spans="2:35" ht="15.75" customHeight="1" x14ac:dyDescent="0.35"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</row>
    <row r="28" spans="2:35" ht="15.75" customHeight="1" x14ac:dyDescent="0.35"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</row>
    <row r="29" spans="2:35" ht="15.75" customHeight="1" x14ac:dyDescent="0.35"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</row>
    <row r="30" spans="2:35" ht="15.75" customHeight="1" x14ac:dyDescent="0.35"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</row>
    <row r="31" spans="2:35" ht="15.75" customHeight="1" x14ac:dyDescent="0.35"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</row>
    <row r="32" spans="2:35" ht="15.75" customHeight="1" x14ac:dyDescent="0.35"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</row>
    <row r="33" spans="10:25" ht="15.75" customHeight="1" x14ac:dyDescent="0.35"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</row>
    <row r="34" spans="10:25" ht="15.75" customHeight="1" x14ac:dyDescent="0.35"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</row>
    <row r="35" spans="10:25" ht="15.75" customHeight="1" x14ac:dyDescent="0.35"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</row>
    <row r="36" spans="10:25" ht="15.75" customHeight="1" x14ac:dyDescent="0.35"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</row>
    <row r="37" spans="10:25" ht="15.75" customHeight="1" x14ac:dyDescent="0.35"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</row>
    <row r="38" spans="10:25" ht="15.75" customHeight="1" x14ac:dyDescent="0.35"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</row>
    <row r="39" spans="10:25" ht="15.75" customHeight="1" x14ac:dyDescent="0.35"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</row>
    <row r="40" spans="10:25" ht="15.75" customHeight="1" x14ac:dyDescent="0.35"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</row>
    <row r="41" spans="10:25" ht="15.75" customHeight="1" x14ac:dyDescent="0.35"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</row>
    <row r="42" spans="10:25" ht="15.75" customHeight="1" x14ac:dyDescent="0.35"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</row>
    <row r="43" spans="10:25" ht="15.75" customHeight="1" x14ac:dyDescent="0.35"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</row>
    <row r="44" spans="10:25" ht="15.75" customHeight="1" x14ac:dyDescent="0.35"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</row>
    <row r="45" spans="10:25" ht="15.75" customHeight="1" x14ac:dyDescent="0.35"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</row>
    <row r="46" spans="10:25" ht="15.75" customHeight="1" x14ac:dyDescent="0.35"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</row>
    <row r="47" spans="10:25" ht="15.75" customHeight="1" x14ac:dyDescent="0.35"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</row>
    <row r="48" spans="10:25" ht="15.75" customHeight="1" x14ac:dyDescent="0.35"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</row>
    <row r="49" spans="10:25" ht="15.75" customHeight="1" x14ac:dyDescent="0.35"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</row>
    <row r="50" spans="10:25" ht="15.75" customHeight="1" x14ac:dyDescent="0.35"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</row>
    <row r="51" spans="10:25" ht="15.75" customHeight="1" x14ac:dyDescent="0.35"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</row>
    <row r="52" spans="10:25" ht="15.75" customHeight="1" x14ac:dyDescent="0.35"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</row>
    <row r="53" spans="10:25" ht="15.75" customHeight="1" x14ac:dyDescent="0.35"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</row>
    <row r="54" spans="10:25" ht="15.75" customHeight="1" x14ac:dyDescent="0.35"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</row>
    <row r="55" spans="10:25" ht="15.75" customHeight="1" x14ac:dyDescent="0.35"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</row>
    <row r="56" spans="10:25" ht="15.75" customHeight="1" x14ac:dyDescent="0.35"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</row>
    <row r="57" spans="10:25" ht="15.75" customHeight="1" x14ac:dyDescent="0.35"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</row>
    <row r="58" spans="10:25" ht="15.75" customHeight="1" x14ac:dyDescent="0.35"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</row>
    <row r="59" spans="10:25" ht="15.75" customHeight="1" x14ac:dyDescent="0.35"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</row>
    <row r="60" spans="10:25" ht="15.75" customHeight="1" x14ac:dyDescent="0.35"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</row>
    <row r="61" spans="10:25" ht="15.75" customHeight="1" x14ac:dyDescent="0.35"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</row>
    <row r="62" spans="10:25" ht="15.75" customHeight="1" x14ac:dyDescent="0.35"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</row>
    <row r="63" spans="10:25" ht="15.75" customHeight="1" x14ac:dyDescent="0.35"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</row>
    <row r="64" spans="10:25" ht="15.75" customHeight="1" x14ac:dyDescent="0.35"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</row>
    <row r="65" spans="2:25" ht="15.75" customHeight="1" x14ac:dyDescent="0.35"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</row>
    <row r="66" spans="2:25" ht="15.75" customHeight="1" x14ac:dyDescent="0.35"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</row>
    <row r="67" spans="2:25" ht="15.75" customHeight="1" x14ac:dyDescent="0.35"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</row>
    <row r="68" spans="2:25" ht="15.75" customHeight="1" x14ac:dyDescent="0.35"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</row>
    <row r="69" spans="2:25" ht="15.75" customHeight="1" x14ac:dyDescent="0.35"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</row>
    <row r="70" spans="2:25" ht="15.75" customHeight="1" x14ac:dyDescent="0.35"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</row>
    <row r="71" spans="2:25" ht="15.75" customHeight="1" x14ac:dyDescent="0.35"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</row>
    <row r="72" spans="2:25" ht="15.75" customHeight="1" x14ac:dyDescent="0.35"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</row>
    <row r="73" spans="2:25" ht="15.75" customHeight="1" x14ac:dyDescent="0.35"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</row>
    <row r="74" spans="2:25" ht="15.75" customHeight="1" x14ac:dyDescent="0.35"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</row>
    <row r="75" spans="2:25" ht="15.75" customHeight="1" x14ac:dyDescent="0.35"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</row>
    <row r="76" spans="2:25" ht="15.75" customHeight="1" x14ac:dyDescent="0.35"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</row>
    <row r="77" spans="2:25" ht="15.75" customHeight="1" x14ac:dyDescent="0.35"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</row>
    <row r="78" spans="2:25" ht="15.75" customHeight="1" x14ac:dyDescent="0.35"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</row>
    <row r="79" spans="2:25" ht="15.75" customHeight="1" x14ac:dyDescent="0.35">
      <c r="B79" s="162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</row>
    <row r="80" spans="2:25" ht="15.75" customHeight="1" x14ac:dyDescent="0.35"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</row>
    <row r="81" spans="10:25" ht="15.75" customHeight="1" x14ac:dyDescent="0.35"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</row>
    <row r="82" spans="10:25" ht="15.75" customHeight="1" x14ac:dyDescent="0.35"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</row>
    <row r="83" spans="10:25" ht="15.75" customHeight="1" x14ac:dyDescent="0.35"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</row>
    <row r="84" spans="10:25" ht="15.75" customHeight="1" x14ac:dyDescent="0.35"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</row>
    <row r="85" spans="10:25" ht="15.75" customHeight="1" x14ac:dyDescent="0.35"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</row>
    <row r="86" spans="10:25" ht="15.75" customHeight="1" x14ac:dyDescent="0.35"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</row>
    <row r="87" spans="10:25" ht="15.75" customHeight="1" x14ac:dyDescent="0.35"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</row>
    <row r="88" spans="10:25" ht="15.75" customHeight="1" x14ac:dyDescent="0.35"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</row>
    <row r="89" spans="10:25" ht="15.75" customHeight="1" x14ac:dyDescent="0.35"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</row>
    <row r="90" spans="10:25" ht="15.75" customHeight="1" x14ac:dyDescent="0.35"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</row>
    <row r="91" spans="10:25" ht="15.75" customHeight="1" x14ac:dyDescent="0.35"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</row>
    <row r="92" spans="10:25" ht="15.75" customHeight="1" x14ac:dyDescent="0.35"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</row>
    <row r="93" spans="10:25" ht="15.75" customHeight="1" x14ac:dyDescent="0.35"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</row>
    <row r="94" spans="10:25" ht="15.75" customHeight="1" x14ac:dyDescent="0.35"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</row>
    <row r="95" spans="10:25" ht="15.75" customHeight="1" x14ac:dyDescent="0.35"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</row>
    <row r="96" spans="10:25" ht="15.75" customHeight="1" x14ac:dyDescent="0.35"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</row>
    <row r="97" spans="10:25" ht="15.75" customHeight="1" x14ac:dyDescent="0.35"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</row>
    <row r="98" spans="10:25" ht="15.75" customHeight="1" x14ac:dyDescent="0.35"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</row>
    <row r="99" spans="10:25" ht="15.75" customHeight="1" x14ac:dyDescent="0.35"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</row>
    <row r="100" spans="10:25" ht="15.75" customHeight="1" x14ac:dyDescent="0.35"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</row>
    <row r="101" spans="10:25" ht="15.75" customHeight="1" x14ac:dyDescent="0.35"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</row>
    <row r="102" spans="10:25" ht="15.75" customHeight="1" x14ac:dyDescent="0.35"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</row>
    <row r="103" spans="10:25" ht="15.75" customHeight="1" x14ac:dyDescent="0.35"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</row>
    <row r="104" spans="10:25" ht="15.75" customHeight="1" x14ac:dyDescent="0.35"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</row>
    <row r="105" spans="10:25" ht="15.75" customHeight="1" x14ac:dyDescent="0.35"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</row>
    <row r="106" spans="10:25" ht="15.75" customHeight="1" x14ac:dyDescent="0.35"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</row>
    <row r="107" spans="10:25" ht="15.75" customHeight="1" x14ac:dyDescent="0.35"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</row>
    <row r="108" spans="10:25" ht="15.75" customHeight="1" x14ac:dyDescent="0.35"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</row>
    <row r="109" spans="10:25" ht="15.75" customHeight="1" x14ac:dyDescent="0.35"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</row>
    <row r="110" spans="10:25" ht="15.75" customHeight="1" x14ac:dyDescent="0.35"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</row>
    <row r="111" spans="10:25" ht="15.75" customHeight="1" x14ac:dyDescent="0.35"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</row>
    <row r="112" spans="10:25" ht="15.75" customHeight="1" x14ac:dyDescent="0.35"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</row>
    <row r="113" spans="10:25" ht="15.75" customHeight="1" x14ac:dyDescent="0.35"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</row>
    <row r="114" spans="10:25" ht="15.75" customHeight="1" x14ac:dyDescent="0.35"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</row>
    <row r="115" spans="10:25" ht="15.75" customHeight="1" x14ac:dyDescent="0.35"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</row>
    <row r="116" spans="10:25" ht="15.75" customHeight="1" x14ac:dyDescent="0.35"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</row>
    <row r="117" spans="10:25" ht="15.75" customHeight="1" x14ac:dyDescent="0.35"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</row>
    <row r="118" spans="10:25" ht="15.75" customHeight="1" x14ac:dyDescent="0.35"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</row>
    <row r="119" spans="10:25" ht="15.75" customHeight="1" x14ac:dyDescent="0.35"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</row>
    <row r="120" spans="10:25" ht="15.75" customHeight="1" x14ac:dyDescent="0.35"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</row>
    <row r="121" spans="10:25" ht="15.75" customHeight="1" x14ac:dyDescent="0.35"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</row>
    <row r="122" spans="10:25" ht="15.75" customHeight="1" x14ac:dyDescent="0.35"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</row>
    <row r="123" spans="10:25" ht="15.75" customHeight="1" x14ac:dyDescent="0.35"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</row>
    <row r="124" spans="10:25" ht="15.75" customHeight="1" x14ac:dyDescent="0.35"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</row>
    <row r="125" spans="10:25" ht="15.75" customHeight="1" x14ac:dyDescent="0.35"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</row>
    <row r="126" spans="10:25" ht="15.75" customHeight="1" x14ac:dyDescent="0.35"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</row>
    <row r="127" spans="10:25" ht="15.75" customHeight="1" x14ac:dyDescent="0.35"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</row>
    <row r="128" spans="10:25" ht="15.75" customHeight="1" x14ac:dyDescent="0.35"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</row>
    <row r="129" spans="10:25" ht="15.75" customHeight="1" x14ac:dyDescent="0.35"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</row>
    <row r="130" spans="10:25" ht="15.75" customHeight="1" x14ac:dyDescent="0.35"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</row>
    <row r="131" spans="10:25" ht="15.75" customHeight="1" x14ac:dyDescent="0.35"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</row>
    <row r="132" spans="10:25" ht="15.75" customHeight="1" x14ac:dyDescent="0.35"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</row>
    <row r="133" spans="10:25" ht="15.75" customHeight="1" x14ac:dyDescent="0.35"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</row>
    <row r="134" spans="10:25" ht="15.75" customHeight="1" x14ac:dyDescent="0.35"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</row>
    <row r="135" spans="10:25" ht="15.75" customHeight="1" x14ac:dyDescent="0.35"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</row>
    <row r="136" spans="10:25" ht="15.75" customHeight="1" x14ac:dyDescent="0.35"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</row>
    <row r="137" spans="10:25" ht="15.75" customHeight="1" x14ac:dyDescent="0.35"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</row>
    <row r="138" spans="10:25" ht="15.75" customHeight="1" x14ac:dyDescent="0.35"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</row>
    <row r="139" spans="10:25" ht="15.75" customHeight="1" x14ac:dyDescent="0.35"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</row>
    <row r="140" spans="10:25" ht="15.75" customHeight="1" x14ac:dyDescent="0.35"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</row>
    <row r="141" spans="10:25" ht="15.75" customHeight="1" x14ac:dyDescent="0.35"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</row>
    <row r="142" spans="10:25" ht="15.75" customHeight="1" x14ac:dyDescent="0.35"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</row>
    <row r="143" spans="10:25" ht="15.75" customHeight="1" x14ac:dyDescent="0.35"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</row>
    <row r="144" spans="10:25" ht="15.75" customHeight="1" x14ac:dyDescent="0.35"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</row>
    <row r="145" spans="10:25" ht="15.75" customHeight="1" x14ac:dyDescent="0.35"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</row>
    <row r="146" spans="10:25" ht="15.75" customHeight="1" x14ac:dyDescent="0.35"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</row>
    <row r="147" spans="10:25" ht="15.75" customHeight="1" x14ac:dyDescent="0.35"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</row>
    <row r="148" spans="10:25" ht="15.75" customHeight="1" x14ac:dyDescent="0.35"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</row>
    <row r="149" spans="10:25" ht="15.75" customHeight="1" x14ac:dyDescent="0.35"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</row>
    <row r="150" spans="10:25" ht="15.75" customHeight="1" x14ac:dyDescent="0.35"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</row>
    <row r="151" spans="10:25" ht="15.75" customHeight="1" x14ac:dyDescent="0.35"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</row>
    <row r="152" spans="10:25" ht="15.75" customHeight="1" x14ac:dyDescent="0.35"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</row>
    <row r="153" spans="10:25" ht="15.75" customHeight="1" x14ac:dyDescent="0.35"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</row>
    <row r="154" spans="10:25" ht="15.75" customHeight="1" x14ac:dyDescent="0.35"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</row>
    <row r="155" spans="10:25" ht="15.75" customHeight="1" x14ac:dyDescent="0.35"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</row>
    <row r="156" spans="10:25" ht="15.75" customHeight="1" x14ac:dyDescent="0.35"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</row>
    <row r="157" spans="10:25" ht="15.75" customHeight="1" x14ac:dyDescent="0.35"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</row>
    <row r="158" spans="10:25" ht="15.75" customHeight="1" x14ac:dyDescent="0.35"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</row>
    <row r="159" spans="10:25" ht="15.75" customHeight="1" x14ac:dyDescent="0.35"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</row>
    <row r="160" spans="10:25" ht="15.75" customHeight="1" x14ac:dyDescent="0.35"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</row>
    <row r="161" spans="10:25" ht="15.75" customHeight="1" x14ac:dyDescent="0.35"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</row>
    <row r="162" spans="10:25" ht="15.75" customHeight="1" x14ac:dyDescent="0.35"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</row>
    <row r="163" spans="10:25" ht="15.75" customHeight="1" x14ac:dyDescent="0.35"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</row>
    <row r="164" spans="10:25" ht="15.75" customHeight="1" x14ac:dyDescent="0.35"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</row>
    <row r="165" spans="10:25" ht="15.75" customHeight="1" x14ac:dyDescent="0.35"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</row>
    <row r="166" spans="10:25" ht="15.75" customHeight="1" x14ac:dyDescent="0.35"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</row>
    <row r="167" spans="10:25" ht="15.75" customHeight="1" x14ac:dyDescent="0.35"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</row>
    <row r="168" spans="10:25" ht="15.75" customHeight="1" x14ac:dyDescent="0.35"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</row>
    <row r="169" spans="10:25" ht="15.75" customHeight="1" x14ac:dyDescent="0.35"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</row>
    <row r="170" spans="10:25" ht="15.75" customHeight="1" x14ac:dyDescent="0.35"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</row>
    <row r="171" spans="10:25" ht="15.75" customHeight="1" x14ac:dyDescent="0.35"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</row>
    <row r="172" spans="10:25" ht="15.75" customHeight="1" x14ac:dyDescent="0.35"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</row>
    <row r="173" spans="10:25" ht="15.75" customHeight="1" x14ac:dyDescent="0.35"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</row>
    <row r="174" spans="10:25" ht="15.75" customHeight="1" x14ac:dyDescent="0.35"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</row>
    <row r="175" spans="10:25" ht="15.75" customHeight="1" x14ac:dyDescent="0.35"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</row>
    <row r="176" spans="10:25" ht="15.75" customHeight="1" x14ac:dyDescent="0.35"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</row>
    <row r="177" spans="10:25" ht="15.75" customHeight="1" x14ac:dyDescent="0.35"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</row>
    <row r="178" spans="10:25" ht="15.75" customHeight="1" x14ac:dyDescent="0.35"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</row>
    <row r="179" spans="10:25" ht="15.75" customHeight="1" x14ac:dyDescent="0.35"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</row>
    <row r="180" spans="10:25" ht="15.75" customHeight="1" x14ac:dyDescent="0.35"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</row>
    <row r="181" spans="10:25" ht="15.75" customHeight="1" x14ac:dyDescent="0.35"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</row>
    <row r="182" spans="10:25" ht="15.75" customHeight="1" x14ac:dyDescent="0.35"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</row>
    <row r="183" spans="10:25" ht="15.75" customHeight="1" x14ac:dyDescent="0.35"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</row>
    <row r="184" spans="10:25" ht="15.75" customHeight="1" x14ac:dyDescent="0.35"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</row>
    <row r="185" spans="10:25" ht="15.75" customHeight="1" x14ac:dyDescent="0.35"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</row>
    <row r="186" spans="10:25" ht="15.75" customHeight="1" x14ac:dyDescent="0.35"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</row>
    <row r="187" spans="10:25" ht="15.75" customHeight="1" x14ac:dyDescent="0.35"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</row>
    <row r="188" spans="10:25" ht="15.75" customHeight="1" x14ac:dyDescent="0.35"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</row>
    <row r="189" spans="10:25" ht="15.75" customHeight="1" x14ac:dyDescent="0.35"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</row>
    <row r="190" spans="10:25" ht="15.75" customHeight="1" x14ac:dyDescent="0.35"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</row>
    <row r="191" spans="10:25" ht="15.75" customHeight="1" x14ac:dyDescent="0.35"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</row>
    <row r="192" spans="10:25" ht="15.75" customHeight="1" x14ac:dyDescent="0.35"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</row>
    <row r="193" spans="10:25" ht="15.75" customHeight="1" x14ac:dyDescent="0.35"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</row>
    <row r="194" spans="10:25" ht="15.75" customHeight="1" x14ac:dyDescent="0.35"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</row>
    <row r="195" spans="10:25" ht="15.75" customHeight="1" x14ac:dyDescent="0.35"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</row>
    <row r="196" spans="10:25" ht="15.75" customHeight="1" x14ac:dyDescent="0.35"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</row>
    <row r="197" spans="10:25" ht="15.75" customHeight="1" x14ac:dyDescent="0.35"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</row>
    <row r="198" spans="10:25" ht="15.75" customHeight="1" x14ac:dyDescent="0.35"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</row>
    <row r="199" spans="10:25" ht="15.75" customHeight="1" x14ac:dyDescent="0.35"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</row>
    <row r="200" spans="10:25" ht="15.75" customHeight="1" x14ac:dyDescent="0.35"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</row>
    <row r="201" spans="10:25" ht="15.75" customHeight="1" x14ac:dyDescent="0.35"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</row>
    <row r="202" spans="10:25" ht="15.75" customHeight="1" x14ac:dyDescent="0.35"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</row>
    <row r="203" spans="10:25" ht="15.75" customHeight="1" x14ac:dyDescent="0.35"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</row>
    <row r="204" spans="10:25" ht="15.75" customHeight="1" x14ac:dyDescent="0.35"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</row>
    <row r="205" spans="10:25" ht="15.75" customHeight="1" x14ac:dyDescent="0.35"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</row>
    <row r="206" spans="10:25" ht="15.75" customHeight="1" x14ac:dyDescent="0.35"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</row>
    <row r="207" spans="10:25" ht="15.75" customHeight="1" x14ac:dyDescent="0.35"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</row>
    <row r="208" spans="10:25" ht="15.75" customHeight="1" x14ac:dyDescent="0.35"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</row>
    <row r="209" spans="10:25" ht="15.75" customHeight="1" x14ac:dyDescent="0.35"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</row>
    <row r="210" spans="10:25" ht="15.75" customHeight="1" x14ac:dyDescent="0.35"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</row>
    <row r="211" spans="10:25" ht="15.75" customHeight="1" x14ac:dyDescent="0.35"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</row>
    <row r="212" spans="10:25" ht="15.75" customHeight="1" x14ac:dyDescent="0.35"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</row>
    <row r="213" spans="10:25" ht="15.75" customHeight="1" x14ac:dyDescent="0.35"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</row>
    <row r="214" spans="10:25" ht="15.75" customHeight="1" x14ac:dyDescent="0.35"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</row>
    <row r="215" spans="10:25" ht="15.75" customHeight="1" x14ac:dyDescent="0.35"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</row>
    <row r="216" spans="10:25" ht="15.75" customHeight="1" x14ac:dyDescent="0.35"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</row>
    <row r="217" spans="10:25" ht="15.75" customHeight="1" x14ac:dyDescent="0.35"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</row>
    <row r="218" spans="10:25" ht="15.75" customHeight="1" x14ac:dyDescent="0.35"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</row>
    <row r="219" spans="10:25" ht="15.75" customHeight="1" x14ac:dyDescent="0.35"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</row>
    <row r="220" spans="10:25" ht="15.75" customHeight="1" x14ac:dyDescent="0.35"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</row>
    <row r="221" spans="10:25" ht="15.75" customHeight="1" x14ac:dyDescent="0.35"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</row>
    <row r="222" spans="10:25" ht="15.75" customHeight="1" x14ac:dyDescent="0.35"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</row>
    <row r="223" spans="10:25" ht="15.75" customHeight="1" x14ac:dyDescent="0.35"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</row>
    <row r="224" spans="10:25" ht="15.75" customHeight="1" x14ac:dyDescent="0.35"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</row>
    <row r="225" spans="10:25" ht="15.75" customHeight="1" x14ac:dyDescent="0.35"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</row>
    <row r="226" spans="10:25" ht="15.75" customHeight="1" x14ac:dyDescent="0.35"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</row>
    <row r="227" spans="10:25" ht="15.75" customHeight="1" x14ac:dyDescent="0.35"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</row>
    <row r="228" spans="10:25" ht="15.75" customHeight="1" x14ac:dyDescent="0.35"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</row>
    <row r="229" spans="10:25" ht="15.75" customHeight="1" x14ac:dyDescent="0.35"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</row>
    <row r="230" spans="10:25" ht="15.75" customHeight="1" x14ac:dyDescent="0.35"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</row>
    <row r="231" spans="10:25" ht="15.75" customHeight="1" x14ac:dyDescent="0.35"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</row>
    <row r="232" spans="10:25" ht="15.75" customHeight="1" x14ac:dyDescent="0.35"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</row>
    <row r="233" spans="10:25" ht="15.75" customHeight="1" x14ac:dyDescent="0.35"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</row>
    <row r="234" spans="10:25" ht="15.75" customHeight="1" x14ac:dyDescent="0.35"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</row>
    <row r="235" spans="10:25" ht="15.75" customHeight="1" x14ac:dyDescent="0.35"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</row>
    <row r="236" spans="10:25" ht="15.75" customHeight="1" x14ac:dyDescent="0.35"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</row>
    <row r="237" spans="10:25" ht="15.75" customHeight="1" x14ac:dyDescent="0.35"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</row>
    <row r="238" spans="10:25" ht="15.75" customHeight="1" x14ac:dyDescent="0.35"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</row>
    <row r="239" spans="10:25" ht="15.75" customHeight="1" x14ac:dyDescent="0.35"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</row>
    <row r="240" spans="10:25" ht="15.75" customHeight="1" x14ac:dyDescent="0.35"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</row>
    <row r="241" spans="10:25" ht="15.75" customHeight="1" x14ac:dyDescent="0.35"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</row>
    <row r="242" spans="10:25" ht="15.75" customHeight="1" x14ac:dyDescent="0.35"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</row>
    <row r="243" spans="10:25" ht="15.75" customHeight="1" x14ac:dyDescent="0.35"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</row>
    <row r="244" spans="10:25" ht="15.75" customHeight="1" x14ac:dyDescent="0.35"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</row>
    <row r="245" spans="10:25" ht="15.75" customHeight="1" x14ac:dyDescent="0.35"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</row>
    <row r="246" spans="10:25" ht="15.75" customHeight="1" x14ac:dyDescent="0.35"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</row>
    <row r="247" spans="10:25" ht="15.75" customHeight="1" x14ac:dyDescent="0.35"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</row>
    <row r="248" spans="10:25" ht="15.75" customHeight="1" x14ac:dyDescent="0.35"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</row>
    <row r="249" spans="10:25" ht="15.75" customHeight="1" x14ac:dyDescent="0.35"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</row>
    <row r="250" spans="10:25" ht="15.75" customHeight="1" x14ac:dyDescent="0.35"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</row>
    <row r="251" spans="10:25" ht="15.75" customHeight="1" x14ac:dyDescent="0.35"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</row>
    <row r="252" spans="10:25" ht="15.75" customHeight="1" x14ac:dyDescent="0.35"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</row>
    <row r="253" spans="10:25" ht="15.75" customHeight="1" x14ac:dyDescent="0.35"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</row>
    <row r="254" spans="10:25" ht="15.75" customHeight="1" x14ac:dyDescent="0.35"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</row>
    <row r="255" spans="10:25" ht="15.75" customHeight="1" x14ac:dyDescent="0.35"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</row>
    <row r="256" spans="10:25" ht="15.75" customHeight="1" x14ac:dyDescent="0.35"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</row>
    <row r="257" spans="10:25" ht="15.75" customHeight="1" x14ac:dyDescent="0.35"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</row>
    <row r="258" spans="10:25" ht="15.75" customHeight="1" x14ac:dyDescent="0.35"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</row>
    <row r="259" spans="10:25" ht="15.75" customHeight="1" x14ac:dyDescent="0.35"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</row>
    <row r="260" spans="10:25" ht="15.75" customHeight="1" x14ac:dyDescent="0.35"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</row>
    <row r="261" spans="10:25" ht="15.75" customHeight="1" x14ac:dyDescent="0.35"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</row>
    <row r="262" spans="10:25" ht="15.75" customHeight="1" x14ac:dyDescent="0.35"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</row>
    <row r="263" spans="10:25" ht="15.75" customHeight="1" x14ac:dyDescent="0.35"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</row>
    <row r="264" spans="10:25" ht="15.75" customHeight="1" x14ac:dyDescent="0.35"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</row>
    <row r="265" spans="10:25" ht="15.75" customHeight="1" x14ac:dyDescent="0.35"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</row>
    <row r="266" spans="10:25" ht="15.75" customHeight="1" x14ac:dyDescent="0.35"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</row>
    <row r="267" spans="10:25" ht="15.75" customHeight="1" x14ac:dyDescent="0.35"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</row>
    <row r="268" spans="10:25" ht="15.75" customHeight="1" x14ac:dyDescent="0.35"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</row>
    <row r="269" spans="10:25" ht="15.75" customHeight="1" x14ac:dyDescent="0.35"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</row>
    <row r="270" spans="10:25" ht="15.75" customHeight="1" x14ac:dyDescent="0.35"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</row>
    <row r="271" spans="10:25" ht="15.75" customHeight="1" x14ac:dyDescent="0.35"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</row>
    <row r="272" spans="10:25" ht="15.75" customHeight="1" x14ac:dyDescent="0.35"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</row>
    <row r="273" spans="10:25" ht="15.75" customHeight="1" x14ac:dyDescent="0.35"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</row>
    <row r="274" spans="10:25" ht="15.75" customHeight="1" x14ac:dyDescent="0.35"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</row>
    <row r="275" spans="10:25" ht="15.75" customHeight="1" x14ac:dyDescent="0.35"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</row>
    <row r="276" spans="10:25" ht="15.75" customHeight="1" x14ac:dyDescent="0.35"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</row>
    <row r="277" spans="10:25" ht="15.75" customHeight="1" x14ac:dyDescent="0.35"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</row>
    <row r="278" spans="10:25" ht="15.75" customHeight="1" x14ac:dyDescent="0.35"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</row>
    <row r="279" spans="10:25" ht="15.75" customHeight="1" x14ac:dyDescent="0.35"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</row>
    <row r="280" spans="10:25" ht="15.75" customHeight="1" x14ac:dyDescent="0.35"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</row>
    <row r="281" spans="10:25" ht="15.75" customHeight="1" x14ac:dyDescent="0.35"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</row>
    <row r="282" spans="10:25" ht="15.75" customHeight="1" x14ac:dyDescent="0.35"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</row>
    <row r="283" spans="10:25" ht="15.75" customHeight="1" x14ac:dyDescent="0.35"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</row>
    <row r="284" spans="10:25" ht="15.75" customHeight="1" x14ac:dyDescent="0.35"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</row>
    <row r="285" spans="10:25" ht="15.75" customHeight="1" x14ac:dyDescent="0.35"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</row>
    <row r="286" spans="10:25" ht="15.75" customHeight="1" x14ac:dyDescent="0.35"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</row>
    <row r="287" spans="10:25" ht="15.75" customHeight="1" x14ac:dyDescent="0.35"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</row>
    <row r="288" spans="10:25" ht="15.75" customHeight="1" x14ac:dyDescent="0.35"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</row>
    <row r="289" spans="10:25" ht="15.75" customHeight="1" x14ac:dyDescent="0.35"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</row>
    <row r="290" spans="10:25" ht="15.75" customHeight="1" x14ac:dyDescent="0.35"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</row>
    <row r="291" spans="10:25" ht="15.75" customHeight="1" x14ac:dyDescent="0.35"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</row>
    <row r="292" spans="10:25" ht="15.75" customHeight="1" x14ac:dyDescent="0.35"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</row>
    <row r="293" spans="10:25" ht="15.75" customHeight="1" x14ac:dyDescent="0.35"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</row>
    <row r="294" spans="10:25" ht="15.75" customHeight="1" x14ac:dyDescent="0.35"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</row>
    <row r="295" spans="10:25" ht="15.75" customHeight="1" x14ac:dyDescent="0.35"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</row>
    <row r="296" spans="10:25" ht="15.75" customHeight="1" x14ac:dyDescent="0.35"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</row>
    <row r="297" spans="10:25" ht="15.75" customHeight="1" x14ac:dyDescent="0.35"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</row>
    <row r="298" spans="10:25" ht="15.75" customHeight="1" x14ac:dyDescent="0.35"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</row>
    <row r="299" spans="10:25" ht="15.75" customHeight="1" x14ac:dyDescent="0.35"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</row>
    <row r="300" spans="10:25" ht="15.75" customHeight="1" x14ac:dyDescent="0.35"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</row>
    <row r="301" spans="10:25" ht="15.75" customHeight="1" x14ac:dyDescent="0.35"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</row>
    <row r="302" spans="10:25" ht="15.75" customHeight="1" x14ac:dyDescent="0.35"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</row>
    <row r="303" spans="10:25" ht="15.75" customHeight="1" x14ac:dyDescent="0.35"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</row>
    <row r="304" spans="10:25" ht="15.75" customHeight="1" x14ac:dyDescent="0.35"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</row>
    <row r="305" spans="10:25" ht="15.75" customHeight="1" x14ac:dyDescent="0.35"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</row>
    <row r="306" spans="10:25" ht="15.75" customHeight="1" x14ac:dyDescent="0.35"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</row>
    <row r="307" spans="10:25" ht="15.75" customHeight="1" x14ac:dyDescent="0.35"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</row>
    <row r="308" spans="10:25" ht="15.75" customHeight="1" x14ac:dyDescent="0.35"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</row>
    <row r="309" spans="10:25" ht="15.75" customHeight="1" x14ac:dyDescent="0.35"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</row>
    <row r="310" spans="10:25" ht="15.75" customHeight="1" x14ac:dyDescent="0.35"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</row>
    <row r="311" spans="10:25" ht="15.75" customHeight="1" x14ac:dyDescent="0.35"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</row>
    <row r="312" spans="10:25" ht="15.75" customHeight="1" x14ac:dyDescent="0.35"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</row>
    <row r="313" spans="10:25" ht="15.75" customHeight="1" x14ac:dyDescent="0.35"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</row>
    <row r="314" spans="10:25" ht="15.75" customHeight="1" x14ac:dyDescent="0.35"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</row>
    <row r="315" spans="10:25" ht="15.75" customHeight="1" x14ac:dyDescent="0.35"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</row>
    <row r="316" spans="10:25" ht="15.75" customHeight="1" x14ac:dyDescent="0.35"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</row>
    <row r="317" spans="10:25" ht="15.75" customHeight="1" x14ac:dyDescent="0.35"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</row>
    <row r="318" spans="10:25" ht="15.75" customHeight="1" x14ac:dyDescent="0.35"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</row>
    <row r="319" spans="10:25" ht="15.75" customHeight="1" x14ac:dyDescent="0.35"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</row>
    <row r="320" spans="10:25" ht="15.75" customHeight="1" x14ac:dyDescent="0.35"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</row>
    <row r="321" spans="10:25" ht="15.75" customHeight="1" x14ac:dyDescent="0.35"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</row>
    <row r="322" spans="10:25" ht="15.75" customHeight="1" x14ac:dyDescent="0.35"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</row>
    <row r="323" spans="10:25" ht="15.75" customHeight="1" x14ac:dyDescent="0.35"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</row>
    <row r="324" spans="10:25" ht="15.75" customHeight="1" x14ac:dyDescent="0.35"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</row>
    <row r="325" spans="10:25" ht="15.75" customHeight="1" x14ac:dyDescent="0.35"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</row>
    <row r="326" spans="10:25" ht="15.75" customHeight="1" x14ac:dyDescent="0.35"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</row>
    <row r="327" spans="10:25" ht="15.75" customHeight="1" x14ac:dyDescent="0.35"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</row>
    <row r="328" spans="10:25" ht="15.75" customHeight="1" x14ac:dyDescent="0.35"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</row>
    <row r="329" spans="10:25" ht="15.75" customHeight="1" x14ac:dyDescent="0.35"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</row>
    <row r="330" spans="10:25" ht="15.75" customHeight="1" x14ac:dyDescent="0.35"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</row>
    <row r="331" spans="10:25" ht="15.75" customHeight="1" x14ac:dyDescent="0.35"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</row>
    <row r="332" spans="10:25" ht="15.75" customHeight="1" x14ac:dyDescent="0.35"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</row>
    <row r="333" spans="10:25" ht="15.75" customHeight="1" x14ac:dyDescent="0.35"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</row>
    <row r="334" spans="10:25" ht="15.75" customHeight="1" x14ac:dyDescent="0.35"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</row>
    <row r="335" spans="10:25" ht="15.75" customHeight="1" x14ac:dyDescent="0.35"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</row>
    <row r="336" spans="10:25" ht="15.75" customHeight="1" x14ac:dyDescent="0.35"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</row>
    <row r="337" spans="10:25" ht="15.75" customHeight="1" x14ac:dyDescent="0.35"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</row>
    <row r="338" spans="10:25" ht="15.75" customHeight="1" x14ac:dyDescent="0.35"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</row>
    <row r="339" spans="10:25" ht="15.75" customHeight="1" x14ac:dyDescent="0.35"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</row>
    <row r="340" spans="10:25" ht="15.75" customHeight="1" x14ac:dyDescent="0.35"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</row>
    <row r="341" spans="10:25" ht="15.75" customHeight="1" x14ac:dyDescent="0.35"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</row>
    <row r="342" spans="10:25" ht="15.75" customHeight="1" x14ac:dyDescent="0.35"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</row>
    <row r="343" spans="10:25" ht="15.75" customHeight="1" x14ac:dyDescent="0.35"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</row>
    <row r="344" spans="10:25" ht="15.75" customHeight="1" x14ac:dyDescent="0.35"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</row>
    <row r="345" spans="10:25" ht="15.75" customHeight="1" x14ac:dyDescent="0.35"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</row>
    <row r="346" spans="10:25" ht="15.75" customHeight="1" x14ac:dyDescent="0.35"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</row>
    <row r="347" spans="10:25" ht="15.75" customHeight="1" x14ac:dyDescent="0.35"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</row>
    <row r="348" spans="10:25" ht="15.75" customHeight="1" x14ac:dyDescent="0.35"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</row>
    <row r="349" spans="10:25" ht="15.75" customHeight="1" x14ac:dyDescent="0.35"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</row>
    <row r="350" spans="10:25" ht="15.75" customHeight="1" x14ac:dyDescent="0.35"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</row>
    <row r="351" spans="10:25" ht="15.75" customHeight="1" x14ac:dyDescent="0.35"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</row>
    <row r="352" spans="10:25" ht="15.75" customHeight="1" x14ac:dyDescent="0.35"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</row>
    <row r="353" spans="10:25" ht="15.75" customHeight="1" x14ac:dyDescent="0.35"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</row>
    <row r="354" spans="10:25" ht="15.75" customHeight="1" x14ac:dyDescent="0.35"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</row>
    <row r="355" spans="10:25" ht="15.75" customHeight="1" x14ac:dyDescent="0.35"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</row>
    <row r="356" spans="10:25" ht="15.75" customHeight="1" x14ac:dyDescent="0.35"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</row>
    <row r="357" spans="10:25" ht="15.75" customHeight="1" x14ac:dyDescent="0.35"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</row>
    <row r="358" spans="10:25" ht="15.75" customHeight="1" x14ac:dyDescent="0.35"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</row>
    <row r="359" spans="10:25" ht="15.75" customHeight="1" x14ac:dyDescent="0.35"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</row>
    <row r="360" spans="10:25" ht="15.75" customHeight="1" x14ac:dyDescent="0.35"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</row>
    <row r="361" spans="10:25" ht="15.75" customHeight="1" x14ac:dyDescent="0.35"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</row>
    <row r="362" spans="10:25" ht="15.75" customHeight="1" x14ac:dyDescent="0.35"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</row>
    <row r="363" spans="10:25" ht="15.75" customHeight="1" x14ac:dyDescent="0.35"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</row>
    <row r="364" spans="10:25" ht="15.75" customHeight="1" x14ac:dyDescent="0.35"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</row>
    <row r="365" spans="10:25" ht="15.75" customHeight="1" x14ac:dyDescent="0.35"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</row>
    <row r="366" spans="10:25" ht="15.75" customHeight="1" x14ac:dyDescent="0.35"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</row>
    <row r="367" spans="10:25" ht="15.75" customHeight="1" x14ac:dyDescent="0.35"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</row>
    <row r="368" spans="10:25" ht="15.75" customHeight="1" x14ac:dyDescent="0.35"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</row>
    <row r="369" spans="10:25" ht="15.75" customHeight="1" x14ac:dyDescent="0.35"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</row>
    <row r="370" spans="10:25" ht="15.75" customHeight="1" x14ac:dyDescent="0.35"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</row>
    <row r="371" spans="10:25" ht="15.75" customHeight="1" x14ac:dyDescent="0.35"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</row>
    <row r="372" spans="10:25" ht="15.75" customHeight="1" x14ac:dyDescent="0.35"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</row>
    <row r="373" spans="10:25" ht="15.75" customHeight="1" x14ac:dyDescent="0.35"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</row>
    <row r="374" spans="10:25" ht="15.75" customHeight="1" x14ac:dyDescent="0.35"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</row>
    <row r="375" spans="10:25" ht="15.75" customHeight="1" x14ac:dyDescent="0.35"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</row>
    <row r="376" spans="10:25" ht="15.75" customHeight="1" x14ac:dyDescent="0.35"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</row>
    <row r="377" spans="10:25" ht="15.75" customHeight="1" x14ac:dyDescent="0.35"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</row>
    <row r="378" spans="10:25" ht="15.75" customHeight="1" x14ac:dyDescent="0.35"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</row>
    <row r="379" spans="10:25" ht="15.75" customHeight="1" x14ac:dyDescent="0.35"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</row>
    <row r="380" spans="10:25" ht="15.75" customHeight="1" x14ac:dyDescent="0.35"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</row>
    <row r="381" spans="10:25" ht="15.75" customHeight="1" x14ac:dyDescent="0.35"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</row>
    <row r="382" spans="10:25" ht="15.75" customHeight="1" x14ac:dyDescent="0.35"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</row>
    <row r="383" spans="10:25" ht="15.75" customHeight="1" x14ac:dyDescent="0.35"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</row>
    <row r="384" spans="10:25" ht="15.75" customHeight="1" x14ac:dyDescent="0.35"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</row>
    <row r="385" spans="10:25" ht="15.75" customHeight="1" x14ac:dyDescent="0.35"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</row>
    <row r="386" spans="10:25" ht="15.75" customHeight="1" x14ac:dyDescent="0.35"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</row>
    <row r="387" spans="10:25" ht="15.75" customHeight="1" x14ac:dyDescent="0.35"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</row>
    <row r="388" spans="10:25" ht="15.75" customHeight="1" x14ac:dyDescent="0.35"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</row>
    <row r="389" spans="10:25" ht="15.75" customHeight="1" x14ac:dyDescent="0.35"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</row>
    <row r="390" spans="10:25" ht="15.75" customHeight="1" x14ac:dyDescent="0.35"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</row>
    <row r="391" spans="10:25" ht="15.75" customHeight="1" x14ac:dyDescent="0.35"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</row>
    <row r="392" spans="10:25" ht="15.75" customHeight="1" x14ac:dyDescent="0.35"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</row>
    <row r="393" spans="10:25" ht="15.75" customHeight="1" x14ac:dyDescent="0.35"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</row>
    <row r="394" spans="10:25" ht="15.75" customHeight="1" x14ac:dyDescent="0.35"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</row>
    <row r="395" spans="10:25" ht="15.75" customHeight="1" x14ac:dyDescent="0.35"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</row>
    <row r="396" spans="10:25" ht="15.75" customHeight="1" x14ac:dyDescent="0.35"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</row>
    <row r="397" spans="10:25" ht="15.75" customHeight="1" x14ac:dyDescent="0.35"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</row>
    <row r="398" spans="10:25" ht="15.75" customHeight="1" x14ac:dyDescent="0.35"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</row>
    <row r="399" spans="10:25" ht="15.75" customHeight="1" x14ac:dyDescent="0.35"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</row>
    <row r="400" spans="10:25" ht="15.75" customHeight="1" x14ac:dyDescent="0.35"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</row>
    <row r="401" spans="10:25" ht="15.75" customHeight="1" x14ac:dyDescent="0.35"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</row>
    <row r="402" spans="10:25" ht="15.75" customHeight="1" x14ac:dyDescent="0.35"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</row>
    <row r="403" spans="10:25" ht="15.75" customHeight="1" x14ac:dyDescent="0.35"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</row>
    <row r="404" spans="10:25" ht="15.75" customHeight="1" x14ac:dyDescent="0.35"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</row>
    <row r="405" spans="10:25" ht="15.75" customHeight="1" x14ac:dyDescent="0.35"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</row>
    <row r="406" spans="10:25" ht="15.75" customHeight="1" x14ac:dyDescent="0.35"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</row>
    <row r="407" spans="10:25" ht="15.75" customHeight="1" x14ac:dyDescent="0.35"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</row>
    <row r="408" spans="10:25" ht="15.75" customHeight="1" x14ac:dyDescent="0.35"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</row>
    <row r="409" spans="10:25" ht="15.75" customHeight="1" x14ac:dyDescent="0.35"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</row>
    <row r="410" spans="10:25" ht="15.75" customHeight="1" x14ac:dyDescent="0.35"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</row>
    <row r="411" spans="10:25" ht="15.75" customHeight="1" x14ac:dyDescent="0.35"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</row>
    <row r="412" spans="10:25" ht="15.75" customHeight="1" x14ac:dyDescent="0.35"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</row>
    <row r="413" spans="10:25" ht="15.75" customHeight="1" x14ac:dyDescent="0.35"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</row>
    <row r="414" spans="10:25" ht="15.75" customHeight="1" x14ac:dyDescent="0.35"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</row>
    <row r="415" spans="10:25" ht="15.75" customHeight="1" x14ac:dyDescent="0.35"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</row>
    <row r="416" spans="10:25" ht="15.75" customHeight="1" x14ac:dyDescent="0.35"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</row>
    <row r="417" spans="10:25" ht="15.75" customHeight="1" x14ac:dyDescent="0.35"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</row>
    <row r="418" spans="10:25" ht="15.75" customHeight="1" x14ac:dyDescent="0.35"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</row>
    <row r="419" spans="10:25" ht="15.75" customHeight="1" x14ac:dyDescent="0.35"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</row>
    <row r="420" spans="10:25" ht="15.75" customHeight="1" x14ac:dyDescent="0.35"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</row>
    <row r="421" spans="10:25" ht="15.75" customHeight="1" x14ac:dyDescent="0.35"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</row>
    <row r="422" spans="10:25" ht="15.75" customHeight="1" x14ac:dyDescent="0.35"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</row>
    <row r="423" spans="10:25" ht="15.75" customHeight="1" x14ac:dyDescent="0.35"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</row>
    <row r="424" spans="10:25" ht="15.75" customHeight="1" x14ac:dyDescent="0.35"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</row>
    <row r="425" spans="10:25" ht="15.75" customHeight="1" x14ac:dyDescent="0.35"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</row>
    <row r="426" spans="10:25" ht="15.75" customHeight="1" x14ac:dyDescent="0.35"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</row>
    <row r="427" spans="10:25" ht="15.75" customHeight="1" x14ac:dyDescent="0.35"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</row>
    <row r="428" spans="10:25" ht="15.75" customHeight="1" x14ac:dyDescent="0.35"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</row>
    <row r="429" spans="10:25" ht="15.75" customHeight="1" x14ac:dyDescent="0.35"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</row>
    <row r="430" spans="10:25" ht="15.75" customHeight="1" x14ac:dyDescent="0.35"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</row>
    <row r="431" spans="10:25" ht="15.75" customHeight="1" x14ac:dyDescent="0.35"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</row>
    <row r="432" spans="10:25" ht="15.75" customHeight="1" x14ac:dyDescent="0.35"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</row>
    <row r="433" spans="10:25" ht="15.75" customHeight="1" x14ac:dyDescent="0.35"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</row>
    <row r="434" spans="10:25" ht="15.75" customHeight="1" x14ac:dyDescent="0.35"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</row>
    <row r="435" spans="10:25" ht="15.75" customHeight="1" x14ac:dyDescent="0.35"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</row>
    <row r="436" spans="10:25" ht="15.75" customHeight="1" x14ac:dyDescent="0.35"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</row>
    <row r="437" spans="10:25" ht="15.75" customHeight="1" x14ac:dyDescent="0.35"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</row>
    <row r="438" spans="10:25" ht="15.75" customHeight="1" x14ac:dyDescent="0.35"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</row>
    <row r="439" spans="10:25" ht="15.75" customHeight="1" x14ac:dyDescent="0.35"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</row>
    <row r="440" spans="10:25" ht="15.75" customHeight="1" x14ac:dyDescent="0.35"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</row>
    <row r="441" spans="10:25" ht="15.75" customHeight="1" x14ac:dyDescent="0.35"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</row>
    <row r="442" spans="10:25" ht="15.75" customHeight="1" x14ac:dyDescent="0.35"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</row>
    <row r="443" spans="10:25" ht="15.75" customHeight="1" x14ac:dyDescent="0.35"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</row>
    <row r="444" spans="10:25" ht="15.75" customHeight="1" x14ac:dyDescent="0.35"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</row>
    <row r="445" spans="10:25" ht="15.75" customHeight="1" x14ac:dyDescent="0.35"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</row>
    <row r="446" spans="10:25" ht="15.75" customHeight="1" x14ac:dyDescent="0.35"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</row>
    <row r="447" spans="10:25" ht="15.75" customHeight="1" x14ac:dyDescent="0.35"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</row>
    <row r="448" spans="10:25" ht="15.75" customHeight="1" x14ac:dyDescent="0.35"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</row>
    <row r="449" spans="10:25" ht="15.75" customHeight="1" x14ac:dyDescent="0.35"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</row>
    <row r="450" spans="10:25" ht="15.75" customHeight="1" x14ac:dyDescent="0.35"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</row>
    <row r="451" spans="10:25" ht="15.75" customHeight="1" x14ac:dyDescent="0.35"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</row>
    <row r="452" spans="10:25" ht="15.75" customHeight="1" x14ac:dyDescent="0.35"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</row>
    <row r="453" spans="10:25" ht="15.75" customHeight="1" x14ac:dyDescent="0.35"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</row>
    <row r="454" spans="10:25" ht="15.75" customHeight="1" x14ac:dyDescent="0.35"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</row>
    <row r="455" spans="10:25" ht="15.75" customHeight="1" x14ac:dyDescent="0.35"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</row>
    <row r="456" spans="10:25" ht="15.75" customHeight="1" x14ac:dyDescent="0.35"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</row>
    <row r="457" spans="10:25" ht="15.75" customHeight="1" x14ac:dyDescent="0.35"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</row>
    <row r="458" spans="10:25" ht="15.75" customHeight="1" x14ac:dyDescent="0.35"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</row>
    <row r="459" spans="10:25" ht="15.75" customHeight="1" x14ac:dyDescent="0.35"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</row>
    <row r="460" spans="10:25" ht="15.75" customHeight="1" x14ac:dyDescent="0.35"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</row>
    <row r="461" spans="10:25" ht="15.75" customHeight="1" x14ac:dyDescent="0.35"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</row>
    <row r="462" spans="10:25" ht="15.75" customHeight="1" x14ac:dyDescent="0.35"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</row>
    <row r="463" spans="10:25" ht="15.75" customHeight="1" x14ac:dyDescent="0.35"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</row>
    <row r="464" spans="10:25" ht="15.75" customHeight="1" x14ac:dyDescent="0.35"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</row>
    <row r="465" spans="10:25" ht="15.75" customHeight="1" x14ac:dyDescent="0.35"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</row>
    <row r="466" spans="10:25" ht="15.75" customHeight="1" x14ac:dyDescent="0.35"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</row>
    <row r="467" spans="10:25" ht="15.75" customHeight="1" x14ac:dyDescent="0.35"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</row>
    <row r="468" spans="10:25" ht="15.75" customHeight="1" x14ac:dyDescent="0.35"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</row>
    <row r="469" spans="10:25" ht="15.75" customHeight="1" x14ac:dyDescent="0.35"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</row>
    <row r="470" spans="10:25" ht="15.75" customHeight="1" x14ac:dyDescent="0.35"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</row>
    <row r="471" spans="10:25" ht="15.75" customHeight="1" x14ac:dyDescent="0.35"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</row>
    <row r="472" spans="10:25" ht="15.75" customHeight="1" x14ac:dyDescent="0.35"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</row>
    <row r="473" spans="10:25" ht="15.75" customHeight="1" x14ac:dyDescent="0.35"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</row>
    <row r="474" spans="10:25" ht="15.75" customHeight="1" x14ac:dyDescent="0.35"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</row>
    <row r="475" spans="10:25" ht="15.75" customHeight="1" x14ac:dyDescent="0.35"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</row>
    <row r="476" spans="10:25" ht="15.75" customHeight="1" x14ac:dyDescent="0.35"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</row>
    <row r="477" spans="10:25" ht="15.75" customHeight="1" x14ac:dyDescent="0.35"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</row>
    <row r="478" spans="10:25" ht="15.75" customHeight="1" x14ac:dyDescent="0.35"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</row>
    <row r="479" spans="10:25" ht="15.75" customHeight="1" x14ac:dyDescent="0.35"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</row>
    <row r="480" spans="10:25" ht="15.75" customHeight="1" x14ac:dyDescent="0.35"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</row>
    <row r="481" spans="10:25" ht="15.75" customHeight="1" x14ac:dyDescent="0.35"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</row>
    <row r="482" spans="10:25" ht="15.75" customHeight="1" x14ac:dyDescent="0.35"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</row>
    <row r="483" spans="10:25" ht="15.75" customHeight="1" x14ac:dyDescent="0.35"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</row>
    <row r="484" spans="10:25" ht="15.75" customHeight="1" x14ac:dyDescent="0.35"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</row>
    <row r="485" spans="10:25" ht="15.75" customHeight="1" x14ac:dyDescent="0.35"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</row>
    <row r="486" spans="10:25" ht="15.75" customHeight="1" x14ac:dyDescent="0.35"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</row>
    <row r="487" spans="10:25" ht="15.75" customHeight="1" x14ac:dyDescent="0.35"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</row>
    <row r="488" spans="10:25" ht="15.75" customHeight="1" x14ac:dyDescent="0.35"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</row>
    <row r="489" spans="10:25" ht="15.75" customHeight="1" x14ac:dyDescent="0.35"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</row>
    <row r="490" spans="10:25" ht="15.75" customHeight="1" x14ac:dyDescent="0.35"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</row>
    <row r="491" spans="10:25" ht="15.75" customHeight="1" x14ac:dyDescent="0.35"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</row>
    <row r="492" spans="10:25" ht="15.75" customHeight="1" x14ac:dyDescent="0.35"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</row>
    <row r="493" spans="10:25" ht="15.75" customHeight="1" x14ac:dyDescent="0.35"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</row>
    <row r="494" spans="10:25" ht="15.75" customHeight="1" x14ac:dyDescent="0.35"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</row>
    <row r="495" spans="10:25" ht="15.75" customHeight="1" x14ac:dyDescent="0.35"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</row>
    <row r="496" spans="10:25" ht="15.75" customHeight="1" x14ac:dyDescent="0.35"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</row>
    <row r="497" spans="10:25" ht="15.75" customHeight="1" x14ac:dyDescent="0.35"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</row>
    <row r="498" spans="10:25" ht="15.75" customHeight="1" x14ac:dyDescent="0.35"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</row>
    <row r="499" spans="10:25" ht="15.75" customHeight="1" x14ac:dyDescent="0.35"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</row>
    <row r="500" spans="10:25" ht="15.75" customHeight="1" x14ac:dyDescent="0.35"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</row>
    <row r="501" spans="10:25" ht="15.75" customHeight="1" x14ac:dyDescent="0.35"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</row>
    <row r="502" spans="10:25" ht="15.75" customHeight="1" x14ac:dyDescent="0.35"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</row>
    <row r="503" spans="10:25" ht="15.75" customHeight="1" x14ac:dyDescent="0.35"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</row>
    <row r="504" spans="10:25" ht="15.75" customHeight="1" x14ac:dyDescent="0.35"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</row>
    <row r="505" spans="10:25" ht="15.75" customHeight="1" x14ac:dyDescent="0.35"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</row>
    <row r="506" spans="10:25" ht="15.75" customHeight="1" x14ac:dyDescent="0.35"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</row>
    <row r="507" spans="10:25" ht="15.75" customHeight="1" x14ac:dyDescent="0.35"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</row>
    <row r="508" spans="10:25" ht="15.75" customHeight="1" x14ac:dyDescent="0.35"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</row>
    <row r="509" spans="10:25" ht="15.75" customHeight="1" x14ac:dyDescent="0.35"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</row>
    <row r="510" spans="10:25" ht="15.75" customHeight="1" x14ac:dyDescent="0.35"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</row>
    <row r="511" spans="10:25" ht="15.75" customHeight="1" x14ac:dyDescent="0.35"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</row>
    <row r="512" spans="10:25" ht="15.75" customHeight="1" x14ac:dyDescent="0.35"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</row>
    <row r="513" spans="10:25" ht="15.75" customHeight="1" x14ac:dyDescent="0.35"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</row>
    <row r="514" spans="10:25" ht="15.75" customHeight="1" x14ac:dyDescent="0.35"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</row>
    <row r="515" spans="10:25" ht="15.75" customHeight="1" x14ac:dyDescent="0.35"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</row>
    <row r="516" spans="10:25" ht="15.75" customHeight="1" x14ac:dyDescent="0.35"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</row>
    <row r="517" spans="10:25" ht="15.75" customHeight="1" x14ac:dyDescent="0.35"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</row>
    <row r="518" spans="10:25" ht="15.75" customHeight="1" x14ac:dyDescent="0.35"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</row>
    <row r="519" spans="10:25" ht="15.75" customHeight="1" x14ac:dyDescent="0.35"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</row>
    <row r="520" spans="10:25" ht="15.75" customHeight="1" x14ac:dyDescent="0.35"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</row>
    <row r="521" spans="10:25" ht="15.75" customHeight="1" x14ac:dyDescent="0.35"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</row>
    <row r="522" spans="10:25" ht="15.75" customHeight="1" x14ac:dyDescent="0.35"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</row>
    <row r="523" spans="10:25" ht="15.75" customHeight="1" x14ac:dyDescent="0.35"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</row>
    <row r="524" spans="10:25" ht="15.75" customHeight="1" x14ac:dyDescent="0.35"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</row>
    <row r="525" spans="10:25" ht="15.75" customHeight="1" x14ac:dyDescent="0.35"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</row>
    <row r="526" spans="10:25" ht="15.75" customHeight="1" x14ac:dyDescent="0.35"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</row>
    <row r="527" spans="10:25" ht="15.75" customHeight="1" x14ac:dyDescent="0.35"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</row>
    <row r="528" spans="10:25" ht="15.75" customHeight="1" x14ac:dyDescent="0.35"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</row>
    <row r="529" spans="10:25" ht="15.75" customHeight="1" x14ac:dyDescent="0.35"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</row>
    <row r="530" spans="10:25" ht="15.75" customHeight="1" x14ac:dyDescent="0.35"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</row>
    <row r="531" spans="10:25" ht="15.75" customHeight="1" x14ac:dyDescent="0.35"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</row>
    <row r="532" spans="10:25" ht="15.75" customHeight="1" x14ac:dyDescent="0.35"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</row>
    <row r="533" spans="10:25" ht="15.75" customHeight="1" x14ac:dyDescent="0.35"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</row>
    <row r="534" spans="10:25" ht="15.75" customHeight="1" x14ac:dyDescent="0.35"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</row>
    <row r="535" spans="10:25" ht="15.75" customHeight="1" x14ac:dyDescent="0.35"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</row>
    <row r="536" spans="10:25" ht="15.75" customHeight="1" x14ac:dyDescent="0.35"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</row>
    <row r="537" spans="10:25" ht="15.75" customHeight="1" x14ac:dyDescent="0.35"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</row>
    <row r="538" spans="10:25" ht="15.75" customHeight="1" x14ac:dyDescent="0.35"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</row>
    <row r="539" spans="10:25" ht="15.75" customHeight="1" x14ac:dyDescent="0.35"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</row>
    <row r="540" spans="10:25" ht="15.75" customHeight="1" x14ac:dyDescent="0.35"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</row>
    <row r="541" spans="10:25" ht="15.75" customHeight="1" x14ac:dyDescent="0.35"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</row>
    <row r="542" spans="10:25" ht="15.75" customHeight="1" x14ac:dyDescent="0.35"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</row>
    <row r="543" spans="10:25" ht="15.75" customHeight="1" x14ac:dyDescent="0.35"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</row>
    <row r="544" spans="10:25" ht="15.75" customHeight="1" x14ac:dyDescent="0.35"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</row>
    <row r="545" spans="10:25" ht="15.75" customHeight="1" x14ac:dyDescent="0.35"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</row>
    <row r="546" spans="10:25" ht="15.75" customHeight="1" x14ac:dyDescent="0.35"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</row>
    <row r="547" spans="10:25" ht="15.75" customHeight="1" x14ac:dyDescent="0.35"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</row>
    <row r="548" spans="10:25" ht="15.75" customHeight="1" x14ac:dyDescent="0.35"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</row>
    <row r="549" spans="10:25" ht="15.75" customHeight="1" x14ac:dyDescent="0.35"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</row>
    <row r="550" spans="10:25" ht="15.75" customHeight="1" x14ac:dyDescent="0.35"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</row>
    <row r="551" spans="10:25" ht="15.75" customHeight="1" x14ac:dyDescent="0.35"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</row>
    <row r="552" spans="10:25" ht="15.75" customHeight="1" x14ac:dyDescent="0.35"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</row>
    <row r="553" spans="10:25" ht="15.75" customHeight="1" x14ac:dyDescent="0.35"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</row>
    <row r="554" spans="10:25" ht="15.75" customHeight="1" x14ac:dyDescent="0.35"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</row>
    <row r="555" spans="10:25" ht="15.75" customHeight="1" x14ac:dyDescent="0.35"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</row>
    <row r="556" spans="10:25" ht="15.75" customHeight="1" x14ac:dyDescent="0.35"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</row>
    <row r="557" spans="10:25" ht="15.75" customHeight="1" x14ac:dyDescent="0.35"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</row>
    <row r="558" spans="10:25" ht="15.75" customHeight="1" x14ac:dyDescent="0.35"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</row>
    <row r="559" spans="10:25" ht="15.75" customHeight="1" x14ac:dyDescent="0.35"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</row>
    <row r="560" spans="10:25" ht="15.75" customHeight="1" x14ac:dyDescent="0.35"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</row>
    <row r="561" spans="10:25" ht="15.75" customHeight="1" x14ac:dyDescent="0.35"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</row>
    <row r="562" spans="10:25" ht="15.75" customHeight="1" x14ac:dyDescent="0.35"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</row>
    <row r="563" spans="10:25" ht="15.75" customHeight="1" x14ac:dyDescent="0.35"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</row>
    <row r="564" spans="10:25" ht="15.75" customHeight="1" x14ac:dyDescent="0.35"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</row>
    <row r="565" spans="10:25" ht="15.75" customHeight="1" x14ac:dyDescent="0.35"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</row>
    <row r="566" spans="10:25" ht="15.75" customHeight="1" x14ac:dyDescent="0.35"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</row>
    <row r="567" spans="10:25" ht="15.75" customHeight="1" x14ac:dyDescent="0.35"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</row>
    <row r="568" spans="10:25" ht="15.75" customHeight="1" x14ac:dyDescent="0.35"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</row>
    <row r="569" spans="10:25" ht="15.75" customHeight="1" x14ac:dyDescent="0.35"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</row>
    <row r="570" spans="10:25" ht="15.75" customHeight="1" x14ac:dyDescent="0.35"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</row>
    <row r="571" spans="10:25" ht="15.75" customHeight="1" x14ac:dyDescent="0.35"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</row>
    <row r="572" spans="10:25" ht="15.75" customHeight="1" x14ac:dyDescent="0.35"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</row>
    <row r="573" spans="10:25" ht="15.75" customHeight="1" x14ac:dyDescent="0.35"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</row>
    <row r="574" spans="10:25" ht="15.75" customHeight="1" x14ac:dyDescent="0.35"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</row>
    <row r="575" spans="10:25" ht="15.75" customHeight="1" x14ac:dyDescent="0.35"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</row>
    <row r="576" spans="10:25" ht="15.75" customHeight="1" x14ac:dyDescent="0.35"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</row>
    <row r="577" spans="10:25" ht="15.75" customHeight="1" x14ac:dyDescent="0.35"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</row>
    <row r="578" spans="10:25" ht="15.75" customHeight="1" x14ac:dyDescent="0.35"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</row>
    <row r="579" spans="10:25" ht="15.75" customHeight="1" x14ac:dyDescent="0.35"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</row>
    <row r="580" spans="10:25" ht="15.75" customHeight="1" x14ac:dyDescent="0.35"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</row>
    <row r="581" spans="10:25" ht="15.75" customHeight="1" x14ac:dyDescent="0.35"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</row>
    <row r="582" spans="10:25" ht="15.75" customHeight="1" x14ac:dyDescent="0.35"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</row>
    <row r="583" spans="10:25" ht="15.75" customHeight="1" x14ac:dyDescent="0.35"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</row>
    <row r="584" spans="10:25" ht="15.75" customHeight="1" x14ac:dyDescent="0.35"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</row>
    <row r="585" spans="10:25" ht="15.75" customHeight="1" x14ac:dyDescent="0.35"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</row>
    <row r="586" spans="10:25" ht="15.75" customHeight="1" x14ac:dyDescent="0.35"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</row>
    <row r="587" spans="10:25" ht="15.75" customHeight="1" x14ac:dyDescent="0.35"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</row>
    <row r="588" spans="10:25" ht="15.75" customHeight="1" x14ac:dyDescent="0.35"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</row>
    <row r="589" spans="10:25" ht="15.75" customHeight="1" x14ac:dyDescent="0.35"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</row>
    <row r="590" spans="10:25" ht="15.75" customHeight="1" x14ac:dyDescent="0.35"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</row>
    <row r="591" spans="10:25" ht="15.75" customHeight="1" x14ac:dyDescent="0.35"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</row>
    <row r="592" spans="10:25" ht="15.75" customHeight="1" x14ac:dyDescent="0.35"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</row>
    <row r="593" spans="10:25" ht="15.75" customHeight="1" x14ac:dyDescent="0.35"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</row>
    <row r="594" spans="10:25" ht="15.75" customHeight="1" x14ac:dyDescent="0.35"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</row>
    <row r="595" spans="10:25" ht="15.75" customHeight="1" x14ac:dyDescent="0.35"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</row>
    <row r="596" spans="10:25" ht="15.75" customHeight="1" x14ac:dyDescent="0.35"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</row>
    <row r="597" spans="10:25" ht="15.75" customHeight="1" x14ac:dyDescent="0.35"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</row>
    <row r="598" spans="10:25" ht="15.75" customHeight="1" x14ac:dyDescent="0.35"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</row>
    <row r="599" spans="10:25" ht="15.75" customHeight="1" x14ac:dyDescent="0.35"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</row>
    <row r="600" spans="10:25" ht="15.75" customHeight="1" x14ac:dyDescent="0.35"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</row>
    <row r="601" spans="10:25" ht="15.75" customHeight="1" x14ac:dyDescent="0.35"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</row>
    <row r="602" spans="10:25" ht="15.75" customHeight="1" x14ac:dyDescent="0.35"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</row>
    <row r="603" spans="10:25" ht="15.75" customHeight="1" x14ac:dyDescent="0.35"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</row>
    <row r="604" spans="10:25" ht="15.75" customHeight="1" x14ac:dyDescent="0.35"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</row>
    <row r="605" spans="10:25" ht="15.75" customHeight="1" x14ac:dyDescent="0.35"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</row>
    <row r="606" spans="10:25" ht="15.75" customHeight="1" x14ac:dyDescent="0.35"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</row>
    <row r="607" spans="10:25" ht="15.75" customHeight="1" x14ac:dyDescent="0.35"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</row>
    <row r="608" spans="10:25" ht="15.75" customHeight="1" x14ac:dyDescent="0.35"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</row>
    <row r="609" spans="10:25" ht="15.75" customHeight="1" x14ac:dyDescent="0.35"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</row>
    <row r="610" spans="10:25" ht="15.75" customHeight="1" x14ac:dyDescent="0.35"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</row>
    <row r="611" spans="10:25" ht="15.75" customHeight="1" x14ac:dyDescent="0.35"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</row>
    <row r="612" spans="10:25" ht="15.75" customHeight="1" x14ac:dyDescent="0.35"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</row>
    <row r="613" spans="10:25" ht="15.75" customHeight="1" x14ac:dyDescent="0.35"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</row>
    <row r="614" spans="10:25" ht="15.75" customHeight="1" x14ac:dyDescent="0.35"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</row>
    <row r="615" spans="10:25" ht="15.75" customHeight="1" x14ac:dyDescent="0.35"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</row>
    <row r="616" spans="10:25" ht="15.75" customHeight="1" x14ac:dyDescent="0.35"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</row>
    <row r="617" spans="10:25" ht="15.75" customHeight="1" x14ac:dyDescent="0.35"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</row>
    <row r="618" spans="10:25" ht="15.75" customHeight="1" x14ac:dyDescent="0.35"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</row>
    <row r="619" spans="10:25" ht="15.75" customHeight="1" x14ac:dyDescent="0.35"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</row>
    <row r="620" spans="10:25" ht="15.75" customHeight="1" x14ac:dyDescent="0.35"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</row>
    <row r="621" spans="10:25" ht="15.75" customHeight="1" x14ac:dyDescent="0.35"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</row>
    <row r="622" spans="10:25" ht="15.75" customHeight="1" x14ac:dyDescent="0.35"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</row>
    <row r="623" spans="10:25" ht="15.75" customHeight="1" x14ac:dyDescent="0.35"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</row>
    <row r="624" spans="10:25" ht="15.75" customHeight="1" x14ac:dyDescent="0.35"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</row>
    <row r="625" spans="10:25" ht="15.75" customHeight="1" x14ac:dyDescent="0.35"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</row>
    <row r="626" spans="10:25" ht="15.75" customHeight="1" x14ac:dyDescent="0.35"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</row>
    <row r="627" spans="10:25" ht="15.75" customHeight="1" x14ac:dyDescent="0.35"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</row>
    <row r="628" spans="10:25" ht="15.75" customHeight="1" x14ac:dyDescent="0.35"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</row>
    <row r="629" spans="10:25" ht="15.75" customHeight="1" x14ac:dyDescent="0.35"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</row>
    <row r="630" spans="10:25" ht="15.75" customHeight="1" x14ac:dyDescent="0.35"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</row>
    <row r="631" spans="10:25" ht="15.75" customHeight="1" x14ac:dyDescent="0.35"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</row>
    <row r="632" spans="10:25" ht="15.75" customHeight="1" x14ac:dyDescent="0.35"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</row>
    <row r="633" spans="10:25" ht="15.75" customHeight="1" x14ac:dyDescent="0.35"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</row>
    <row r="634" spans="10:25" ht="15.75" customHeight="1" x14ac:dyDescent="0.35"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</row>
    <row r="635" spans="10:25" ht="15.75" customHeight="1" x14ac:dyDescent="0.35"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</row>
    <row r="636" spans="10:25" ht="15.75" customHeight="1" x14ac:dyDescent="0.35"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</row>
    <row r="637" spans="10:25" ht="15.75" customHeight="1" x14ac:dyDescent="0.35"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</row>
    <row r="638" spans="10:25" ht="15.75" customHeight="1" x14ac:dyDescent="0.35"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</row>
    <row r="639" spans="10:25" ht="15.75" customHeight="1" x14ac:dyDescent="0.35"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</row>
    <row r="640" spans="10:25" ht="15.75" customHeight="1" x14ac:dyDescent="0.35"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</row>
    <row r="641" spans="10:25" ht="15.75" customHeight="1" x14ac:dyDescent="0.35"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</row>
    <row r="642" spans="10:25" ht="15.75" customHeight="1" x14ac:dyDescent="0.35"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</row>
    <row r="643" spans="10:25" ht="15.75" customHeight="1" x14ac:dyDescent="0.35"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</row>
    <row r="644" spans="10:25" ht="15.75" customHeight="1" x14ac:dyDescent="0.35"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</row>
    <row r="645" spans="10:25" ht="15.75" customHeight="1" x14ac:dyDescent="0.35"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</row>
    <row r="646" spans="10:25" ht="15.75" customHeight="1" x14ac:dyDescent="0.35"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</row>
    <row r="647" spans="10:25" ht="15.75" customHeight="1" x14ac:dyDescent="0.35"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</row>
    <row r="648" spans="10:25" ht="15.75" customHeight="1" x14ac:dyDescent="0.35"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</row>
    <row r="649" spans="10:25" ht="15.75" customHeight="1" x14ac:dyDescent="0.35"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</row>
    <row r="650" spans="10:25" ht="15.75" customHeight="1" x14ac:dyDescent="0.35"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</row>
    <row r="651" spans="10:25" ht="15.75" customHeight="1" x14ac:dyDescent="0.35"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</row>
    <row r="652" spans="10:25" ht="15.75" customHeight="1" x14ac:dyDescent="0.35"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</row>
    <row r="653" spans="10:25" ht="15.75" customHeight="1" x14ac:dyDescent="0.35"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</row>
    <row r="654" spans="10:25" ht="15.75" customHeight="1" x14ac:dyDescent="0.35"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</row>
    <row r="655" spans="10:25" ht="15.75" customHeight="1" x14ac:dyDescent="0.35"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</row>
    <row r="656" spans="10:25" ht="15.75" customHeight="1" x14ac:dyDescent="0.35"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</row>
    <row r="657" spans="10:25" ht="15.75" customHeight="1" x14ac:dyDescent="0.35"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</row>
    <row r="658" spans="10:25" ht="15.75" customHeight="1" x14ac:dyDescent="0.35"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</row>
    <row r="659" spans="10:25" ht="15.75" customHeight="1" x14ac:dyDescent="0.35"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</row>
    <row r="660" spans="10:25" ht="15.75" customHeight="1" x14ac:dyDescent="0.35"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</row>
    <row r="661" spans="10:25" ht="15.75" customHeight="1" x14ac:dyDescent="0.35"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</row>
    <row r="662" spans="10:25" ht="15.75" customHeight="1" x14ac:dyDescent="0.35"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</row>
    <row r="663" spans="10:25" ht="15.75" customHeight="1" x14ac:dyDescent="0.35"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</row>
    <row r="664" spans="10:25" ht="15.75" customHeight="1" x14ac:dyDescent="0.35"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</row>
    <row r="665" spans="10:25" ht="15.75" customHeight="1" x14ac:dyDescent="0.35"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</row>
    <row r="666" spans="10:25" ht="15.75" customHeight="1" x14ac:dyDescent="0.35"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</row>
    <row r="667" spans="10:25" ht="15.75" customHeight="1" x14ac:dyDescent="0.35"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</row>
    <row r="668" spans="10:25" ht="15.75" customHeight="1" x14ac:dyDescent="0.35"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</row>
    <row r="669" spans="10:25" ht="15.75" customHeight="1" x14ac:dyDescent="0.35"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</row>
    <row r="670" spans="10:25" ht="15.75" customHeight="1" x14ac:dyDescent="0.35"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</row>
    <row r="671" spans="10:25" ht="15.75" customHeight="1" x14ac:dyDescent="0.35"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</row>
    <row r="672" spans="10:25" ht="15.75" customHeight="1" x14ac:dyDescent="0.35"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</row>
    <row r="673" spans="10:25" ht="15.75" customHeight="1" x14ac:dyDescent="0.35"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</row>
    <row r="674" spans="10:25" ht="15.75" customHeight="1" x14ac:dyDescent="0.35"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</row>
    <row r="675" spans="10:25" ht="15.75" customHeight="1" x14ac:dyDescent="0.35"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</row>
    <row r="676" spans="10:25" ht="15.75" customHeight="1" x14ac:dyDescent="0.35"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</row>
    <row r="677" spans="10:25" ht="15.75" customHeight="1" x14ac:dyDescent="0.35"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</row>
    <row r="678" spans="10:25" ht="15.75" customHeight="1" x14ac:dyDescent="0.35"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</row>
    <row r="679" spans="10:25" ht="15.75" customHeight="1" x14ac:dyDescent="0.35"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</row>
    <row r="680" spans="10:25" ht="15.75" customHeight="1" x14ac:dyDescent="0.35"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</row>
    <row r="681" spans="10:25" ht="15.75" customHeight="1" x14ac:dyDescent="0.35"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</row>
    <row r="682" spans="10:25" ht="15.75" customHeight="1" x14ac:dyDescent="0.35"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</row>
    <row r="683" spans="10:25" ht="15.75" customHeight="1" x14ac:dyDescent="0.35"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</row>
    <row r="684" spans="10:25" ht="15.75" customHeight="1" x14ac:dyDescent="0.35"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</row>
    <row r="685" spans="10:25" ht="15.75" customHeight="1" x14ac:dyDescent="0.35"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</row>
    <row r="686" spans="10:25" ht="15.75" customHeight="1" x14ac:dyDescent="0.35"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</row>
    <row r="687" spans="10:25" ht="15.75" customHeight="1" x14ac:dyDescent="0.35"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</row>
    <row r="688" spans="10:25" ht="15.75" customHeight="1" x14ac:dyDescent="0.35"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</row>
    <row r="689" spans="10:25" ht="15.75" customHeight="1" x14ac:dyDescent="0.35"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</row>
    <row r="690" spans="10:25" ht="15.75" customHeight="1" x14ac:dyDescent="0.35"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</row>
    <row r="691" spans="10:25" ht="15.75" customHeight="1" x14ac:dyDescent="0.35"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</row>
    <row r="692" spans="10:25" ht="15.75" customHeight="1" x14ac:dyDescent="0.35"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</row>
    <row r="693" spans="10:25" ht="15.75" customHeight="1" x14ac:dyDescent="0.35"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</row>
    <row r="694" spans="10:25" ht="15.75" customHeight="1" x14ac:dyDescent="0.35"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</row>
    <row r="695" spans="10:25" ht="15.75" customHeight="1" x14ac:dyDescent="0.35"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</row>
    <row r="696" spans="10:25" ht="15.75" customHeight="1" x14ac:dyDescent="0.35"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</row>
    <row r="697" spans="10:25" ht="15.75" customHeight="1" x14ac:dyDescent="0.35"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</row>
    <row r="698" spans="10:25" ht="15.75" customHeight="1" x14ac:dyDescent="0.35"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</row>
    <row r="699" spans="10:25" ht="15.75" customHeight="1" x14ac:dyDescent="0.35"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</row>
    <row r="700" spans="10:25" ht="15.75" customHeight="1" x14ac:dyDescent="0.35"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</row>
    <row r="701" spans="10:25" ht="15.75" customHeight="1" x14ac:dyDescent="0.35"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</row>
    <row r="702" spans="10:25" ht="15.75" customHeight="1" x14ac:dyDescent="0.35"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</row>
    <row r="703" spans="10:25" ht="15.75" customHeight="1" x14ac:dyDescent="0.35"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</row>
    <row r="704" spans="10:25" ht="15.75" customHeight="1" x14ac:dyDescent="0.35"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</row>
    <row r="705" spans="10:25" ht="15.75" customHeight="1" x14ac:dyDescent="0.35"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</row>
    <row r="706" spans="10:25" ht="15.75" customHeight="1" x14ac:dyDescent="0.35"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</row>
    <row r="707" spans="10:25" ht="15.75" customHeight="1" x14ac:dyDescent="0.35"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</row>
    <row r="708" spans="10:25" ht="15.75" customHeight="1" x14ac:dyDescent="0.35"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</row>
    <row r="709" spans="10:25" ht="15.75" customHeight="1" x14ac:dyDescent="0.35"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</row>
    <row r="710" spans="10:25" ht="15.75" customHeight="1" x14ac:dyDescent="0.35"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</row>
    <row r="711" spans="10:25" ht="15.75" customHeight="1" x14ac:dyDescent="0.35"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</row>
    <row r="712" spans="10:25" ht="15.75" customHeight="1" x14ac:dyDescent="0.35"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</row>
    <row r="713" spans="10:25" ht="15.75" customHeight="1" x14ac:dyDescent="0.35"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</row>
    <row r="714" spans="10:25" ht="15.75" customHeight="1" x14ac:dyDescent="0.35"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</row>
    <row r="715" spans="10:25" ht="15.75" customHeight="1" x14ac:dyDescent="0.35"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</row>
    <row r="716" spans="10:25" ht="15.75" customHeight="1" x14ac:dyDescent="0.35"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</row>
    <row r="717" spans="10:25" ht="15.75" customHeight="1" x14ac:dyDescent="0.35"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</row>
    <row r="718" spans="10:25" ht="15.75" customHeight="1" x14ac:dyDescent="0.35"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</row>
    <row r="719" spans="10:25" ht="15.75" customHeight="1" x14ac:dyDescent="0.35"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</row>
    <row r="720" spans="10:25" ht="15.75" customHeight="1" x14ac:dyDescent="0.35"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</row>
    <row r="721" spans="10:25" ht="15.75" customHeight="1" x14ac:dyDescent="0.35"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</row>
    <row r="722" spans="10:25" ht="15.75" customHeight="1" x14ac:dyDescent="0.35"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</row>
    <row r="723" spans="10:25" ht="15.75" customHeight="1" x14ac:dyDescent="0.35"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</row>
    <row r="724" spans="10:25" ht="15.75" customHeight="1" x14ac:dyDescent="0.35"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</row>
    <row r="725" spans="10:25" ht="15.75" customHeight="1" x14ac:dyDescent="0.35"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</row>
    <row r="726" spans="10:25" ht="15.75" customHeight="1" x14ac:dyDescent="0.35"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</row>
    <row r="727" spans="10:25" ht="15.75" customHeight="1" x14ac:dyDescent="0.35"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</row>
    <row r="728" spans="10:25" ht="15.75" customHeight="1" x14ac:dyDescent="0.35"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</row>
    <row r="729" spans="10:25" ht="15.75" customHeight="1" x14ac:dyDescent="0.35"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</row>
    <row r="730" spans="10:25" ht="15.75" customHeight="1" x14ac:dyDescent="0.35"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</row>
    <row r="731" spans="10:25" ht="15.75" customHeight="1" x14ac:dyDescent="0.35"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</row>
    <row r="732" spans="10:25" ht="15.75" customHeight="1" x14ac:dyDescent="0.35"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</row>
    <row r="733" spans="10:25" ht="15.75" customHeight="1" x14ac:dyDescent="0.35"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</row>
    <row r="734" spans="10:25" ht="15.75" customHeight="1" x14ac:dyDescent="0.35"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</row>
    <row r="735" spans="10:25" ht="15.75" customHeight="1" x14ac:dyDescent="0.35"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</row>
    <row r="736" spans="10:25" ht="15.75" customHeight="1" x14ac:dyDescent="0.35"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</row>
    <row r="737" spans="10:25" ht="15.75" customHeight="1" x14ac:dyDescent="0.35"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</row>
    <row r="738" spans="10:25" ht="15.75" customHeight="1" x14ac:dyDescent="0.35"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</row>
    <row r="739" spans="10:25" ht="15.75" customHeight="1" x14ac:dyDescent="0.35"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</row>
    <row r="740" spans="10:25" ht="15.75" customHeight="1" x14ac:dyDescent="0.35"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</row>
    <row r="741" spans="10:25" ht="15.75" customHeight="1" x14ac:dyDescent="0.35"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</row>
    <row r="742" spans="10:25" ht="15.75" customHeight="1" x14ac:dyDescent="0.35"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</row>
    <row r="743" spans="10:25" ht="15.75" customHeight="1" x14ac:dyDescent="0.35"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</row>
    <row r="744" spans="10:25" ht="15.75" customHeight="1" x14ac:dyDescent="0.35"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</row>
    <row r="745" spans="10:25" ht="15.75" customHeight="1" x14ac:dyDescent="0.35"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</row>
    <row r="746" spans="10:25" ht="15.75" customHeight="1" x14ac:dyDescent="0.35"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</row>
    <row r="747" spans="10:25" ht="15.75" customHeight="1" x14ac:dyDescent="0.35"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</row>
    <row r="748" spans="10:25" ht="15.75" customHeight="1" x14ac:dyDescent="0.35"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</row>
    <row r="749" spans="10:25" ht="15.75" customHeight="1" x14ac:dyDescent="0.35"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</row>
    <row r="750" spans="10:25" ht="15.75" customHeight="1" x14ac:dyDescent="0.35"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</row>
    <row r="751" spans="10:25" ht="15.75" customHeight="1" x14ac:dyDescent="0.35"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</row>
    <row r="752" spans="10:25" ht="15.75" customHeight="1" x14ac:dyDescent="0.35"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</row>
    <row r="753" spans="10:25" ht="15.75" customHeight="1" x14ac:dyDescent="0.35"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</row>
    <row r="754" spans="10:25" ht="15.75" customHeight="1" x14ac:dyDescent="0.35"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</row>
    <row r="755" spans="10:25" ht="15.75" customHeight="1" x14ac:dyDescent="0.35"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</row>
    <row r="756" spans="10:25" ht="15.75" customHeight="1" x14ac:dyDescent="0.35"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</row>
    <row r="757" spans="10:25" ht="15.75" customHeight="1" x14ac:dyDescent="0.35"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</row>
    <row r="758" spans="10:25" ht="15.75" customHeight="1" x14ac:dyDescent="0.35"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</row>
    <row r="759" spans="10:25" ht="15.75" customHeight="1" x14ac:dyDescent="0.35"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</row>
    <row r="760" spans="10:25" ht="15.75" customHeight="1" x14ac:dyDescent="0.35"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</row>
    <row r="761" spans="10:25" ht="15.75" customHeight="1" x14ac:dyDescent="0.35"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</row>
    <row r="762" spans="10:25" ht="15.75" customHeight="1" x14ac:dyDescent="0.35"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</row>
    <row r="763" spans="10:25" ht="15.75" customHeight="1" x14ac:dyDescent="0.35"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</row>
    <row r="764" spans="10:25" ht="15.75" customHeight="1" x14ac:dyDescent="0.35"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</row>
    <row r="765" spans="10:25" ht="15.75" customHeight="1" x14ac:dyDescent="0.35"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</row>
    <row r="766" spans="10:25" ht="15.75" customHeight="1" x14ac:dyDescent="0.35"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</row>
    <row r="767" spans="10:25" ht="15.75" customHeight="1" x14ac:dyDescent="0.35"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</row>
    <row r="768" spans="10:25" ht="15.75" customHeight="1" x14ac:dyDescent="0.35"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</row>
    <row r="769" spans="10:25" ht="15.75" customHeight="1" x14ac:dyDescent="0.35"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</row>
    <row r="770" spans="10:25" ht="15.75" customHeight="1" x14ac:dyDescent="0.35"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</row>
    <row r="771" spans="10:25" ht="15.75" customHeight="1" x14ac:dyDescent="0.35"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</row>
    <row r="772" spans="10:25" ht="15.75" customHeight="1" x14ac:dyDescent="0.35"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</row>
    <row r="773" spans="10:25" ht="15.75" customHeight="1" x14ac:dyDescent="0.35"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</row>
    <row r="774" spans="10:25" ht="15.75" customHeight="1" x14ac:dyDescent="0.35"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</row>
    <row r="775" spans="10:25" ht="15.75" customHeight="1" x14ac:dyDescent="0.35"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</row>
    <row r="776" spans="10:25" ht="15.75" customHeight="1" x14ac:dyDescent="0.35"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</row>
    <row r="777" spans="10:25" ht="15.75" customHeight="1" x14ac:dyDescent="0.35"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</row>
    <row r="778" spans="10:25" ht="15.75" customHeight="1" x14ac:dyDescent="0.35"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</row>
    <row r="779" spans="10:25" ht="15.75" customHeight="1" x14ac:dyDescent="0.35"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</row>
    <row r="780" spans="10:25" ht="15.75" customHeight="1" x14ac:dyDescent="0.35"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</row>
    <row r="781" spans="10:25" ht="15.75" customHeight="1" x14ac:dyDescent="0.35"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</row>
    <row r="782" spans="10:25" ht="15.75" customHeight="1" x14ac:dyDescent="0.35"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</row>
    <row r="783" spans="10:25" ht="15.75" customHeight="1" x14ac:dyDescent="0.35"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</row>
    <row r="784" spans="10:25" ht="15.75" customHeight="1" x14ac:dyDescent="0.35"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</row>
    <row r="785" spans="10:25" ht="15.75" customHeight="1" x14ac:dyDescent="0.35"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</row>
    <row r="786" spans="10:25" ht="15.75" customHeight="1" x14ac:dyDescent="0.35"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</row>
    <row r="787" spans="10:25" ht="15.75" customHeight="1" x14ac:dyDescent="0.35"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</row>
    <row r="788" spans="10:25" ht="15.75" customHeight="1" x14ac:dyDescent="0.35"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</row>
    <row r="789" spans="10:25" ht="15.75" customHeight="1" x14ac:dyDescent="0.35"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</row>
    <row r="790" spans="10:25" ht="15.75" customHeight="1" x14ac:dyDescent="0.35"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</row>
    <row r="791" spans="10:25" ht="15.75" customHeight="1" x14ac:dyDescent="0.35"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</row>
    <row r="792" spans="10:25" ht="15.75" customHeight="1" x14ac:dyDescent="0.35"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</row>
    <row r="793" spans="10:25" ht="15.75" customHeight="1" x14ac:dyDescent="0.35"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</row>
    <row r="794" spans="10:25" ht="15.75" customHeight="1" x14ac:dyDescent="0.35"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</row>
    <row r="795" spans="10:25" ht="15.75" customHeight="1" x14ac:dyDescent="0.35"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</row>
    <row r="796" spans="10:25" ht="15.75" customHeight="1" x14ac:dyDescent="0.35"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</row>
    <row r="797" spans="10:25" ht="15.75" customHeight="1" x14ac:dyDescent="0.35"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</row>
    <row r="798" spans="10:25" ht="15.75" customHeight="1" x14ac:dyDescent="0.35"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</row>
    <row r="799" spans="10:25" ht="15.75" customHeight="1" x14ac:dyDescent="0.35"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</row>
    <row r="800" spans="10:25" ht="15.75" customHeight="1" x14ac:dyDescent="0.35"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</row>
    <row r="801" spans="10:25" ht="15.75" customHeight="1" x14ac:dyDescent="0.35"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</row>
    <row r="802" spans="10:25" ht="15.75" customHeight="1" x14ac:dyDescent="0.35"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</row>
    <row r="803" spans="10:25" ht="15.75" customHeight="1" x14ac:dyDescent="0.35"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</row>
    <row r="804" spans="10:25" ht="15.75" customHeight="1" x14ac:dyDescent="0.35"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</row>
    <row r="805" spans="10:25" ht="15.75" customHeight="1" x14ac:dyDescent="0.35"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</row>
    <row r="806" spans="10:25" ht="15.75" customHeight="1" x14ac:dyDescent="0.35"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</row>
    <row r="807" spans="10:25" ht="15.75" customHeight="1" x14ac:dyDescent="0.35"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</row>
    <row r="808" spans="10:25" ht="15.75" customHeight="1" x14ac:dyDescent="0.35"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</row>
    <row r="809" spans="10:25" ht="15.75" customHeight="1" x14ac:dyDescent="0.35"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</row>
    <row r="810" spans="10:25" ht="15.75" customHeight="1" x14ac:dyDescent="0.35"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</row>
    <row r="811" spans="10:25" ht="15.75" customHeight="1" x14ac:dyDescent="0.35"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</row>
    <row r="812" spans="10:25" ht="15.75" customHeight="1" x14ac:dyDescent="0.35"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</row>
    <row r="813" spans="10:25" ht="15.75" customHeight="1" x14ac:dyDescent="0.35"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</row>
    <row r="814" spans="10:25" ht="15.75" customHeight="1" x14ac:dyDescent="0.35"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</row>
    <row r="815" spans="10:25" ht="15.75" customHeight="1" x14ac:dyDescent="0.35"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</row>
    <row r="816" spans="10:25" ht="15.75" customHeight="1" x14ac:dyDescent="0.35"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</row>
    <row r="817" spans="10:25" ht="15.75" customHeight="1" x14ac:dyDescent="0.35"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</row>
    <row r="818" spans="10:25" ht="15.75" customHeight="1" x14ac:dyDescent="0.35"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</row>
    <row r="819" spans="10:25" ht="15.75" customHeight="1" x14ac:dyDescent="0.35"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</row>
    <row r="820" spans="10:25" ht="15.75" customHeight="1" x14ac:dyDescent="0.35"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</row>
    <row r="821" spans="10:25" ht="15.75" customHeight="1" x14ac:dyDescent="0.35"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</row>
    <row r="822" spans="10:25" ht="15.75" customHeight="1" x14ac:dyDescent="0.35"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</row>
    <row r="823" spans="10:25" ht="15.75" customHeight="1" x14ac:dyDescent="0.35"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</row>
    <row r="824" spans="10:25" ht="15.75" customHeight="1" x14ac:dyDescent="0.35"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</row>
    <row r="825" spans="10:25" ht="15.75" customHeight="1" x14ac:dyDescent="0.35"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</row>
    <row r="826" spans="10:25" ht="15.75" customHeight="1" x14ac:dyDescent="0.35"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</row>
    <row r="827" spans="10:25" ht="15.75" customHeight="1" x14ac:dyDescent="0.35"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</row>
    <row r="828" spans="10:25" ht="15.75" customHeight="1" x14ac:dyDescent="0.35"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</row>
    <row r="829" spans="10:25" ht="15.75" customHeight="1" x14ac:dyDescent="0.35"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</row>
    <row r="830" spans="10:25" ht="15.75" customHeight="1" x14ac:dyDescent="0.35"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</row>
    <row r="831" spans="10:25" ht="15.75" customHeight="1" x14ac:dyDescent="0.35"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</row>
    <row r="832" spans="10:25" ht="15.75" customHeight="1" x14ac:dyDescent="0.35"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</row>
    <row r="833" spans="10:25" ht="15.75" customHeight="1" x14ac:dyDescent="0.35"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</row>
    <row r="834" spans="10:25" ht="15.75" customHeight="1" x14ac:dyDescent="0.35"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</row>
    <row r="835" spans="10:25" ht="15.75" customHeight="1" x14ac:dyDescent="0.35"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</row>
    <row r="836" spans="10:25" ht="15.75" customHeight="1" x14ac:dyDescent="0.35"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</row>
    <row r="837" spans="10:25" ht="15.75" customHeight="1" x14ac:dyDescent="0.35"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</row>
    <row r="838" spans="10:25" ht="15.75" customHeight="1" x14ac:dyDescent="0.35"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</row>
    <row r="839" spans="10:25" ht="15.75" customHeight="1" x14ac:dyDescent="0.35"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</row>
    <row r="840" spans="10:25" ht="15.75" customHeight="1" x14ac:dyDescent="0.35"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</row>
    <row r="841" spans="10:25" ht="15.75" customHeight="1" x14ac:dyDescent="0.35"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</row>
    <row r="842" spans="10:25" ht="15.75" customHeight="1" x14ac:dyDescent="0.35"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</row>
    <row r="843" spans="10:25" ht="15.75" customHeight="1" x14ac:dyDescent="0.35"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</row>
    <row r="844" spans="10:25" ht="15.75" customHeight="1" x14ac:dyDescent="0.35"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</row>
    <row r="845" spans="10:25" ht="15.75" customHeight="1" x14ac:dyDescent="0.35"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</row>
    <row r="846" spans="10:25" ht="15.75" customHeight="1" x14ac:dyDescent="0.35"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</row>
    <row r="847" spans="10:25" ht="15.75" customHeight="1" x14ac:dyDescent="0.35"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</row>
    <row r="848" spans="10:25" ht="15.75" customHeight="1" x14ac:dyDescent="0.35"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</row>
    <row r="849" spans="10:25" ht="15.75" customHeight="1" x14ac:dyDescent="0.35"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</row>
    <row r="850" spans="10:25" ht="15.75" customHeight="1" x14ac:dyDescent="0.35"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</row>
    <row r="851" spans="10:25" ht="15.75" customHeight="1" x14ac:dyDescent="0.35"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</row>
    <row r="852" spans="10:25" ht="15.75" customHeight="1" x14ac:dyDescent="0.35"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</row>
    <row r="853" spans="10:25" ht="15.75" customHeight="1" x14ac:dyDescent="0.35"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</row>
    <row r="854" spans="10:25" ht="15.75" customHeight="1" x14ac:dyDescent="0.35"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</row>
    <row r="855" spans="10:25" ht="15.75" customHeight="1" x14ac:dyDescent="0.35"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</row>
    <row r="856" spans="10:25" ht="15.75" customHeight="1" x14ac:dyDescent="0.35"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</row>
    <row r="857" spans="10:25" ht="15.75" customHeight="1" x14ac:dyDescent="0.35"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</row>
    <row r="858" spans="10:25" ht="15.75" customHeight="1" x14ac:dyDescent="0.35"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</row>
    <row r="859" spans="10:25" ht="15.75" customHeight="1" x14ac:dyDescent="0.35"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</row>
    <row r="860" spans="10:25" ht="15.75" customHeight="1" x14ac:dyDescent="0.35"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</row>
    <row r="861" spans="10:25" ht="15.75" customHeight="1" x14ac:dyDescent="0.35"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</row>
    <row r="862" spans="10:25" ht="15.75" customHeight="1" x14ac:dyDescent="0.35"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</row>
    <row r="863" spans="10:25" ht="15.75" customHeight="1" x14ac:dyDescent="0.35"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</row>
    <row r="864" spans="10:25" ht="15.75" customHeight="1" x14ac:dyDescent="0.35"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</row>
    <row r="865" spans="10:25" ht="15.75" customHeight="1" x14ac:dyDescent="0.35"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</row>
    <row r="866" spans="10:25" ht="15.75" customHeight="1" x14ac:dyDescent="0.35"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</row>
    <row r="867" spans="10:25" ht="15.75" customHeight="1" x14ac:dyDescent="0.35"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</row>
    <row r="868" spans="10:25" ht="15.75" customHeight="1" x14ac:dyDescent="0.35"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</row>
    <row r="869" spans="10:25" ht="15.75" customHeight="1" x14ac:dyDescent="0.35"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</row>
    <row r="870" spans="10:25" ht="15.75" customHeight="1" x14ac:dyDescent="0.35"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</row>
    <row r="871" spans="10:25" ht="15.75" customHeight="1" x14ac:dyDescent="0.35"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</row>
    <row r="872" spans="10:25" ht="15.75" customHeight="1" x14ac:dyDescent="0.35"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</row>
    <row r="873" spans="10:25" ht="15.75" customHeight="1" x14ac:dyDescent="0.35"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</row>
    <row r="874" spans="10:25" ht="15.75" customHeight="1" x14ac:dyDescent="0.35"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</row>
    <row r="875" spans="10:25" ht="15.75" customHeight="1" x14ac:dyDescent="0.35"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</row>
    <row r="876" spans="10:25" ht="15.75" customHeight="1" x14ac:dyDescent="0.35"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</row>
    <row r="877" spans="10:25" ht="15.75" customHeight="1" x14ac:dyDescent="0.35"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</row>
    <row r="878" spans="10:25" ht="15.75" customHeight="1" x14ac:dyDescent="0.35"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</row>
    <row r="879" spans="10:25" ht="15.75" customHeight="1" x14ac:dyDescent="0.35"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</row>
    <row r="880" spans="10:25" ht="15.75" customHeight="1" x14ac:dyDescent="0.35"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</row>
    <row r="881" spans="10:25" ht="15.75" customHeight="1" x14ac:dyDescent="0.35"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</row>
    <row r="882" spans="10:25" ht="15.75" customHeight="1" x14ac:dyDescent="0.35"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</row>
    <row r="883" spans="10:25" ht="15.75" customHeight="1" x14ac:dyDescent="0.35"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</row>
    <row r="884" spans="10:25" ht="15.75" customHeight="1" x14ac:dyDescent="0.35"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</row>
    <row r="885" spans="10:25" ht="15.75" customHeight="1" x14ac:dyDescent="0.35"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</row>
    <row r="886" spans="10:25" ht="15.75" customHeight="1" x14ac:dyDescent="0.35"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</row>
    <row r="887" spans="10:25" ht="15.75" customHeight="1" x14ac:dyDescent="0.35"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</row>
    <row r="888" spans="10:25" ht="15.75" customHeight="1" x14ac:dyDescent="0.35"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</row>
    <row r="889" spans="10:25" ht="15.75" customHeight="1" x14ac:dyDescent="0.35"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</row>
    <row r="890" spans="10:25" ht="15.75" customHeight="1" x14ac:dyDescent="0.35"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</row>
    <row r="891" spans="10:25" ht="15.75" customHeight="1" x14ac:dyDescent="0.35"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</row>
    <row r="892" spans="10:25" ht="15.75" customHeight="1" x14ac:dyDescent="0.35"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</row>
    <row r="893" spans="10:25" ht="15.75" customHeight="1" x14ac:dyDescent="0.35"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</row>
    <row r="894" spans="10:25" ht="15.75" customHeight="1" x14ac:dyDescent="0.35"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</row>
    <row r="895" spans="10:25" ht="15.75" customHeight="1" x14ac:dyDescent="0.35"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</row>
    <row r="896" spans="10:25" ht="15.75" customHeight="1" x14ac:dyDescent="0.35"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</row>
    <row r="897" spans="10:25" ht="15.75" customHeight="1" x14ac:dyDescent="0.35"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</row>
    <row r="898" spans="10:25" ht="15.75" customHeight="1" x14ac:dyDescent="0.35"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</row>
    <row r="899" spans="10:25" ht="15.75" customHeight="1" x14ac:dyDescent="0.35"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</row>
    <row r="900" spans="10:25" ht="15.75" customHeight="1" x14ac:dyDescent="0.35"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</row>
    <row r="901" spans="10:25" ht="15.75" customHeight="1" x14ac:dyDescent="0.35"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</row>
    <row r="902" spans="10:25" ht="15.75" customHeight="1" x14ac:dyDescent="0.35"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</row>
    <row r="903" spans="10:25" ht="15.75" customHeight="1" x14ac:dyDescent="0.35"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</row>
    <row r="904" spans="10:25" ht="15.75" customHeight="1" x14ac:dyDescent="0.35"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</row>
    <row r="905" spans="10:25" ht="15.75" customHeight="1" x14ac:dyDescent="0.35"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</row>
    <row r="906" spans="10:25" ht="15.75" customHeight="1" x14ac:dyDescent="0.35"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</row>
    <row r="907" spans="10:25" ht="15.75" customHeight="1" x14ac:dyDescent="0.35"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</row>
    <row r="908" spans="10:25" ht="15.75" customHeight="1" x14ac:dyDescent="0.35"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</row>
    <row r="909" spans="10:25" ht="15.75" customHeight="1" x14ac:dyDescent="0.35"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</row>
    <row r="910" spans="10:25" ht="15.75" customHeight="1" x14ac:dyDescent="0.35"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</row>
    <row r="911" spans="10:25" ht="15.75" customHeight="1" x14ac:dyDescent="0.35"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</row>
    <row r="912" spans="10:25" ht="15.75" customHeight="1" x14ac:dyDescent="0.35"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</row>
    <row r="913" spans="10:25" ht="15.75" customHeight="1" x14ac:dyDescent="0.35"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</row>
    <row r="914" spans="10:25" ht="15.75" customHeight="1" x14ac:dyDescent="0.35"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</row>
    <row r="915" spans="10:25" ht="15.75" customHeight="1" x14ac:dyDescent="0.35"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</row>
    <row r="916" spans="10:25" ht="15.75" customHeight="1" x14ac:dyDescent="0.35"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</row>
    <row r="917" spans="10:25" ht="15.75" customHeight="1" x14ac:dyDescent="0.35"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</row>
    <row r="918" spans="10:25" ht="15.75" customHeight="1" x14ac:dyDescent="0.35"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</row>
    <row r="919" spans="10:25" ht="15.75" customHeight="1" x14ac:dyDescent="0.35"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</row>
    <row r="920" spans="10:25" ht="15.75" customHeight="1" x14ac:dyDescent="0.35"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</row>
    <row r="921" spans="10:25" ht="15.75" customHeight="1" x14ac:dyDescent="0.35"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</row>
    <row r="922" spans="10:25" ht="15.75" customHeight="1" x14ac:dyDescent="0.35"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</row>
    <row r="923" spans="10:25" ht="15.75" customHeight="1" x14ac:dyDescent="0.35"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</row>
    <row r="924" spans="10:25" ht="15.75" customHeight="1" x14ac:dyDescent="0.35"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</row>
    <row r="925" spans="10:25" ht="15.75" customHeight="1" x14ac:dyDescent="0.35"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</row>
    <row r="926" spans="10:25" ht="15.75" customHeight="1" x14ac:dyDescent="0.35"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</row>
    <row r="927" spans="10:25" ht="15.75" customHeight="1" x14ac:dyDescent="0.35"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</row>
    <row r="928" spans="10:25" ht="15.75" customHeight="1" x14ac:dyDescent="0.35"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</row>
    <row r="929" spans="10:25" ht="15.75" customHeight="1" x14ac:dyDescent="0.35"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</row>
    <row r="930" spans="10:25" ht="15.75" customHeight="1" x14ac:dyDescent="0.35"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</row>
    <row r="931" spans="10:25" ht="15.75" customHeight="1" x14ac:dyDescent="0.35"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</row>
    <row r="932" spans="10:25" ht="15.75" customHeight="1" x14ac:dyDescent="0.35"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</row>
    <row r="933" spans="10:25" ht="15.75" customHeight="1" x14ac:dyDescent="0.35"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</row>
    <row r="934" spans="10:25" ht="15.75" customHeight="1" x14ac:dyDescent="0.35"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</row>
    <row r="935" spans="10:25" ht="15.75" customHeight="1" x14ac:dyDescent="0.35"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</row>
    <row r="936" spans="10:25" ht="15.75" customHeight="1" x14ac:dyDescent="0.35"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</row>
    <row r="937" spans="10:25" ht="15.75" customHeight="1" x14ac:dyDescent="0.35"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</row>
    <row r="938" spans="10:25" ht="15.75" customHeight="1" x14ac:dyDescent="0.35"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</row>
    <row r="939" spans="10:25" ht="15.75" customHeight="1" x14ac:dyDescent="0.35"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</row>
    <row r="940" spans="10:25" ht="15.75" customHeight="1" x14ac:dyDescent="0.35"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</row>
    <row r="941" spans="10:25" ht="15.75" customHeight="1" x14ac:dyDescent="0.35"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</row>
    <row r="942" spans="10:25" ht="15.75" customHeight="1" x14ac:dyDescent="0.35"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</row>
    <row r="943" spans="10:25" ht="15.75" customHeight="1" x14ac:dyDescent="0.35"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</row>
    <row r="944" spans="10:25" ht="15.75" customHeight="1" x14ac:dyDescent="0.35"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</row>
    <row r="945" spans="10:25" ht="15.75" customHeight="1" x14ac:dyDescent="0.35"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</row>
    <row r="946" spans="10:25" ht="15.75" customHeight="1" x14ac:dyDescent="0.35"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</row>
    <row r="947" spans="10:25" ht="15.75" customHeight="1" x14ac:dyDescent="0.35"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</row>
    <row r="948" spans="10:25" ht="15.75" customHeight="1" x14ac:dyDescent="0.35"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</row>
    <row r="949" spans="10:25" ht="15.75" customHeight="1" x14ac:dyDescent="0.35"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</row>
    <row r="950" spans="10:25" ht="15.75" customHeight="1" x14ac:dyDescent="0.35"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</row>
    <row r="951" spans="10:25" ht="15.75" customHeight="1" x14ac:dyDescent="0.35"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</row>
    <row r="952" spans="10:25" ht="15.75" customHeight="1" x14ac:dyDescent="0.35"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</row>
    <row r="953" spans="10:25" ht="15.75" customHeight="1" x14ac:dyDescent="0.35"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</row>
    <row r="954" spans="10:25" ht="15.75" customHeight="1" x14ac:dyDescent="0.35"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</row>
    <row r="955" spans="10:25" ht="15.75" customHeight="1" x14ac:dyDescent="0.35"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</row>
    <row r="956" spans="10:25" ht="15.75" customHeight="1" x14ac:dyDescent="0.35"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</row>
    <row r="957" spans="10:25" ht="15.75" customHeight="1" x14ac:dyDescent="0.35"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</row>
    <row r="958" spans="10:25" ht="15.75" customHeight="1" x14ac:dyDescent="0.35"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</row>
    <row r="959" spans="10:25" ht="15.75" customHeight="1" x14ac:dyDescent="0.35"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</row>
    <row r="960" spans="10:25" ht="15.75" customHeight="1" x14ac:dyDescent="0.35"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</row>
    <row r="961" spans="10:25" ht="15.75" customHeight="1" x14ac:dyDescent="0.35"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</row>
    <row r="962" spans="10:25" ht="15.75" customHeight="1" x14ac:dyDescent="0.35"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</row>
    <row r="963" spans="10:25" ht="15.75" customHeight="1" x14ac:dyDescent="0.35"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</row>
    <row r="964" spans="10:25" ht="15.75" customHeight="1" x14ac:dyDescent="0.35"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</row>
    <row r="965" spans="10:25" ht="15.75" customHeight="1" x14ac:dyDescent="0.35"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</row>
    <row r="966" spans="10:25" ht="15.75" customHeight="1" x14ac:dyDescent="0.35"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</row>
    <row r="967" spans="10:25" ht="15.75" customHeight="1" x14ac:dyDescent="0.35"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</row>
    <row r="968" spans="10:25" ht="15.75" customHeight="1" x14ac:dyDescent="0.35"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</row>
    <row r="969" spans="10:25" ht="15.75" customHeight="1" x14ac:dyDescent="0.35"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</row>
    <row r="970" spans="10:25" ht="15.75" customHeight="1" x14ac:dyDescent="0.35"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</row>
    <row r="971" spans="10:25" ht="15.75" customHeight="1" x14ac:dyDescent="0.35"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</row>
    <row r="972" spans="10:25" ht="15.75" customHeight="1" x14ac:dyDescent="0.35"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</row>
    <row r="973" spans="10:25" ht="15.75" customHeight="1" x14ac:dyDescent="0.35"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</row>
    <row r="974" spans="10:25" ht="15.75" customHeight="1" x14ac:dyDescent="0.35"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</row>
    <row r="975" spans="10:25" ht="15.75" customHeight="1" x14ac:dyDescent="0.35"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</row>
    <row r="976" spans="10:25" ht="15.75" customHeight="1" x14ac:dyDescent="0.35"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</row>
    <row r="977" spans="10:25" ht="15.75" customHeight="1" x14ac:dyDescent="0.35"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</row>
    <row r="978" spans="10:25" ht="15.75" customHeight="1" x14ac:dyDescent="0.35"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</row>
    <row r="979" spans="10:25" ht="15.75" customHeight="1" x14ac:dyDescent="0.35"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</row>
    <row r="980" spans="10:25" ht="15.75" customHeight="1" x14ac:dyDescent="0.35"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</row>
    <row r="981" spans="10:25" ht="15.75" customHeight="1" x14ac:dyDescent="0.35"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</row>
    <row r="982" spans="10:25" ht="15.75" customHeight="1" x14ac:dyDescent="0.35"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</row>
    <row r="983" spans="10:25" ht="15.75" customHeight="1" x14ac:dyDescent="0.35"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</row>
    <row r="984" spans="10:25" ht="15.75" customHeight="1" x14ac:dyDescent="0.35"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</row>
    <row r="985" spans="10:25" ht="15.75" customHeight="1" x14ac:dyDescent="0.35"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</row>
    <row r="986" spans="10:25" ht="15.75" customHeight="1" x14ac:dyDescent="0.35"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</row>
    <row r="987" spans="10:25" ht="15.75" customHeight="1" x14ac:dyDescent="0.35"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</row>
    <row r="988" spans="10:25" ht="15.75" customHeight="1" x14ac:dyDescent="0.35"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</row>
    <row r="989" spans="10:25" ht="15.75" customHeight="1" x14ac:dyDescent="0.35"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</row>
    <row r="990" spans="10:25" ht="15.75" customHeight="1" x14ac:dyDescent="0.35"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</row>
    <row r="991" spans="10:25" ht="15.75" customHeight="1" x14ac:dyDescent="0.35"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</row>
    <row r="992" spans="10:25" ht="15.75" customHeight="1" x14ac:dyDescent="0.35"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</row>
    <row r="993" spans="10:25" ht="15.75" customHeight="1" x14ac:dyDescent="0.35"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</row>
    <row r="994" spans="10:25" ht="15.75" customHeight="1" x14ac:dyDescent="0.35"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</row>
    <row r="995" spans="10:25" ht="15.75" customHeight="1" x14ac:dyDescent="0.35"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</row>
    <row r="996" spans="10:25" ht="15.75" customHeight="1" x14ac:dyDescent="0.35"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</row>
    <row r="997" spans="10:25" ht="15.75" customHeight="1" x14ac:dyDescent="0.35"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</row>
    <row r="998" spans="10:25" ht="15.75" customHeight="1" x14ac:dyDescent="0.35"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</row>
    <row r="999" spans="10:25" ht="15.75" customHeight="1" x14ac:dyDescent="0.35">
      <c r="J999" s="121"/>
      <c r="K999" s="121"/>
      <c r="L999" s="121"/>
      <c r="M999" s="121"/>
      <c r="N999" s="121"/>
      <c r="O999" s="121"/>
      <c r="P999" s="121"/>
      <c r="Q999" s="121"/>
      <c r="R999" s="121"/>
      <c r="S999" s="121"/>
      <c r="T999" s="121"/>
      <c r="U999" s="121"/>
      <c r="V999" s="121"/>
      <c r="W999" s="121"/>
      <c r="X999" s="121"/>
      <c r="Y999" s="121"/>
    </row>
    <row r="1000" spans="10:25" ht="15.75" customHeight="1" x14ac:dyDescent="0.35">
      <c r="J1000" s="121"/>
      <c r="K1000" s="121"/>
      <c r="L1000" s="121"/>
      <c r="M1000" s="121"/>
      <c r="N1000" s="121"/>
      <c r="O1000" s="121"/>
      <c r="P1000" s="121"/>
      <c r="Q1000" s="121"/>
      <c r="R1000" s="121"/>
      <c r="S1000" s="121"/>
      <c r="T1000" s="121"/>
      <c r="U1000" s="121"/>
      <c r="V1000" s="121"/>
      <c r="W1000" s="121"/>
      <c r="X1000" s="121"/>
      <c r="Y1000" s="121"/>
    </row>
    <row r="1001" spans="10:25" ht="15.75" customHeight="1" x14ac:dyDescent="0.35">
      <c r="J1001" s="121"/>
      <c r="K1001" s="121"/>
      <c r="L1001" s="121"/>
      <c r="M1001" s="121"/>
      <c r="N1001" s="121"/>
      <c r="O1001" s="121"/>
      <c r="P1001" s="121"/>
      <c r="Q1001" s="121"/>
      <c r="R1001" s="121"/>
      <c r="S1001" s="121"/>
      <c r="T1001" s="121"/>
      <c r="U1001" s="121"/>
      <c r="V1001" s="121"/>
      <c r="W1001" s="121"/>
      <c r="X1001" s="121"/>
      <c r="Y1001" s="121"/>
    </row>
  </sheetData>
  <mergeCells count="3">
    <mergeCell ref="Z3:AA3"/>
    <mergeCell ref="H3:I3"/>
    <mergeCell ref="L3:X3"/>
  </mergeCells>
  <conditionalFormatting sqref="L5:L16">
    <cfRule type="containsText" dxfId="32" priority="1" operator="containsText" text="YES">
      <formula>NOT(ISERROR(SEARCH("YES",L5)))</formula>
    </cfRule>
  </conditionalFormatting>
  <conditionalFormatting sqref="M5:S16">
    <cfRule type="cellIs" dxfId="31" priority="2" operator="equal">
      <formula>"YES"</formula>
    </cfRule>
  </conditionalFormatting>
  <conditionalFormatting sqref="T5:T16">
    <cfRule type="containsText" dxfId="30" priority="15" operator="containsText" text="YES">
      <formula>NOT(ISERROR(SEARCH("YES",T5)))</formula>
    </cfRule>
  </conditionalFormatting>
  <conditionalFormatting sqref="V5:V16">
    <cfRule type="cellIs" dxfId="29" priority="5" operator="equal">
      <formula>"MAGNIFICENT"</formula>
    </cfRule>
    <cfRule type="cellIs" dxfId="28" priority="10" operator="equal">
      <formula>"GREAT"</formula>
    </cfRule>
    <cfRule type="cellIs" dxfId="27" priority="11" operator="equal">
      <formula>"WORST"</formula>
    </cfRule>
    <cfRule type="cellIs" dxfId="26" priority="12" operator="equal">
      <formula>"LESS WORST"</formula>
    </cfRule>
  </conditionalFormatting>
  <conditionalFormatting sqref="W5:W16">
    <cfRule type="cellIs" dxfId="25" priority="3" operator="equal">
      <formula>"YES"</formula>
    </cfRule>
    <cfRule type="cellIs" dxfId="24" priority="9" operator="equal">
      <formula>"YA"</formula>
    </cfRule>
  </conditionalFormatting>
  <pageMargins left="0.31496062992125984" right="0.31496062992125984" top="0.74803149606299213" bottom="0.35433070866141736" header="0" footer="0.19685039370078741"/>
  <pageSetup scale="51" fitToHeight="0" orientation="landscape" r:id="rId1"/>
  <rowBreaks count="2" manualBreakCount="2">
    <brk id="20" max="16383" man="1"/>
    <brk id="77" max="16383" man="1"/>
  </rowBreak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0F0992-1E15-40C8-9332-A1C30065DE09}">
          <x14:formula1>
            <xm:f>'MSLC TABEL '!$A$2:$A$3</xm:f>
          </x14:formula1>
          <xm:sqref>T5:U16 W5:W16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7181-BE2B-4659-955F-377385A27A7E}">
  <sheetPr codeName="Sheet3">
    <tabColor rgb="FFFFC000"/>
  </sheetPr>
  <dimension ref="A1:L39"/>
  <sheetViews>
    <sheetView zoomScale="55" zoomScaleNormal="55" workbookViewId="0">
      <selection activeCell="O6" sqref="O6"/>
    </sheetView>
  </sheetViews>
  <sheetFormatPr defaultRowHeight="14.5" x14ac:dyDescent="0.35"/>
  <cols>
    <col min="1" max="1" width="17.81640625" customWidth="1"/>
    <col min="2" max="2" width="11.7265625" customWidth="1"/>
    <col min="3" max="3" width="10.81640625" customWidth="1"/>
    <col min="4" max="4" width="9.1796875" bestFit="1" customWidth="1"/>
    <col min="5" max="5" width="11.1796875" customWidth="1"/>
    <col min="7" max="7" width="16.81640625" bestFit="1" customWidth="1"/>
    <col min="8" max="8" width="14.453125" customWidth="1"/>
    <col min="9" max="9" width="11.54296875" hidden="1" customWidth="1"/>
    <col min="10" max="10" width="10.81640625" customWidth="1"/>
    <col min="11" max="11" width="12.1796875" customWidth="1"/>
    <col min="12" max="12" width="34.26953125" style="19" customWidth="1"/>
  </cols>
  <sheetData>
    <row r="1" spans="1:12" x14ac:dyDescent="0.35">
      <c r="B1" s="344" t="s">
        <v>26</v>
      </c>
      <c r="C1" s="126" t="s">
        <v>257</v>
      </c>
    </row>
    <row r="2" spans="1:12" x14ac:dyDescent="0.35">
      <c r="A2" s="154" t="s">
        <v>126</v>
      </c>
      <c r="B2" s="237"/>
      <c r="C2" s="343" t="e">
        <f>VLOOKUP(B2,'ZODIAC LORD and ATRIBUTES'!A:C,3,FALSE)</f>
        <v>#N/A</v>
      </c>
    </row>
    <row r="3" spans="1:12" ht="45" customHeight="1" x14ac:dyDescent="0.35">
      <c r="A3" s="151" t="s">
        <v>335</v>
      </c>
      <c r="B3" s="237"/>
    </row>
    <row r="4" spans="1:12" ht="45" customHeight="1" x14ac:dyDescent="0.35">
      <c r="A4" s="392"/>
      <c r="B4" s="393"/>
    </row>
    <row r="5" spans="1:12" x14ac:dyDescent="0.35">
      <c r="A5" s="126" t="s">
        <v>25</v>
      </c>
      <c r="B5" s="126" t="s">
        <v>26</v>
      </c>
      <c r="C5" s="126" t="s">
        <v>246</v>
      </c>
      <c r="D5" s="126" t="s">
        <v>144</v>
      </c>
      <c r="E5" s="126" t="s">
        <v>145</v>
      </c>
      <c r="F5" s="126" t="s">
        <v>146</v>
      </c>
      <c r="G5" s="126" t="s">
        <v>147</v>
      </c>
      <c r="H5" s="126" t="s">
        <v>148</v>
      </c>
      <c r="I5" s="126" t="s">
        <v>149</v>
      </c>
      <c r="J5" s="126" t="s">
        <v>149</v>
      </c>
      <c r="K5" s="126" t="s">
        <v>251</v>
      </c>
      <c r="L5" s="319" t="s">
        <v>279</v>
      </c>
    </row>
    <row r="6" spans="1:12" s="41" customFormat="1" ht="36" customHeight="1" x14ac:dyDescent="0.35">
      <c r="A6" s="228">
        <v>1</v>
      </c>
      <c r="B6" s="228">
        <f>B2</f>
        <v>0</v>
      </c>
      <c r="C6" s="228" t="s">
        <v>140</v>
      </c>
      <c r="D6" s="237"/>
      <c r="E6" s="237"/>
      <c r="F6" s="237"/>
      <c r="G6" s="237"/>
      <c r="H6" s="237"/>
      <c r="I6" s="237"/>
      <c r="J6" s="237"/>
      <c r="K6" s="237"/>
      <c r="L6" s="320" t="s">
        <v>416</v>
      </c>
    </row>
    <row r="7" spans="1:12" s="41" customFormat="1" ht="36" customHeight="1" x14ac:dyDescent="0.35">
      <c r="A7" s="228">
        <v>2</v>
      </c>
      <c r="B7" s="228" t="e">
        <f>'CONTINOUS ZODIAC TABLE'!E3</f>
        <v>#N/A</v>
      </c>
      <c r="C7" s="228" t="s">
        <v>247</v>
      </c>
      <c r="D7" s="237"/>
      <c r="E7" s="237"/>
      <c r="F7" s="237"/>
      <c r="G7" s="237"/>
      <c r="H7" s="237"/>
      <c r="I7" s="237"/>
      <c r="J7" s="237"/>
      <c r="K7" s="237"/>
      <c r="L7" s="320" t="s">
        <v>417</v>
      </c>
    </row>
    <row r="8" spans="1:12" s="41" customFormat="1" ht="36" customHeight="1" x14ac:dyDescent="0.35">
      <c r="A8" s="228">
        <v>3</v>
      </c>
      <c r="B8" s="228" t="e">
        <f>'CONTINOUS ZODIAC TABLE'!E4</f>
        <v>#N/A</v>
      </c>
      <c r="C8" s="228" t="s">
        <v>248</v>
      </c>
      <c r="D8" s="237"/>
      <c r="E8" s="237"/>
      <c r="F8" s="237"/>
      <c r="G8" s="237"/>
      <c r="H8" s="237"/>
      <c r="I8" s="237"/>
      <c r="J8" s="237"/>
      <c r="K8" s="237"/>
      <c r="L8" s="320" t="s">
        <v>418</v>
      </c>
    </row>
    <row r="9" spans="1:12" s="41" customFormat="1" ht="36" customHeight="1" x14ac:dyDescent="0.35">
      <c r="A9" s="228">
        <v>4</v>
      </c>
      <c r="B9" s="228" t="e">
        <f>'CONTINOUS ZODIAC TABLE'!E5</f>
        <v>#N/A</v>
      </c>
      <c r="C9" s="228" t="s">
        <v>140</v>
      </c>
      <c r="D9" s="237"/>
      <c r="E9" s="237"/>
      <c r="F9" s="237"/>
      <c r="G9" s="237"/>
      <c r="H9" s="237"/>
      <c r="I9" s="237"/>
      <c r="J9" s="237"/>
      <c r="K9" s="237"/>
      <c r="L9" s="320" t="s">
        <v>419</v>
      </c>
    </row>
    <row r="10" spans="1:12" s="41" customFormat="1" ht="36" customHeight="1" x14ac:dyDescent="0.35">
      <c r="A10" s="228">
        <v>5</v>
      </c>
      <c r="B10" s="228" t="e">
        <f>'CONTINOUS ZODIAC TABLE'!E6</f>
        <v>#N/A</v>
      </c>
      <c r="C10" s="228" t="s">
        <v>247</v>
      </c>
      <c r="D10" s="237"/>
      <c r="E10" s="237"/>
      <c r="F10" s="237"/>
      <c r="G10" s="237"/>
      <c r="H10" s="237"/>
      <c r="I10" s="237"/>
      <c r="J10" s="237"/>
      <c r="K10" s="237"/>
      <c r="L10" s="320" t="s">
        <v>420</v>
      </c>
    </row>
    <row r="11" spans="1:12" s="41" customFormat="1" ht="46" customHeight="1" x14ac:dyDescent="0.35">
      <c r="A11" s="228">
        <v>6</v>
      </c>
      <c r="B11" s="228" t="e">
        <f>'CONTINOUS ZODIAC TABLE'!E7</f>
        <v>#N/A</v>
      </c>
      <c r="C11" s="228" t="s">
        <v>248</v>
      </c>
      <c r="D11" s="237"/>
      <c r="E11" s="237"/>
      <c r="F11" s="237"/>
      <c r="G11" s="237"/>
      <c r="H11" s="237"/>
      <c r="I11" s="237"/>
      <c r="J11" s="237"/>
      <c r="K11" s="237"/>
      <c r="L11" s="320" t="s">
        <v>421</v>
      </c>
    </row>
    <row r="12" spans="1:12" s="41" customFormat="1" ht="36" customHeight="1" x14ac:dyDescent="0.35">
      <c r="A12" s="228">
        <v>7</v>
      </c>
      <c r="B12" s="228" t="e">
        <f>'CONTINOUS ZODIAC TABLE'!E8</f>
        <v>#N/A</v>
      </c>
      <c r="C12" s="228" t="s">
        <v>140</v>
      </c>
      <c r="D12" s="237"/>
      <c r="E12" s="237"/>
      <c r="F12" s="237"/>
      <c r="G12" s="237"/>
      <c r="H12" s="237"/>
      <c r="I12" s="237"/>
      <c r="J12" s="237"/>
      <c r="K12" s="237"/>
      <c r="L12" s="320" t="s">
        <v>422</v>
      </c>
    </row>
    <row r="13" spans="1:12" s="41" customFormat="1" ht="36" customHeight="1" x14ac:dyDescent="0.35">
      <c r="A13" s="228">
        <v>8</v>
      </c>
      <c r="B13" s="228" t="e">
        <f>'CONTINOUS ZODIAC TABLE'!E9</f>
        <v>#N/A</v>
      </c>
      <c r="C13" s="228" t="s">
        <v>247</v>
      </c>
      <c r="D13" s="237"/>
      <c r="E13" s="237"/>
      <c r="F13" s="237"/>
      <c r="G13" s="237"/>
      <c r="H13" s="237"/>
      <c r="I13" s="237"/>
      <c r="J13" s="237"/>
      <c r="K13" s="237"/>
      <c r="L13" s="320" t="s">
        <v>423</v>
      </c>
    </row>
    <row r="14" spans="1:12" s="41" customFormat="1" ht="36" customHeight="1" x14ac:dyDescent="0.35">
      <c r="A14" s="228">
        <v>9</v>
      </c>
      <c r="B14" s="228" t="e">
        <f>'CONTINOUS ZODIAC TABLE'!E10</f>
        <v>#N/A</v>
      </c>
      <c r="C14" s="228" t="s">
        <v>248</v>
      </c>
      <c r="D14" s="237"/>
      <c r="E14" s="237"/>
      <c r="F14" s="237"/>
      <c r="G14" s="237"/>
      <c r="H14" s="237"/>
      <c r="I14" s="237"/>
      <c r="J14" s="237"/>
      <c r="K14" s="237"/>
      <c r="L14" s="320" t="s">
        <v>424</v>
      </c>
    </row>
    <row r="15" spans="1:12" s="41" customFormat="1" ht="36" customHeight="1" x14ac:dyDescent="0.35">
      <c r="A15" s="228">
        <v>10</v>
      </c>
      <c r="B15" s="228" t="e">
        <f>'CONTINOUS ZODIAC TABLE'!E11</f>
        <v>#N/A</v>
      </c>
      <c r="C15" s="228" t="s">
        <v>140</v>
      </c>
      <c r="D15" s="237"/>
      <c r="E15" s="237"/>
      <c r="F15" s="237"/>
      <c r="G15" s="237"/>
      <c r="H15" s="237"/>
      <c r="I15" s="237"/>
      <c r="J15" s="237"/>
      <c r="K15" s="237"/>
      <c r="L15" s="320" t="s">
        <v>425</v>
      </c>
    </row>
    <row r="16" spans="1:12" s="41" customFormat="1" ht="36" customHeight="1" x14ac:dyDescent="0.35">
      <c r="A16" s="228">
        <v>11</v>
      </c>
      <c r="B16" s="228" t="e">
        <f>'CONTINOUS ZODIAC TABLE'!E12</f>
        <v>#N/A</v>
      </c>
      <c r="C16" s="228" t="s">
        <v>247</v>
      </c>
      <c r="D16" s="237"/>
      <c r="E16" s="237"/>
      <c r="F16" s="237"/>
      <c r="G16" s="237"/>
      <c r="H16" s="237"/>
      <c r="I16" s="237"/>
      <c r="J16" s="237"/>
      <c r="K16" s="237"/>
      <c r="L16" s="320" t="s">
        <v>426</v>
      </c>
    </row>
    <row r="17" spans="1:12" s="41" customFormat="1" ht="52.5" customHeight="1" x14ac:dyDescent="0.35">
      <c r="A17" s="228">
        <v>12</v>
      </c>
      <c r="B17" s="228" t="e">
        <f>'CONTINOUS ZODIAC TABLE'!E13</f>
        <v>#N/A</v>
      </c>
      <c r="C17" s="228" t="s">
        <v>248</v>
      </c>
      <c r="D17" s="237"/>
      <c r="E17" s="237"/>
      <c r="F17" s="237"/>
      <c r="G17" s="237"/>
      <c r="H17" s="237"/>
      <c r="I17" s="237"/>
      <c r="J17" s="237"/>
      <c r="K17" s="237"/>
      <c r="L17" s="320" t="s">
        <v>427</v>
      </c>
    </row>
    <row r="19" spans="1:12" ht="29" x14ac:dyDescent="0.35">
      <c r="A19" s="154" t="s">
        <v>53</v>
      </c>
      <c r="B19" s="154" t="s">
        <v>26</v>
      </c>
      <c r="C19" s="154" t="s">
        <v>39</v>
      </c>
      <c r="D19" s="154" t="s">
        <v>25</v>
      </c>
      <c r="E19" s="253" t="s">
        <v>250</v>
      </c>
      <c r="F19" s="275" t="s">
        <v>88</v>
      </c>
      <c r="G19" s="275" t="s">
        <v>249</v>
      </c>
      <c r="H19" s="252" t="s">
        <v>44</v>
      </c>
      <c r="J19" s="251" t="s">
        <v>278</v>
      </c>
      <c r="K19" s="148" t="s">
        <v>278</v>
      </c>
      <c r="L19"/>
    </row>
    <row r="20" spans="1:12" x14ac:dyDescent="0.35">
      <c r="A20" s="66" t="s">
        <v>10</v>
      </c>
      <c r="B20" s="66" t="e" cm="1">
        <f t="array" ref="B20">IF(A20="", "", INDEX($B$6:$B$17, MATCH(1, MMULT(--($D$6:$K$17=A20), TRANSPOSE(COLUMN($D$6:$K$17)^0)), 0)))</f>
        <v>#N/A</v>
      </c>
      <c r="C20" s="164"/>
      <c r="D20" s="66" t="e">
        <f>INDEX($A$6:$A$17,MATCH(B20,$B$6:$B$17,0))</f>
        <v>#N/A</v>
      </c>
      <c r="E20" s="50"/>
      <c r="F20" s="50"/>
      <c r="G20" s="50"/>
      <c r="H20" s="66" t="e">
        <f>'DODECATEMORIA TABLE'!H26</f>
        <v>#N/A</v>
      </c>
      <c r="J20" s="50" t="e">
        <f t="shared" ref="J20:J26" si="0">IF(OR(D20=1, D20=10, D20=7, D20=4), INDEX($A$20:$A$26, MATCH(D20, $D$20:$D$26, 0)), 0)</f>
        <v>#N/A</v>
      </c>
      <c r="K20" s="321" t="e">
        <f t="shared" ref="K20:K26" si="1">IF(OR(D20=10,D20=4,D20=1,D20=7),"ANGGULAR","")</f>
        <v>#N/A</v>
      </c>
      <c r="L20"/>
    </row>
    <row r="21" spans="1:12" x14ac:dyDescent="0.35">
      <c r="A21" s="66" t="s">
        <v>13</v>
      </c>
      <c r="B21" s="66" t="e" cm="1">
        <f t="array" ref="B21">IF(A21="", "", INDEX($B$6:$B$17, MATCH(1, MMULT(--($D$6:$K$17=A21), TRANSPOSE(COLUMN($D$6:$K$17)^0)), 0)))</f>
        <v>#N/A</v>
      </c>
      <c r="C21" s="164"/>
      <c r="D21" s="66" t="e">
        <f t="shared" ref="D21:D27" si="2">INDEX($A$6:$A$17,MATCH(B21,$B$6:$B$17,0))</f>
        <v>#N/A</v>
      </c>
      <c r="E21" s="50"/>
      <c r="F21" s="50"/>
      <c r="G21" s="50"/>
      <c r="H21" s="66" t="e">
        <f>'DODECATEMORIA TABLE'!H27</f>
        <v>#N/A</v>
      </c>
      <c r="J21" s="50" t="e">
        <f t="shared" si="0"/>
        <v>#N/A</v>
      </c>
      <c r="K21" s="321" t="e">
        <f t="shared" si="1"/>
        <v>#N/A</v>
      </c>
      <c r="L21"/>
    </row>
    <row r="22" spans="1:12" x14ac:dyDescent="0.35">
      <c r="A22" s="66" t="s">
        <v>121</v>
      </c>
      <c r="B22" s="66" t="e" cm="1">
        <f t="array" ref="B22">IF(A22="", "", INDEX($B$6:$B$17, MATCH(1, MMULT(--($D$6:$K$17=A22), TRANSPOSE(COLUMN($D$6:$K$17)^0)), 0)))</f>
        <v>#N/A</v>
      </c>
      <c r="C22" s="164"/>
      <c r="D22" s="66" t="e">
        <f t="shared" si="2"/>
        <v>#N/A</v>
      </c>
      <c r="E22" s="50"/>
      <c r="F22" s="50"/>
      <c r="G22" s="50"/>
      <c r="H22" s="66" t="e">
        <f>'DODECATEMORIA TABLE'!H28</f>
        <v>#N/A</v>
      </c>
      <c r="J22" s="50" t="e">
        <f t="shared" si="0"/>
        <v>#N/A</v>
      </c>
      <c r="K22" s="321" t="e">
        <f t="shared" si="1"/>
        <v>#N/A</v>
      </c>
      <c r="L22"/>
    </row>
    <row r="23" spans="1:12" x14ac:dyDescent="0.35">
      <c r="A23" s="66" t="s">
        <v>59</v>
      </c>
      <c r="B23" s="66" t="e" cm="1">
        <f t="array" ref="B23">IF(A23="", "", INDEX($B$6:$B$17, MATCH(1, MMULT(--($D$6:$K$17=A23), TRANSPOSE(COLUMN($D$6:$K$17)^0)), 0)))</f>
        <v>#N/A</v>
      </c>
      <c r="C23" s="164"/>
      <c r="D23" s="66" t="e">
        <f t="shared" si="2"/>
        <v>#N/A</v>
      </c>
      <c r="E23" s="50"/>
      <c r="F23" s="50"/>
      <c r="G23" s="50"/>
      <c r="H23" s="66" t="e">
        <f>'DODECATEMORIA TABLE'!H29</f>
        <v>#N/A</v>
      </c>
      <c r="J23" s="50" t="e">
        <f t="shared" si="0"/>
        <v>#N/A</v>
      </c>
      <c r="K23" s="321" t="e">
        <f t="shared" si="1"/>
        <v>#N/A</v>
      </c>
      <c r="L23"/>
    </row>
    <row r="24" spans="1:12" x14ac:dyDescent="0.35">
      <c r="A24" s="66" t="s">
        <v>118</v>
      </c>
      <c r="B24" s="66" t="e" cm="1">
        <f t="array" ref="B24">IF(A24="", "", INDEX($B$6:$B$17, MATCH(1, MMULT(--($D$6:$K$17=A24), TRANSPOSE(COLUMN($D$6:$K$17)^0)), 0)))</f>
        <v>#N/A</v>
      </c>
      <c r="C24" s="164"/>
      <c r="D24" s="66" t="e">
        <f t="shared" si="2"/>
        <v>#N/A</v>
      </c>
      <c r="E24" s="50"/>
      <c r="F24" s="50"/>
      <c r="G24" s="50"/>
      <c r="H24" s="66" t="e">
        <f>'DODECATEMORIA TABLE'!H30</f>
        <v>#N/A</v>
      </c>
      <c r="J24" s="50" t="e">
        <f t="shared" si="0"/>
        <v>#N/A</v>
      </c>
      <c r="K24" s="321" t="e">
        <f t="shared" si="1"/>
        <v>#N/A</v>
      </c>
      <c r="L24"/>
    </row>
    <row r="25" spans="1:12" x14ac:dyDescent="0.35">
      <c r="A25" s="66" t="s">
        <v>56</v>
      </c>
      <c r="B25" s="66" t="e" cm="1">
        <f t="array" ref="B25">IF(A25="", "", INDEX($B$6:$B$17, MATCH(1, MMULT(--($D$6:$K$17=A25), TRANSPOSE(COLUMN($D$6:$K$17)^0)), 0)))</f>
        <v>#N/A</v>
      </c>
      <c r="C25" s="164"/>
      <c r="D25" s="66" t="e">
        <f t="shared" si="2"/>
        <v>#N/A</v>
      </c>
      <c r="E25" s="50"/>
      <c r="F25" s="50"/>
      <c r="G25" s="50"/>
      <c r="H25" s="66" t="e">
        <f>'DODECATEMORIA TABLE'!H31</f>
        <v>#N/A</v>
      </c>
      <c r="J25" s="50" t="e">
        <f t="shared" si="0"/>
        <v>#N/A</v>
      </c>
      <c r="K25" s="321" t="e">
        <f t="shared" si="1"/>
        <v>#N/A</v>
      </c>
      <c r="L25"/>
    </row>
    <row r="26" spans="1:12" x14ac:dyDescent="0.35">
      <c r="A26" s="66" t="s">
        <v>35</v>
      </c>
      <c r="B26" s="66" t="e" cm="1">
        <f t="array" ref="B26">IF(A26="", "", INDEX($B$6:$B$17, MATCH(1, MMULT(--($D$6:$K$17=A26), TRANSPOSE(COLUMN($D$6:$K$17)^0)), 0)))</f>
        <v>#N/A</v>
      </c>
      <c r="C26" s="164"/>
      <c r="D26" s="66" t="e">
        <f t="shared" si="2"/>
        <v>#N/A</v>
      </c>
      <c r="E26" s="450"/>
      <c r="F26" s="50"/>
      <c r="G26" s="50"/>
      <c r="H26" s="66" t="e">
        <f>'DODECATEMORIA TABLE'!H32</f>
        <v>#N/A</v>
      </c>
      <c r="J26" s="50" t="e">
        <f t="shared" si="0"/>
        <v>#N/A</v>
      </c>
      <c r="K26" s="321" t="e">
        <f t="shared" si="1"/>
        <v>#N/A</v>
      </c>
      <c r="L26"/>
    </row>
    <row r="27" spans="1:12" x14ac:dyDescent="0.35">
      <c r="A27" s="66" t="s">
        <v>68</v>
      </c>
      <c r="B27" s="66" t="e" cm="1">
        <f t="array" ref="B27">IF(A27="", "", INDEX($B$6:$B$17, MATCH(1, MMULT(--($D$6:$K$17=A27), TRANSPOSE(COLUMN($D$6:$K$17)^0)), 0)))</f>
        <v>#N/A</v>
      </c>
      <c r="C27" s="164"/>
      <c r="D27" s="66" t="e">
        <f t="shared" si="2"/>
        <v>#N/A</v>
      </c>
      <c r="E27" s="50"/>
      <c r="F27" s="50"/>
      <c r="G27" s="50"/>
      <c r="H27" s="66" t="e">
        <f>'DODECATEMORIA TABLE'!H34</f>
        <v>#N/A</v>
      </c>
      <c r="J27" s="50"/>
      <c r="K27" s="484"/>
      <c r="L27"/>
    </row>
    <row r="30" spans="1:12" ht="29.15" customHeight="1" x14ac:dyDescent="0.35">
      <c r="A30" s="151" t="s">
        <v>240</v>
      </c>
      <c r="B30" s="151" t="s">
        <v>26</v>
      </c>
      <c r="C30" s="151" t="s">
        <v>39</v>
      </c>
      <c r="D30" s="491" t="s">
        <v>44</v>
      </c>
      <c r="E30" s="491"/>
      <c r="F30" s="152"/>
    </row>
    <row r="31" spans="1:12" x14ac:dyDescent="0.35">
      <c r="A31" s="66" t="s">
        <v>126</v>
      </c>
      <c r="B31" s="66">
        <f>B2</f>
        <v>0</v>
      </c>
      <c r="C31" s="451"/>
      <c r="D31" s="490" t="e">
        <f>'DODECATEMORIA TABLE'!H11</f>
        <v>#REF!</v>
      </c>
      <c r="E31" s="490"/>
      <c r="F31" s="153"/>
    </row>
    <row r="32" spans="1:12" x14ac:dyDescent="0.35">
      <c r="A32" s="66" t="s">
        <v>237</v>
      </c>
      <c r="B32" s="164"/>
      <c r="C32" s="447">
        <f>C31</f>
        <v>0</v>
      </c>
      <c r="D32" s="490" t="e">
        <f>'DODECATEMORIA TABLE'!H12</f>
        <v>#REF!</v>
      </c>
      <c r="E32" s="490"/>
      <c r="F32" s="153"/>
    </row>
    <row r="33" spans="1:12" x14ac:dyDescent="0.35">
      <c r="A33" s="66" t="s">
        <v>238</v>
      </c>
      <c r="B33" s="164"/>
      <c r="C33" s="451"/>
      <c r="D33" s="490" t="e">
        <f>'DODECATEMORIA TABLE'!H13</f>
        <v>#REF!</v>
      </c>
      <c r="E33" s="490"/>
      <c r="F33" s="153"/>
    </row>
    <row r="34" spans="1:12" x14ac:dyDescent="0.35">
      <c r="A34" s="66" t="s">
        <v>239</v>
      </c>
      <c r="B34" s="164"/>
      <c r="C34" s="447">
        <f>C33</f>
        <v>0</v>
      </c>
      <c r="D34" s="490" t="e">
        <f>'DODECATEMORIA TABLE'!H14</f>
        <v>#REF!</v>
      </c>
      <c r="E34" s="490"/>
      <c r="F34" s="153"/>
    </row>
    <row r="35" spans="1:12" x14ac:dyDescent="0.35">
      <c r="B35" s="52"/>
      <c r="C35" s="52"/>
      <c r="D35" s="39"/>
      <c r="E35" s="39"/>
      <c r="F35" s="82"/>
    </row>
    <row r="36" spans="1:12" s="88" customFormat="1" ht="34.5" customHeight="1" x14ac:dyDescent="0.35">
      <c r="A36" s="307" t="s">
        <v>240</v>
      </c>
      <c r="B36" s="307" t="s">
        <v>26</v>
      </c>
      <c r="C36" s="307" t="s">
        <v>39</v>
      </c>
      <c r="D36" s="137" t="s">
        <v>257</v>
      </c>
      <c r="E36" s="151" t="s">
        <v>44</v>
      </c>
      <c r="F36" s="151" t="s">
        <v>257</v>
      </c>
      <c r="J36" s="85"/>
    </row>
    <row r="37" spans="1:12" ht="46.5" customHeight="1" x14ac:dyDescent="0.35">
      <c r="A37" s="203" t="s">
        <v>254</v>
      </c>
      <c r="B37" s="450"/>
      <c r="C37" s="451"/>
      <c r="D37" s="206" t="e">
        <f>INDEX('ZODIAC LORD and ATRIBUTES'!$C$3:$C$14,(MATCH('1. ZODIAC NATAL'!B37,'ZODIAC LORD and ATRIBUTES'!$A$3:$A$14,0)))</f>
        <v>#N/A</v>
      </c>
      <c r="E37" s="50"/>
      <c r="F37" s="50"/>
      <c r="J37" s="19"/>
      <c r="L37"/>
    </row>
    <row r="38" spans="1:12" ht="60.75" customHeight="1" x14ac:dyDescent="0.35">
      <c r="A38" s="203" t="s">
        <v>255</v>
      </c>
      <c r="B38" s="450"/>
      <c r="C38" s="451"/>
      <c r="D38" s="206" t="e">
        <f>INDEX('ZODIAC LORD and ATRIBUTES'!$C$3:$C$14,(MATCH('1. ZODIAC NATAL'!B38,'ZODIAC LORD and ATRIBUTES'!$A$3:$A$14,0)))</f>
        <v>#N/A</v>
      </c>
      <c r="E38" s="50"/>
      <c r="F38" s="50"/>
      <c r="J38" s="19"/>
      <c r="L38"/>
    </row>
    <row r="39" spans="1:12" ht="36.75" customHeight="1" x14ac:dyDescent="0.35">
      <c r="A39" s="203" t="s">
        <v>389</v>
      </c>
      <c r="B39" s="450"/>
      <c r="C39" s="451"/>
      <c r="D39" s="206" t="e">
        <f>INDEX('ZODIAC LORD and ATRIBUTES'!$C$3:$C$14,(MATCH('1. ZODIAC NATAL'!B39,'ZODIAC LORD and ATRIBUTES'!$A$3:$A$14,0)))</f>
        <v>#N/A</v>
      </c>
      <c r="E39" s="377" t="e">
        <f>'DODECATEMORIA TABLE'!H33</f>
        <v>#REF!</v>
      </c>
      <c r="F39" s="377" t="e">
        <f>INDEX('ZODIAC LORD and ATRIBUTES'!$C$3:$C$14,MATCH('1. ZODIAC NATAL'!$E$39,'ZODIAC LORD and ATRIBUTES'!$A$3:$A$14,0))</f>
        <v>#REF!</v>
      </c>
    </row>
  </sheetData>
  <mergeCells count="5">
    <mergeCell ref="D34:E34"/>
    <mergeCell ref="D30:E30"/>
    <mergeCell ref="D31:E31"/>
    <mergeCell ref="D32:E32"/>
    <mergeCell ref="D33:E33"/>
  </mergeCells>
  <conditionalFormatting sqref="D6:K17">
    <cfRule type="duplicateValues" dxfId="23" priority="2"/>
  </conditionalFormatting>
  <conditionalFormatting sqref="K20:K27">
    <cfRule type="cellIs" dxfId="22" priority="1" operator="equal">
      <formula>"ANGGULAR"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D1A37D5-72F7-4BB4-BAB5-43C05B58ED72}">
          <x14:formula1>
            <xm:f>'CHALDEAN ORDER'!$F$2:$F$9</xm:f>
          </x14:formula1>
          <xm:sqref>D6:K17</xm:sqref>
        </x14:dataValidation>
        <x14:dataValidation type="list" allowBlank="1" showInputMessage="1" showErrorMessage="1" xr:uid="{073443E3-ACE3-4ABF-BBD0-D7FC3DD9C20E}">
          <x14:formula1>
            <xm:f>'CONTINOUS ZODIAC TABLE'!$A$2:$A$13</xm:f>
          </x14:formula1>
          <xm:sqref>B32:B35 B37:B39 B2</xm:sqref>
        </x14:dataValidation>
        <x14:dataValidation type="list" allowBlank="1" showInputMessage="1" showErrorMessage="1" xr:uid="{5A2CB5D3-B27A-4D84-B121-A0EB72D62E33}">
          <x14:formula1>
            <xm:f>'1. FIRDARIA CALCULATOR'!$O$3:$O$4</xm:f>
          </x14:formula1>
          <xm:sqref>B4:B17</xm:sqref>
        </x14:dataValidation>
        <x14:dataValidation type="list" allowBlank="1" showInputMessage="1" showErrorMessage="1" xr:uid="{7A543687-00A1-49EB-B581-6214EDDAA995}">
          <x14:formula1>
            <xm:f>'MSLC TABEL '!$C$2:$C$3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DDC9-1CD9-4385-827C-9DB7A900F73A}">
  <sheetPr codeName="Sheet28">
    <tabColor rgb="FFFFC000"/>
  </sheetPr>
  <dimension ref="A1:M53"/>
  <sheetViews>
    <sheetView topLeftCell="A19" zoomScale="70" zoomScaleNormal="70" workbookViewId="0">
      <selection activeCell="M23" sqref="M23"/>
    </sheetView>
  </sheetViews>
  <sheetFormatPr defaultRowHeight="14.5" x14ac:dyDescent="0.35"/>
  <cols>
    <col min="1" max="1" width="11.453125" customWidth="1"/>
    <col min="2" max="2" width="14.26953125" customWidth="1"/>
    <col min="3" max="3" width="10.81640625" customWidth="1"/>
    <col min="4" max="4" width="11.7265625" customWidth="1"/>
    <col min="5" max="5" width="18" customWidth="1"/>
    <col min="7" max="7" width="16.81640625" bestFit="1" customWidth="1"/>
    <col min="8" max="8" width="10" bestFit="1" customWidth="1"/>
    <col min="9" max="9" width="9.1796875" bestFit="1" customWidth="1"/>
    <col min="10" max="10" width="11.26953125" customWidth="1"/>
    <col min="11" max="11" width="9.1796875" bestFit="1" customWidth="1"/>
    <col min="12" max="12" width="6.81640625" style="85" bestFit="1" customWidth="1"/>
    <col min="13" max="13" width="11.453125" customWidth="1"/>
  </cols>
  <sheetData>
    <row r="1" spans="1:13" x14ac:dyDescent="0.35">
      <c r="D1" s="168" t="s">
        <v>26</v>
      </c>
      <c r="E1" s="168" t="s">
        <v>257</v>
      </c>
    </row>
    <row r="2" spans="1:13" x14ac:dyDescent="0.35">
      <c r="A2" s="308" t="s">
        <v>259</v>
      </c>
      <c r="B2" s="309"/>
      <c r="C2" s="310"/>
      <c r="D2" s="12"/>
      <c r="E2" s="343" t="e">
        <f>VLOOKUP(D2,'ZODIAC LORD and ATRIBUTES'!A:C,3,FALSE)</f>
        <v>#N/A</v>
      </c>
    </row>
    <row r="3" spans="1:13" x14ac:dyDescent="0.35">
      <c r="A3" s="308" t="s">
        <v>335</v>
      </c>
      <c r="B3" s="309"/>
      <c r="C3" s="310"/>
      <c r="D3" s="12"/>
    </row>
    <row r="4" spans="1:13" x14ac:dyDescent="0.35">
      <c r="A4" s="308" t="s">
        <v>361</v>
      </c>
      <c r="B4" s="309"/>
      <c r="C4" s="310"/>
      <c r="D4" s="66" t="e">
        <f>IF(D3="DIURNAL",I26,I29)</f>
        <v>#N/A</v>
      </c>
    </row>
    <row r="5" spans="1:13" x14ac:dyDescent="0.35">
      <c r="A5" s="394"/>
      <c r="B5" s="395"/>
      <c r="C5" s="395"/>
      <c r="D5" s="395"/>
    </row>
    <row r="6" spans="1:13" x14ac:dyDescent="0.35">
      <c r="A6" s="396"/>
      <c r="B6" s="397"/>
      <c r="C6" s="397"/>
      <c r="D6" s="397"/>
    </row>
    <row r="7" spans="1:13" x14ac:dyDescent="0.35">
      <c r="A7" s="126" t="s">
        <v>25</v>
      </c>
      <c r="B7" s="265" t="s">
        <v>246</v>
      </c>
      <c r="C7" s="126" t="s">
        <v>26</v>
      </c>
      <c r="D7" s="126" t="s">
        <v>246</v>
      </c>
      <c r="E7" s="126" t="s">
        <v>144</v>
      </c>
      <c r="F7" s="126" t="s">
        <v>145</v>
      </c>
      <c r="G7" s="126" t="s">
        <v>146</v>
      </c>
      <c r="H7" s="126" t="s">
        <v>147</v>
      </c>
      <c r="I7" s="126" t="s">
        <v>148</v>
      </c>
      <c r="J7" s="126" t="s">
        <v>149</v>
      </c>
      <c r="K7" s="126" t="s">
        <v>251</v>
      </c>
      <c r="L7" s="492" t="s">
        <v>279</v>
      </c>
      <c r="M7" s="492"/>
    </row>
    <row r="8" spans="1:13" ht="42" customHeight="1" x14ac:dyDescent="0.35">
      <c r="A8" s="206">
        <v>1</v>
      </c>
      <c r="B8" s="206" t="s">
        <v>151</v>
      </c>
      <c r="C8" s="206">
        <f>D2</f>
        <v>0</v>
      </c>
      <c r="D8" s="206" t="s">
        <v>140</v>
      </c>
      <c r="E8" s="12"/>
      <c r="F8" s="12"/>
      <c r="G8" s="12"/>
      <c r="H8" s="12"/>
      <c r="I8" s="12"/>
      <c r="J8" s="12"/>
      <c r="K8" s="12"/>
      <c r="L8" s="495" t="str">
        <f>'1. ZODIAC NATAL'!L6</f>
        <v>H1 - HELM</v>
      </c>
      <c r="M8" s="495"/>
    </row>
    <row r="9" spans="1:13" ht="42" customHeight="1" x14ac:dyDescent="0.35">
      <c r="A9" s="206">
        <v>2</v>
      </c>
      <c r="B9" s="206" t="s">
        <v>151</v>
      </c>
      <c r="C9" s="206" t="e">
        <f>'CONTINOUS ZODIAC TABLE'!D3</f>
        <v>#N/A</v>
      </c>
      <c r="D9" s="206" t="s">
        <v>247</v>
      </c>
      <c r="E9" s="12"/>
      <c r="F9" s="12"/>
      <c r="G9" s="12"/>
      <c r="H9" s="12"/>
      <c r="I9" s="12"/>
      <c r="J9" s="12"/>
      <c r="K9" s="12"/>
      <c r="L9" s="495" t="str">
        <f>'1. ZODIAC NATAL'!L7</f>
        <v>H2 Gate of Hades</v>
      </c>
      <c r="M9" s="495"/>
    </row>
    <row r="10" spans="1:13" ht="42" customHeight="1" x14ac:dyDescent="0.35">
      <c r="A10" s="206">
        <v>3</v>
      </c>
      <c r="B10" s="206" t="s">
        <v>152</v>
      </c>
      <c r="C10" s="206" t="e">
        <f>'CONTINOUS ZODIAC TABLE'!D4</f>
        <v>#N/A</v>
      </c>
      <c r="D10" s="206" t="s">
        <v>248</v>
      </c>
      <c r="E10" s="12"/>
      <c r="F10" s="12"/>
      <c r="G10" s="12"/>
      <c r="H10" s="12"/>
      <c r="I10" s="12"/>
      <c r="J10" s="12"/>
      <c r="K10" s="12"/>
      <c r="L10" s="495" t="str">
        <f>'1. ZODIAC NATAL'!L8</f>
        <v>H3 - The House of the Goddess</v>
      </c>
      <c r="M10" s="495"/>
    </row>
    <row r="11" spans="1:13" ht="42" customHeight="1" x14ac:dyDescent="0.35">
      <c r="A11" s="206">
        <v>4</v>
      </c>
      <c r="B11" s="206" t="s">
        <v>151</v>
      </c>
      <c r="C11" s="206" t="e">
        <f>'CONTINOUS ZODIAC TABLE'!D5</f>
        <v>#N/A</v>
      </c>
      <c r="D11" s="206" t="s">
        <v>140</v>
      </c>
      <c r="E11" s="12"/>
      <c r="F11" s="12"/>
      <c r="G11" s="12"/>
      <c r="H11" s="12"/>
      <c r="I11" s="12"/>
      <c r="J11" s="12"/>
      <c r="K11" s="12"/>
      <c r="L11" s="495" t="str">
        <f>'1. ZODIAC NATAL'!L9</f>
        <v>H4 -Subterranean</v>
      </c>
      <c r="M11" s="495"/>
    </row>
    <row r="12" spans="1:13" ht="42" customHeight="1" x14ac:dyDescent="0.35">
      <c r="A12" s="206">
        <v>5</v>
      </c>
      <c r="B12" s="206" t="s">
        <v>151</v>
      </c>
      <c r="C12" s="206" t="e">
        <f>'CONTINOUS ZODIAC TABLE'!D6</f>
        <v>#N/A</v>
      </c>
      <c r="D12" s="206" t="s">
        <v>247</v>
      </c>
      <c r="E12" s="12"/>
      <c r="F12" s="12"/>
      <c r="G12" s="12"/>
      <c r="H12" s="12"/>
      <c r="I12" s="12"/>
      <c r="J12" s="12"/>
      <c r="K12" s="12"/>
      <c r="L12" s="495" t="str">
        <f>'1. ZODIAC NATAL'!L10</f>
        <v>H5  Good Fortune</v>
      </c>
      <c r="M12" s="495"/>
    </row>
    <row r="13" spans="1:13" ht="42" customHeight="1" x14ac:dyDescent="0.35">
      <c r="A13" s="206">
        <v>6</v>
      </c>
      <c r="B13" s="206" t="s">
        <v>152</v>
      </c>
      <c r="C13" s="206" t="e">
        <f>'CONTINOUS ZODIAC TABLE'!D7</f>
        <v>#N/A</v>
      </c>
      <c r="D13" s="206" t="s">
        <v>248</v>
      </c>
      <c r="E13" s="12"/>
      <c r="F13" s="12"/>
      <c r="G13" s="12"/>
      <c r="H13" s="12"/>
      <c r="I13" s="12"/>
      <c r="J13" s="12"/>
      <c r="K13" s="12"/>
      <c r="L13" s="495" t="str">
        <f>'1. ZODIAC NATAL'!L11</f>
        <v>H6-Bad Fortune</v>
      </c>
      <c r="M13" s="495"/>
    </row>
    <row r="14" spans="1:13" ht="42" customHeight="1" x14ac:dyDescent="0.35">
      <c r="A14" s="206">
        <v>7</v>
      </c>
      <c r="B14" s="206" t="s">
        <v>151</v>
      </c>
      <c r="C14" s="206" t="e">
        <f>'CONTINOUS ZODIAC TABLE'!D8</f>
        <v>#N/A</v>
      </c>
      <c r="D14" s="206" t="s">
        <v>140</v>
      </c>
      <c r="E14" s="12"/>
      <c r="F14" s="12"/>
      <c r="G14" s="12"/>
      <c r="H14" s="12"/>
      <c r="I14" s="12"/>
      <c r="J14" s="12"/>
      <c r="K14" s="12"/>
      <c r="L14" s="495" t="str">
        <f>'1. ZODIAC NATAL'!L12</f>
        <v>H7- Setting</v>
      </c>
      <c r="M14" s="495"/>
    </row>
    <row r="15" spans="1:13" ht="42" customHeight="1" x14ac:dyDescent="0.35">
      <c r="A15" s="206">
        <v>8</v>
      </c>
      <c r="B15" s="206" t="s">
        <v>151</v>
      </c>
      <c r="C15" s="206" t="e">
        <f>'CONTINOUS ZODIAC TABLE'!D9</f>
        <v>#N/A</v>
      </c>
      <c r="D15" s="206" t="s">
        <v>247</v>
      </c>
      <c r="E15" s="12"/>
      <c r="F15" s="12"/>
      <c r="G15" s="12"/>
      <c r="H15" s="12"/>
      <c r="I15" s="12"/>
      <c r="J15" s="12"/>
      <c r="K15" s="12"/>
      <c r="L15" s="495" t="str">
        <f>'1. ZODIAC NATAL'!L13</f>
        <v>H8-Inactive</v>
      </c>
      <c r="M15" s="495"/>
    </row>
    <row r="16" spans="1:13" ht="42" customHeight="1" x14ac:dyDescent="0.35">
      <c r="A16" s="206">
        <v>9</v>
      </c>
      <c r="B16" s="206" t="s">
        <v>152</v>
      </c>
      <c r="C16" s="206" t="e">
        <f>'CONTINOUS ZODIAC TABLE'!D10</f>
        <v>#N/A</v>
      </c>
      <c r="D16" s="206" t="s">
        <v>248</v>
      </c>
      <c r="E16" s="12"/>
      <c r="F16" s="12"/>
      <c r="G16" s="12"/>
      <c r="H16" s="12"/>
      <c r="I16" s="12"/>
      <c r="J16" s="12"/>
      <c r="K16" s="12"/>
      <c r="L16" s="495" t="str">
        <f>'1. ZODIAC NATAL'!L14</f>
        <v>H9- The House of God</v>
      </c>
      <c r="M16" s="495"/>
    </row>
    <row r="17" spans="1:13" ht="42" customHeight="1" x14ac:dyDescent="0.35">
      <c r="A17" s="206">
        <v>10</v>
      </c>
      <c r="B17" s="206" t="s">
        <v>151</v>
      </c>
      <c r="C17" s="206" t="e">
        <f>'CONTINOUS ZODIAC TABLE'!D11</f>
        <v>#N/A</v>
      </c>
      <c r="D17" s="206" t="s">
        <v>140</v>
      </c>
      <c r="E17" s="12"/>
      <c r="F17" s="12"/>
      <c r="G17" s="12"/>
      <c r="H17" s="12"/>
      <c r="I17" s="12"/>
      <c r="J17" s="12"/>
      <c r="K17" s="12"/>
      <c r="L17" s="495" t="str">
        <f>'1. ZODIAC NATAL'!L15</f>
        <v>H10 - Midheaven</v>
      </c>
      <c r="M17" s="495"/>
    </row>
    <row r="18" spans="1:13" ht="42" customHeight="1" x14ac:dyDescent="0.35">
      <c r="A18" s="206">
        <v>11</v>
      </c>
      <c r="B18" s="206" t="s">
        <v>151</v>
      </c>
      <c r="C18" s="206" t="e">
        <f>'CONTINOUS ZODIAC TABLE'!D12</f>
        <v>#N/A</v>
      </c>
      <c r="D18" s="206" t="s">
        <v>247</v>
      </c>
      <c r="E18" s="12"/>
      <c r="F18" s="12"/>
      <c r="G18" s="12"/>
      <c r="H18" s="12"/>
      <c r="I18" s="12"/>
      <c r="J18" s="12"/>
      <c r="K18" s="12"/>
      <c r="L18" s="495" t="str">
        <f>'1. ZODIAC NATAL'!L16</f>
        <v>H11 Good Spirit</v>
      </c>
      <c r="M18" s="495"/>
    </row>
    <row r="19" spans="1:13" ht="42" customHeight="1" x14ac:dyDescent="0.35">
      <c r="A19" s="206">
        <v>12</v>
      </c>
      <c r="B19" s="206" t="s">
        <v>152</v>
      </c>
      <c r="C19" s="206" t="e">
        <f>'CONTINOUS ZODIAC TABLE'!D13</f>
        <v>#N/A</v>
      </c>
      <c r="D19" s="206" t="s">
        <v>248</v>
      </c>
      <c r="E19" s="12"/>
      <c r="F19" s="12"/>
      <c r="G19" s="12"/>
      <c r="H19" s="12"/>
      <c r="I19" s="12"/>
      <c r="J19" s="12"/>
      <c r="K19" s="12"/>
      <c r="L19" s="495" t="str">
        <f>'1. ZODIAC NATAL'!L17</f>
        <v>H12 Bad Spirit</v>
      </c>
      <c r="M19" s="495"/>
    </row>
    <row r="20" spans="1:13" ht="43" customHeight="1" x14ac:dyDescent="0.35">
      <c r="L20" s="398"/>
      <c r="M20" s="398"/>
    </row>
    <row r="21" spans="1:13" x14ac:dyDescent="0.35">
      <c r="J21" s="424" t="s">
        <v>367</v>
      </c>
      <c r="K21" s="424"/>
      <c r="L21" s="424"/>
      <c r="M21" s="424"/>
    </row>
    <row r="22" spans="1:13" ht="29" x14ac:dyDescent="0.35">
      <c r="A22" s="154" t="s">
        <v>53</v>
      </c>
      <c r="B22" s="154" t="s">
        <v>26</v>
      </c>
      <c r="C22" s="154" t="s">
        <v>39</v>
      </c>
      <c r="D22" s="154" t="s">
        <v>25</v>
      </c>
      <c r="E22" s="151" t="s">
        <v>250</v>
      </c>
      <c r="F22" s="414" t="s">
        <v>88</v>
      </c>
      <c r="G22" s="414" t="s">
        <v>249</v>
      </c>
      <c r="H22" s="449" t="s">
        <v>44</v>
      </c>
      <c r="I22" s="154" t="s">
        <v>257</v>
      </c>
      <c r="J22" s="151" t="s">
        <v>369</v>
      </c>
      <c r="K22" s="154" t="s">
        <v>39</v>
      </c>
      <c r="L22" s="307" t="s">
        <v>25</v>
      </c>
      <c r="M22" s="154" t="s">
        <v>368</v>
      </c>
    </row>
    <row r="23" spans="1:13" x14ac:dyDescent="0.35">
      <c r="A23" s="66" t="s">
        <v>10</v>
      </c>
      <c r="B23" s="66" t="e" cm="1">
        <f t="array" ref="B23">IF(A23="", "", INDEX($C$8:$C$19, MATCH(1, MMULT(--($E$8:$K$19=A23), TRANSPOSE(COLUMN($E$8:$K$19)^0)), 0)))</f>
        <v>#N/A</v>
      </c>
      <c r="C23" s="164"/>
      <c r="D23" s="66" t="e">
        <f>INDEX($A$8:$A$19,MATCH(B23,$C$8:$C$19,0))</f>
        <v>#N/A</v>
      </c>
      <c r="E23" s="50"/>
      <c r="F23" s="50"/>
      <c r="G23" s="50"/>
      <c r="H23" s="50" t="e">
        <f>'DODECATEMORIA TABLE'!H26</f>
        <v>#N/A</v>
      </c>
      <c r="I23" s="50"/>
      <c r="J23" s="66" t="e">
        <f>'1. ZODIAC NATAL'!B20</f>
        <v>#N/A</v>
      </c>
      <c r="K23" s="322">
        <f>'1. ZODIAC NATAL'!C20</f>
        <v>0</v>
      </c>
      <c r="L23" s="323" t="e">
        <f>'1. ZODIAC NATAL'!D20</f>
        <v>#N/A</v>
      </c>
      <c r="M23" s="66" t="e">
        <f>IF(J23=B23,"CHECK AGAIN IN SOLAR RETURN","")</f>
        <v>#N/A</v>
      </c>
    </row>
    <row r="24" spans="1:13" x14ac:dyDescent="0.35">
      <c r="A24" s="66" t="s">
        <v>13</v>
      </c>
      <c r="B24" s="66" t="e" cm="1">
        <f t="array" ref="B24">IF(A24="", "", INDEX($C$8:$C$19, MATCH(1, MMULT(--($E$8:$K$19=A24), TRANSPOSE(COLUMN($E$8:$K$19)^0)), 0)))</f>
        <v>#N/A</v>
      </c>
      <c r="C24" s="164"/>
      <c r="D24" s="66" t="e">
        <f t="shared" ref="D24:D29" si="0">INDEX($A$8:$A$19,MATCH(B24,$C$8:$C$19,0))</f>
        <v>#N/A</v>
      </c>
      <c r="E24" s="50"/>
      <c r="F24" s="50"/>
      <c r="G24" s="50"/>
      <c r="H24" s="50" t="e">
        <f>'DODECATEMORIA TABLE'!H27</f>
        <v>#N/A</v>
      </c>
      <c r="I24" s="50"/>
      <c r="J24" s="66" t="e">
        <f>'1. ZODIAC NATAL'!B21</f>
        <v>#N/A</v>
      </c>
      <c r="K24" s="247">
        <f>'1. ZODIAC NATAL'!C21</f>
        <v>0</v>
      </c>
      <c r="L24" s="77" t="e">
        <f>'1. ZODIAC NATAL'!D21</f>
        <v>#N/A</v>
      </c>
      <c r="M24" s="66" t="e">
        <f>IF(J24=B24,"CHECK AGAIN IN SOLAR RETURN","")</f>
        <v>#N/A</v>
      </c>
    </row>
    <row r="25" spans="1:13" x14ac:dyDescent="0.35">
      <c r="A25" s="66" t="s">
        <v>121</v>
      </c>
      <c r="B25" s="66" t="e" cm="1">
        <f t="array" ref="B25">IF(A25="", "", INDEX($C$8:$C$19, MATCH(1, MMULT(--($E$8:$K$19=A25), TRANSPOSE(COLUMN($E$8:$K$19)^0)), 0)))</f>
        <v>#N/A</v>
      </c>
      <c r="C25" s="164"/>
      <c r="D25" s="66" t="e">
        <f t="shared" si="0"/>
        <v>#N/A</v>
      </c>
      <c r="E25" s="50"/>
      <c r="F25" s="50"/>
      <c r="G25" s="50"/>
      <c r="H25" s="50" t="e">
        <f>'DODECATEMORIA TABLE'!H28</f>
        <v>#N/A</v>
      </c>
      <c r="I25" s="50"/>
      <c r="J25" s="66" t="e">
        <f>'1. ZODIAC NATAL'!B22</f>
        <v>#N/A</v>
      </c>
      <c r="K25" s="247">
        <f>'1. ZODIAC NATAL'!C22</f>
        <v>0</v>
      </c>
      <c r="L25" s="77" t="e">
        <f>'1. ZODIAC NATAL'!D22</f>
        <v>#N/A</v>
      </c>
      <c r="M25" s="66" t="e">
        <f>IF(J25=B25,"CHECK AGAIN IN SOLAR RETURN","")</f>
        <v>#N/A</v>
      </c>
    </row>
    <row r="26" spans="1:13" x14ac:dyDescent="0.35">
      <c r="A26" s="66" t="s">
        <v>59</v>
      </c>
      <c r="B26" s="66" t="e" cm="1">
        <f t="array" ref="B26">IF(A26="", "", INDEX($C$8:$C$19, MATCH(1, MMULT(--($E$8:$K$19=A26), TRANSPOSE(COLUMN($E$8:$K$19)^0)), 0)))</f>
        <v>#N/A</v>
      </c>
      <c r="C26" s="247">
        <f>'1. ZODIAC NATAL'!C23</f>
        <v>0</v>
      </c>
      <c r="D26" s="66" t="e">
        <f t="shared" si="0"/>
        <v>#N/A</v>
      </c>
      <c r="E26" s="50"/>
      <c r="F26" s="50"/>
      <c r="G26" s="50"/>
      <c r="H26" s="50" t="e">
        <f>'DODECATEMORIA TABLE'!H29</f>
        <v>#N/A</v>
      </c>
      <c r="I26" s="66" t="e">
        <f>VLOOKUP(B26,'ZODIAC LORD and ATRIBUTES'!A:C,3,FALSE)</f>
        <v>#N/A</v>
      </c>
      <c r="J26" s="66" t="e">
        <f>'1. ZODIAC NATAL'!B23</f>
        <v>#N/A</v>
      </c>
      <c r="K26" s="247">
        <f>'1. ZODIAC NATAL'!C23</f>
        <v>0</v>
      </c>
      <c r="L26" s="77" t="e">
        <f>'1. ZODIAC NATAL'!D23</f>
        <v>#N/A</v>
      </c>
      <c r="M26" s="50"/>
    </row>
    <row r="27" spans="1:13" x14ac:dyDescent="0.35">
      <c r="A27" s="66" t="s">
        <v>118</v>
      </c>
      <c r="B27" s="66" t="e" cm="1">
        <f t="array" ref="B27">IF(A27="", "", INDEX($C$8:$C$19, MATCH(1, MMULT(--($E$8:$K$19=A27), TRANSPOSE(COLUMN($E$8:$K$19)^0)), 0)))</f>
        <v>#N/A</v>
      </c>
      <c r="C27" s="164"/>
      <c r="D27" s="66" t="e">
        <f t="shared" si="0"/>
        <v>#N/A</v>
      </c>
      <c r="E27" s="50"/>
      <c r="F27" s="50"/>
      <c r="G27" s="50"/>
      <c r="H27" s="50" t="e">
        <f>'DODECATEMORIA TABLE'!H30</f>
        <v>#N/A</v>
      </c>
      <c r="I27" s="50"/>
      <c r="J27" s="66" t="e">
        <f>'1. ZODIAC NATAL'!B24</f>
        <v>#N/A</v>
      </c>
      <c r="K27" s="247">
        <f>'1. ZODIAC NATAL'!C24</f>
        <v>0</v>
      </c>
      <c r="L27" s="77" t="e">
        <f>'1. ZODIAC NATAL'!D24</f>
        <v>#N/A</v>
      </c>
      <c r="M27" s="66" t="e">
        <f>IF(J27=B27,"CHECK AGAIN IN SOLAR RETURN","")</f>
        <v>#N/A</v>
      </c>
    </row>
    <row r="28" spans="1:13" x14ac:dyDescent="0.35">
      <c r="A28" s="66" t="s">
        <v>56</v>
      </c>
      <c r="B28" s="66" t="e" cm="1">
        <f t="array" ref="B28">IF(A28="", "", INDEX($C$8:$C$19, MATCH(1, MMULT(--($E$8:$K$19=A28), TRANSPOSE(COLUMN($E$8:$K$19)^0)), 0)))</f>
        <v>#N/A</v>
      </c>
      <c r="C28" s="164"/>
      <c r="D28" s="66" t="e">
        <f t="shared" si="0"/>
        <v>#N/A</v>
      </c>
      <c r="E28" s="50"/>
      <c r="F28" s="50"/>
      <c r="G28" s="50"/>
      <c r="H28" s="50" t="e">
        <f>'DODECATEMORIA TABLE'!H31</f>
        <v>#N/A</v>
      </c>
      <c r="I28" s="50"/>
      <c r="J28" s="66" t="e">
        <f>'1. ZODIAC NATAL'!B25</f>
        <v>#N/A</v>
      </c>
      <c r="K28" s="247">
        <f>'1. ZODIAC NATAL'!C25</f>
        <v>0</v>
      </c>
      <c r="L28" s="77" t="e">
        <f>'1. ZODIAC NATAL'!D25</f>
        <v>#N/A</v>
      </c>
      <c r="M28" s="66" t="e">
        <f>IF(J28=B28,"CHECK AGAIN IN SOLAR RETURN","")</f>
        <v>#N/A</v>
      </c>
    </row>
    <row r="29" spans="1:13" x14ac:dyDescent="0.35">
      <c r="A29" s="66" t="s">
        <v>35</v>
      </c>
      <c r="B29" s="66" t="e" cm="1">
        <f t="array" ref="B29">IF(A29="", "", INDEX($C$8:$C$19, MATCH(1, MMULT(--($E$8:$K$19=A29), TRANSPOSE(COLUMN($E$8:$K$19)^0)), 0)))</f>
        <v>#N/A</v>
      </c>
      <c r="C29" s="164"/>
      <c r="D29" s="66" t="e">
        <f t="shared" si="0"/>
        <v>#N/A</v>
      </c>
      <c r="E29" s="12"/>
      <c r="F29" s="50"/>
      <c r="G29" s="50"/>
      <c r="H29" s="50" t="e">
        <f>'DODECATEMORIA TABLE'!H32</f>
        <v>#N/A</v>
      </c>
      <c r="I29" s="66" t="e">
        <f>VLOOKUP(B29,'ZODIAC LORD and ATRIBUTES'!A:C,3,FALSE)</f>
        <v>#N/A</v>
      </c>
      <c r="J29" s="66" t="e">
        <f>'1. ZODIAC NATAL'!B26</f>
        <v>#N/A</v>
      </c>
      <c r="K29" s="247">
        <f>'1. ZODIAC NATAL'!C26</f>
        <v>0</v>
      </c>
      <c r="L29" s="77" t="e">
        <f>'1. ZODIAC NATAL'!D26</f>
        <v>#N/A</v>
      </c>
      <c r="M29" s="66" t="e">
        <f>IF(J29=B29,"CHECK AGAIN IN SOLAR RETURN","")</f>
        <v>#N/A</v>
      </c>
    </row>
    <row r="32" spans="1:13" ht="29.15" customHeight="1" x14ac:dyDescent="0.35">
      <c r="A32" s="151" t="s">
        <v>240</v>
      </c>
      <c r="B32" s="151" t="s">
        <v>26</v>
      </c>
      <c r="C32" s="151" t="s">
        <v>39</v>
      </c>
      <c r="D32" s="151" t="s">
        <v>44</v>
      </c>
      <c r="E32" s="244" t="s">
        <v>25</v>
      </c>
    </row>
    <row r="33" spans="1:6" x14ac:dyDescent="0.35">
      <c r="A33" s="228" t="s">
        <v>126</v>
      </c>
      <c r="B33" s="228">
        <f>D2</f>
        <v>0</v>
      </c>
      <c r="C33" s="274"/>
      <c r="D33" s="228" t="e">
        <f>'DODECATEMORIA TABLE'!H21</f>
        <v>#REF!</v>
      </c>
      <c r="E33" s="245"/>
    </row>
    <row r="34" spans="1:6" hidden="1" x14ac:dyDescent="0.35">
      <c r="A34" s="228" t="s">
        <v>237</v>
      </c>
      <c r="B34" s="237" t="s">
        <v>79</v>
      </c>
      <c r="C34" s="274"/>
      <c r="D34" s="228" t="e">
        <f>'DODECATEMORIA TABLE'!#REF!</f>
        <v>#REF!</v>
      </c>
      <c r="E34" s="245"/>
    </row>
    <row r="35" spans="1:6" x14ac:dyDescent="0.35">
      <c r="A35" s="228" t="s">
        <v>238</v>
      </c>
      <c r="B35" s="237"/>
      <c r="C35" s="274"/>
      <c r="D35" s="228" t="e">
        <f>'DODECATEMORIA TABLE'!H22</f>
        <v>#REF!</v>
      </c>
      <c r="E35" s="245"/>
    </row>
    <row r="36" spans="1:6" hidden="1" x14ac:dyDescent="0.35">
      <c r="A36" s="228" t="s">
        <v>239</v>
      </c>
      <c r="B36" s="237" t="s">
        <v>123</v>
      </c>
      <c r="C36" s="274"/>
      <c r="D36" s="228" t="e">
        <f>'DODECATEMORIA TABLE'!#REF!</f>
        <v>#REF!</v>
      </c>
      <c r="E36" s="238"/>
    </row>
    <row r="37" spans="1:6" ht="35.25" customHeight="1" x14ac:dyDescent="0.35">
      <c r="A37" s="95" t="s">
        <v>106</v>
      </c>
      <c r="B37" s="66" t="e" cm="1">
        <f t="array" ref="B37">IF(A37="", "", INDEX($C$8:$C$19, MATCH(1, MMULT(--($E$8:$K$19="LOF"), TRANSPOSE(COLUMN($E$8:$K$19)^0)), 0)))</f>
        <v>#N/A</v>
      </c>
      <c r="C37" s="274"/>
      <c r="D37" s="228" t="e">
        <f>'DODECATEMORIA TABLE'!H23</f>
        <v>#N/A</v>
      </c>
      <c r="E37" s="423" t="e">
        <f>INDEX($A$8:$A$19,MATCH(B37,$C$8:$C$19,0))</f>
        <v>#N/A</v>
      </c>
    </row>
    <row r="38" spans="1:6" ht="35.25" customHeight="1" x14ac:dyDescent="0.35">
      <c r="A38" s="95" t="s">
        <v>276</v>
      </c>
      <c r="B38" s="228" t="e">
        <f>IF(D3="DIURNAL",B26,B29)</f>
        <v>#N/A</v>
      </c>
      <c r="C38" s="228">
        <f>IF(E3="DIURNAL",C26,C29)</f>
        <v>0</v>
      </c>
      <c r="D38" s="228" t="e">
        <f>'DODECATEMORIA TABLE'!H24</f>
        <v>#N/A</v>
      </c>
      <c r="E38" s="50"/>
    </row>
    <row r="39" spans="1:6" ht="35.25" customHeight="1" x14ac:dyDescent="0.35">
      <c r="A39" s="19"/>
      <c r="C39" s="52"/>
    </row>
    <row r="40" spans="1:6" ht="23.5" x14ac:dyDescent="0.55000000000000004">
      <c r="A40" s="232" t="s">
        <v>299</v>
      </c>
      <c r="C40" s="52"/>
    </row>
    <row r="41" spans="1:6" ht="23.5" x14ac:dyDescent="0.55000000000000004">
      <c r="A41" s="232"/>
      <c r="C41" s="52"/>
    </row>
    <row r="42" spans="1:6" ht="34.5" customHeight="1" x14ac:dyDescent="0.45">
      <c r="A42" s="235" t="s">
        <v>300</v>
      </c>
      <c r="B42" s="168" t="s">
        <v>99</v>
      </c>
      <c r="C42" s="236" t="s">
        <v>301</v>
      </c>
      <c r="D42" s="168" t="s">
        <v>73</v>
      </c>
      <c r="E42" s="151" t="s">
        <v>44</v>
      </c>
      <c r="F42" s="151" t="s">
        <v>322</v>
      </c>
    </row>
    <row r="43" spans="1:6" x14ac:dyDescent="0.35">
      <c r="A43" s="234" t="s">
        <v>78</v>
      </c>
      <c r="B43" s="237"/>
      <c r="C43" s="164"/>
      <c r="D43" s="66">
        <f>INDEX($A$8:$A$19,MATCH(B43,$C$8:$C$19,0))</f>
        <v>1</v>
      </c>
      <c r="E43" s="50" t="e">
        <f>'DODECATEMORIA TABLE'!H16</f>
        <v>#REF!</v>
      </c>
      <c r="F43" s="50"/>
    </row>
    <row r="44" spans="1:6" x14ac:dyDescent="0.35">
      <c r="A44" s="234" t="s">
        <v>80</v>
      </c>
      <c r="B44" s="237"/>
      <c r="C44" s="164"/>
      <c r="D44" s="50"/>
      <c r="E44" s="50" t="e">
        <f>'DODECATEMORIA TABLE'!H17</f>
        <v>#REF!</v>
      </c>
      <c r="F44" s="50"/>
    </row>
    <row r="45" spans="1:6" x14ac:dyDescent="0.35">
      <c r="A45" s="234" t="s">
        <v>81</v>
      </c>
      <c r="B45" s="237"/>
      <c r="C45" s="164"/>
      <c r="D45" s="66">
        <f>INDEX($A$8:$A$19,MATCH(B45,$C$8:$C$19,0))</f>
        <v>1</v>
      </c>
      <c r="E45" s="66" t="e">
        <f>'DODECATEMORIA TABLE'!H18</f>
        <v>#REF!</v>
      </c>
      <c r="F45" s="66" t="e">
        <f>'ZODIAC CALCULATION '!H6</f>
        <v>#N/A</v>
      </c>
    </row>
    <row r="46" spans="1:6" x14ac:dyDescent="0.35">
      <c r="A46" s="234" t="s">
        <v>83</v>
      </c>
      <c r="B46" s="237"/>
      <c r="C46" s="164"/>
      <c r="D46" s="66">
        <f>INDEX($A$8:$A$19,MATCH(B46,$C$8:$C$19,0))</f>
        <v>1</v>
      </c>
      <c r="E46" s="66" t="e">
        <f>'DODECATEMORIA TABLE'!H19</f>
        <v>#REF!</v>
      </c>
      <c r="F46" s="50"/>
    </row>
    <row r="47" spans="1:6" x14ac:dyDescent="0.35">
      <c r="A47" s="234" t="s">
        <v>76</v>
      </c>
      <c r="B47" s="228" t="e">
        <f>B37</f>
        <v>#N/A</v>
      </c>
      <c r="C47" s="247">
        <f>C37</f>
        <v>0</v>
      </c>
      <c r="D47" s="66" t="e">
        <f>INDEX($A$8:$A$19,MATCH(B47,$C$8:$C$19,0))</f>
        <v>#N/A</v>
      </c>
      <c r="E47" s="50"/>
      <c r="F47" s="50"/>
    </row>
    <row r="48" spans="1:6" x14ac:dyDescent="0.35">
      <c r="A48" s="233"/>
      <c r="C48" s="52"/>
    </row>
    <row r="51" spans="1:12" x14ac:dyDescent="0.35">
      <c r="A51" s="493" t="s">
        <v>320</v>
      </c>
      <c r="B51" s="493"/>
      <c r="C51" s="494"/>
      <c r="D51" s="494"/>
      <c r="E51" s="494"/>
      <c r="F51" s="494"/>
      <c r="G51" s="494"/>
      <c r="H51" s="494"/>
      <c r="I51" s="494"/>
      <c r="J51" s="494"/>
      <c r="K51" s="494"/>
      <c r="L51" s="494"/>
    </row>
    <row r="52" spans="1:12" x14ac:dyDescent="0.35">
      <c r="A52" s="493"/>
      <c r="B52" s="493"/>
      <c r="C52" s="494"/>
      <c r="D52" s="494"/>
      <c r="E52" s="494"/>
      <c r="F52" s="494"/>
      <c r="G52" s="494"/>
      <c r="H52" s="494"/>
      <c r="I52" s="494"/>
      <c r="J52" s="494"/>
      <c r="K52" s="494"/>
      <c r="L52" s="494"/>
    </row>
    <row r="53" spans="1:12" ht="47.25" customHeight="1" x14ac:dyDescent="0.35">
      <c r="A53" s="493"/>
      <c r="B53" s="493"/>
      <c r="C53" s="494"/>
      <c r="D53" s="494"/>
      <c r="E53" s="494"/>
      <c r="F53" s="494"/>
      <c r="G53" s="494"/>
      <c r="H53" s="494"/>
      <c r="I53" s="494"/>
      <c r="J53" s="494"/>
      <c r="K53" s="494"/>
      <c r="L53" s="494"/>
    </row>
  </sheetData>
  <mergeCells count="15">
    <mergeCell ref="L7:M7"/>
    <mergeCell ref="A51:B53"/>
    <mergeCell ref="C51:L53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</mergeCells>
  <conditionalFormatting sqref="E8:K19">
    <cfRule type="duplicateValues" dxfId="21" priority="2"/>
  </conditionalFormatting>
  <conditionalFormatting sqref="M23:M29">
    <cfRule type="containsText" dxfId="20" priority="1" operator="containsText" text="RETURN">
      <formula>NOT(ISERROR(SEARCH("RETURN",M23)))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B227F0-ACCB-49BE-A309-C25D4BF7BD5C}">
          <x14:formula1>
            <xm:f>'ZODIAC LORD and ATRIBUTES'!$A$3:$A$14</xm:f>
          </x14:formula1>
          <xm:sqref>D2</xm:sqref>
        </x14:dataValidation>
        <x14:dataValidation type="list" allowBlank="1" showInputMessage="1" showErrorMessage="1" xr:uid="{298BDAA2-A1B2-48C4-A75E-E0058FBBDACD}">
          <x14:formula1>
            <xm:f>'CONTINOUS ZODIAC TABLE'!$A$2:$A$13</xm:f>
          </x14:formula1>
          <xm:sqref>B40 B34:B36 B43:B47</xm:sqref>
        </x14:dataValidation>
        <x14:dataValidation type="list" allowBlank="1" showInputMessage="1" showErrorMessage="1" xr:uid="{04260421-1E8D-4BAF-ACE3-0C6A92AEF554}">
          <x14:formula1>
            <xm:f>'MSLC TABEL '!$C$2:$C$3</xm:f>
          </x14:formula1>
          <xm:sqref>D3</xm:sqref>
        </x14:dataValidation>
        <x14:dataValidation type="list" allowBlank="1" showInputMessage="1" showErrorMessage="1" xr:uid="{079407C6-B9A8-477C-8D66-C1DB6ADDBFA4}">
          <x14:formula1>
            <xm:f>'CHALDEAN ORDER'!$F$2:$F$9</xm:f>
          </x14:formula1>
          <xm:sqref>E8:K19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>
    <tabColor rgb="FF00B0F0"/>
    <pageSetUpPr fitToPage="1"/>
  </sheetPr>
  <dimension ref="A1:V82"/>
  <sheetViews>
    <sheetView zoomScale="85" zoomScaleNormal="85" workbookViewId="0">
      <pane ySplit="5" topLeftCell="A6" activePane="bottomLeft" state="frozen"/>
      <selection pane="bottomLeft" activeCell="H6" sqref="H6"/>
    </sheetView>
  </sheetViews>
  <sheetFormatPr defaultRowHeight="14.5" x14ac:dyDescent="0.35"/>
  <cols>
    <col min="1" max="1" width="20.26953125" customWidth="1"/>
    <col min="2" max="2" width="12" bestFit="1" customWidth="1"/>
    <col min="3" max="3" width="5" customWidth="1"/>
    <col min="4" max="5" width="9.36328125" bestFit="1" customWidth="1"/>
    <col min="6" max="6" width="6.90625" style="476" bestFit="1" customWidth="1"/>
    <col min="7" max="7" width="11.1796875" customWidth="1"/>
    <col min="8" max="9" width="2.26953125" customWidth="1"/>
    <col min="10" max="10" width="15.453125" hidden="1" customWidth="1"/>
    <col min="11" max="11" width="9.81640625" hidden="1" customWidth="1"/>
    <col min="12" max="12" width="6.81640625" style="43" hidden="1" customWidth="1"/>
    <col min="13" max="13" width="14.26953125" style="62" hidden="1" customWidth="1"/>
    <col min="14" max="14" width="2.81640625" customWidth="1"/>
    <col min="15" max="15" width="28.453125" customWidth="1"/>
    <col min="16" max="16" width="18.1796875" customWidth="1"/>
    <col min="18" max="18" width="10.453125" customWidth="1"/>
    <col min="19" max="19" width="18.7265625" customWidth="1"/>
    <col min="21" max="21" width="13.81640625" customWidth="1"/>
    <col min="24" max="24" width="7.1796875" bestFit="1" customWidth="1"/>
    <col min="25" max="25" width="11.453125" bestFit="1" customWidth="1"/>
  </cols>
  <sheetData>
    <row r="1" spans="1:20" x14ac:dyDescent="0.35">
      <c r="O1" s="48"/>
      <c r="P1" s="48"/>
      <c r="Q1" s="48"/>
      <c r="R1" s="48"/>
    </row>
    <row r="2" spans="1:20" x14ac:dyDescent="0.35">
      <c r="A2" s="126" t="s">
        <v>414</v>
      </c>
      <c r="B2" s="455"/>
      <c r="O2" s="48"/>
      <c r="P2" s="48"/>
      <c r="Q2" s="48"/>
      <c r="R2" s="48"/>
    </row>
    <row r="3" spans="1:20" ht="15" thickBot="1" x14ac:dyDescent="0.4">
      <c r="A3" s="126" t="s">
        <v>8</v>
      </c>
      <c r="B3" s="345"/>
      <c r="F3" s="477"/>
      <c r="G3" s="82"/>
      <c r="H3" s="82"/>
      <c r="O3" s="421"/>
      <c r="Q3" s="49">
        <f>YEAR(B3)</f>
        <v>1900</v>
      </c>
      <c r="R3" s="347" t="s">
        <v>9</v>
      </c>
      <c r="S3" s="348"/>
    </row>
    <row r="4" spans="1:20" x14ac:dyDescent="0.35">
      <c r="A4" s="126" t="s">
        <v>11</v>
      </c>
      <c r="B4" s="66">
        <f>'1. ZODIAC NATAL'!B3</f>
        <v>0</v>
      </c>
      <c r="O4" s="421"/>
      <c r="P4" s="454"/>
      <c r="Q4" s="421"/>
      <c r="R4" s="114" t="s">
        <v>12</v>
      </c>
      <c r="S4" s="415"/>
      <c r="T4" s="231"/>
    </row>
    <row r="5" spans="1:20" x14ac:dyDescent="0.35">
      <c r="A5" s="126" t="s">
        <v>262</v>
      </c>
      <c r="B5" s="346">
        <f>B2-Q3</f>
        <v>-1900</v>
      </c>
      <c r="O5" s="48"/>
      <c r="P5" s="48"/>
      <c r="Q5" s="48"/>
      <c r="R5" s="416"/>
      <c r="S5" s="33" t="s">
        <v>393</v>
      </c>
    </row>
    <row r="6" spans="1:20" x14ac:dyDescent="0.35">
      <c r="D6" s="496" t="s">
        <v>291</v>
      </c>
      <c r="E6" s="496"/>
      <c r="F6" s="496"/>
      <c r="G6" s="496"/>
      <c r="J6" s="496" t="s">
        <v>290</v>
      </c>
      <c r="K6" s="496"/>
      <c r="L6" s="496"/>
      <c r="M6" s="496"/>
    </row>
    <row r="7" spans="1:20" x14ac:dyDescent="0.35">
      <c r="D7" t="s">
        <v>14</v>
      </c>
      <c r="E7" t="s">
        <v>15</v>
      </c>
      <c r="F7" s="476" t="s">
        <v>16</v>
      </c>
      <c r="G7" s="8" t="s">
        <v>17</v>
      </c>
      <c r="J7" t="s">
        <v>14</v>
      </c>
      <c r="K7" t="s">
        <v>15</v>
      </c>
      <c r="L7" s="43" t="s">
        <v>16</v>
      </c>
      <c r="M7" s="62" t="s">
        <v>17</v>
      </c>
    </row>
    <row r="8" spans="1:20" ht="15" thickBot="1" x14ac:dyDescent="0.4">
      <c r="G8" s="8"/>
    </row>
    <row r="9" spans="1:20" ht="15" thickBot="1" x14ac:dyDescent="0.4">
      <c r="D9" s="497" t="s">
        <v>59</v>
      </c>
      <c r="E9" s="498"/>
      <c r="F9" s="478">
        <f>10/7</f>
        <v>1.4285714285714286</v>
      </c>
      <c r="G9" s="368">
        <f>B3</f>
        <v>0</v>
      </c>
      <c r="J9" s="497" t="s">
        <v>35</v>
      </c>
      <c r="K9" s="498"/>
      <c r="L9" s="45">
        <f>9/7</f>
        <v>1.2857142857142858</v>
      </c>
      <c r="M9" s="362">
        <f>B3</f>
        <v>0</v>
      </c>
    </row>
    <row r="10" spans="1:20" x14ac:dyDescent="0.35">
      <c r="D10" s="356" t="s">
        <v>59</v>
      </c>
      <c r="E10" s="357" t="s">
        <v>118</v>
      </c>
      <c r="F10" s="479">
        <f t="shared" ref="F10:F15" si="0">10/7</f>
        <v>1.4285714285714286</v>
      </c>
      <c r="G10" s="369">
        <f>G9+F9*365.2425</f>
        <v>521.77499999999998</v>
      </c>
      <c r="J10" s="356" t="s">
        <v>35</v>
      </c>
      <c r="K10" s="357" t="s">
        <v>10</v>
      </c>
      <c r="L10" s="46">
        <f t="shared" ref="L10:L15" si="1">9/7</f>
        <v>1.2857142857142858</v>
      </c>
      <c r="M10" s="363">
        <f>M9+L9*365.2425</f>
        <v>469.59750000000003</v>
      </c>
    </row>
    <row r="11" spans="1:20" x14ac:dyDescent="0.35">
      <c r="D11" s="358" t="s">
        <v>59</v>
      </c>
      <c r="E11" s="359" t="s">
        <v>56</v>
      </c>
      <c r="F11" s="480">
        <f t="shared" si="0"/>
        <v>1.4285714285714286</v>
      </c>
      <c r="G11" s="370">
        <f t="shared" ref="G11:G57" si="2">G10+F10*365.2425</f>
        <v>1043.55</v>
      </c>
      <c r="J11" s="358" t="s">
        <v>35</v>
      </c>
      <c r="K11" s="359" t="s">
        <v>13</v>
      </c>
      <c r="L11" s="43">
        <f t="shared" si="1"/>
        <v>1.2857142857142858</v>
      </c>
      <c r="M11" s="364">
        <f t="shared" ref="M11:M75" si="3">M10+L10*365.2425</f>
        <v>939.19500000000005</v>
      </c>
    </row>
    <row r="12" spans="1:20" x14ac:dyDescent="0.35">
      <c r="D12" s="358" t="s">
        <v>59</v>
      </c>
      <c r="E12" s="359" t="s">
        <v>35</v>
      </c>
      <c r="F12" s="480">
        <f t="shared" si="0"/>
        <v>1.4285714285714286</v>
      </c>
      <c r="G12" s="370">
        <f t="shared" si="2"/>
        <v>1565.3249999999998</v>
      </c>
      <c r="J12" s="358" t="s">
        <v>35</v>
      </c>
      <c r="K12" s="359" t="s">
        <v>121</v>
      </c>
      <c r="L12" s="43">
        <f t="shared" si="1"/>
        <v>1.2857142857142858</v>
      </c>
      <c r="M12" s="364">
        <f t="shared" si="3"/>
        <v>1408.7925</v>
      </c>
    </row>
    <row r="13" spans="1:20" x14ac:dyDescent="0.35">
      <c r="D13" s="358" t="s">
        <v>59</v>
      </c>
      <c r="E13" s="359" t="s">
        <v>10</v>
      </c>
      <c r="F13" s="480">
        <f t="shared" si="0"/>
        <v>1.4285714285714286</v>
      </c>
      <c r="G13" s="370">
        <f t="shared" si="2"/>
        <v>2087.1</v>
      </c>
      <c r="J13" s="358" t="s">
        <v>35</v>
      </c>
      <c r="K13" s="359" t="s">
        <v>59</v>
      </c>
      <c r="L13" s="43">
        <f t="shared" si="1"/>
        <v>1.2857142857142858</v>
      </c>
      <c r="M13" s="364">
        <f t="shared" si="3"/>
        <v>1878.39</v>
      </c>
    </row>
    <row r="14" spans="1:20" x14ac:dyDescent="0.35">
      <c r="D14" s="358" t="s">
        <v>59</v>
      </c>
      <c r="E14" s="359" t="s">
        <v>13</v>
      </c>
      <c r="F14" s="480">
        <f t="shared" si="0"/>
        <v>1.4285714285714286</v>
      </c>
      <c r="G14" s="370">
        <f t="shared" si="2"/>
        <v>2608.875</v>
      </c>
      <c r="J14" s="358" t="s">
        <v>35</v>
      </c>
      <c r="K14" s="359" t="s">
        <v>118</v>
      </c>
      <c r="L14" s="43">
        <f t="shared" si="1"/>
        <v>1.2857142857142858</v>
      </c>
      <c r="M14" s="364">
        <f t="shared" si="3"/>
        <v>2347.9875000000002</v>
      </c>
    </row>
    <row r="15" spans="1:20" ht="15" thickBot="1" x14ac:dyDescent="0.4">
      <c r="D15" s="360" t="s">
        <v>59</v>
      </c>
      <c r="E15" s="361" t="s">
        <v>121</v>
      </c>
      <c r="F15" s="481">
        <f t="shared" si="0"/>
        <v>1.4285714285714286</v>
      </c>
      <c r="G15" s="371">
        <f t="shared" si="2"/>
        <v>3130.65</v>
      </c>
      <c r="J15" s="360" t="s">
        <v>35</v>
      </c>
      <c r="K15" s="361" t="s">
        <v>56</v>
      </c>
      <c r="L15" s="44">
        <f t="shared" si="1"/>
        <v>1.2857142857142858</v>
      </c>
      <c r="M15" s="365">
        <f>M14+L14*365.2425</f>
        <v>2817.585</v>
      </c>
    </row>
    <row r="16" spans="1:20" ht="15" thickBot="1" x14ac:dyDescent="0.4">
      <c r="D16" s="497" t="s">
        <v>118</v>
      </c>
      <c r="E16" s="498"/>
      <c r="F16" s="478">
        <f>8/7</f>
        <v>1.1428571428571428</v>
      </c>
      <c r="G16" s="368">
        <f t="shared" si="2"/>
        <v>3652.4250000000002</v>
      </c>
      <c r="J16" s="497" t="s">
        <v>10</v>
      </c>
      <c r="K16" s="498"/>
      <c r="L16" s="45">
        <f>11/7</f>
        <v>1.5714285714285714</v>
      </c>
      <c r="M16" s="362">
        <f t="shared" si="3"/>
        <v>3287.1824999999999</v>
      </c>
    </row>
    <row r="17" spans="4:13" x14ac:dyDescent="0.35">
      <c r="D17" s="356" t="s">
        <v>118</v>
      </c>
      <c r="E17" s="357" t="s">
        <v>56</v>
      </c>
      <c r="F17" s="479">
        <f t="shared" ref="F17:F22" si="4">8/7</f>
        <v>1.1428571428571428</v>
      </c>
      <c r="G17" s="369">
        <f t="shared" si="2"/>
        <v>4069.8450000000003</v>
      </c>
      <c r="J17" s="1" t="s">
        <v>10</v>
      </c>
      <c r="K17" s="5" t="s">
        <v>13</v>
      </c>
      <c r="L17" s="46">
        <f t="shared" ref="L17:L22" si="5">11/7</f>
        <v>1.5714285714285714</v>
      </c>
      <c r="M17" s="363">
        <f t="shared" si="3"/>
        <v>3861.1349999999998</v>
      </c>
    </row>
    <row r="18" spans="4:13" x14ac:dyDescent="0.35">
      <c r="D18" s="358" t="s">
        <v>118</v>
      </c>
      <c r="E18" s="359" t="s">
        <v>35</v>
      </c>
      <c r="F18" s="480">
        <f t="shared" si="4"/>
        <v>1.1428571428571428</v>
      </c>
      <c r="G18" s="370">
        <f t="shared" si="2"/>
        <v>4487.2650000000003</v>
      </c>
      <c r="J18" s="2" t="s">
        <v>10</v>
      </c>
      <c r="K18" s="6" t="s">
        <v>121</v>
      </c>
      <c r="L18" s="43">
        <f t="shared" si="5"/>
        <v>1.5714285714285714</v>
      </c>
      <c r="M18" s="364">
        <f t="shared" si="3"/>
        <v>4435.0874999999996</v>
      </c>
    </row>
    <row r="19" spans="4:13" x14ac:dyDescent="0.35">
      <c r="D19" s="358" t="s">
        <v>118</v>
      </c>
      <c r="E19" s="359" t="s">
        <v>10</v>
      </c>
      <c r="F19" s="480">
        <f t="shared" si="4"/>
        <v>1.1428571428571428</v>
      </c>
      <c r="G19" s="370">
        <f t="shared" si="2"/>
        <v>4904.6850000000004</v>
      </c>
      <c r="J19" s="2" t="s">
        <v>10</v>
      </c>
      <c r="K19" s="6" t="s">
        <v>59</v>
      </c>
      <c r="L19" s="43">
        <f t="shared" si="5"/>
        <v>1.5714285714285714</v>
      </c>
      <c r="M19" s="364">
        <f t="shared" si="3"/>
        <v>5009.04</v>
      </c>
    </row>
    <row r="20" spans="4:13" x14ac:dyDescent="0.35">
      <c r="D20" s="358" t="s">
        <v>118</v>
      </c>
      <c r="E20" s="359" t="s">
        <v>13</v>
      </c>
      <c r="F20" s="480">
        <f t="shared" si="4"/>
        <v>1.1428571428571428</v>
      </c>
      <c r="G20" s="370">
        <f t="shared" si="2"/>
        <v>5322.1050000000005</v>
      </c>
      <c r="J20" s="2" t="s">
        <v>10</v>
      </c>
      <c r="K20" s="6" t="s">
        <v>118</v>
      </c>
      <c r="L20" s="43">
        <f t="shared" si="5"/>
        <v>1.5714285714285714</v>
      </c>
      <c r="M20" s="364">
        <f t="shared" si="3"/>
        <v>5582.9925000000003</v>
      </c>
    </row>
    <row r="21" spans="4:13" x14ac:dyDescent="0.35">
      <c r="D21" s="358" t="s">
        <v>118</v>
      </c>
      <c r="E21" s="359" t="s">
        <v>121</v>
      </c>
      <c r="F21" s="480">
        <f t="shared" si="4"/>
        <v>1.1428571428571428</v>
      </c>
      <c r="G21" s="370">
        <f t="shared" si="2"/>
        <v>5739.5250000000005</v>
      </c>
      <c r="J21" s="2" t="s">
        <v>10</v>
      </c>
      <c r="K21" s="6" t="s">
        <v>56</v>
      </c>
      <c r="L21" s="43">
        <f t="shared" si="5"/>
        <v>1.5714285714285714</v>
      </c>
      <c r="M21" s="364">
        <f t="shared" si="3"/>
        <v>6156.9450000000006</v>
      </c>
    </row>
    <row r="22" spans="4:13" ht="15" thickBot="1" x14ac:dyDescent="0.4">
      <c r="D22" s="360" t="s">
        <v>118</v>
      </c>
      <c r="E22" s="361" t="s">
        <v>59</v>
      </c>
      <c r="F22" s="481">
        <f t="shared" si="4"/>
        <v>1.1428571428571428</v>
      </c>
      <c r="G22" s="371">
        <f t="shared" si="2"/>
        <v>6156.9450000000006</v>
      </c>
      <c r="J22" s="3" t="s">
        <v>10</v>
      </c>
      <c r="K22" s="7" t="s">
        <v>35</v>
      </c>
      <c r="L22" s="44">
        <f t="shared" si="5"/>
        <v>1.5714285714285714</v>
      </c>
      <c r="M22" s="365">
        <f t="shared" si="3"/>
        <v>6730.8975000000009</v>
      </c>
    </row>
    <row r="23" spans="4:13" ht="15" thickBot="1" x14ac:dyDescent="0.4">
      <c r="D23" s="497" t="s">
        <v>56</v>
      </c>
      <c r="E23" s="498"/>
      <c r="F23" s="478">
        <f>13/7</f>
        <v>1.8571428571428572</v>
      </c>
      <c r="G23" s="368">
        <f t="shared" si="2"/>
        <v>6574.3650000000007</v>
      </c>
      <c r="J23" s="497" t="s">
        <v>13</v>
      </c>
      <c r="K23" s="498"/>
      <c r="L23" s="45">
        <f>12/7</f>
        <v>1.7142857142857142</v>
      </c>
      <c r="M23" s="362">
        <f t="shared" si="3"/>
        <v>7304.8500000000013</v>
      </c>
    </row>
    <row r="24" spans="4:13" x14ac:dyDescent="0.35">
      <c r="D24" s="356" t="s">
        <v>56</v>
      </c>
      <c r="E24" s="357" t="s">
        <v>35</v>
      </c>
      <c r="F24" s="479">
        <f t="shared" ref="F24:F29" si="6">13/7</f>
        <v>1.8571428571428572</v>
      </c>
      <c r="G24" s="369">
        <f t="shared" si="2"/>
        <v>7252.6725000000006</v>
      </c>
      <c r="J24" s="1" t="s">
        <v>13</v>
      </c>
      <c r="K24" s="5" t="s">
        <v>121</v>
      </c>
      <c r="L24" s="46">
        <f t="shared" ref="L24:L29" si="7">12/7</f>
        <v>1.7142857142857142</v>
      </c>
      <c r="M24" s="363">
        <f t="shared" si="3"/>
        <v>7930.9800000000014</v>
      </c>
    </row>
    <row r="25" spans="4:13" x14ac:dyDescent="0.35">
      <c r="D25" s="358" t="s">
        <v>56</v>
      </c>
      <c r="E25" s="359" t="s">
        <v>10</v>
      </c>
      <c r="F25" s="480">
        <f t="shared" si="6"/>
        <v>1.8571428571428572</v>
      </c>
      <c r="G25" s="370">
        <f t="shared" si="2"/>
        <v>7930.9800000000005</v>
      </c>
      <c r="J25" s="2" t="s">
        <v>13</v>
      </c>
      <c r="K25" s="6" t="s">
        <v>59</v>
      </c>
      <c r="L25" s="43">
        <f t="shared" si="7"/>
        <v>1.7142857142857142</v>
      </c>
      <c r="M25" s="364">
        <f t="shared" si="3"/>
        <v>8557.11</v>
      </c>
    </row>
    <row r="26" spans="4:13" x14ac:dyDescent="0.35">
      <c r="D26" s="358" t="s">
        <v>56</v>
      </c>
      <c r="E26" s="359" t="s">
        <v>13</v>
      </c>
      <c r="F26" s="480">
        <f t="shared" si="6"/>
        <v>1.8571428571428572</v>
      </c>
      <c r="G26" s="370">
        <f t="shared" si="2"/>
        <v>8609.2875000000004</v>
      </c>
      <c r="J26" s="2" t="s">
        <v>13</v>
      </c>
      <c r="K26" s="6" t="s">
        <v>118</v>
      </c>
      <c r="L26" s="43">
        <f t="shared" si="7"/>
        <v>1.7142857142857142</v>
      </c>
      <c r="M26" s="364">
        <f t="shared" si="3"/>
        <v>9183.24</v>
      </c>
    </row>
    <row r="27" spans="4:13" x14ac:dyDescent="0.35">
      <c r="D27" s="358" t="s">
        <v>56</v>
      </c>
      <c r="E27" s="359" t="s">
        <v>121</v>
      </c>
      <c r="F27" s="480">
        <f t="shared" si="6"/>
        <v>1.8571428571428572</v>
      </c>
      <c r="G27" s="370">
        <f t="shared" si="2"/>
        <v>9287.5950000000012</v>
      </c>
      <c r="J27" s="2" t="s">
        <v>13</v>
      </c>
      <c r="K27" s="6" t="s">
        <v>56</v>
      </c>
      <c r="L27" s="43">
        <f t="shared" si="7"/>
        <v>1.7142857142857142</v>
      </c>
      <c r="M27" s="364">
        <f t="shared" si="3"/>
        <v>9809.369999999999</v>
      </c>
    </row>
    <row r="28" spans="4:13" x14ac:dyDescent="0.35">
      <c r="D28" s="358" t="s">
        <v>56</v>
      </c>
      <c r="E28" s="359" t="s">
        <v>59</v>
      </c>
      <c r="F28" s="480">
        <f t="shared" si="6"/>
        <v>1.8571428571428572</v>
      </c>
      <c r="G28" s="370">
        <f t="shared" si="2"/>
        <v>9965.902500000002</v>
      </c>
      <c r="J28" s="2" t="s">
        <v>13</v>
      </c>
      <c r="K28" s="6" t="s">
        <v>35</v>
      </c>
      <c r="L28" s="43">
        <f t="shared" si="7"/>
        <v>1.7142857142857142</v>
      </c>
      <c r="M28" s="364">
        <f t="shared" si="3"/>
        <v>10435.499999999998</v>
      </c>
    </row>
    <row r="29" spans="4:13" ht="15" thickBot="1" x14ac:dyDescent="0.4">
      <c r="D29" s="360" t="s">
        <v>56</v>
      </c>
      <c r="E29" s="361" t="s">
        <v>118</v>
      </c>
      <c r="F29" s="481">
        <f t="shared" si="6"/>
        <v>1.8571428571428572</v>
      </c>
      <c r="G29" s="371">
        <f t="shared" si="2"/>
        <v>10644.210000000003</v>
      </c>
      <c r="J29" s="3" t="s">
        <v>13</v>
      </c>
      <c r="K29" s="7" t="s">
        <v>10</v>
      </c>
      <c r="L29" s="44">
        <f t="shared" si="7"/>
        <v>1.7142857142857142</v>
      </c>
      <c r="M29" s="365">
        <f t="shared" si="3"/>
        <v>11061.629999999997</v>
      </c>
    </row>
    <row r="30" spans="4:13" ht="15" thickBot="1" x14ac:dyDescent="0.4">
      <c r="D30" s="497" t="s">
        <v>35</v>
      </c>
      <c r="E30" s="498"/>
      <c r="F30" s="478">
        <f>9/7</f>
        <v>1.2857142857142858</v>
      </c>
      <c r="G30" s="368">
        <f t="shared" si="2"/>
        <v>11322.517500000004</v>
      </c>
      <c r="J30" s="497" t="s">
        <v>121</v>
      </c>
      <c r="K30" s="498"/>
      <c r="L30" s="45">
        <v>1</v>
      </c>
      <c r="M30" s="362">
        <f t="shared" si="3"/>
        <v>11687.759999999997</v>
      </c>
    </row>
    <row r="31" spans="4:13" x14ac:dyDescent="0.35">
      <c r="D31" s="356" t="s">
        <v>35</v>
      </c>
      <c r="E31" s="357" t="s">
        <v>10</v>
      </c>
      <c r="F31" s="479">
        <f t="shared" ref="F31:F36" si="8">9/7</f>
        <v>1.2857142857142858</v>
      </c>
      <c r="G31" s="369">
        <f t="shared" si="2"/>
        <v>11792.115000000003</v>
      </c>
      <c r="J31" s="1" t="s">
        <v>121</v>
      </c>
      <c r="K31" s="5" t="s">
        <v>59</v>
      </c>
      <c r="L31" s="46">
        <v>1</v>
      </c>
      <c r="M31" s="363">
        <f t="shared" si="3"/>
        <v>12053.002499999997</v>
      </c>
    </row>
    <row r="32" spans="4:13" x14ac:dyDescent="0.35">
      <c r="D32" s="358" t="s">
        <v>35</v>
      </c>
      <c r="E32" s="359" t="s">
        <v>13</v>
      </c>
      <c r="F32" s="480">
        <f t="shared" si="8"/>
        <v>1.2857142857142858</v>
      </c>
      <c r="G32" s="370">
        <f t="shared" si="2"/>
        <v>12261.712500000003</v>
      </c>
      <c r="J32" s="2" t="s">
        <v>121</v>
      </c>
      <c r="K32" s="6" t="s">
        <v>118</v>
      </c>
      <c r="L32" s="43">
        <v>1</v>
      </c>
      <c r="M32" s="364">
        <f t="shared" si="3"/>
        <v>12418.244999999997</v>
      </c>
    </row>
    <row r="33" spans="4:22" x14ac:dyDescent="0.35">
      <c r="D33" s="358" t="s">
        <v>35</v>
      </c>
      <c r="E33" s="359" t="s">
        <v>121</v>
      </c>
      <c r="F33" s="480">
        <f t="shared" si="8"/>
        <v>1.2857142857142858</v>
      </c>
      <c r="G33" s="370">
        <f t="shared" si="2"/>
        <v>12731.310000000003</v>
      </c>
      <c r="J33" s="2" t="s">
        <v>121</v>
      </c>
      <c r="K33" s="6" t="s">
        <v>56</v>
      </c>
      <c r="L33" s="43">
        <v>1</v>
      </c>
      <c r="M33" s="364">
        <f t="shared" si="3"/>
        <v>12783.487499999997</v>
      </c>
    </row>
    <row r="34" spans="4:22" x14ac:dyDescent="0.35">
      <c r="D34" s="358" t="s">
        <v>35</v>
      </c>
      <c r="E34" s="359" t="s">
        <v>59</v>
      </c>
      <c r="F34" s="480">
        <f t="shared" si="8"/>
        <v>1.2857142857142858</v>
      </c>
      <c r="G34" s="370">
        <f t="shared" si="2"/>
        <v>13200.907500000003</v>
      </c>
      <c r="J34" s="2" t="s">
        <v>121</v>
      </c>
      <c r="K34" s="6" t="s">
        <v>35</v>
      </c>
      <c r="L34" s="43">
        <v>1</v>
      </c>
      <c r="M34" s="364">
        <f t="shared" si="3"/>
        <v>13148.729999999998</v>
      </c>
    </row>
    <row r="35" spans="4:22" x14ac:dyDescent="0.35">
      <c r="D35" s="358" t="s">
        <v>35</v>
      </c>
      <c r="E35" s="359" t="s">
        <v>118</v>
      </c>
      <c r="F35" s="480">
        <f t="shared" si="8"/>
        <v>1.2857142857142858</v>
      </c>
      <c r="G35" s="370">
        <f t="shared" si="2"/>
        <v>13670.505000000003</v>
      </c>
      <c r="J35" s="2" t="s">
        <v>121</v>
      </c>
      <c r="K35" s="6" t="s">
        <v>10</v>
      </c>
      <c r="L35" s="43">
        <v>1</v>
      </c>
      <c r="M35" s="364">
        <f t="shared" si="3"/>
        <v>13513.972499999998</v>
      </c>
    </row>
    <row r="36" spans="4:22" ht="15" thickBot="1" x14ac:dyDescent="0.4">
      <c r="D36" s="360" t="s">
        <v>35</v>
      </c>
      <c r="E36" s="361" t="s">
        <v>56</v>
      </c>
      <c r="F36" s="481">
        <f t="shared" si="8"/>
        <v>1.2857142857142858</v>
      </c>
      <c r="G36" s="371">
        <f t="shared" si="2"/>
        <v>14140.102500000003</v>
      </c>
      <c r="J36" s="3" t="s">
        <v>121</v>
      </c>
      <c r="K36" s="7" t="s">
        <v>13</v>
      </c>
      <c r="L36" s="44">
        <v>1</v>
      </c>
      <c r="M36" s="365">
        <f t="shared" si="3"/>
        <v>13879.214999999998</v>
      </c>
    </row>
    <row r="37" spans="4:22" ht="15" thickBot="1" x14ac:dyDescent="0.4">
      <c r="D37" s="497" t="s">
        <v>10</v>
      </c>
      <c r="E37" s="498"/>
      <c r="F37" s="478">
        <f>11/7</f>
        <v>1.5714285714285714</v>
      </c>
      <c r="G37" s="368">
        <f t="shared" si="2"/>
        <v>14609.700000000003</v>
      </c>
      <c r="J37" s="497" t="s">
        <v>59</v>
      </c>
      <c r="K37" s="498"/>
      <c r="L37" s="45">
        <f>10/7</f>
        <v>1.4285714285714286</v>
      </c>
      <c r="M37" s="362">
        <f t="shared" si="3"/>
        <v>14244.457499999999</v>
      </c>
    </row>
    <row r="38" spans="4:22" x14ac:dyDescent="0.35">
      <c r="D38" s="1" t="s">
        <v>10</v>
      </c>
      <c r="E38" s="5" t="s">
        <v>13</v>
      </c>
      <c r="F38" s="482">
        <f t="shared" ref="F38:F43" si="9">11/7</f>
        <v>1.5714285714285714</v>
      </c>
      <c r="G38" s="372">
        <f t="shared" si="2"/>
        <v>15183.652500000002</v>
      </c>
      <c r="J38" s="356" t="s">
        <v>59</v>
      </c>
      <c r="K38" s="357" t="s">
        <v>118</v>
      </c>
      <c r="L38" s="46">
        <f t="shared" ref="L38:L43" si="10">10/7</f>
        <v>1.4285714285714286</v>
      </c>
      <c r="M38" s="363">
        <f t="shared" si="3"/>
        <v>14766.232499999998</v>
      </c>
      <c r="V38" s="4"/>
    </row>
    <row r="39" spans="4:22" x14ac:dyDescent="0.35">
      <c r="D39" s="2" t="s">
        <v>10</v>
      </c>
      <c r="E39" s="6" t="s">
        <v>121</v>
      </c>
      <c r="F39" s="476">
        <f t="shared" si="9"/>
        <v>1.5714285714285714</v>
      </c>
      <c r="G39" s="373">
        <f t="shared" si="2"/>
        <v>15757.605000000001</v>
      </c>
      <c r="J39" s="358" t="s">
        <v>59</v>
      </c>
      <c r="K39" s="359" t="s">
        <v>56</v>
      </c>
      <c r="L39" s="43">
        <f t="shared" si="10"/>
        <v>1.4285714285714286</v>
      </c>
      <c r="M39" s="364">
        <f t="shared" si="3"/>
        <v>15288.007499999998</v>
      </c>
    </row>
    <row r="40" spans="4:22" x14ac:dyDescent="0.35">
      <c r="D40" s="2" t="s">
        <v>10</v>
      </c>
      <c r="E40" s="6" t="s">
        <v>59</v>
      </c>
      <c r="F40" s="476">
        <f t="shared" si="9"/>
        <v>1.5714285714285714</v>
      </c>
      <c r="G40" s="373">
        <f t="shared" si="2"/>
        <v>16331.557500000001</v>
      </c>
      <c r="J40" s="358" t="s">
        <v>59</v>
      </c>
      <c r="K40" s="359" t="s">
        <v>35</v>
      </c>
      <c r="L40" s="43">
        <f t="shared" si="10"/>
        <v>1.4285714285714286</v>
      </c>
      <c r="M40" s="364">
        <f t="shared" si="3"/>
        <v>15809.782499999998</v>
      </c>
    </row>
    <row r="41" spans="4:22" x14ac:dyDescent="0.35">
      <c r="D41" s="2" t="s">
        <v>10</v>
      </c>
      <c r="E41" s="6" t="s">
        <v>118</v>
      </c>
      <c r="F41" s="476">
        <f t="shared" si="9"/>
        <v>1.5714285714285714</v>
      </c>
      <c r="G41" s="373">
        <f t="shared" si="2"/>
        <v>16905.510000000002</v>
      </c>
      <c r="J41" s="358" t="s">
        <v>59</v>
      </c>
      <c r="K41" s="359" t="s">
        <v>10</v>
      </c>
      <c r="L41" s="43">
        <f t="shared" si="10"/>
        <v>1.4285714285714286</v>
      </c>
      <c r="M41" s="364">
        <f t="shared" si="3"/>
        <v>16331.557499999997</v>
      </c>
    </row>
    <row r="42" spans="4:22" x14ac:dyDescent="0.35">
      <c r="D42" s="2" t="s">
        <v>10</v>
      </c>
      <c r="E42" s="6" t="s">
        <v>56</v>
      </c>
      <c r="F42" s="476">
        <f t="shared" si="9"/>
        <v>1.5714285714285714</v>
      </c>
      <c r="G42" s="373">
        <f t="shared" si="2"/>
        <v>17479.462500000001</v>
      </c>
      <c r="J42" s="358" t="s">
        <v>59</v>
      </c>
      <c r="K42" s="359" t="s">
        <v>13</v>
      </c>
      <c r="L42" s="43">
        <f t="shared" si="10"/>
        <v>1.4285714285714286</v>
      </c>
      <c r="M42" s="364">
        <f t="shared" si="3"/>
        <v>16853.332499999997</v>
      </c>
    </row>
    <row r="43" spans="4:22" ht="15" thickBot="1" x14ac:dyDescent="0.4">
      <c r="D43" s="3" t="s">
        <v>10</v>
      </c>
      <c r="E43" s="7" t="s">
        <v>35</v>
      </c>
      <c r="F43" s="483">
        <f t="shared" si="9"/>
        <v>1.5714285714285714</v>
      </c>
      <c r="G43" s="374">
        <f t="shared" si="2"/>
        <v>18053.415000000001</v>
      </c>
      <c r="J43" s="360" t="s">
        <v>59</v>
      </c>
      <c r="K43" s="361" t="s">
        <v>121</v>
      </c>
      <c r="L43" s="44">
        <f t="shared" si="10"/>
        <v>1.4285714285714286</v>
      </c>
      <c r="M43" s="365">
        <f t="shared" si="3"/>
        <v>17375.107499999998</v>
      </c>
    </row>
    <row r="44" spans="4:22" ht="15" thickBot="1" x14ac:dyDescent="0.4">
      <c r="D44" s="497" t="s">
        <v>13</v>
      </c>
      <c r="E44" s="498"/>
      <c r="F44" s="478">
        <f>12/7</f>
        <v>1.7142857142857142</v>
      </c>
      <c r="G44" s="368">
        <f t="shared" si="2"/>
        <v>18627.3675</v>
      </c>
      <c r="J44" s="497" t="s">
        <v>118</v>
      </c>
      <c r="K44" s="498"/>
      <c r="L44" s="45">
        <f>8/7</f>
        <v>1.1428571428571428</v>
      </c>
      <c r="M44" s="362">
        <f t="shared" si="3"/>
        <v>17896.8825</v>
      </c>
    </row>
    <row r="45" spans="4:22" x14ac:dyDescent="0.35">
      <c r="D45" s="1" t="s">
        <v>13</v>
      </c>
      <c r="E45" s="5" t="s">
        <v>121</v>
      </c>
      <c r="F45" s="482">
        <f t="shared" ref="F45:F50" si="11">12/7</f>
        <v>1.7142857142857142</v>
      </c>
      <c r="G45" s="372">
        <f t="shared" si="2"/>
        <v>19253.497500000001</v>
      </c>
      <c r="J45" s="356" t="s">
        <v>118</v>
      </c>
      <c r="K45" s="357" t="s">
        <v>56</v>
      </c>
      <c r="L45" s="46">
        <f t="shared" ref="L45:L50" si="12">8/7</f>
        <v>1.1428571428571428</v>
      </c>
      <c r="M45" s="363">
        <f t="shared" si="3"/>
        <v>18314.302499999998</v>
      </c>
    </row>
    <row r="46" spans="4:22" x14ac:dyDescent="0.35">
      <c r="D46" s="2" t="s">
        <v>13</v>
      </c>
      <c r="E46" s="6" t="s">
        <v>59</v>
      </c>
      <c r="F46" s="476">
        <f t="shared" si="11"/>
        <v>1.7142857142857142</v>
      </c>
      <c r="G46" s="373">
        <f t="shared" si="2"/>
        <v>19879.627500000002</v>
      </c>
      <c r="J46" s="358" t="s">
        <v>118</v>
      </c>
      <c r="K46" s="359" t="s">
        <v>35</v>
      </c>
      <c r="L46" s="43">
        <f t="shared" si="12"/>
        <v>1.1428571428571428</v>
      </c>
      <c r="M46" s="364">
        <f t="shared" si="3"/>
        <v>18731.722499999996</v>
      </c>
    </row>
    <row r="47" spans="4:22" x14ac:dyDescent="0.35">
      <c r="D47" s="2" t="s">
        <v>13</v>
      </c>
      <c r="E47" s="6" t="s">
        <v>118</v>
      </c>
      <c r="F47" s="476">
        <f t="shared" si="11"/>
        <v>1.7142857142857142</v>
      </c>
      <c r="G47" s="373">
        <f t="shared" si="2"/>
        <v>20505.757500000003</v>
      </c>
      <c r="J47" s="358" t="s">
        <v>118</v>
      </c>
      <c r="K47" s="359" t="s">
        <v>10</v>
      </c>
      <c r="L47" s="43">
        <f t="shared" si="12"/>
        <v>1.1428571428571428</v>
      </c>
      <c r="M47" s="364">
        <f t="shared" si="3"/>
        <v>19149.142499999994</v>
      </c>
    </row>
    <row r="48" spans="4:22" x14ac:dyDescent="0.35">
      <c r="D48" s="2" t="s">
        <v>13</v>
      </c>
      <c r="E48" s="6" t="s">
        <v>56</v>
      </c>
      <c r="F48" s="476">
        <f t="shared" si="11"/>
        <v>1.7142857142857142</v>
      </c>
      <c r="G48" s="373">
        <f t="shared" si="2"/>
        <v>21131.887500000004</v>
      </c>
      <c r="J48" s="358" t="s">
        <v>118</v>
      </c>
      <c r="K48" s="359" t="s">
        <v>13</v>
      </c>
      <c r="L48" s="43">
        <f t="shared" si="12"/>
        <v>1.1428571428571428</v>
      </c>
      <c r="M48" s="364">
        <f t="shared" si="3"/>
        <v>19566.562499999993</v>
      </c>
    </row>
    <row r="49" spans="4:13" x14ac:dyDescent="0.35">
      <c r="D49" s="2" t="s">
        <v>13</v>
      </c>
      <c r="E49" s="6" t="s">
        <v>35</v>
      </c>
      <c r="F49" s="476">
        <f t="shared" si="11"/>
        <v>1.7142857142857142</v>
      </c>
      <c r="G49" s="373">
        <f t="shared" si="2"/>
        <v>21758.017500000005</v>
      </c>
      <c r="J49" s="358" t="s">
        <v>118</v>
      </c>
      <c r="K49" s="359" t="s">
        <v>121</v>
      </c>
      <c r="L49" s="43">
        <f t="shared" si="12"/>
        <v>1.1428571428571428</v>
      </c>
      <c r="M49" s="364">
        <f t="shared" si="3"/>
        <v>19983.982499999991</v>
      </c>
    </row>
    <row r="50" spans="4:13" ht="15" thickBot="1" x14ac:dyDescent="0.4">
      <c r="D50" s="3" t="s">
        <v>13</v>
      </c>
      <c r="E50" s="7" t="s">
        <v>10</v>
      </c>
      <c r="F50" s="483">
        <f t="shared" si="11"/>
        <v>1.7142857142857142</v>
      </c>
      <c r="G50" s="374">
        <f t="shared" si="2"/>
        <v>22384.147500000006</v>
      </c>
      <c r="J50" s="360" t="s">
        <v>118</v>
      </c>
      <c r="K50" s="361" t="s">
        <v>59</v>
      </c>
      <c r="L50" s="44">
        <f t="shared" si="12"/>
        <v>1.1428571428571428</v>
      </c>
      <c r="M50" s="365">
        <f t="shared" si="3"/>
        <v>20401.402499999989</v>
      </c>
    </row>
    <row r="51" spans="4:13" ht="15" thickBot="1" x14ac:dyDescent="0.4">
      <c r="D51" s="497" t="s">
        <v>121</v>
      </c>
      <c r="E51" s="498"/>
      <c r="F51" s="478">
        <v>1</v>
      </c>
      <c r="G51" s="368">
        <f t="shared" si="2"/>
        <v>23010.277500000007</v>
      </c>
      <c r="J51" s="497" t="s">
        <v>56</v>
      </c>
      <c r="K51" s="498"/>
      <c r="L51" s="45">
        <f>13/7</f>
        <v>1.8571428571428572</v>
      </c>
      <c r="M51" s="362">
        <f t="shared" si="3"/>
        <v>20818.822499999987</v>
      </c>
    </row>
    <row r="52" spans="4:13" x14ac:dyDescent="0.35">
      <c r="D52" s="1" t="s">
        <v>121</v>
      </c>
      <c r="E52" s="5" t="s">
        <v>59</v>
      </c>
      <c r="F52" s="482">
        <v>1</v>
      </c>
      <c r="G52" s="372">
        <f t="shared" si="2"/>
        <v>23375.520000000008</v>
      </c>
      <c r="J52" s="356" t="s">
        <v>56</v>
      </c>
      <c r="K52" s="357" t="s">
        <v>35</v>
      </c>
      <c r="L52" s="46">
        <f t="shared" ref="L52:L57" si="13">13/7</f>
        <v>1.8571428571428572</v>
      </c>
      <c r="M52" s="363">
        <f t="shared" si="3"/>
        <v>21497.129999999986</v>
      </c>
    </row>
    <row r="53" spans="4:13" x14ac:dyDescent="0.35">
      <c r="D53" s="2" t="s">
        <v>121</v>
      </c>
      <c r="E53" s="6" t="s">
        <v>118</v>
      </c>
      <c r="F53" s="476">
        <v>1</v>
      </c>
      <c r="G53" s="373">
        <f t="shared" si="2"/>
        <v>23740.762500000008</v>
      </c>
      <c r="J53" s="358" t="s">
        <v>56</v>
      </c>
      <c r="K53" s="359" t="s">
        <v>10</v>
      </c>
      <c r="L53" s="43">
        <f t="shared" si="13"/>
        <v>1.8571428571428572</v>
      </c>
      <c r="M53" s="364">
        <f t="shared" si="3"/>
        <v>22175.437499999985</v>
      </c>
    </row>
    <row r="54" spans="4:13" x14ac:dyDescent="0.35">
      <c r="D54" s="2" t="s">
        <v>121</v>
      </c>
      <c r="E54" s="6" t="s">
        <v>56</v>
      </c>
      <c r="F54" s="476">
        <v>1</v>
      </c>
      <c r="G54" s="373">
        <f t="shared" si="2"/>
        <v>24106.005000000008</v>
      </c>
      <c r="J54" s="358" t="s">
        <v>56</v>
      </c>
      <c r="K54" s="359" t="s">
        <v>13</v>
      </c>
      <c r="L54" s="43">
        <f t="shared" si="13"/>
        <v>1.8571428571428572</v>
      </c>
      <c r="M54" s="364">
        <f t="shared" si="3"/>
        <v>22853.744999999984</v>
      </c>
    </row>
    <row r="55" spans="4:13" x14ac:dyDescent="0.35">
      <c r="D55" s="2" t="s">
        <v>121</v>
      </c>
      <c r="E55" s="6" t="s">
        <v>35</v>
      </c>
      <c r="F55" s="476">
        <v>1</v>
      </c>
      <c r="G55" s="373">
        <f t="shared" si="2"/>
        <v>24471.247500000009</v>
      </c>
      <c r="J55" s="358" t="s">
        <v>56</v>
      </c>
      <c r="K55" s="359" t="s">
        <v>121</v>
      </c>
      <c r="L55" s="43">
        <f t="shared" si="13"/>
        <v>1.8571428571428572</v>
      </c>
      <c r="M55" s="364">
        <f t="shared" si="3"/>
        <v>23532.052499999983</v>
      </c>
    </row>
    <row r="56" spans="4:13" x14ac:dyDescent="0.35">
      <c r="D56" s="2" t="s">
        <v>121</v>
      </c>
      <c r="E56" s="6" t="s">
        <v>10</v>
      </c>
      <c r="F56" s="476">
        <v>1</v>
      </c>
      <c r="G56" s="373">
        <f t="shared" si="2"/>
        <v>24836.490000000009</v>
      </c>
      <c r="J56" s="358" t="s">
        <v>56</v>
      </c>
      <c r="K56" s="359" t="s">
        <v>59</v>
      </c>
      <c r="L56" s="43">
        <f t="shared" si="13"/>
        <v>1.8571428571428572</v>
      </c>
      <c r="M56" s="364">
        <f t="shared" si="3"/>
        <v>24210.359999999982</v>
      </c>
    </row>
    <row r="57" spans="4:13" ht="15" thickBot="1" x14ac:dyDescent="0.4">
      <c r="D57" s="3" t="s">
        <v>121</v>
      </c>
      <c r="E57" s="7" t="s">
        <v>13</v>
      </c>
      <c r="F57" s="483">
        <v>1</v>
      </c>
      <c r="G57" s="374">
        <f t="shared" si="2"/>
        <v>25201.732500000009</v>
      </c>
      <c r="J57" s="360" t="s">
        <v>56</v>
      </c>
      <c r="K57" s="361" t="s">
        <v>118</v>
      </c>
      <c r="L57" s="44">
        <f t="shared" si="13"/>
        <v>1.8571428571428572</v>
      </c>
      <c r="M57" s="365">
        <f t="shared" si="3"/>
        <v>24888.667499999981</v>
      </c>
    </row>
    <row r="58" spans="4:13" ht="15" thickBot="1" x14ac:dyDescent="0.4">
      <c r="D58" s="497" t="s">
        <v>27</v>
      </c>
      <c r="E58" s="498"/>
      <c r="F58" s="478">
        <v>3</v>
      </c>
      <c r="G58" s="368">
        <f t="shared" ref="G58:G75" si="14">G57+F57*365.2425</f>
        <v>25566.975000000009</v>
      </c>
      <c r="J58" s="497" t="s">
        <v>27</v>
      </c>
      <c r="K58" s="498"/>
      <c r="L58" s="45">
        <v>3</v>
      </c>
      <c r="M58" s="362">
        <f t="shared" si="3"/>
        <v>25566.97499999998</v>
      </c>
    </row>
    <row r="59" spans="4:13" ht="15" thickBot="1" x14ac:dyDescent="0.4">
      <c r="D59" s="497" t="s">
        <v>28</v>
      </c>
      <c r="E59" s="498"/>
      <c r="F59" s="478">
        <v>2</v>
      </c>
      <c r="G59" s="368">
        <f t="shared" si="14"/>
        <v>26662.70250000001</v>
      </c>
      <c r="J59" s="497" t="s">
        <v>28</v>
      </c>
      <c r="K59" s="498"/>
      <c r="L59" s="45">
        <v>2</v>
      </c>
      <c r="M59" s="362">
        <f t="shared" si="3"/>
        <v>26662.702499999981</v>
      </c>
    </row>
    <row r="60" spans="4:13" ht="15" thickBot="1" x14ac:dyDescent="0.4">
      <c r="D60" s="81"/>
      <c r="E60" s="81"/>
      <c r="F60" s="478"/>
      <c r="G60" s="375"/>
      <c r="J60" s="81"/>
      <c r="K60" s="81"/>
      <c r="L60" s="45"/>
      <c r="M60" s="366"/>
    </row>
    <row r="61" spans="4:13" ht="15" thickBot="1" x14ac:dyDescent="0.4">
      <c r="D61" s="497" t="s">
        <v>59</v>
      </c>
      <c r="E61" s="498"/>
      <c r="F61" s="478">
        <f>10/7</f>
        <v>1.4285714285714286</v>
      </c>
      <c r="G61" s="368">
        <f>G59+F59*365.2425</f>
        <v>27393.187500000011</v>
      </c>
      <c r="J61" s="497" t="s">
        <v>35</v>
      </c>
      <c r="K61" s="498"/>
      <c r="L61" s="45">
        <f>9/7</f>
        <v>1.2857142857142858</v>
      </c>
      <c r="M61" s="362">
        <f>M59+L59*365.2425</f>
        <v>27393.187499999982</v>
      </c>
    </row>
    <row r="62" spans="4:13" x14ac:dyDescent="0.35">
      <c r="D62" s="356" t="s">
        <v>59</v>
      </c>
      <c r="E62" s="357" t="s">
        <v>118</v>
      </c>
      <c r="F62" s="482">
        <f t="shared" ref="F62:F67" si="15">10/7</f>
        <v>1.4285714285714286</v>
      </c>
      <c r="G62" s="372">
        <f t="shared" si="14"/>
        <v>27914.962500000012</v>
      </c>
      <c r="J62" s="356" t="s">
        <v>35</v>
      </c>
      <c r="K62" s="357" t="s">
        <v>10</v>
      </c>
      <c r="L62" s="46">
        <f t="shared" ref="L62:L67" si="16">9/7</f>
        <v>1.2857142857142858</v>
      </c>
      <c r="M62" s="363">
        <f t="shared" si="3"/>
        <v>27862.784999999982</v>
      </c>
    </row>
    <row r="63" spans="4:13" x14ac:dyDescent="0.35">
      <c r="D63" s="358" t="s">
        <v>59</v>
      </c>
      <c r="E63" s="359" t="s">
        <v>56</v>
      </c>
      <c r="F63" s="476">
        <f t="shared" si="15"/>
        <v>1.4285714285714286</v>
      </c>
      <c r="G63" s="373">
        <f t="shared" si="14"/>
        <v>28436.737500000014</v>
      </c>
      <c r="J63" s="358" t="s">
        <v>35</v>
      </c>
      <c r="K63" s="359" t="s">
        <v>13</v>
      </c>
      <c r="L63" s="43">
        <f t="shared" si="16"/>
        <v>1.2857142857142858</v>
      </c>
      <c r="M63" s="364">
        <f t="shared" si="3"/>
        <v>28332.382499999982</v>
      </c>
    </row>
    <row r="64" spans="4:13" x14ac:dyDescent="0.35">
      <c r="D64" s="358" t="s">
        <v>59</v>
      </c>
      <c r="E64" s="359" t="s">
        <v>35</v>
      </c>
      <c r="F64" s="476">
        <f t="shared" si="15"/>
        <v>1.4285714285714286</v>
      </c>
      <c r="G64" s="373">
        <f t="shared" si="14"/>
        <v>28958.512500000015</v>
      </c>
      <c r="J64" s="358" t="s">
        <v>35</v>
      </c>
      <c r="K64" s="359" t="s">
        <v>121</v>
      </c>
      <c r="L64" s="43">
        <f t="shared" si="16"/>
        <v>1.2857142857142858</v>
      </c>
      <c r="M64" s="364">
        <f t="shared" si="3"/>
        <v>28801.979999999981</v>
      </c>
    </row>
    <row r="65" spans="4:13" x14ac:dyDescent="0.35">
      <c r="D65" s="358" t="s">
        <v>59</v>
      </c>
      <c r="E65" s="359" t="s">
        <v>10</v>
      </c>
      <c r="F65" s="476">
        <f t="shared" si="15"/>
        <v>1.4285714285714286</v>
      </c>
      <c r="G65" s="373">
        <f t="shared" si="14"/>
        <v>29480.287500000017</v>
      </c>
      <c r="J65" s="358" t="s">
        <v>35</v>
      </c>
      <c r="K65" s="359" t="s">
        <v>59</v>
      </c>
      <c r="L65" s="43">
        <f t="shared" si="16"/>
        <v>1.2857142857142858</v>
      </c>
      <c r="M65" s="364">
        <f t="shared" si="3"/>
        <v>29271.577499999981</v>
      </c>
    </row>
    <row r="66" spans="4:13" x14ac:dyDescent="0.35">
      <c r="D66" s="358" t="s">
        <v>59</v>
      </c>
      <c r="E66" s="359" t="s">
        <v>13</v>
      </c>
      <c r="F66" s="476">
        <f t="shared" si="15"/>
        <v>1.4285714285714286</v>
      </c>
      <c r="G66" s="373">
        <f t="shared" si="14"/>
        <v>30002.062500000018</v>
      </c>
      <c r="J66" s="358" t="s">
        <v>35</v>
      </c>
      <c r="K66" s="359" t="s">
        <v>118</v>
      </c>
      <c r="L66" s="43">
        <f t="shared" si="16"/>
        <v>1.2857142857142858</v>
      </c>
      <c r="M66" s="364">
        <f t="shared" si="3"/>
        <v>29741.174999999981</v>
      </c>
    </row>
    <row r="67" spans="4:13" ht="15" thickBot="1" x14ac:dyDescent="0.4">
      <c r="D67" s="360" t="s">
        <v>59</v>
      </c>
      <c r="E67" s="361" t="s">
        <v>121</v>
      </c>
      <c r="F67" s="483">
        <f t="shared" si="15"/>
        <v>1.4285714285714286</v>
      </c>
      <c r="G67" s="374">
        <f t="shared" si="14"/>
        <v>30523.83750000002</v>
      </c>
      <c r="J67" s="360" t="s">
        <v>35</v>
      </c>
      <c r="K67" s="361" t="s">
        <v>56</v>
      </c>
      <c r="L67" s="44">
        <f t="shared" si="16"/>
        <v>1.2857142857142858</v>
      </c>
      <c r="M67" s="365">
        <f t="shared" si="3"/>
        <v>30210.772499999981</v>
      </c>
    </row>
    <row r="68" spans="4:13" ht="15" thickBot="1" x14ac:dyDescent="0.4">
      <c r="D68" s="497" t="s">
        <v>118</v>
      </c>
      <c r="E68" s="498"/>
      <c r="F68" s="478">
        <f>8/7</f>
        <v>1.1428571428571428</v>
      </c>
      <c r="G68" s="368">
        <f t="shared" si="14"/>
        <v>31045.612500000021</v>
      </c>
      <c r="J68" s="497" t="s">
        <v>10</v>
      </c>
      <c r="K68" s="498"/>
      <c r="L68" s="45">
        <f>11/7</f>
        <v>1.5714285714285714</v>
      </c>
      <c r="M68" s="362">
        <f t="shared" si="3"/>
        <v>30680.369999999981</v>
      </c>
    </row>
    <row r="69" spans="4:13" x14ac:dyDescent="0.35">
      <c r="D69" s="356" t="s">
        <v>118</v>
      </c>
      <c r="E69" s="357" t="s">
        <v>56</v>
      </c>
      <c r="F69" s="482">
        <f t="shared" ref="F69:F74" si="17">8/7</f>
        <v>1.1428571428571428</v>
      </c>
      <c r="G69" s="372">
        <f t="shared" si="14"/>
        <v>31463.032500000019</v>
      </c>
      <c r="J69" s="1" t="s">
        <v>10</v>
      </c>
      <c r="K69" s="5" t="s">
        <v>13</v>
      </c>
      <c r="L69" s="46">
        <f t="shared" ref="L69:L74" si="18">11/7</f>
        <v>1.5714285714285714</v>
      </c>
      <c r="M69" s="363">
        <f t="shared" si="3"/>
        <v>31254.32249999998</v>
      </c>
    </row>
    <row r="70" spans="4:13" x14ac:dyDescent="0.35">
      <c r="D70" s="358" t="s">
        <v>118</v>
      </c>
      <c r="E70" s="359" t="s">
        <v>35</v>
      </c>
      <c r="F70" s="476">
        <f t="shared" si="17"/>
        <v>1.1428571428571428</v>
      </c>
      <c r="G70" s="373">
        <f t="shared" si="14"/>
        <v>31880.452500000018</v>
      </c>
      <c r="J70" s="2" t="s">
        <v>10</v>
      </c>
      <c r="K70" s="6" t="s">
        <v>121</v>
      </c>
      <c r="L70" s="43">
        <f t="shared" si="18"/>
        <v>1.5714285714285714</v>
      </c>
      <c r="M70" s="364">
        <f t="shared" si="3"/>
        <v>31828.27499999998</v>
      </c>
    </row>
    <row r="71" spans="4:13" x14ac:dyDescent="0.35">
      <c r="D71" s="358" t="s">
        <v>118</v>
      </c>
      <c r="E71" s="359" t="s">
        <v>10</v>
      </c>
      <c r="F71" s="476">
        <f t="shared" si="17"/>
        <v>1.1428571428571428</v>
      </c>
      <c r="G71" s="373">
        <f t="shared" si="14"/>
        <v>32297.872500000016</v>
      </c>
      <c r="J71" s="2" t="s">
        <v>10</v>
      </c>
      <c r="K71" s="6" t="s">
        <v>59</v>
      </c>
      <c r="L71" s="43">
        <f t="shared" si="18"/>
        <v>1.5714285714285714</v>
      </c>
      <c r="M71" s="364">
        <f t="shared" si="3"/>
        <v>32402.227499999979</v>
      </c>
    </row>
    <row r="72" spans="4:13" x14ac:dyDescent="0.35">
      <c r="D72" s="358" t="s">
        <v>118</v>
      </c>
      <c r="E72" s="359" t="s">
        <v>13</v>
      </c>
      <c r="F72" s="476">
        <f t="shared" si="17"/>
        <v>1.1428571428571428</v>
      </c>
      <c r="G72" s="373">
        <f t="shared" si="14"/>
        <v>32715.292500000014</v>
      </c>
      <c r="J72" s="2" t="s">
        <v>10</v>
      </c>
      <c r="K72" s="6" t="s">
        <v>118</v>
      </c>
      <c r="L72" s="43">
        <f t="shared" si="18"/>
        <v>1.5714285714285714</v>
      </c>
      <c r="M72" s="364">
        <f t="shared" si="3"/>
        <v>32976.179999999978</v>
      </c>
    </row>
    <row r="73" spans="4:13" x14ac:dyDescent="0.35">
      <c r="D73" s="358" t="s">
        <v>118</v>
      </c>
      <c r="E73" s="359" t="s">
        <v>121</v>
      </c>
      <c r="F73" s="476">
        <f t="shared" si="17"/>
        <v>1.1428571428571428</v>
      </c>
      <c r="G73" s="373">
        <f t="shared" si="14"/>
        <v>33132.712500000016</v>
      </c>
      <c r="J73" s="2" t="s">
        <v>10</v>
      </c>
      <c r="K73" s="6" t="s">
        <v>56</v>
      </c>
      <c r="L73" s="43">
        <f t="shared" si="18"/>
        <v>1.5714285714285714</v>
      </c>
      <c r="M73" s="364">
        <f t="shared" si="3"/>
        <v>33550.132499999978</v>
      </c>
    </row>
    <row r="74" spans="4:13" ht="15" thickBot="1" x14ac:dyDescent="0.4">
      <c r="D74" s="360" t="s">
        <v>118</v>
      </c>
      <c r="E74" s="361" t="s">
        <v>59</v>
      </c>
      <c r="F74" s="483">
        <f t="shared" si="17"/>
        <v>1.1428571428571428</v>
      </c>
      <c r="G74" s="374">
        <f t="shared" si="14"/>
        <v>33550.132500000014</v>
      </c>
      <c r="J74" s="3" t="s">
        <v>10</v>
      </c>
      <c r="K74" s="7" t="s">
        <v>35</v>
      </c>
      <c r="L74" s="44">
        <f t="shared" si="18"/>
        <v>1.5714285714285714</v>
      </c>
      <c r="M74" s="365">
        <f t="shared" si="3"/>
        <v>34124.084999999977</v>
      </c>
    </row>
    <row r="75" spans="4:13" ht="15" thickBot="1" x14ac:dyDescent="0.4">
      <c r="D75" s="497" t="s">
        <v>56</v>
      </c>
      <c r="E75" s="498"/>
      <c r="F75" s="478">
        <f>13/7</f>
        <v>1.8571428571428572</v>
      </c>
      <c r="G75" s="368">
        <f t="shared" si="14"/>
        <v>33967.552500000013</v>
      </c>
      <c r="J75" s="497" t="s">
        <v>13</v>
      </c>
      <c r="K75" s="498"/>
      <c r="L75" s="45">
        <f>12/7</f>
        <v>1.7142857142857142</v>
      </c>
      <c r="M75" s="362">
        <f t="shared" si="3"/>
        <v>34698.037499999977</v>
      </c>
    </row>
    <row r="76" spans="4:13" x14ac:dyDescent="0.35">
      <c r="D76" s="356" t="s">
        <v>56</v>
      </c>
      <c r="E76" s="357" t="s">
        <v>35</v>
      </c>
      <c r="F76" s="482">
        <f t="shared" ref="F76:F81" si="19">13/7</f>
        <v>1.8571428571428572</v>
      </c>
      <c r="G76" s="372">
        <f t="shared" ref="G76:G82" si="20">G75+F75*365.2425</f>
        <v>34645.860000000015</v>
      </c>
      <c r="J76" s="1" t="s">
        <v>13</v>
      </c>
      <c r="K76" s="5" t="s">
        <v>121</v>
      </c>
      <c r="L76" s="46">
        <f t="shared" ref="L76:L81" si="21">12/7</f>
        <v>1.7142857142857142</v>
      </c>
      <c r="M76" s="363">
        <f t="shared" ref="M76:M82" si="22">M75+L75*365.2425</f>
        <v>35324.167499999974</v>
      </c>
    </row>
    <row r="77" spans="4:13" x14ac:dyDescent="0.35">
      <c r="D77" s="358" t="s">
        <v>56</v>
      </c>
      <c r="E77" s="359" t="s">
        <v>10</v>
      </c>
      <c r="F77" s="476">
        <f t="shared" si="19"/>
        <v>1.8571428571428572</v>
      </c>
      <c r="G77" s="373">
        <f t="shared" si="20"/>
        <v>35324.167500000018</v>
      </c>
      <c r="J77" s="2" t="s">
        <v>13</v>
      </c>
      <c r="K77" s="6" t="s">
        <v>59</v>
      </c>
      <c r="L77" s="43">
        <f t="shared" si="21"/>
        <v>1.7142857142857142</v>
      </c>
      <c r="M77" s="364">
        <f t="shared" si="22"/>
        <v>35950.297499999971</v>
      </c>
    </row>
    <row r="78" spans="4:13" x14ac:dyDescent="0.35">
      <c r="D78" s="358" t="s">
        <v>56</v>
      </c>
      <c r="E78" s="359" t="s">
        <v>13</v>
      </c>
      <c r="F78" s="476">
        <f t="shared" si="19"/>
        <v>1.8571428571428572</v>
      </c>
      <c r="G78" s="373">
        <f t="shared" si="20"/>
        <v>36002.47500000002</v>
      </c>
      <c r="J78" s="2" t="s">
        <v>13</v>
      </c>
      <c r="K78" s="6" t="s">
        <v>118</v>
      </c>
      <c r="L78" s="43">
        <f t="shared" si="21"/>
        <v>1.7142857142857142</v>
      </c>
      <c r="M78" s="364">
        <f t="shared" si="22"/>
        <v>36576.427499999969</v>
      </c>
    </row>
    <row r="79" spans="4:13" x14ac:dyDescent="0.35">
      <c r="D79" s="358" t="s">
        <v>56</v>
      </c>
      <c r="E79" s="359" t="s">
        <v>121</v>
      </c>
      <c r="F79" s="476">
        <f t="shared" si="19"/>
        <v>1.8571428571428572</v>
      </c>
      <c r="G79" s="373">
        <f t="shared" si="20"/>
        <v>36680.782500000023</v>
      </c>
      <c r="J79" s="2" t="s">
        <v>13</v>
      </c>
      <c r="K79" s="6" t="s">
        <v>56</v>
      </c>
      <c r="L79" s="43">
        <f t="shared" si="21"/>
        <v>1.7142857142857142</v>
      </c>
      <c r="M79" s="364">
        <f t="shared" si="22"/>
        <v>37202.557499999966</v>
      </c>
    </row>
    <row r="80" spans="4:13" x14ac:dyDescent="0.35">
      <c r="D80" s="358" t="s">
        <v>56</v>
      </c>
      <c r="E80" s="359" t="s">
        <v>59</v>
      </c>
      <c r="F80" s="476">
        <f t="shared" si="19"/>
        <v>1.8571428571428572</v>
      </c>
      <c r="G80" s="373">
        <f t="shared" si="20"/>
        <v>37359.090000000026</v>
      </c>
      <c r="J80" s="2" t="s">
        <v>13</v>
      </c>
      <c r="K80" s="6" t="s">
        <v>35</v>
      </c>
      <c r="L80" s="43">
        <f t="shared" si="21"/>
        <v>1.7142857142857142</v>
      </c>
      <c r="M80" s="364">
        <f t="shared" si="22"/>
        <v>37828.687499999964</v>
      </c>
    </row>
    <row r="81" spans="4:13" ht="15" thickBot="1" x14ac:dyDescent="0.4">
      <c r="D81" s="360" t="s">
        <v>56</v>
      </c>
      <c r="E81" s="361" t="s">
        <v>118</v>
      </c>
      <c r="F81" s="483">
        <f t="shared" si="19"/>
        <v>1.8571428571428572</v>
      </c>
      <c r="G81" s="374">
        <f t="shared" si="20"/>
        <v>38037.397500000028</v>
      </c>
      <c r="J81" s="3" t="s">
        <v>13</v>
      </c>
      <c r="K81" s="7" t="s">
        <v>10</v>
      </c>
      <c r="L81" s="44">
        <f t="shared" si="21"/>
        <v>1.7142857142857142</v>
      </c>
      <c r="M81" s="365">
        <f t="shared" si="22"/>
        <v>38454.817499999961</v>
      </c>
    </row>
    <row r="82" spans="4:13" ht="15" thickBot="1" x14ac:dyDescent="0.4">
      <c r="G82" s="376">
        <f t="shared" si="20"/>
        <v>38715.705000000031</v>
      </c>
      <c r="M82" s="367">
        <f t="shared" si="22"/>
        <v>39080.947499999958</v>
      </c>
    </row>
  </sheetData>
  <mergeCells count="26">
    <mergeCell ref="J58:K58"/>
    <mergeCell ref="J37:K37"/>
    <mergeCell ref="J44:K44"/>
    <mergeCell ref="J51:K51"/>
    <mergeCell ref="D58:E58"/>
    <mergeCell ref="D51:E51"/>
    <mergeCell ref="D44:E44"/>
    <mergeCell ref="D61:E61"/>
    <mergeCell ref="D68:E68"/>
    <mergeCell ref="D75:E75"/>
    <mergeCell ref="J61:K61"/>
    <mergeCell ref="J59:K59"/>
    <mergeCell ref="J68:K68"/>
    <mergeCell ref="J75:K75"/>
    <mergeCell ref="D59:E59"/>
    <mergeCell ref="J6:M6"/>
    <mergeCell ref="D6:G6"/>
    <mergeCell ref="D9:E9"/>
    <mergeCell ref="D23:E23"/>
    <mergeCell ref="D37:E37"/>
    <mergeCell ref="J9:K9"/>
    <mergeCell ref="J16:K16"/>
    <mergeCell ref="J23:K23"/>
    <mergeCell ref="D16:E16"/>
    <mergeCell ref="J30:K30"/>
    <mergeCell ref="D30:E30"/>
  </mergeCells>
  <conditionalFormatting sqref="D6:M6">
    <cfRule type="cellIs" dxfId="17" priority="1" operator="equal">
      <formula>$B$4</formula>
    </cfRule>
  </conditionalFormatting>
  <printOptions horizontalCentered="1"/>
  <pageMargins left="0.7" right="0.7" top="0.75" bottom="0.75" header="0.3" footer="0.3"/>
  <pageSetup scale="58" orientation="portrait" horizontalDpi="4294967292" r:id="rId1"/>
  <headerFooter>
    <oddHeader>&amp;CF I D A R I A    C A L C U L A T O R</oddHeader>
    <oddFooter>&amp;Cwww.regulus-astrology.com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1A8875D8-583B-4E17-88E3-4C3C027CDDC0}">
            <xm:f>'1. ZODIAC NATAL'!$D$39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" operator="equal" id="{57931076-BA7D-40BB-B373-E1AD529416B8}">
            <xm:f>'1. ZODIAC NATAL'!$F$39</xm:f>
            <x14:dxf>
              <fill>
                <patternFill>
                  <bgColor theme="9" tint="0.59996337778862885"/>
                </patternFill>
              </fill>
            </x14:dxf>
          </x14:cfRule>
          <xm:sqref>D5:M81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621A51-E4A0-400C-9A59-AA49D7623687}">
          <x14:formula1>
            <xm:f>'CONTINOUS ZODIAC TABLE'!$A$2:$A$13</xm:f>
          </x14:formula1>
          <xm:sqref>Y40:Y42</xm:sqref>
        </x14:dataValidation>
        <x14:dataValidation type="list" allowBlank="1" showInputMessage="1" showErrorMessage="1" xr:uid="{F95B6BBB-086A-4A00-BFD8-8E84A5537D97}">
          <x14:formula1>
            <xm:f>'CHALDEAN ORDER'!$C$2:$C$8</xm:f>
          </x14:formula1>
          <xm:sqref>W40:W46 S3:S4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tabColor rgb="FF00B0F0"/>
  </sheetPr>
  <dimension ref="A1:AB30"/>
  <sheetViews>
    <sheetView topLeftCell="A9" zoomScale="85" zoomScaleNormal="85" workbookViewId="0">
      <selection activeCell="U27" sqref="U27"/>
    </sheetView>
  </sheetViews>
  <sheetFormatPr defaultRowHeight="14.5" x14ac:dyDescent="0.35"/>
  <cols>
    <col min="1" max="1" width="11.7265625" bestFit="1" customWidth="1"/>
    <col min="2" max="4" width="4.1796875" customWidth="1"/>
    <col min="5" max="5" width="6.7265625" customWidth="1"/>
    <col min="6" max="6" width="11.1796875" customWidth="1"/>
    <col min="7" max="7" width="6.453125" customWidth="1"/>
    <col min="8" max="10" width="4.1796875" bestFit="1" customWidth="1"/>
    <col min="11" max="11" width="7.453125" customWidth="1"/>
    <col min="12" max="15" width="4.1796875" bestFit="1" customWidth="1"/>
    <col min="16" max="16" width="5.81640625" customWidth="1"/>
    <col min="17" max="17" width="13.54296875" customWidth="1"/>
    <col min="18" max="18" width="12.1796875" hidden="1" customWidth="1"/>
    <col min="19" max="20" width="12.7265625" customWidth="1"/>
    <col min="21" max="22" width="15.1796875" customWidth="1"/>
    <col min="23" max="23" width="16.453125" customWidth="1"/>
    <col min="25" max="25" width="13.1796875" bestFit="1" customWidth="1"/>
    <col min="27" max="27" width="8.7265625" style="48" customWidth="1"/>
    <col min="28" max="28" width="11.54296875" style="48" customWidth="1"/>
  </cols>
  <sheetData>
    <row r="1" spans="1:28" hidden="1" x14ac:dyDescent="0.35"/>
    <row r="2" spans="1:28" hidden="1" x14ac:dyDescent="0.35">
      <c r="AA2" s="48" t="s">
        <v>33</v>
      </c>
    </row>
    <row r="3" spans="1:28" s="55" customFormat="1" ht="29.5" thickBot="1" x14ac:dyDescent="0.4">
      <c r="B3" s="501" t="s">
        <v>262</v>
      </c>
      <c r="C3" s="501"/>
      <c r="D3" s="501"/>
      <c r="E3" s="501"/>
      <c r="F3" s="501"/>
      <c r="G3" s="501"/>
      <c r="H3" s="501"/>
      <c r="I3" s="501"/>
      <c r="J3" s="501"/>
      <c r="K3" s="501"/>
      <c r="L3" s="501"/>
      <c r="M3" s="501"/>
      <c r="N3" s="501"/>
      <c r="O3" s="501"/>
      <c r="P3" s="501"/>
      <c r="Q3" s="253" t="s">
        <v>261</v>
      </c>
      <c r="R3" s="413" t="s">
        <v>403</v>
      </c>
      <c r="S3" s="413" t="s">
        <v>399</v>
      </c>
      <c r="T3" s="151" t="s">
        <v>404</v>
      </c>
      <c r="AA3" s="249"/>
      <c r="AB3" s="249"/>
    </row>
    <row r="4" spans="1:28" ht="19" thickBot="1" x14ac:dyDescent="0.5">
      <c r="A4" s="4"/>
      <c r="B4" s="410">
        <v>1</v>
      </c>
      <c r="C4" s="411">
        <f t="shared" ref="C4:P4" si="0">B10+1</f>
        <v>8</v>
      </c>
      <c r="D4" s="411">
        <f t="shared" si="0"/>
        <v>15</v>
      </c>
      <c r="E4" s="411">
        <f t="shared" si="0"/>
        <v>22</v>
      </c>
      <c r="F4" s="411">
        <f t="shared" si="0"/>
        <v>29</v>
      </c>
      <c r="G4" s="411">
        <f t="shared" si="0"/>
        <v>36</v>
      </c>
      <c r="H4" s="411">
        <f t="shared" si="0"/>
        <v>43</v>
      </c>
      <c r="I4" s="411">
        <f t="shared" si="0"/>
        <v>50</v>
      </c>
      <c r="J4" s="411">
        <f t="shared" si="0"/>
        <v>57</v>
      </c>
      <c r="K4" s="411">
        <f t="shared" si="0"/>
        <v>64</v>
      </c>
      <c r="L4" s="411">
        <f t="shared" si="0"/>
        <v>71</v>
      </c>
      <c r="M4" s="411">
        <f t="shared" si="0"/>
        <v>78</v>
      </c>
      <c r="N4" s="411">
        <f t="shared" si="0"/>
        <v>85</v>
      </c>
      <c r="O4" s="411">
        <f t="shared" si="0"/>
        <v>92</v>
      </c>
      <c r="P4" s="411">
        <f t="shared" si="0"/>
        <v>99</v>
      </c>
      <c r="Q4" s="418"/>
      <c r="R4" s="400" t="str">
        <f>IF(Q4=$F$13,"YES","")</f>
        <v>YES</v>
      </c>
      <c r="S4" s="420" t="str">
        <f t="shared" ref="S4:S10" si="1">IF(COUNTIF(B4:P4, $F$15)&gt;0, "NOW", "")</f>
        <v/>
      </c>
      <c r="T4" s="400" t="str">
        <f>IF(AND(R4="YES",S4="NOW"),"YES","")</f>
        <v/>
      </c>
      <c r="U4" s="503" t="s">
        <v>264</v>
      </c>
      <c r="V4" s="504"/>
      <c r="W4" s="504"/>
      <c r="AA4" s="48" t="s">
        <v>34</v>
      </c>
      <c r="AB4" s="48" t="s">
        <v>36</v>
      </c>
    </row>
    <row r="5" spans="1:28" ht="18.5" x14ac:dyDescent="0.45">
      <c r="B5" s="407">
        <v>2</v>
      </c>
      <c r="C5" s="407">
        <f t="shared" ref="C5:P10" si="2">C4+1</f>
        <v>9</v>
      </c>
      <c r="D5" s="407">
        <f t="shared" si="2"/>
        <v>16</v>
      </c>
      <c r="E5" s="407">
        <f t="shared" si="2"/>
        <v>23</v>
      </c>
      <c r="F5" s="407">
        <f t="shared" si="2"/>
        <v>30</v>
      </c>
      <c r="G5" s="407">
        <f t="shared" si="2"/>
        <v>37</v>
      </c>
      <c r="H5" s="407">
        <f t="shared" si="2"/>
        <v>44</v>
      </c>
      <c r="I5" s="407">
        <f t="shared" si="2"/>
        <v>51</v>
      </c>
      <c r="J5" s="407">
        <f t="shared" si="2"/>
        <v>58</v>
      </c>
      <c r="K5" s="407">
        <f t="shared" si="2"/>
        <v>65</v>
      </c>
      <c r="L5" s="407">
        <f t="shared" si="2"/>
        <v>72</v>
      </c>
      <c r="M5" s="407">
        <f t="shared" si="2"/>
        <v>79</v>
      </c>
      <c r="N5" s="407">
        <f t="shared" si="2"/>
        <v>86</v>
      </c>
      <c r="O5" s="407">
        <f t="shared" si="2"/>
        <v>93</v>
      </c>
      <c r="P5" s="407">
        <f t="shared" si="2"/>
        <v>100</v>
      </c>
      <c r="Q5" s="408" t="e" cm="1">
        <f t="array" ref="Q5">INDEX('CHALDEAN ORDER'!C:C, MATCH(Q4,'CHALDEAN ORDER'!C:C,0)+1)</f>
        <v>#N/A</v>
      </c>
      <c r="R5" s="400" t="e">
        <f t="shared" ref="R5:R10" si="3">IF(Q5=$F$13,"YES","")</f>
        <v>#N/A</v>
      </c>
      <c r="S5" s="420" t="str">
        <f t="shared" si="1"/>
        <v/>
      </c>
      <c r="T5" s="400" t="e">
        <f t="shared" ref="T5:T10" si="4">IF(AND(R5="YES",S5="NOW"),"YES","")</f>
        <v>#N/A</v>
      </c>
      <c r="AA5" s="48">
        <v>1</v>
      </c>
      <c r="AB5" s="48" t="s">
        <v>37</v>
      </c>
    </row>
    <row r="6" spans="1:28" ht="19" thickBot="1" x14ac:dyDescent="0.5">
      <c r="B6" s="409">
        <v>3</v>
      </c>
      <c r="C6" s="409">
        <f t="shared" si="2"/>
        <v>10</v>
      </c>
      <c r="D6" s="409">
        <f t="shared" si="2"/>
        <v>17</v>
      </c>
      <c r="E6" s="409">
        <f t="shared" si="2"/>
        <v>24</v>
      </c>
      <c r="F6" s="409">
        <f t="shared" si="2"/>
        <v>31</v>
      </c>
      <c r="G6" s="409">
        <f t="shared" si="2"/>
        <v>38</v>
      </c>
      <c r="H6" s="409">
        <f t="shared" si="2"/>
        <v>45</v>
      </c>
      <c r="I6" s="409">
        <f t="shared" si="2"/>
        <v>52</v>
      </c>
      <c r="J6" s="409">
        <f t="shared" si="2"/>
        <v>59</v>
      </c>
      <c r="K6" s="409">
        <f t="shared" si="2"/>
        <v>66</v>
      </c>
      <c r="L6" s="409">
        <f t="shared" si="2"/>
        <v>73</v>
      </c>
      <c r="M6" s="409">
        <f t="shared" si="2"/>
        <v>80</v>
      </c>
      <c r="N6" s="409">
        <f t="shared" si="2"/>
        <v>87</v>
      </c>
      <c r="O6" s="409">
        <f t="shared" si="2"/>
        <v>94</v>
      </c>
      <c r="P6" s="409">
        <f t="shared" si="2"/>
        <v>101</v>
      </c>
      <c r="Q6" s="285" t="e" cm="1">
        <f t="array" ref="Q6">INDEX('CHALDEAN ORDER'!C:C, MATCH(Q5,'CHALDEAN ORDER'!C:C,0)+1)</f>
        <v>#N/A</v>
      </c>
      <c r="R6" s="400" t="e">
        <f t="shared" si="3"/>
        <v>#N/A</v>
      </c>
      <c r="S6" s="420" t="str">
        <f t="shared" si="1"/>
        <v/>
      </c>
      <c r="T6" s="400" t="e">
        <f t="shared" si="4"/>
        <v>#N/A</v>
      </c>
      <c r="AA6" s="48">
        <v>8</v>
      </c>
      <c r="AB6" s="48" t="s">
        <v>37</v>
      </c>
    </row>
    <row r="7" spans="1:28" ht="19" thickBot="1" x14ac:dyDescent="0.5">
      <c r="A7" s="4"/>
      <c r="B7" s="410">
        <v>4</v>
      </c>
      <c r="C7" s="411">
        <f t="shared" si="2"/>
        <v>11</v>
      </c>
      <c r="D7" s="411">
        <f t="shared" si="2"/>
        <v>18</v>
      </c>
      <c r="E7" s="411">
        <f t="shared" si="2"/>
        <v>25</v>
      </c>
      <c r="F7" s="411">
        <f t="shared" si="2"/>
        <v>32</v>
      </c>
      <c r="G7" s="411">
        <f t="shared" si="2"/>
        <v>39</v>
      </c>
      <c r="H7" s="411">
        <f t="shared" si="2"/>
        <v>46</v>
      </c>
      <c r="I7" s="411">
        <f t="shared" si="2"/>
        <v>53</v>
      </c>
      <c r="J7" s="411">
        <f t="shared" si="2"/>
        <v>60</v>
      </c>
      <c r="K7" s="411">
        <f t="shared" si="2"/>
        <v>67</v>
      </c>
      <c r="L7" s="411">
        <f t="shared" si="2"/>
        <v>74</v>
      </c>
      <c r="M7" s="411">
        <f t="shared" si="2"/>
        <v>81</v>
      </c>
      <c r="N7" s="411">
        <f t="shared" si="2"/>
        <v>88</v>
      </c>
      <c r="O7" s="411">
        <f t="shared" si="2"/>
        <v>95</v>
      </c>
      <c r="P7" s="411">
        <f t="shared" si="2"/>
        <v>102</v>
      </c>
      <c r="Q7" s="412" t="e" cm="1">
        <f t="array" ref="Q7">INDEX('CHALDEAN ORDER'!C:C, MATCH(Q6,'CHALDEAN ORDER'!C:C,0)+1)</f>
        <v>#N/A</v>
      </c>
      <c r="R7" s="400" t="e">
        <f t="shared" si="3"/>
        <v>#N/A</v>
      </c>
      <c r="S7" s="420" t="str">
        <f>IF(COUNTIF(B7:P7, $F$15)&gt;0, "NOW", "")</f>
        <v/>
      </c>
      <c r="T7" s="400" t="e">
        <f t="shared" si="4"/>
        <v>#N/A</v>
      </c>
      <c r="AA7" s="48">
        <v>15</v>
      </c>
      <c r="AB7" s="48" t="s">
        <v>37</v>
      </c>
    </row>
    <row r="8" spans="1:28" ht="18.5" x14ac:dyDescent="0.45">
      <c r="B8" s="407">
        <v>5</v>
      </c>
      <c r="C8" s="407">
        <f t="shared" si="2"/>
        <v>12</v>
      </c>
      <c r="D8" s="407">
        <f t="shared" si="2"/>
        <v>19</v>
      </c>
      <c r="E8" s="407">
        <f t="shared" si="2"/>
        <v>26</v>
      </c>
      <c r="F8" s="407">
        <f t="shared" si="2"/>
        <v>33</v>
      </c>
      <c r="G8" s="407">
        <f t="shared" si="2"/>
        <v>40</v>
      </c>
      <c r="H8" s="407">
        <f t="shared" si="2"/>
        <v>47</v>
      </c>
      <c r="I8" s="407">
        <f t="shared" si="2"/>
        <v>54</v>
      </c>
      <c r="J8" s="407">
        <f t="shared" si="2"/>
        <v>61</v>
      </c>
      <c r="K8" s="407">
        <f t="shared" si="2"/>
        <v>68</v>
      </c>
      <c r="L8" s="407">
        <f t="shared" si="2"/>
        <v>75</v>
      </c>
      <c r="M8" s="407">
        <f t="shared" si="2"/>
        <v>82</v>
      </c>
      <c r="N8" s="407">
        <f t="shared" si="2"/>
        <v>89</v>
      </c>
      <c r="O8" s="407">
        <f t="shared" si="2"/>
        <v>96</v>
      </c>
      <c r="P8" s="407">
        <f t="shared" si="2"/>
        <v>103</v>
      </c>
      <c r="Q8" s="408" t="e" cm="1">
        <f t="array" ref="Q8">INDEX('CHALDEAN ORDER'!C:C, MATCH(Q7,'CHALDEAN ORDER'!C:C,0)+1)</f>
        <v>#N/A</v>
      </c>
      <c r="R8" s="400" t="e">
        <f t="shared" si="3"/>
        <v>#N/A</v>
      </c>
      <c r="S8" s="420" t="str">
        <f t="shared" si="1"/>
        <v/>
      </c>
      <c r="T8" s="400" t="e">
        <f t="shared" si="4"/>
        <v>#N/A</v>
      </c>
      <c r="AA8" s="48">
        <v>22</v>
      </c>
      <c r="AB8" s="48" t="s">
        <v>37</v>
      </c>
    </row>
    <row r="9" spans="1:28" ht="18.5" x14ac:dyDescent="0.45">
      <c r="B9" s="57">
        <v>6</v>
      </c>
      <c r="C9" s="57">
        <f t="shared" si="2"/>
        <v>13</v>
      </c>
      <c r="D9" s="57">
        <f t="shared" si="2"/>
        <v>20</v>
      </c>
      <c r="E9" s="57">
        <f t="shared" si="2"/>
        <v>27</v>
      </c>
      <c r="F9" s="57">
        <f t="shared" si="2"/>
        <v>34</v>
      </c>
      <c r="G9" s="57">
        <f t="shared" si="2"/>
        <v>41</v>
      </c>
      <c r="H9" s="57">
        <f t="shared" si="2"/>
        <v>48</v>
      </c>
      <c r="I9" s="57">
        <f t="shared" si="2"/>
        <v>55</v>
      </c>
      <c r="J9" s="57">
        <f t="shared" si="2"/>
        <v>62</v>
      </c>
      <c r="K9" s="57">
        <f t="shared" si="2"/>
        <v>69</v>
      </c>
      <c r="L9" s="57">
        <f t="shared" si="2"/>
        <v>76</v>
      </c>
      <c r="M9" s="57">
        <f t="shared" si="2"/>
        <v>83</v>
      </c>
      <c r="N9" s="57">
        <f t="shared" si="2"/>
        <v>90</v>
      </c>
      <c r="O9" s="57">
        <f t="shared" si="2"/>
        <v>97</v>
      </c>
      <c r="P9" s="57">
        <f t="shared" si="2"/>
        <v>104</v>
      </c>
      <c r="Q9" s="66" t="e" cm="1">
        <f t="array" ref="Q9">INDEX('CHALDEAN ORDER'!C:C, MATCH(Q8,'CHALDEAN ORDER'!C:C,0)+1)</f>
        <v>#N/A</v>
      </c>
      <c r="R9" s="400" t="e">
        <f t="shared" si="3"/>
        <v>#N/A</v>
      </c>
      <c r="S9" s="420" t="str">
        <f t="shared" si="1"/>
        <v/>
      </c>
      <c r="T9" s="400" t="e">
        <f t="shared" si="4"/>
        <v>#N/A</v>
      </c>
      <c r="AA9" s="48">
        <v>29</v>
      </c>
      <c r="AB9" s="48" t="s">
        <v>37</v>
      </c>
    </row>
    <row r="10" spans="1:28" ht="18.5" x14ac:dyDescent="0.45">
      <c r="B10" s="150">
        <v>7</v>
      </c>
      <c r="C10" s="150">
        <f t="shared" si="2"/>
        <v>14</v>
      </c>
      <c r="D10" s="150">
        <f t="shared" si="2"/>
        <v>21</v>
      </c>
      <c r="E10" s="150">
        <f t="shared" si="2"/>
        <v>28</v>
      </c>
      <c r="F10" s="150">
        <f t="shared" si="2"/>
        <v>35</v>
      </c>
      <c r="G10" s="150">
        <f t="shared" si="2"/>
        <v>42</v>
      </c>
      <c r="H10" s="150">
        <f t="shared" si="2"/>
        <v>49</v>
      </c>
      <c r="I10" s="150">
        <f t="shared" si="2"/>
        <v>56</v>
      </c>
      <c r="J10" s="150">
        <f t="shared" si="2"/>
        <v>63</v>
      </c>
      <c r="K10" s="150">
        <f t="shared" si="2"/>
        <v>70</v>
      </c>
      <c r="L10" s="150">
        <f t="shared" si="2"/>
        <v>77</v>
      </c>
      <c r="M10" s="150">
        <f t="shared" si="2"/>
        <v>84</v>
      </c>
      <c r="N10" s="150">
        <f t="shared" si="2"/>
        <v>91</v>
      </c>
      <c r="O10" s="150">
        <f t="shared" si="2"/>
        <v>98</v>
      </c>
      <c r="P10" s="150">
        <f t="shared" si="2"/>
        <v>105</v>
      </c>
      <c r="Q10" s="66" t="e" cm="1">
        <f t="array" ref="Q10">INDEX('CHALDEAN ORDER'!C:C, MATCH(Q9,'CHALDEAN ORDER'!C:C,0)+1)</f>
        <v>#N/A</v>
      </c>
      <c r="R10" s="400" t="e">
        <f t="shared" si="3"/>
        <v>#N/A</v>
      </c>
      <c r="S10" s="420" t="str">
        <f t="shared" si="1"/>
        <v/>
      </c>
      <c r="T10" s="400" t="e">
        <f t="shared" si="4"/>
        <v>#N/A</v>
      </c>
      <c r="AA10" s="48">
        <v>36</v>
      </c>
      <c r="AB10" s="48" t="s">
        <v>37</v>
      </c>
    </row>
    <row r="11" spans="1:28" hidden="1" x14ac:dyDescent="0.35">
      <c r="U11" t="e">
        <f>#REF!&amp; " &amp; " &amp;#REF!</f>
        <v>#REF!</v>
      </c>
      <c r="AA11" s="48">
        <v>43</v>
      </c>
      <c r="AB11" s="48" t="s">
        <v>37</v>
      </c>
    </row>
    <row r="12" spans="1:28" hidden="1" x14ac:dyDescent="0.35">
      <c r="U12" t="e">
        <f>#REF!</f>
        <v>#REF!</v>
      </c>
      <c r="AA12" s="48">
        <v>50</v>
      </c>
      <c r="AB12" s="48" t="s">
        <v>37</v>
      </c>
    </row>
    <row r="13" spans="1:28" ht="30" customHeight="1" x14ac:dyDescent="0.35">
      <c r="B13" s="502" t="s">
        <v>398</v>
      </c>
      <c r="C13" s="502"/>
      <c r="D13" s="502"/>
      <c r="E13" s="502"/>
      <c r="F13" s="91"/>
      <c r="G13" s="54"/>
      <c r="U13" s="500" t="s">
        <v>263</v>
      </c>
      <c r="V13" s="500"/>
      <c r="AA13" s="48">
        <v>71</v>
      </c>
      <c r="AB13" s="48" t="s">
        <v>37</v>
      </c>
    </row>
    <row r="14" spans="1:28" ht="21" x14ac:dyDescent="0.35">
      <c r="B14" s="502" t="s">
        <v>38</v>
      </c>
      <c r="C14" s="502"/>
      <c r="D14" s="502"/>
      <c r="E14" s="502"/>
      <c r="F14" s="90" t="e">
        <f>'2. PROFECTION YEARLY &amp; MONTHLY'!I4</f>
        <v>#N/A</v>
      </c>
      <c r="G14" s="54"/>
      <c r="L14" s="417"/>
      <c r="M14" s="417"/>
      <c r="N14" s="417"/>
      <c r="O14" s="417"/>
      <c r="AA14" s="48">
        <v>78</v>
      </c>
      <c r="AB14" s="48" t="s">
        <v>37</v>
      </c>
    </row>
    <row r="15" spans="1:28" ht="15.5" x14ac:dyDescent="0.35">
      <c r="B15" s="499" t="s">
        <v>394</v>
      </c>
      <c r="C15" s="499"/>
      <c r="D15" s="499"/>
      <c r="E15" s="499"/>
      <c r="F15" s="419">
        <f>'1. FIRDARIA CALCULATOR'!B5</f>
        <v>-1900</v>
      </c>
      <c r="G15" s="55"/>
      <c r="L15" s="417"/>
      <c r="M15" s="417"/>
      <c r="N15" s="417"/>
      <c r="O15" s="417"/>
      <c r="AA15" s="48">
        <v>85</v>
      </c>
      <c r="AB15" s="48" t="s">
        <v>37</v>
      </c>
    </row>
    <row r="16" spans="1:28" ht="28" customHeight="1" x14ac:dyDescent="0.35">
      <c r="B16" s="502" t="s">
        <v>401</v>
      </c>
      <c r="C16" s="502"/>
      <c r="D16" s="502"/>
      <c r="E16" s="502"/>
      <c r="F16" s="505" t="str">
        <f>IF(S4="NOW","CHECK AGAIN IN SOLAR REVOLUTION","NO")</f>
        <v>NO</v>
      </c>
      <c r="G16" s="505"/>
      <c r="H16" s="505"/>
      <c r="I16" s="505"/>
      <c r="J16" s="505"/>
      <c r="L16" s="417"/>
      <c r="M16" s="417"/>
      <c r="N16" s="417"/>
      <c r="O16" s="417"/>
      <c r="AA16" s="48">
        <v>92</v>
      </c>
      <c r="AB16" s="48" t="s">
        <v>37</v>
      </c>
    </row>
    <row r="17" spans="2:28" ht="32.15" customHeight="1" x14ac:dyDescent="0.35">
      <c r="B17" s="502" t="s">
        <v>400</v>
      </c>
      <c r="C17" s="502"/>
      <c r="D17" s="502"/>
      <c r="E17" s="502"/>
      <c r="F17" s="505" t="str">
        <f>IF(S7="NOW","CHECK AGAIN IN SOLAR REVOLUTION","NO")</f>
        <v>NO</v>
      </c>
      <c r="G17" s="505"/>
      <c r="H17" s="505"/>
      <c r="I17" s="505"/>
      <c r="J17" s="505"/>
      <c r="L17" s="417"/>
      <c r="M17" s="417"/>
      <c r="N17" s="417"/>
      <c r="O17" s="417"/>
    </row>
    <row r="18" spans="2:28" ht="25.5" customHeight="1" x14ac:dyDescent="0.35">
      <c r="B18" s="499" t="s">
        <v>402</v>
      </c>
      <c r="C18" s="499"/>
      <c r="D18" s="499"/>
      <c r="E18" s="499"/>
      <c r="F18" s="422" t="e">
        <f>IF(INDEX($Q$4:$Q$10,MATCH("NOW",$S$4:$S$10,0))=F14,"YES","NO")</f>
        <v>#N/A</v>
      </c>
      <c r="AA18" s="48">
        <v>99</v>
      </c>
      <c r="AB18" s="48" t="s">
        <v>37</v>
      </c>
    </row>
    <row r="23" spans="2:28" x14ac:dyDescent="0.35">
      <c r="AA23"/>
      <c r="AB23"/>
    </row>
    <row r="24" spans="2:28" x14ac:dyDescent="0.35">
      <c r="AA24"/>
      <c r="AB24"/>
    </row>
    <row r="25" spans="2:28" x14ac:dyDescent="0.35">
      <c r="AA25"/>
      <c r="AB25"/>
    </row>
    <row r="26" spans="2:28" x14ac:dyDescent="0.35">
      <c r="AA26"/>
      <c r="AB26"/>
    </row>
    <row r="27" spans="2:28" x14ac:dyDescent="0.35">
      <c r="B27" s="35"/>
      <c r="AA27"/>
      <c r="AB27"/>
    </row>
    <row r="28" spans="2:28" x14ac:dyDescent="0.35">
      <c r="AA28"/>
      <c r="AB28"/>
    </row>
    <row r="29" spans="2:28" x14ac:dyDescent="0.35">
      <c r="AA29"/>
      <c r="AB29"/>
    </row>
    <row r="30" spans="2:28" x14ac:dyDescent="0.35">
      <c r="AA30"/>
      <c r="AB30"/>
    </row>
  </sheetData>
  <mergeCells count="11">
    <mergeCell ref="B18:E18"/>
    <mergeCell ref="U13:V13"/>
    <mergeCell ref="B3:P3"/>
    <mergeCell ref="B17:E17"/>
    <mergeCell ref="B15:E15"/>
    <mergeCell ref="B13:E13"/>
    <mergeCell ref="B14:E14"/>
    <mergeCell ref="B16:E16"/>
    <mergeCell ref="U4:W4"/>
    <mergeCell ref="F16:J16"/>
    <mergeCell ref="F17:J17"/>
  </mergeCells>
  <conditionalFormatting sqref="F16:F17">
    <cfRule type="containsText" dxfId="16" priority="8" operator="containsText" text="CHECK AGAIN IN SOLAR REVOLUTION">
      <formula>NOT(ISERROR(SEARCH("CHECK AGAIN IN SOLAR REVOLUTION",F16)))</formula>
    </cfRule>
  </conditionalFormatting>
  <conditionalFormatting sqref="F18">
    <cfRule type="containsText" dxfId="15" priority="1" operator="containsText" text="YES">
      <formula>NOT(ISERROR(SEARCH("YES",F18)))</formula>
    </cfRule>
  </conditionalFormatting>
  <conditionalFormatting sqref="F16:J17">
    <cfRule type="containsText" dxfId="14" priority="7" operator="containsText" text="NO">
      <formula>NOT(ISERROR(SEARCH("NO",F16)))</formula>
    </cfRule>
  </conditionalFormatting>
  <conditionalFormatting sqref="R5:R10">
    <cfRule type="containsText" dxfId="13" priority="4" operator="containsText" text="YES">
      <formula>NOT(ISERROR(SEARCH("YES",R5)))</formula>
    </cfRule>
  </conditionalFormatting>
  <conditionalFormatting sqref="S4:T10">
    <cfRule type="containsText" dxfId="12" priority="3" operator="containsText" text="NOW">
      <formula>NOT(ISERROR(SEARCH("NOW",S4)))</formula>
    </cfRule>
  </conditionalFormatting>
  <hyperlinks>
    <hyperlink ref="U4" r:id="rId1" xr:uid="{A58BA580-08C7-4756-9FB0-D4263A5C21A9}"/>
    <hyperlink ref="U13" r:id="rId2" xr:uid="{1A9055AB-F484-41CF-8F6E-25A62B1DAAE5}"/>
  </hyperlinks>
  <pageMargins left="0.7" right="0.7" top="0.75" bottom="0.75" header="0.3" footer="0.3"/>
  <pageSetup paperSize="9" orientation="portrait" r:id="rId3"/>
  <drawing r:id="rId4"/>
  <legacyDrawing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8A8E2D-9D58-40CF-BBD9-8DFAEFC3205E}">
          <x14:formula1>
            <xm:f>'CHALDEAN ORDER'!$C$2:$C$8</xm:f>
          </x14:formula1>
          <xm:sqref>F13 Q4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>
    <tabColor rgb="FF00B0F0"/>
  </sheetPr>
  <dimension ref="A1:AL86"/>
  <sheetViews>
    <sheetView topLeftCell="H1" zoomScale="55" zoomScaleNormal="55" workbookViewId="0">
      <pane ySplit="5" topLeftCell="A6" activePane="bottomLeft" state="frozen"/>
      <selection pane="bottomLeft" activeCell="U47" sqref="U47"/>
    </sheetView>
  </sheetViews>
  <sheetFormatPr defaultRowHeight="14.5" x14ac:dyDescent="0.35"/>
  <cols>
    <col min="8" max="8" width="22" customWidth="1"/>
    <col min="9" max="9" width="11.7265625" customWidth="1"/>
    <col min="10" max="10" width="6.54296875" bestFit="1" customWidth="1"/>
    <col min="11" max="11" width="9.7265625" customWidth="1"/>
    <col min="12" max="12" width="20.1796875" customWidth="1"/>
    <col min="13" max="13" width="12.54296875" customWidth="1"/>
    <col min="14" max="14" width="10.54296875" customWidth="1"/>
    <col min="15" max="15" width="12.453125" bestFit="1" customWidth="1"/>
    <col min="16" max="16" width="12.1796875" customWidth="1"/>
    <col min="17" max="17" width="11.81640625" customWidth="1"/>
    <col min="18" max="18" width="12.26953125" customWidth="1"/>
    <col min="19" max="19" width="19.453125" customWidth="1"/>
    <col min="20" max="20" width="12.81640625" bestFit="1" customWidth="1"/>
    <col min="21" max="22" width="15.81640625" customWidth="1"/>
    <col min="23" max="23" width="10.1796875" customWidth="1"/>
    <col min="24" max="24" width="9.54296875" bestFit="1" customWidth="1"/>
    <col min="25" max="25" width="11.54296875" customWidth="1"/>
    <col min="26" max="26" width="11.1796875" customWidth="1"/>
    <col min="27" max="27" width="12.81640625" customWidth="1"/>
    <col min="28" max="28" width="18.81640625" customWidth="1"/>
    <col min="29" max="29" width="10" customWidth="1"/>
    <col min="30" max="30" width="11.7265625" customWidth="1"/>
    <col min="31" max="31" width="9.453125" customWidth="1"/>
    <col min="32" max="32" width="19.7265625" bestFit="1" customWidth="1"/>
    <col min="33" max="33" width="34.1796875" customWidth="1"/>
    <col min="34" max="34" width="38.54296875" bestFit="1" customWidth="1"/>
    <col min="35" max="35" width="40.453125" customWidth="1"/>
    <col min="36" max="36" width="19.453125" bestFit="1" customWidth="1"/>
    <col min="37" max="37" width="18.453125" bestFit="1" customWidth="1"/>
    <col min="38" max="38" width="18.7265625" bestFit="1" customWidth="1"/>
  </cols>
  <sheetData>
    <row r="1" spans="1:38" ht="29" x14ac:dyDescent="0.35">
      <c r="A1" s="550" t="s">
        <v>318</v>
      </c>
      <c r="B1" s="550"/>
      <c r="C1" s="550"/>
      <c r="I1" s="203" t="s">
        <v>91</v>
      </c>
      <c r="J1" s="203" t="s">
        <v>25</v>
      </c>
      <c r="K1" s="565" t="s">
        <v>89</v>
      </c>
      <c r="L1" s="565"/>
      <c r="AK1" t="s">
        <v>153</v>
      </c>
      <c r="AL1" t="s">
        <v>153</v>
      </c>
    </row>
    <row r="2" spans="1:38" s="19" customFormat="1" ht="29" x14ac:dyDescent="0.35">
      <c r="A2" s="550"/>
      <c r="B2" s="550"/>
      <c r="C2" s="550"/>
      <c r="H2" s="68" t="s">
        <v>90</v>
      </c>
      <c r="I2" s="63"/>
      <c r="J2" s="63"/>
      <c r="K2" s="266" t="s">
        <v>92</v>
      </c>
      <c r="L2" s="266" t="s">
        <v>93</v>
      </c>
      <c r="O2" s="506" t="s">
        <v>94</v>
      </c>
      <c r="P2" s="506"/>
      <c r="AD2" s="19" t="s">
        <v>95</v>
      </c>
    </row>
    <row r="3" spans="1:38" ht="18.5" x14ac:dyDescent="0.45">
      <c r="A3" s="4"/>
      <c r="H3" s="11" t="s">
        <v>26</v>
      </c>
      <c r="I3" s="73" t="e">
        <f>'PROFECTION CALCULATION '!G4</f>
        <v>#N/A</v>
      </c>
      <c r="J3" s="73" t="e">
        <f>INDEX('1. ZODIAC NATAL'!$A$6:$A$17,MATCH('2. PROFECTION YEARLY &amp; MONTHLY'!I3,'1. ZODIAC NATAL'!$B$6:$B$17,0))</f>
        <v>#N/A</v>
      </c>
      <c r="K3" s="267"/>
      <c r="L3" s="267"/>
      <c r="N3" s="4"/>
    </row>
    <row r="4" spans="1:38" ht="15.5" x14ac:dyDescent="0.35">
      <c r="H4" s="4" t="s">
        <v>96</v>
      </c>
      <c r="I4" s="66" t="e">
        <f>VLOOKUP(I3,'ZODIAC LORD and ATRIBUTES'!A:C,3,FALSE)</f>
        <v>#N/A</v>
      </c>
      <c r="J4" s="50"/>
      <c r="K4" s="267" t="e">
        <f>'1. LORD OF THE TURN'!#REF!</f>
        <v>#REF!</v>
      </c>
      <c r="L4" s="267" t="e">
        <f>'1. LORD OF THE TURN'!#REF!</f>
        <v>#REF!</v>
      </c>
    </row>
    <row r="5" spans="1:38" ht="15.5" x14ac:dyDescent="0.35">
      <c r="H5" s="4"/>
      <c r="I5" s="9"/>
      <c r="J5" s="50"/>
      <c r="K5" s="267" t="e">
        <f>K4=I4</f>
        <v>#REF!</v>
      </c>
      <c r="L5" s="267" t="e">
        <f>L4=I4</f>
        <v>#REF!</v>
      </c>
      <c r="M5" s="496"/>
      <c r="N5" s="496"/>
    </row>
    <row r="22" spans="12:30" ht="15" thickBot="1" x14ac:dyDescent="0.4"/>
    <row r="23" spans="12:30" ht="19" thickTop="1" x14ac:dyDescent="0.45">
      <c r="L23" s="178" t="s">
        <v>97</v>
      </c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517"/>
      <c r="AB23" s="518"/>
    </row>
    <row r="24" spans="12:30" x14ac:dyDescent="0.35">
      <c r="L24" s="566" t="s">
        <v>98</v>
      </c>
      <c r="M24" s="508" t="s">
        <v>245</v>
      </c>
      <c r="N24" s="509"/>
      <c r="O24" s="509"/>
      <c r="P24" s="509"/>
      <c r="Q24" s="509"/>
      <c r="R24" s="509"/>
      <c r="S24" s="509"/>
      <c r="T24" s="509"/>
      <c r="U24" s="509"/>
      <c r="V24" s="509"/>
      <c r="W24" s="509"/>
      <c r="X24" s="509"/>
      <c r="Y24" s="509"/>
      <c r="Z24" s="509"/>
      <c r="AA24" s="509"/>
      <c r="AB24" s="519"/>
      <c r="AC24" s="42"/>
      <c r="AD24" s="42"/>
    </row>
    <row r="25" spans="12:30" x14ac:dyDescent="0.35">
      <c r="L25" s="567"/>
      <c r="M25" s="568" t="s">
        <v>99</v>
      </c>
      <c r="N25" s="543" t="s">
        <v>100</v>
      </c>
      <c r="O25" s="543" t="s">
        <v>377</v>
      </c>
      <c r="P25" s="508" t="s">
        <v>101</v>
      </c>
      <c r="Q25" s="509"/>
      <c r="R25" s="509"/>
      <c r="S25" s="509"/>
      <c r="T25" s="509"/>
      <c r="U25" s="509"/>
      <c r="V25" s="510"/>
      <c r="W25" s="507" t="s">
        <v>9</v>
      </c>
      <c r="X25" s="507"/>
      <c r="Y25" s="507" t="s">
        <v>395</v>
      </c>
      <c r="Z25" s="507"/>
      <c r="AA25" s="507" t="s">
        <v>325</v>
      </c>
      <c r="AB25" s="507"/>
      <c r="AC25" s="42"/>
      <c r="AD25" s="42"/>
    </row>
    <row r="26" spans="12:30" ht="15" thickBot="1" x14ac:dyDescent="0.4">
      <c r="L26" s="567"/>
      <c r="M26" s="544"/>
      <c r="N26" s="501"/>
      <c r="O26" s="544"/>
      <c r="P26" s="438">
        <v>1</v>
      </c>
      <c r="Q26" s="344">
        <v>2</v>
      </c>
      <c r="R26" s="344">
        <v>3</v>
      </c>
      <c r="S26" s="344">
        <v>4</v>
      </c>
      <c r="T26" s="344">
        <v>5</v>
      </c>
      <c r="U26" s="344">
        <v>6</v>
      </c>
      <c r="V26" s="439">
        <v>7</v>
      </c>
      <c r="W26" s="183" t="s">
        <v>9</v>
      </c>
      <c r="X26" s="183" t="s">
        <v>12</v>
      </c>
      <c r="Y26" s="401" t="s">
        <v>396</v>
      </c>
      <c r="Z26" s="401" t="s">
        <v>397</v>
      </c>
      <c r="AA26" s="507"/>
      <c r="AB26" s="507"/>
    </row>
    <row r="27" spans="12:30" s="19" customFormat="1" ht="15" thickTop="1" x14ac:dyDescent="0.35">
      <c r="L27" s="440" t="s">
        <v>102</v>
      </c>
      <c r="M27" s="441" t="e">
        <f>'PROFECTION CALCULATION '!G3</f>
        <v>#N/A</v>
      </c>
      <c r="N27" s="442" t="e">
        <f>VLOOKUP(M27,'ZODIAC LORD and ATRIBUTES'!A:C,3,FALSE)</f>
        <v>#N/A</v>
      </c>
      <c r="O27" s="443" t="s">
        <v>411</v>
      </c>
      <c r="P27" s="444" t="e">
        <f>INDEX('1. ZODIAC NATAL'!$D$6:$D$17,MATCH('2. PROFECTION YEARLY &amp; MONTHLY'!M27,'1. ZODIAC NATAL'!$B$6:$B$17,0))</f>
        <v>#N/A</v>
      </c>
      <c r="Q27" s="444" t="e">
        <f>INDEX('1. ZODIAC NATAL'!$E$6:$E$17,MATCH('2. PROFECTION YEARLY &amp; MONTHLY'!M27,'1. ZODIAC NATAL'!$B$6:$B$17,0))</f>
        <v>#N/A</v>
      </c>
      <c r="R27" s="444" t="e">
        <f>INDEX('1. ZODIAC NATAL'!$F$6:$F$17,MATCH('2. PROFECTION YEARLY &amp; MONTHLY'!M27,'1. ZODIAC NATAL'!$B$6:$B$17,0))</f>
        <v>#N/A</v>
      </c>
      <c r="S27" s="444" t="e">
        <f>INDEX('1. ZODIAC NATAL'!$G$6:$G$17,MATCH('2. PROFECTION YEARLY &amp; MONTHLY'!M27,'1. ZODIAC NATAL'!$B$6:$B$17,0))</f>
        <v>#N/A</v>
      </c>
      <c r="T27" s="444" t="e">
        <f>INDEX('1. ZODIAC NATAL'!$H$6:$H$17,MATCH('2. PROFECTION YEARLY &amp; MONTHLY'!M27,'1. ZODIAC NATAL'!$B$6:$B$17,0))</f>
        <v>#N/A</v>
      </c>
      <c r="U27" s="444" t="e">
        <f>INDEX('1. ZODIAC NATAL'!$I$6:$I$17,MATCH('2. PROFECTION YEARLY &amp; MONTHLY'!M27,'1. ZODIAC NATAL'!$B$6:$B$17,0))</f>
        <v>#N/A</v>
      </c>
      <c r="V27" s="444" t="e">
        <f>INDEX('1. ZODIAC NATAL'!$J$6:$J$17,MATCH('2. PROFECTION YEARLY &amp; MONTHLY'!M27,'1. ZODIAC NATAL'!$B$6:$B$17,0))</f>
        <v>#N/A</v>
      </c>
      <c r="W27" s="562">
        <f>'1. FIRDARIA CALCULATOR'!S3</f>
        <v>0</v>
      </c>
      <c r="X27" s="530">
        <f>'1. FIRDARIA CALCULATOR'!S4</f>
        <v>0</v>
      </c>
      <c r="Y27" s="434" t="e">
        <f>IF(OR(
'1. LORD OF THE TURN'!#REF!='2. PROFECTION YEARLY &amp; MONTHLY'!P27,
'1. LORD OF THE TURN'!#REF!='2. PROFECTION YEARLY &amp; MONTHLY'!Q27,
'1. LORD OF THE TURN'!#REF!='2. PROFECTION YEARLY &amp; MONTHLY'!R27,
'1. LORD OF THE TURN'!#REF!='2. PROFECTION YEARLY &amp; MONTHLY'!S27,
'1. LORD OF THE TURN'!#REF!='2. PROFECTION YEARLY &amp; MONTHLY'!T27,
'1. LORD OF THE TURN'!#REF!='2. PROFECTION YEARLY &amp; MONTHLY'!U27,
'1. LORD OF THE TURN'!#REF!='2. PROFECTION YEARLY &amp; MONTHLY'!V27),"ALLIGNED","-")</f>
        <v>#REF!</v>
      </c>
      <c r="Z27" s="427" t="e">
        <f>IF(OR(
'1. LORD OF THE TURN'!#REF!='2. PROFECTION YEARLY &amp; MONTHLY'!N27,
'1. LORD OF THE TURN'!#REF!='2. PROFECTION YEARLY &amp; MONTHLY'!P27,
'1. LORD OF THE TURN'!#REF!='2. PROFECTION YEARLY &amp; MONTHLY'!Q27,
'1. LORD OF THE TURN'!#REF!='2. PROFECTION YEARLY &amp; MONTHLY'!R27,
'1. LORD OF THE TURN'!#REF!='2. PROFECTION YEARLY &amp; MONTHLY'!S27,
'1. LORD OF THE TURN'!#REF!='2. PROFECTION YEARLY &amp; MONTHLY'!T27,
'1. LORD OF THE TURN'!#REF!='2. PROFECTION YEARLY &amp; MONTHLY'!U27,
'1. LORD OF THE TURN'!#REF!='2. PROFECTION YEARLY &amp; MONTHLY'!V27),"ALLIGNED","-")</f>
        <v>#REF!</v>
      </c>
      <c r="AA27" s="511"/>
      <c r="AB27" s="512"/>
    </row>
    <row r="28" spans="12:30" s="19" customFormat="1" x14ac:dyDescent="0.35">
      <c r="L28" s="430" t="s">
        <v>104</v>
      </c>
      <c r="M28" s="102" t="e">
        <f>'PROFECTION CALCULATION '!G4</f>
        <v>#N/A</v>
      </c>
      <c r="N28" s="100" t="e">
        <f>VLOOKUP(M28,'ZODIAC LORD and ATRIBUTES'!A:C,3,FALSE)</f>
        <v>#N/A</v>
      </c>
      <c r="O28" s="354" t="s">
        <v>411</v>
      </c>
      <c r="P28" s="425" t="e">
        <f>INDEX('1. ZODIAC NATAL'!$D$6:$D$17,MATCH('2. PROFECTION YEARLY &amp; MONTHLY'!M28,'1. ZODIAC NATAL'!$B$6:$B$17,0))</f>
        <v>#N/A</v>
      </c>
      <c r="Q28" s="425" t="e">
        <f>INDEX('1. ZODIAC NATAL'!$E$6:$E$17,MATCH('2. PROFECTION YEARLY &amp; MONTHLY'!M28,'1. ZODIAC NATAL'!$B$6:$B$17,0))</f>
        <v>#N/A</v>
      </c>
      <c r="R28" s="425" t="e">
        <f>INDEX('1. ZODIAC NATAL'!$F$6:$F$17,MATCH('2. PROFECTION YEARLY &amp; MONTHLY'!M28,'1. ZODIAC NATAL'!$B$6:$B$17,0))</f>
        <v>#N/A</v>
      </c>
      <c r="S28" s="425" t="e">
        <f>INDEX('1. ZODIAC NATAL'!$G$6:$G$17,MATCH('2. PROFECTION YEARLY &amp; MONTHLY'!M28,'1. ZODIAC NATAL'!$B$6:$B$17,0))</f>
        <v>#N/A</v>
      </c>
      <c r="T28" s="425" t="e">
        <f>INDEX('1. ZODIAC NATAL'!$H$6:$H$17,MATCH('2. PROFECTION YEARLY &amp; MONTHLY'!M28,'1. ZODIAC NATAL'!$B$6:$B$17,0))</f>
        <v>#N/A</v>
      </c>
      <c r="U28" s="425" t="e">
        <f>INDEX('1. ZODIAC NATAL'!$I$6:$I$17,MATCH('2. PROFECTION YEARLY &amp; MONTHLY'!M28,'1. ZODIAC NATAL'!$B$6:$B$17,0))</f>
        <v>#N/A</v>
      </c>
      <c r="V28" s="425" t="e">
        <f>INDEX('1. ZODIAC NATAL'!$J$6:$J$17,MATCH('2. PROFECTION YEARLY &amp; MONTHLY'!M28,'1. ZODIAC NATAL'!$B$6:$B$17,0))</f>
        <v>#N/A</v>
      </c>
      <c r="W28" s="563"/>
      <c r="X28" s="531"/>
      <c r="Y28" s="435" t="e">
        <f>IF(OR(
'1. LORD OF THE TURN'!Q4='2. PROFECTION YEARLY &amp; MONTHLY'!N28,
'1. LORD OF THE TURN'!Q4='2. PROFECTION YEARLY &amp; MONTHLY'!P28,
'1. LORD OF THE TURN'!Q4='2. PROFECTION YEARLY &amp; MONTHLY'!Q28,
'1. LORD OF THE TURN'!Q4='2. PROFECTION YEARLY &amp; MONTHLY'!R28,
'1. LORD OF THE TURN'!Q4='2. PROFECTION YEARLY &amp; MONTHLY'!S28,
'1. LORD OF THE TURN'!Q4='2. PROFECTION YEARLY &amp; MONTHLY'!T28,
'1. LORD OF THE TURN'!Q4='2. PROFECTION YEARLY &amp; MONTHLY'!U28,
'1. LORD OF THE TURN'!Q4='2. PROFECTION YEARLY &amp; MONTHLY'!V28),"ALLIGNED","-")</f>
        <v>#N/A</v>
      </c>
      <c r="Z28" s="402" t="e">
        <f>IF(OR(
'1. LORD OF THE TURN'!F13='2. PROFECTION YEARLY &amp; MONTHLY'!N28,
'1. LORD OF THE TURN'!F13='2. PROFECTION YEARLY &amp; MONTHLY'!P28,
'1. LORD OF THE TURN'!F13='2. PROFECTION YEARLY &amp; MONTHLY'!Q28,
'1. LORD OF THE TURN'!F13='2. PROFECTION YEARLY &amp; MONTHLY'!R28,
'1. LORD OF THE TURN'!F13='2. PROFECTION YEARLY &amp; MONTHLY'!S28,
'1. LORD OF THE TURN'!F13='2. PROFECTION YEARLY &amp; MONTHLY'!T28,
'1. LORD OF THE TURN'!F13='2. PROFECTION YEARLY &amp; MONTHLY'!U28,
'1. LORD OF THE TURN'!F13='2. PROFECTION YEARLY &amp; MONTHLY'!V28),"ALLIGNED","-")</f>
        <v>#N/A</v>
      </c>
      <c r="AA28" s="513"/>
      <c r="AB28" s="514"/>
    </row>
    <row r="29" spans="12:30" s="19" customFormat="1" x14ac:dyDescent="0.35">
      <c r="L29" s="431" t="s">
        <v>105</v>
      </c>
      <c r="M29" s="102" t="e">
        <f>'PROFECTION CALCULATION '!G5</f>
        <v>#N/A</v>
      </c>
      <c r="N29" s="100" t="e">
        <f>VLOOKUP(M29,'ZODIAC LORD and ATRIBUTES'!A:C,3,FALSE)</f>
        <v>#N/A</v>
      </c>
      <c r="O29" s="354" t="s">
        <v>411</v>
      </c>
      <c r="P29" s="425" t="e">
        <f>INDEX('1. ZODIAC NATAL'!$D$6:$D$17,MATCH('2. PROFECTION YEARLY &amp; MONTHLY'!M29,'1. ZODIAC NATAL'!$B$6:$B$17,0))</f>
        <v>#N/A</v>
      </c>
      <c r="Q29" s="425" t="e">
        <f>INDEX('1. ZODIAC NATAL'!$E$6:$E$17,MATCH('2. PROFECTION YEARLY &amp; MONTHLY'!M29,'1. ZODIAC NATAL'!$B$6:$B$17,0))</f>
        <v>#N/A</v>
      </c>
      <c r="R29" s="425" t="e">
        <f>INDEX('1. ZODIAC NATAL'!$F$6:$F$17,MATCH('2. PROFECTION YEARLY &amp; MONTHLY'!M29,'1. ZODIAC NATAL'!$B$6:$B$17,0))</f>
        <v>#N/A</v>
      </c>
      <c r="S29" s="425" t="e">
        <f>INDEX('1. ZODIAC NATAL'!$G$6:$G$17,MATCH('2. PROFECTION YEARLY &amp; MONTHLY'!M29,'1. ZODIAC NATAL'!$B$6:$B$17,0))</f>
        <v>#N/A</v>
      </c>
      <c r="T29" s="425" t="e">
        <f>INDEX('1. ZODIAC NATAL'!$H$6:$H$17,MATCH('2. PROFECTION YEARLY &amp; MONTHLY'!M29,'1. ZODIAC NATAL'!$B$6:$B$17,0))</f>
        <v>#N/A</v>
      </c>
      <c r="U29" s="425" t="e">
        <f>INDEX('1. ZODIAC NATAL'!$I$6:$I$17,MATCH('2. PROFECTION YEARLY &amp; MONTHLY'!M29,'1. ZODIAC NATAL'!$B$6:$B$17,0))</f>
        <v>#N/A</v>
      </c>
      <c r="V29" s="425" t="e">
        <f>INDEX('1. ZODIAC NATAL'!$J$6:$J$17,MATCH('2. PROFECTION YEARLY &amp; MONTHLY'!M29,'1. ZODIAC NATAL'!$B$6:$B$17,0))</f>
        <v>#N/A</v>
      </c>
      <c r="W29" s="563"/>
      <c r="X29" s="531"/>
      <c r="Y29" s="436" t="e">
        <f>IF(OR(
'1. LORD OF THE TURN'!#REF!='2. PROFECTION YEARLY &amp; MONTHLY'!N29,
'1. LORD OF THE TURN'!#REF!='2. PROFECTION YEARLY &amp; MONTHLY'!P29,
'1. LORD OF THE TURN'!#REF!='2. PROFECTION YEARLY &amp; MONTHLY'!Q29,
'1. LORD OF THE TURN'!#REF!='2. PROFECTION YEARLY &amp; MONTHLY'!R29,
'1. LORD OF THE TURN'!#REF!='2. PROFECTION YEARLY &amp; MONTHLY'!S29,
'1. LORD OF THE TURN'!#REF!='2. PROFECTION YEARLY &amp; MONTHLY'!T29,
'1. LORD OF THE TURN'!#REF!='2. PROFECTION YEARLY &amp; MONTHLY'!U29,
'1. LORD OF THE TURN'!#REF!='2. PROFECTION YEARLY &amp; MONTHLY'!V29),"ALLIGNED","-")</f>
        <v>#REF!</v>
      </c>
      <c r="Z29" s="403" t="e">
        <f>IF(OR(
'1. LORD OF THE TURN'!F14='2. PROFECTION YEARLY &amp; MONTHLY'!N29,
'1. LORD OF THE TURN'!F14='2. PROFECTION YEARLY &amp; MONTHLY'!P29,
'1. LORD OF THE TURN'!F14='2. PROFECTION YEARLY &amp; MONTHLY'!Q29,
'1. LORD OF THE TURN'!F14='2. PROFECTION YEARLY &amp; MONTHLY'!R29,
'1. LORD OF THE TURN'!F14='2. PROFECTION YEARLY &amp; MONTHLY'!S29,
'1. LORD OF THE TURN'!F14='2. PROFECTION YEARLY &amp; MONTHLY'!T29,
'1. LORD OF THE TURN'!F14='2. PROFECTION YEARLY &amp; MONTHLY'!U29,
'1. LORD OF THE TURN'!F14='2. PROFECTION YEARLY &amp; MONTHLY'!V29),"ALLIGNED","-")</f>
        <v>#N/A</v>
      </c>
      <c r="AA29" s="513"/>
      <c r="AB29" s="514"/>
    </row>
    <row r="30" spans="12:30" s="19" customFormat="1" ht="15" thickBot="1" x14ac:dyDescent="0.4">
      <c r="L30" s="20" t="s">
        <v>106</v>
      </c>
      <c r="M30" s="445" t="e">
        <f>'PROFECTION CALCULATION '!G6</f>
        <v>#N/A</v>
      </c>
      <c r="N30" s="101" t="e">
        <f>VLOOKUP(M30,'ZODIAC LORD and ATRIBUTES'!A:C,3,FALSE)</f>
        <v>#N/A</v>
      </c>
      <c r="O30" s="355" t="s">
        <v>411</v>
      </c>
      <c r="P30" s="426" t="e">
        <f>INDEX('1. ZODIAC NATAL'!$D$6:$D$17,MATCH('2. PROFECTION YEARLY &amp; MONTHLY'!M30,'1. ZODIAC NATAL'!$B$6:$B$17,0))</f>
        <v>#N/A</v>
      </c>
      <c r="Q30" s="426" t="e">
        <f>INDEX('1. ZODIAC NATAL'!$E$6:$E$17,MATCH('2. PROFECTION YEARLY &amp; MONTHLY'!M30,'1. ZODIAC NATAL'!$B$6:$B$17,0))</f>
        <v>#N/A</v>
      </c>
      <c r="R30" s="426" t="e">
        <f>INDEX('1. ZODIAC NATAL'!$F$6:$F$17,MATCH('2. PROFECTION YEARLY &amp; MONTHLY'!M30,'1. ZODIAC NATAL'!$B$6:$B$17,0))</f>
        <v>#N/A</v>
      </c>
      <c r="S30" s="426" t="e">
        <f>INDEX('1. ZODIAC NATAL'!$G$6:$G$17,MATCH('2. PROFECTION YEARLY &amp; MONTHLY'!M30,'1. ZODIAC NATAL'!$B$6:$B$17,0))</f>
        <v>#N/A</v>
      </c>
      <c r="T30" s="426" t="e">
        <f>INDEX('1. ZODIAC NATAL'!$H$6:$H$17,MATCH('2. PROFECTION YEARLY &amp; MONTHLY'!M30,'1. ZODIAC NATAL'!$B$6:$B$17,0))</f>
        <v>#N/A</v>
      </c>
      <c r="U30" s="426" t="e">
        <f>INDEX('1. ZODIAC NATAL'!$I$6:$I$17,MATCH('2. PROFECTION YEARLY &amp; MONTHLY'!M30,'1. ZODIAC NATAL'!$B$6:$B$17,0))</f>
        <v>#N/A</v>
      </c>
      <c r="V30" s="426" t="e">
        <f>INDEX('1. ZODIAC NATAL'!$J$6:$J$17,MATCH('2. PROFECTION YEARLY &amp; MONTHLY'!M30,'1. ZODIAC NATAL'!$B$6:$B$17,0))</f>
        <v>#N/A</v>
      </c>
      <c r="W30" s="564"/>
      <c r="X30" s="532"/>
      <c r="Y30" s="437" t="e">
        <f>IF(OR(
'1. LORD OF THE TURN'!F13='2. PROFECTION YEARLY &amp; MONTHLY'!N30,
'1. LORD OF THE TURN'!F13='2. PROFECTION YEARLY &amp; MONTHLY'!P30,
'1. LORD OF THE TURN'!F13='2. PROFECTION YEARLY &amp; MONTHLY'!Q30,
'1. LORD OF THE TURN'!F13='2. PROFECTION YEARLY &amp; MONTHLY'!R30,
'1. LORD OF THE TURN'!F13='2. PROFECTION YEARLY &amp; MONTHLY'!S30,
'1. LORD OF THE TURN'!F13='2. PROFECTION YEARLY &amp; MONTHLY'!T30,
'1. LORD OF THE TURN'!F13='2. PROFECTION YEARLY &amp; MONTHLY'!U30,
'1. LORD OF THE TURN'!F13='2. PROFECTION YEARLY &amp; MONTHLY'!V30),"ALLIGNED","-")</f>
        <v>#N/A</v>
      </c>
      <c r="Z30" s="428" t="e">
        <f>IF(OR(
'1. LORD OF THE TURN'!F15='2. PROFECTION YEARLY &amp; MONTHLY'!N30,
'1. LORD OF THE TURN'!F15='2. PROFECTION YEARLY &amp; MONTHLY'!P30,
'1. LORD OF THE TURN'!F15='2. PROFECTION YEARLY &amp; MONTHLY'!Q30,
'1. LORD OF THE TURN'!F15='2. PROFECTION YEARLY &amp; MONTHLY'!R30,
'1. LORD OF THE TURN'!F15='2. PROFECTION YEARLY &amp; MONTHLY'!S30,
'1. LORD OF THE TURN'!F15='2. PROFECTION YEARLY &amp; MONTHLY'!T30,
'1. LORD OF THE TURN'!F15='2. PROFECTION YEARLY &amp; MONTHLY'!U30,
'1. LORD OF THE TURN'!F15='2. PROFECTION YEARLY &amp; MONTHLY'!V30),"ALLIGNED","-")</f>
        <v>#N/A</v>
      </c>
      <c r="AA30" s="515"/>
      <c r="AB30" s="516"/>
    </row>
    <row r="31" spans="12:30" ht="15.5" thickTop="1" thickBot="1" x14ac:dyDescent="0.4">
      <c r="L31" s="22"/>
      <c r="AB31" s="24"/>
    </row>
    <row r="32" spans="12:30" s="19" customFormat="1" ht="15" thickTop="1" x14ac:dyDescent="0.35">
      <c r="L32" s="177" t="s">
        <v>316</v>
      </c>
      <c r="M32" s="144" t="s">
        <v>107</v>
      </c>
      <c r="N32" s="144" t="s">
        <v>108</v>
      </c>
      <c r="O32" s="535" t="s">
        <v>109</v>
      </c>
      <c r="P32" s="535"/>
      <c r="Q32" s="536"/>
      <c r="R32" s="85"/>
      <c r="AB32" s="28"/>
    </row>
    <row r="33" spans="12:33" ht="15" customHeight="1" x14ac:dyDescent="0.35">
      <c r="L33" s="109" t="s">
        <v>10</v>
      </c>
      <c r="M33" s="66">
        <f>COUNTIF($N$27:$V$30, L33)</f>
        <v>0</v>
      </c>
      <c r="N33" s="348"/>
      <c r="O33" s="537"/>
      <c r="P33" s="537"/>
      <c r="Q33" s="538"/>
      <c r="R33" s="404"/>
      <c r="AB33" s="24"/>
    </row>
    <row r="34" spans="12:33" x14ac:dyDescent="0.35">
      <c r="L34" s="109" t="s">
        <v>13</v>
      </c>
      <c r="M34" s="66">
        <f t="shared" ref="M34:M39" si="0">COUNTIF($N$27:$V$30, L34)</f>
        <v>0</v>
      </c>
      <c r="N34" s="348"/>
      <c r="O34" s="539"/>
      <c r="P34" s="539"/>
      <c r="Q34" s="540"/>
      <c r="R34" s="404"/>
      <c r="AB34" s="24"/>
    </row>
    <row r="35" spans="12:33" x14ac:dyDescent="0.35">
      <c r="L35" s="109" t="s">
        <v>121</v>
      </c>
      <c r="M35" s="66">
        <f t="shared" si="0"/>
        <v>0</v>
      </c>
      <c r="N35" s="348"/>
      <c r="O35" s="539"/>
      <c r="P35" s="539"/>
      <c r="Q35" s="540"/>
      <c r="R35" s="404"/>
      <c r="S35" t="s">
        <v>110</v>
      </c>
      <c r="AB35" s="24"/>
    </row>
    <row r="36" spans="12:33" x14ac:dyDescent="0.35">
      <c r="L36" s="109" t="s">
        <v>59</v>
      </c>
      <c r="M36" s="66">
        <f t="shared" si="0"/>
        <v>0</v>
      </c>
      <c r="N36" s="348"/>
      <c r="O36" s="539"/>
      <c r="P36" s="539"/>
      <c r="Q36" s="540"/>
      <c r="R36" s="404"/>
      <c r="AB36" s="24"/>
    </row>
    <row r="37" spans="12:33" x14ac:dyDescent="0.35">
      <c r="L37" s="109" t="s">
        <v>118</v>
      </c>
      <c r="M37" s="66">
        <f t="shared" si="0"/>
        <v>0</v>
      </c>
      <c r="N37" s="348"/>
      <c r="O37" s="539"/>
      <c r="P37" s="539"/>
      <c r="Q37" s="540"/>
      <c r="R37" s="404"/>
      <c r="AB37" s="24"/>
    </row>
    <row r="38" spans="12:33" x14ac:dyDescent="0.35">
      <c r="L38" s="109" t="s">
        <v>56</v>
      </c>
      <c r="M38" s="66">
        <f t="shared" si="0"/>
        <v>0</v>
      </c>
      <c r="N38" s="348"/>
      <c r="O38" s="539"/>
      <c r="P38" s="539"/>
      <c r="Q38" s="540"/>
      <c r="R38" s="404"/>
      <c r="AB38" s="24"/>
    </row>
    <row r="39" spans="12:33" x14ac:dyDescent="0.35">
      <c r="L39" s="109" t="s">
        <v>35</v>
      </c>
      <c r="M39" s="66">
        <f t="shared" si="0"/>
        <v>0</v>
      </c>
      <c r="N39" s="348"/>
      <c r="O39" s="541"/>
      <c r="P39" s="541"/>
      <c r="Q39" s="542"/>
      <c r="R39" s="404"/>
      <c r="AB39" s="24"/>
    </row>
    <row r="40" spans="12:33" x14ac:dyDescent="0.35">
      <c r="L40" s="22"/>
      <c r="AB40" s="24"/>
    </row>
    <row r="41" spans="12:33" x14ac:dyDescent="0.35">
      <c r="L41" s="29" t="s">
        <v>111</v>
      </c>
      <c r="N41" s="8" t="e">
        <f>I4</f>
        <v>#N/A</v>
      </c>
      <c r="O41" s="545"/>
      <c r="P41" s="545"/>
      <c r="Q41" s="545"/>
      <c r="R41" s="545"/>
      <c r="S41" s="545"/>
      <c r="T41" s="545"/>
      <c r="U41" s="545"/>
      <c r="V41" s="545"/>
      <c r="W41" s="545"/>
      <c r="X41" s="545"/>
      <c r="Y41" s="545"/>
      <c r="Z41" s="405"/>
      <c r="AB41" s="24"/>
    </row>
    <row r="42" spans="12:33" ht="15" thickBot="1" x14ac:dyDescent="0.4">
      <c r="L42" s="533"/>
      <c r="M42" s="534"/>
      <c r="N42" s="26"/>
      <c r="O42" s="546"/>
      <c r="P42" s="546"/>
      <c r="Q42" s="546"/>
      <c r="R42" s="546"/>
      <c r="S42" s="546"/>
      <c r="T42" s="546"/>
      <c r="U42" s="546"/>
      <c r="V42" s="546"/>
      <c r="W42" s="546"/>
      <c r="X42" s="546"/>
      <c r="Y42" s="546"/>
      <c r="Z42" s="406"/>
      <c r="AA42" s="26"/>
      <c r="AB42" s="27"/>
    </row>
    <row r="43" spans="12:33" ht="15" thickTop="1" x14ac:dyDescent="0.35">
      <c r="L43" s="21"/>
      <c r="M43" s="21"/>
    </row>
    <row r="44" spans="12:33" ht="15" thickBot="1" x14ac:dyDescent="0.4">
      <c r="L44" s="21"/>
      <c r="M44" s="21"/>
    </row>
    <row r="45" spans="12:33" ht="15.75" customHeight="1" thickTop="1" x14ac:dyDescent="0.35">
      <c r="L45" s="558" t="s">
        <v>241</v>
      </c>
      <c r="M45" s="560" t="s">
        <v>303</v>
      </c>
      <c r="N45" s="547" t="s">
        <v>112</v>
      </c>
      <c r="O45" s="548"/>
      <c r="P45" s="548"/>
      <c r="Q45" s="548"/>
      <c r="R45" s="548"/>
      <c r="S45" s="548"/>
      <c r="T45" s="548"/>
      <c r="U45" s="548"/>
      <c r="V45" s="548"/>
      <c r="W45" s="549"/>
      <c r="X45" s="551" t="s">
        <v>113</v>
      </c>
      <c r="Y45" s="551"/>
      <c r="Z45" s="551"/>
      <c r="AA45" s="552"/>
      <c r="AF45" s="492" t="s">
        <v>114</v>
      </c>
      <c r="AG45" s="492" t="s">
        <v>243</v>
      </c>
    </row>
    <row r="46" spans="12:33" ht="46.5" customHeight="1" thickBot="1" x14ac:dyDescent="0.4">
      <c r="L46" s="559"/>
      <c r="M46" s="561"/>
      <c r="N46" s="184" t="s">
        <v>25</v>
      </c>
      <c r="O46" s="185" t="s">
        <v>26</v>
      </c>
      <c r="P46" s="186" t="s">
        <v>270</v>
      </c>
      <c r="Q46" s="187" t="s">
        <v>242</v>
      </c>
      <c r="R46" s="183" t="s">
        <v>115</v>
      </c>
      <c r="S46" s="555" t="s">
        <v>116</v>
      </c>
      <c r="T46" s="556"/>
      <c r="U46" s="556"/>
      <c r="V46" s="556"/>
      <c r="W46" s="557"/>
      <c r="X46" s="269" t="s">
        <v>53</v>
      </c>
      <c r="Y46" s="553" t="s">
        <v>117</v>
      </c>
      <c r="Z46" s="553"/>
      <c r="AA46" s="554"/>
      <c r="AF46" s="492"/>
      <c r="AG46" s="492"/>
    </row>
    <row r="47" spans="12:33" x14ac:dyDescent="0.35">
      <c r="L47" s="190">
        <f>'2.DODECATEMORIA TABLE HOROSCOPE'!E5</f>
        <v>0</v>
      </c>
      <c r="M47" s="58">
        <f>'CNT PROGRESSION HLPR-SENSITIVE'!B4</f>
        <v>0</v>
      </c>
      <c r="N47" s="169" t="e">
        <f>J3</f>
        <v>#N/A</v>
      </c>
      <c r="O47" s="80" t="e">
        <f>I3</f>
        <v>#N/A</v>
      </c>
      <c r="P47" s="80" t="e">
        <f>VLOOKUP(O47,'ZODIAC LORD and ATRIBUTES'!A:C,3,FALSE)</f>
        <v>#N/A</v>
      </c>
      <c r="Q47" s="80" t="e">
        <f>'DODECATEMORIA TABLE'!H2</f>
        <v>#N/A</v>
      </c>
      <c r="R47" s="60" t="e">
        <f>'9th Part  helper'!W3</f>
        <v>#N/A</v>
      </c>
      <c r="S47" s="466" t="e">
        <f t="shared" ref="S47:S56" si="1">IF(R47=P47, "MONTH OF DESTINY", "-")</f>
        <v>#N/A</v>
      </c>
      <c r="T47" s="467" t="e">
        <f>IF(OR(O47='1. ZODIAC NATAL'!$B$31, O47='1. ZODIAC NATAL'!$B$32, O47='1. ZODIAC NATAL'!$B$33, O47='1. ZODIAC NATAL'!$B$34),"PEAK MONTH","")</f>
        <v>#N/A</v>
      </c>
      <c r="U47" s="467" t="str">
        <f t="shared" ref="U47:U58" si="2">IF(M47&lt;TIME(0,2,30), "SHIFT MONTH", "")</f>
        <v>SHIFT MONTH</v>
      </c>
      <c r="V47" s="468"/>
      <c r="W47" s="469"/>
      <c r="X47" s="470"/>
      <c r="Y47" s="527"/>
      <c r="Z47" s="528"/>
      <c r="AA47" s="529"/>
      <c r="AF47" s="66" t="e">
        <f>P47&amp;" &amp; "&amp;R47</f>
        <v>#N/A</v>
      </c>
      <c r="AG47" s="66" t="e">
        <f t="shared" ref="AG47:AG58" si="3">P47&amp;" &amp; "&amp;Q47&amp;" &amp; "&amp;R47</f>
        <v>#N/A</v>
      </c>
    </row>
    <row r="48" spans="12:33" x14ac:dyDescent="0.35">
      <c r="L48" s="191">
        <f>'2.DODECATEMORIA TABLE HOROSCOPE'!E6</f>
        <v>0</v>
      </c>
      <c r="M48" s="59">
        <f>'CNT PROGRESSION HLPR-SENSITIVE'!B5</f>
        <v>1.736111111111111E-3</v>
      </c>
      <c r="N48" s="167" t="e">
        <f>IF(MOD(N47+1,12)=0,12,MOD(N47+1,12))</f>
        <v>#N/A</v>
      </c>
      <c r="O48" s="57" t="e" cm="1">
        <f t="array" ref="O48">INDEX('CONTINOUS ZODIAC TABLE'!A:A, MATCH(O47,'CONTINOUS ZODIAC TABLE'!A:A,0)+1)</f>
        <v>#N/A</v>
      </c>
      <c r="P48" s="78" t="e">
        <f>VLOOKUP(O48,'ZODIAC LORD and ATRIBUTES'!A:C,3,FALSE)</f>
        <v>#N/A</v>
      </c>
      <c r="Q48" s="78" t="e">
        <f>'CONTINOUS ZODIAC TABLE'!C3</f>
        <v>#N/A</v>
      </c>
      <c r="R48" s="61" t="e">
        <f>'9th Part  helper'!W4</f>
        <v>#N/A</v>
      </c>
      <c r="S48" s="458" t="e">
        <f t="shared" si="1"/>
        <v>#N/A</v>
      </c>
      <c r="T48" s="459" t="e">
        <f>IF(OR(O48='1. ZODIAC NATAL'!$B$31, O48='1. ZODIAC NATAL'!$B$32, O48='1. ZODIAC NATAL'!$B$33, O48='1. ZODIAC NATAL'!$B$34),"PEAK MONTH","")</f>
        <v>#N/A</v>
      </c>
      <c r="U48" s="459" t="str">
        <f t="shared" si="2"/>
        <v/>
      </c>
      <c r="V48" s="460"/>
      <c r="W48" s="460"/>
      <c r="X48" s="13"/>
      <c r="Y48" s="521"/>
      <c r="Z48" s="522"/>
      <c r="AA48" s="523"/>
      <c r="AF48" s="66" t="e">
        <f t="shared" ref="AF48:AF58" si="4">O48&amp;" &amp; "&amp;R48</f>
        <v>#N/A</v>
      </c>
      <c r="AG48" s="66" t="e">
        <f t="shared" si="3"/>
        <v>#N/A</v>
      </c>
    </row>
    <row r="49" spans="12:33" x14ac:dyDescent="0.35">
      <c r="L49" s="191">
        <f>'2.DODECATEMORIA TABLE HOROSCOPE'!E7</f>
        <v>0</v>
      </c>
      <c r="M49" s="59">
        <f>'CNT PROGRESSION HLPR-SENSITIVE'!B6</f>
        <v>3.472222222222222E-3</v>
      </c>
      <c r="N49" s="167" t="e">
        <f t="shared" ref="N49:N58" si="5">IF(MOD(N48+1,12)=0,12,MOD(N48+1,12))</f>
        <v>#N/A</v>
      </c>
      <c r="O49" s="57" t="e" cm="1">
        <f t="array" ref="O49">INDEX('CONTINOUS ZODIAC TABLE'!A:A, MATCH(O48,'CONTINOUS ZODIAC TABLE'!A:A,0)+1)</f>
        <v>#N/A</v>
      </c>
      <c r="P49" s="78" t="e">
        <f>VLOOKUP(O49,'ZODIAC LORD and ATRIBUTES'!A:C,3,FALSE)</f>
        <v>#N/A</v>
      </c>
      <c r="Q49" s="78" t="e">
        <f>'CONTINOUS ZODIAC TABLE'!C4</f>
        <v>#N/A</v>
      </c>
      <c r="R49" s="61" t="e">
        <f>'9th Part  helper'!W5</f>
        <v>#N/A</v>
      </c>
      <c r="S49" s="458" t="e">
        <f t="shared" si="1"/>
        <v>#N/A</v>
      </c>
      <c r="T49" s="459" t="e">
        <f>IF(OR(O49='1. ZODIAC NATAL'!$B$31, O49='1. ZODIAC NATAL'!$B$32, O49='1. ZODIAC NATAL'!$B$33, O49='1. ZODIAC NATAL'!$B$34),"PEAK MONTH","")</f>
        <v>#N/A</v>
      </c>
      <c r="U49" s="459" t="str">
        <f t="shared" si="2"/>
        <v/>
      </c>
      <c r="V49" s="461"/>
      <c r="W49" s="461"/>
      <c r="X49" s="13"/>
      <c r="Y49" s="521"/>
      <c r="Z49" s="522"/>
      <c r="AA49" s="523"/>
      <c r="AF49" s="66" t="e">
        <f t="shared" si="4"/>
        <v>#N/A</v>
      </c>
      <c r="AG49" s="66" t="e">
        <f t="shared" si="3"/>
        <v>#N/A</v>
      </c>
    </row>
    <row r="50" spans="12:33" x14ac:dyDescent="0.35">
      <c r="L50" s="191">
        <f>'2.DODECATEMORIA TABLE HOROSCOPE'!E8</f>
        <v>0</v>
      </c>
      <c r="M50" s="59">
        <f>'CNT PROGRESSION HLPR-SENSITIVE'!B7</f>
        <v>5.208333333333333E-3</v>
      </c>
      <c r="N50" s="167" t="e">
        <f t="shared" si="5"/>
        <v>#N/A</v>
      </c>
      <c r="O50" s="57" t="e" cm="1">
        <f t="array" ref="O50">INDEX('CONTINOUS ZODIAC TABLE'!A:A, MATCH(O49,'CONTINOUS ZODIAC TABLE'!A:A,0)+1)</f>
        <v>#N/A</v>
      </c>
      <c r="P50" s="78" t="e">
        <f>VLOOKUP(O50,'ZODIAC LORD and ATRIBUTES'!A:C,3,FALSE)</f>
        <v>#N/A</v>
      </c>
      <c r="Q50" s="78" t="e">
        <f>'CONTINOUS ZODIAC TABLE'!C5</f>
        <v>#N/A</v>
      </c>
      <c r="R50" s="61" t="e">
        <f>'9th Part  helper'!W6</f>
        <v>#N/A</v>
      </c>
      <c r="S50" s="458" t="e">
        <f t="shared" si="1"/>
        <v>#N/A</v>
      </c>
      <c r="T50" s="459" t="e">
        <f>IF(OR(O50='1. ZODIAC NATAL'!$B$31, O50='1. ZODIAC NATAL'!$B$32, O50='1. ZODIAC NATAL'!$B$33, O50='1. ZODIAC NATAL'!$B$34),"PEAK MONTH","")</f>
        <v>#N/A</v>
      </c>
      <c r="U50" s="459" t="str">
        <f t="shared" si="2"/>
        <v/>
      </c>
      <c r="V50" s="149"/>
      <c r="W50" s="149"/>
      <c r="X50" s="13"/>
      <c r="Y50" s="521"/>
      <c r="Z50" s="522"/>
      <c r="AA50" s="523"/>
      <c r="AF50" s="66" t="e">
        <f t="shared" si="4"/>
        <v>#N/A</v>
      </c>
      <c r="AG50" s="66" t="e">
        <f t="shared" si="3"/>
        <v>#N/A</v>
      </c>
    </row>
    <row r="51" spans="12:33" x14ac:dyDescent="0.35">
      <c r="L51" s="191">
        <f>'2.DODECATEMORIA TABLE HOROSCOPE'!E9</f>
        <v>0</v>
      </c>
      <c r="M51" s="59">
        <f>'CNT PROGRESSION HLPR-SENSITIVE'!B8</f>
        <v>6.9444444444444441E-3</v>
      </c>
      <c r="N51" s="167" t="e">
        <f t="shared" si="5"/>
        <v>#N/A</v>
      </c>
      <c r="O51" s="57" t="e" cm="1">
        <f t="array" ref="O51">INDEX('CONTINOUS ZODIAC TABLE'!A:A, MATCH(O50,'CONTINOUS ZODIAC TABLE'!A:A,0)+1)</f>
        <v>#N/A</v>
      </c>
      <c r="P51" s="78" t="e">
        <f>VLOOKUP(O51,'ZODIAC LORD and ATRIBUTES'!A:C,3,FALSE)</f>
        <v>#N/A</v>
      </c>
      <c r="Q51" s="78" t="e">
        <f>'CONTINOUS ZODIAC TABLE'!C6</f>
        <v>#N/A</v>
      </c>
      <c r="R51" s="61" t="e">
        <f>'9th Part  helper'!W7</f>
        <v>#N/A</v>
      </c>
      <c r="S51" s="458" t="e">
        <f t="shared" si="1"/>
        <v>#N/A</v>
      </c>
      <c r="T51" s="459" t="e">
        <f>IF(OR(O51='1. ZODIAC NATAL'!$B$31, O51='1. ZODIAC NATAL'!$B$32, O51='1. ZODIAC NATAL'!$B$33, O51='1. ZODIAC NATAL'!$B$34),"PEAK MONTH","")</f>
        <v>#N/A</v>
      </c>
      <c r="U51" s="459" t="str">
        <f t="shared" si="2"/>
        <v/>
      </c>
      <c r="V51" s="149"/>
      <c r="W51" s="149"/>
      <c r="X51" s="13"/>
      <c r="Y51" s="521"/>
      <c r="Z51" s="522"/>
      <c r="AA51" s="523"/>
      <c r="AF51" s="66" t="e">
        <f t="shared" si="4"/>
        <v>#N/A</v>
      </c>
      <c r="AG51" s="66" t="e">
        <f t="shared" si="3"/>
        <v>#N/A</v>
      </c>
    </row>
    <row r="52" spans="12:33" x14ac:dyDescent="0.35">
      <c r="L52" s="191">
        <f>'2.DODECATEMORIA TABLE HOROSCOPE'!E10</f>
        <v>0</v>
      </c>
      <c r="M52" s="59">
        <f>'CNT PROGRESSION HLPR-SENSITIVE'!B9</f>
        <v>8.6805555555555559E-3</v>
      </c>
      <c r="N52" s="167" t="e">
        <f t="shared" si="5"/>
        <v>#N/A</v>
      </c>
      <c r="O52" s="57" t="e" cm="1">
        <f t="array" ref="O52">INDEX('CONTINOUS ZODIAC TABLE'!A:A, MATCH(O51,'CONTINOUS ZODIAC TABLE'!A:A,0)+1)</f>
        <v>#N/A</v>
      </c>
      <c r="P52" s="78" t="e">
        <f>VLOOKUP(O52,'ZODIAC LORD and ATRIBUTES'!A:C,3,FALSE)</f>
        <v>#N/A</v>
      </c>
      <c r="Q52" s="78" t="e">
        <f>'CONTINOUS ZODIAC TABLE'!C7</f>
        <v>#N/A</v>
      </c>
      <c r="R52" s="61" t="e">
        <f>'9th Part  helper'!W8</f>
        <v>#N/A</v>
      </c>
      <c r="S52" s="458" t="e">
        <f t="shared" si="1"/>
        <v>#N/A</v>
      </c>
      <c r="T52" s="459" t="e">
        <f>IF(OR(O52='1. ZODIAC NATAL'!$B$31, O52='1. ZODIAC NATAL'!$B$32, O52='1. ZODIAC NATAL'!$B$33, O52='1. ZODIAC NATAL'!$B$34),"PEAK MONTH","")</f>
        <v>#N/A</v>
      </c>
      <c r="U52" s="459" t="str">
        <f t="shared" si="2"/>
        <v/>
      </c>
      <c r="V52" s="149"/>
      <c r="W52" s="149"/>
      <c r="X52" s="13"/>
      <c r="Y52" s="521"/>
      <c r="Z52" s="522"/>
      <c r="AA52" s="523"/>
      <c r="AF52" s="66" t="e">
        <f t="shared" si="4"/>
        <v>#N/A</v>
      </c>
      <c r="AG52" s="66" t="e">
        <f t="shared" si="3"/>
        <v>#N/A</v>
      </c>
    </row>
    <row r="53" spans="12:33" x14ac:dyDescent="0.35">
      <c r="L53" s="191">
        <f>'2.DODECATEMORIA TABLE HOROSCOPE'!E11</f>
        <v>0</v>
      </c>
      <c r="M53" s="59">
        <f>'CNT PROGRESSION HLPR-SENSITIVE'!B10</f>
        <v>1.0416666666666668E-2</v>
      </c>
      <c r="N53" s="167" t="e">
        <f t="shared" si="5"/>
        <v>#N/A</v>
      </c>
      <c r="O53" s="57" t="e" cm="1">
        <f t="array" ref="O53">INDEX('CONTINOUS ZODIAC TABLE'!A:A, MATCH(O52,'CONTINOUS ZODIAC TABLE'!A:A,0)+1)</f>
        <v>#N/A</v>
      </c>
      <c r="P53" s="78" t="e">
        <f>VLOOKUP(O53,'ZODIAC LORD and ATRIBUTES'!A:C,3,FALSE)</f>
        <v>#N/A</v>
      </c>
      <c r="Q53" s="78" t="e">
        <f>'CONTINOUS ZODIAC TABLE'!C8</f>
        <v>#N/A</v>
      </c>
      <c r="R53" s="61" t="e">
        <f>'9th Part  helper'!W9</f>
        <v>#N/A</v>
      </c>
      <c r="S53" s="458" t="e">
        <f t="shared" si="1"/>
        <v>#N/A</v>
      </c>
      <c r="T53" s="459" t="e">
        <f>IF(OR(O53='1. ZODIAC NATAL'!$B$31, O53='1. ZODIAC NATAL'!$B$32, O53='1. ZODIAC NATAL'!$B$33, O53='1. ZODIAC NATAL'!$B$34),"PEAK MONTH","")</f>
        <v>#N/A</v>
      </c>
      <c r="U53" s="459" t="str">
        <f t="shared" si="2"/>
        <v/>
      </c>
      <c r="V53" s="149"/>
      <c r="W53" s="149"/>
      <c r="X53" s="13"/>
      <c r="Y53" s="521"/>
      <c r="Z53" s="522"/>
      <c r="AA53" s="523"/>
      <c r="AF53" s="66" t="e">
        <f t="shared" si="4"/>
        <v>#N/A</v>
      </c>
      <c r="AG53" s="66" t="e">
        <f t="shared" si="3"/>
        <v>#N/A</v>
      </c>
    </row>
    <row r="54" spans="12:33" x14ac:dyDescent="0.35">
      <c r="L54" s="191">
        <f>'2.DODECATEMORIA TABLE HOROSCOPE'!E12</f>
        <v>0</v>
      </c>
      <c r="M54" s="59">
        <f>'CNT PROGRESSION HLPR-SENSITIVE'!B11</f>
        <v>1.215277777777778E-2</v>
      </c>
      <c r="N54" s="167" t="e">
        <f t="shared" si="5"/>
        <v>#N/A</v>
      </c>
      <c r="O54" s="57" t="e" cm="1">
        <f t="array" ref="O54">INDEX('CONTINOUS ZODIAC TABLE'!A:A, MATCH(O53,'CONTINOUS ZODIAC TABLE'!A:A,0)+1)</f>
        <v>#N/A</v>
      </c>
      <c r="P54" s="78" t="e">
        <f>VLOOKUP(O54,'ZODIAC LORD and ATRIBUTES'!A:C,3,FALSE)</f>
        <v>#N/A</v>
      </c>
      <c r="Q54" s="78" t="e">
        <f>'CONTINOUS ZODIAC TABLE'!C9</f>
        <v>#N/A</v>
      </c>
      <c r="R54" s="61" t="e">
        <f>'9th Part  helper'!W10</f>
        <v>#N/A</v>
      </c>
      <c r="S54" s="458" t="e">
        <f t="shared" si="1"/>
        <v>#N/A</v>
      </c>
      <c r="T54" s="459" t="e">
        <f>IF(OR(O54='1. ZODIAC NATAL'!$B$31, O54='1. ZODIAC NATAL'!$B$32, O54='1. ZODIAC NATAL'!$B$33, O54='1. ZODIAC NATAL'!$B$34),"PEAK MONTH","")</f>
        <v>#N/A</v>
      </c>
      <c r="U54" s="459" t="str">
        <f t="shared" si="2"/>
        <v/>
      </c>
      <c r="V54" s="149"/>
      <c r="W54" s="149"/>
      <c r="X54" s="13"/>
      <c r="Y54" s="521"/>
      <c r="Z54" s="522"/>
      <c r="AA54" s="523"/>
      <c r="AF54" s="66" t="e">
        <f t="shared" si="4"/>
        <v>#N/A</v>
      </c>
      <c r="AG54" s="66" t="e">
        <f t="shared" si="3"/>
        <v>#N/A</v>
      </c>
    </row>
    <row r="55" spans="12:33" x14ac:dyDescent="0.35">
      <c r="L55" s="191">
        <f>'2.DODECATEMORIA TABLE HOROSCOPE'!E13</f>
        <v>0</v>
      </c>
      <c r="M55" s="59">
        <f>'CNT PROGRESSION HLPR-SENSITIVE'!B12</f>
        <v>1.3888888888888892E-2</v>
      </c>
      <c r="N55" s="167" t="e">
        <f t="shared" si="5"/>
        <v>#N/A</v>
      </c>
      <c r="O55" s="57" t="e" cm="1">
        <f t="array" ref="O55">INDEX('CONTINOUS ZODIAC TABLE'!A:A, MATCH(O54,'CONTINOUS ZODIAC TABLE'!A:A,0)+1)</f>
        <v>#N/A</v>
      </c>
      <c r="P55" s="78" t="e">
        <f>VLOOKUP(O55,'ZODIAC LORD and ATRIBUTES'!A:C,3,FALSE)</f>
        <v>#N/A</v>
      </c>
      <c r="Q55" s="78" t="e">
        <f>'CONTINOUS ZODIAC TABLE'!C10</f>
        <v>#N/A</v>
      </c>
      <c r="R55" s="61" t="e">
        <f>'9th Part  helper'!W11</f>
        <v>#N/A</v>
      </c>
      <c r="S55" s="458" t="e">
        <f t="shared" si="1"/>
        <v>#N/A</v>
      </c>
      <c r="T55" s="459" t="e">
        <f>IF(OR(O55='1. ZODIAC NATAL'!$B$31, O55='1. ZODIAC NATAL'!$B$32, O55='1. ZODIAC NATAL'!$B$33, O55='1. ZODIAC NATAL'!$B$34),"PEAK MONTH","")</f>
        <v>#N/A</v>
      </c>
      <c r="U55" s="459" t="str">
        <f t="shared" si="2"/>
        <v/>
      </c>
      <c r="V55" s="149"/>
      <c r="W55" s="149"/>
      <c r="X55" s="13"/>
      <c r="Y55" s="521"/>
      <c r="Z55" s="522"/>
      <c r="AA55" s="523"/>
      <c r="AF55" s="66" t="e">
        <f t="shared" si="4"/>
        <v>#N/A</v>
      </c>
      <c r="AG55" s="66" t="e">
        <f t="shared" si="3"/>
        <v>#N/A</v>
      </c>
    </row>
    <row r="56" spans="12:33" x14ac:dyDescent="0.35">
      <c r="L56" s="191">
        <f>'2.DODECATEMORIA TABLE HOROSCOPE'!E14</f>
        <v>0</v>
      </c>
      <c r="M56" s="59">
        <f>'CNT PROGRESSION HLPR-SENSITIVE'!B13</f>
        <v>1.5625000000000003E-2</v>
      </c>
      <c r="N56" s="167" t="e">
        <f t="shared" si="5"/>
        <v>#N/A</v>
      </c>
      <c r="O56" s="57" t="e" cm="1">
        <f t="array" ref="O56">INDEX('CONTINOUS ZODIAC TABLE'!A:A, MATCH(O55,'CONTINOUS ZODIAC TABLE'!A:A,0)+1)</f>
        <v>#N/A</v>
      </c>
      <c r="P56" s="78" t="e">
        <f>VLOOKUP(O56,'ZODIAC LORD and ATRIBUTES'!A:C,3,FALSE)</f>
        <v>#N/A</v>
      </c>
      <c r="Q56" s="78" t="e">
        <f>'CONTINOUS ZODIAC TABLE'!C11</f>
        <v>#N/A</v>
      </c>
      <c r="R56" s="61" t="e">
        <f>'9th Part  helper'!W12</f>
        <v>#N/A</v>
      </c>
      <c r="S56" s="458" t="e">
        <f t="shared" si="1"/>
        <v>#N/A</v>
      </c>
      <c r="T56" s="459" t="e">
        <f>IF(OR(O56='1. ZODIAC NATAL'!$B$31, O56='1. ZODIAC NATAL'!$B$32, O56='1. ZODIAC NATAL'!$B$33, O56='1. ZODIAC NATAL'!$B$34),"PEAK MONTH","")</f>
        <v>#N/A</v>
      </c>
      <c r="U56" s="459" t="str">
        <f t="shared" si="2"/>
        <v/>
      </c>
      <c r="V56" s="149"/>
      <c r="W56" s="149"/>
      <c r="X56" s="13"/>
      <c r="Y56" s="521"/>
      <c r="Z56" s="522"/>
      <c r="AA56" s="523"/>
      <c r="AF56" s="66" t="e">
        <f t="shared" si="4"/>
        <v>#N/A</v>
      </c>
      <c r="AG56" s="66" t="e">
        <f t="shared" si="3"/>
        <v>#N/A</v>
      </c>
    </row>
    <row r="57" spans="12:33" x14ac:dyDescent="0.35">
      <c r="L57" s="191">
        <f>'2.DODECATEMORIA TABLE HOROSCOPE'!E15</f>
        <v>0</v>
      </c>
      <c r="M57" s="59">
        <f>'CNT PROGRESSION HLPR-SENSITIVE'!B14</f>
        <v>1.7361111111111115E-2</v>
      </c>
      <c r="N57" s="167" t="e">
        <f t="shared" si="5"/>
        <v>#N/A</v>
      </c>
      <c r="O57" s="57" t="e" cm="1">
        <f t="array" ref="O57">INDEX('CONTINOUS ZODIAC TABLE'!A:A, MATCH(O56,'CONTINOUS ZODIAC TABLE'!A:A,0)+1)</f>
        <v>#N/A</v>
      </c>
      <c r="P57" s="78" t="e">
        <f>VLOOKUP(O57,'ZODIAC LORD and ATRIBUTES'!A:C,3,FALSE)</f>
        <v>#N/A</v>
      </c>
      <c r="Q57" s="78" t="e">
        <f>'CONTINOUS ZODIAC TABLE'!C12</f>
        <v>#N/A</v>
      </c>
      <c r="R57" s="61" t="e">
        <f>'9th Part  helper'!W13</f>
        <v>#N/A</v>
      </c>
      <c r="S57" s="458" t="e">
        <f>IF(R57=P57, "MONTH OF DESTINY", "")</f>
        <v>#N/A</v>
      </c>
      <c r="T57" s="459" t="e">
        <f>IF(OR(O57='1. ZODIAC NATAL'!$B$31, O57='1. ZODIAC NATAL'!$B$32, O57='1. ZODIAC NATAL'!$B$33, O57='1. ZODIAC NATAL'!$B$34),"PEAK MONTH","")</f>
        <v>#N/A</v>
      </c>
      <c r="U57" s="459" t="str">
        <f t="shared" si="2"/>
        <v/>
      </c>
      <c r="V57" s="149"/>
      <c r="W57" s="149"/>
      <c r="X57" s="13"/>
      <c r="Y57" s="521"/>
      <c r="Z57" s="522"/>
      <c r="AA57" s="523"/>
      <c r="AF57" s="66" t="e">
        <f t="shared" si="4"/>
        <v>#N/A</v>
      </c>
      <c r="AG57" s="66" t="e">
        <f t="shared" si="3"/>
        <v>#N/A</v>
      </c>
    </row>
    <row r="58" spans="12:33" ht="15" thickBot="1" x14ac:dyDescent="0.4">
      <c r="L58" s="192">
        <f>'2.DODECATEMORIA TABLE HOROSCOPE'!E16</f>
        <v>0</v>
      </c>
      <c r="M58" s="188">
        <f>'CNT PROGRESSION HLPR-SENSITIVE'!B15</f>
        <v>1.9097222222222227E-2</v>
      </c>
      <c r="N58" s="180" t="e">
        <f t="shared" si="5"/>
        <v>#N/A</v>
      </c>
      <c r="O58" s="181" t="e" cm="1">
        <f t="array" ref="O58">INDEX('CONTINOUS ZODIAC TABLE'!A:A, MATCH(O57,'CONTINOUS ZODIAC TABLE'!A:A,0)+1)</f>
        <v>#N/A</v>
      </c>
      <c r="P58" s="182" t="e">
        <f>VLOOKUP(O58,'ZODIAC LORD and ATRIBUTES'!A:C,3,FALSE)</f>
        <v>#N/A</v>
      </c>
      <c r="Q58" s="182" t="e">
        <f>'CONTINOUS ZODIAC TABLE'!C13</f>
        <v>#N/A</v>
      </c>
      <c r="R58" s="189" t="e">
        <f>'9th Part  helper'!W14</f>
        <v>#N/A</v>
      </c>
      <c r="S58" s="462" t="e">
        <f>IF(R58=P58, "MONTH OF DESTINY", "-")</f>
        <v>#N/A</v>
      </c>
      <c r="T58" s="463" t="e">
        <f>IF(OR(O58='1. ZODIAC NATAL'!$B$31, O58='1. ZODIAC NATAL'!$B$32, O58='1. ZODIAC NATAL'!$B$33, O58='1. ZODIAC NATAL'!$B$34),"PEAK MONTH","")</f>
        <v>#N/A</v>
      </c>
      <c r="U58" s="463" t="str">
        <f t="shared" si="2"/>
        <v/>
      </c>
      <c r="V58" s="464"/>
      <c r="W58" s="464"/>
      <c r="X58" s="465"/>
      <c r="Y58" s="524"/>
      <c r="Z58" s="525"/>
      <c r="AA58" s="526"/>
      <c r="AF58" s="66" t="e">
        <f t="shared" si="4"/>
        <v>#N/A</v>
      </c>
      <c r="AG58" s="66" t="e">
        <f t="shared" si="3"/>
        <v>#N/A</v>
      </c>
    </row>
    <row r="59" spans="12:33" x14ac:dyDescent="0.35">
      <c r="L59" s="22"/>
      <c r="N59" s="85"/>
      <c r="P59" s="21"/>
      <c r="Q59" s="21"/>
      <c r="R59" s="21"/>
      <c r="S59" s="21"/>
      <c r="Z59" s="21"/>
      <c r="AA59" s="174"/>
      <c r="AB59" s="82"/>
      <c r="AC59" s="82"/>
      <c r="AD59" s="82"/>
      <c r="AE59" s="82"/>
      <c r="AF59" s="452"/>
    </row>
    <row r="60" spans="12:33" ht="39" hidden="1" customHeight="1" x14ac:dyDescent="0.35">
      <c r="N60" s="85"/>
      <c r="O60" s="520"/>
      <c r="P60" s="21"/>
      <c r="Q60" s="21"/>
      <c r="R60" s="21"/>
      <c r="S60" s="21"/>
      <c r="Z60" s="21"/>
      <c r="AA60" s="174"/>
      <c r="AB60" s="82"/>
      <c r="AC60" s="82"/>
      <c r="AD60" s="82"/>
      <c r="AE60" s="82"/>
      <c r="AF60" s="23"/>
    </row>
    <row r="61" spans="12:33" ht="39" hidden="1" customHeight="1" x14ac:dyDescent="0.35">
      <c r="N61" s="85"/>
      <c r="O61" s="520"/>
      <c r="P61" s="21"/>
      <c r="Q61" s="21"/>
      <c r="R61" s="21"/>
      <c r="S61" s="21"/>
      <c r="Z61" s="21"/>
      <c r="AA61" s="174"/>
      <c r="AB61" s="82"/>
      <c r="AC61" s="82"/>
      <c r="AD61" s="82"/>
      <c r="AE61" s="82"/>
      <c r="AF61" s="23"/>
    </row>
    <row r="62" spans="12:33" ht="45.75" hidden="1" customHeight="1" x14ac:dyDescent="0.35">
      <c r="N62" s="85"/>
      <c r="O62" s="520"/>
      <c r="P62" s="21"/>
      <c r="Q62" s="21"/>
      <c r="R62" s="21"/>
      <c r="S62" s="21"/>
      <c r="Z62" s="21"/>
      <c r="AA62" s="174"/>
      <c r="AB62" s="82"/>
      <c r="AC62" s="82"/>
      <c r="AD62" s="82"/>
      <c r="AE62" s="82"/>
      <c r="AF62" s="23"/>
    </row>
    <row r="63" spans="12:33" x14ac:dyDescent="0.35">
      <c r="L63" s="40"/>
      <c r="M63" s="86"/>
      <c r="AA63" s="24"/>
    </row>
    <row r="64" spans="12:33" x14ac:dyDescent="0.35">
      <c r="L64" s="87"/>
      <c r="M64" s="47"/>
      <c r="N64" s="88"/>
      <c r="AA64" s="24"/>
    </row>
    <row r="65" spans="12:38" ht="15" thickBot="1" x14ac:dyDescent="0.4">
      <c r="L65" s="25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7"/>
    </row>
    <row r="66" spans="12:38" ht="15" thickTop="1" x14ac:dyDescent="0.35"/>
    <row r="75" spans="12:38" x14ac:dyDescent="0.35">
      <c r="AL75" s="89"/>
    </row>
    <row r="76" spans="12:38" x14ac:dyDescent="0.35">
      <c r="AL76" s="89"/>
    </row>
    <row r="77" spans="12:38" x14ac:dyDescent="0.35">
      <c r="AL77" s="89"/>
    </row>
    <row r="78" spans="12:38" x14ac:dyDescent="0.35">
      <c r="AL78" s="89"/>
    </row>
    <row r="79" spans="12:38" x14ac:dyDescent="0.35">
      <c r="AL79" s="89"/>
    </row>
    <row r="80" spans="12:38" x14ac:dyDescent="0.35">
      <c r="AL80" s="89"/>
    </row>
    <row r="81" spans="38:38" x14ac:dyDescent="0.35">
      <c r="AL81" s="89"/>
    </row>
    <row r="82" spans="38:38" x14ac:dyDescent="0.35">
      <c r="AL82" s="89"/>
    </row>
    <row r="83" spans="38:38" x14ac:dyDescent="0.35">
      <c r="AL83" s="89"/>
    </row>
    <row r="84" spans="38:38" x14ac:dyDescent="0.35">
      <c r="AL84" s="89"/>
    </row>
    <row r="85" spans="38:38" x14ac:dyDescent="0.35">
      <c r="AL85" s="89"/>
    </row>
    <row r="86" spans="38:38" x14ac:dyDescent="0.35">
      <c r="AL86" s="89"/>
    </row>
  </sheetData>
  <mergeCells count="42">
    <mergeCell ref="N45:W45"/>
    <mergeCell ref="Y49:AA49"/>
    <mergeCell ref="Y50:AA50"/>
    <mergeCell ref="A1:C2"/>
    <mergeCell ref="AG45:AG46"/>
    <mergeCell ref="X45:AA45"/>
    <mergeCell ref="Y46:AA46"/>
    <mergeCell ref="AF45:AF46"/>
    <mergeCell ref="S46:W46"/>
    <mergeCell ref="M5:N5"/>
    <mergeCell ref="L45:L46"/>
    <mergeCell ref="M45:M46"/>
    <mergeCell ref="W27:W30"/>
    <mergeCell ref="K1:L1"/>
    <mergeCell ref="L24:L26"/>
    <mergeCell ref="M25:M26"/>
    <mergeCell ref="O32:Q32"/>
    <mergeCell ref="O33:Q39"/>
    <mergeCell ref="N25:N26"/>
    <mergeCell ref="O25:O26"/>
    <mergeCell ref="O41:Y42"/>
    <mergeCell ref="AA27:AB30"/>
    <mergeCell ref="AA23:AB23"/>
    <mergeCell ref="M24:AB24"/>
    <mergeCell ref="O60:O62"/>
    <mergeCell ref="Y51:AA51"/>
    <mergeCell ref="Y53:AA53"/>
    <mergeCell ref="Y54:AA54"/>
    <mergeCell ref="Y55:AA55"/>
    <mergeCell ref="Y56:AA56"/>
    <mergeCell ref="Y57:AA57"/>
    <mergeCell ref="Y58:AA58"/>
    <mergeCell ref="Y52:AA52"/>
    <mergeCell ref="Y47:AA47"/>
    <mergeCell ref="Y48:AA48"/>
    <mergeCell ref="X27:X30"/>
    <mergeCell ref="L42:M42"/>
    <mergeCell ref="O2:P2"/>
    <mergeCell ref="W25:X25"/>
    <mergeCell ref="Y25:Z25"/>
    <mergeCell ref="P25:V25"/>
    <mergeCell ref="AA25:AB26"/>
  </mergeCells>
  <conditionalFormatting sqref="M33:M39">
    <cfRule type="top10" dxfId="11" priority="3" rank="1"/>
  </conditionalFormatting>
  <conditionalFormatting sqref="M47:M58">
    <cfRule type="cellIs" dxfId="10" priority="9" operator="between">
      <formula>0</formula>
      <formula>0.00167824074074074</formula>
    </cfRule>
  </conditionalFormatting>
  <conditionalFormatting sqref="Y28:Z28">
    <cfRule type="containsText" dxfId="8" priority="2" operator="containsText" text="ALLIGNED">
      <formula>NOT(ISERROR(SEARCH("ALLIGNED",Y28)))</formula>
    </cfRule>
  </conditionalFormatting>
  <hyperlinks>
    <hyperlink ref="A1" r:id="rId1" display="https://horoscopes.astro-seek.com/calculate-profections-astrology/" xr:uid="{295ECD03-C3B6-4DE8-A14D-4CCA101496EF}"/>
    <hyperlink ref="A1:C2" r:id="rId2" display="LINK ANNUAL PROFECTION ASTROSEEK" xr:uid="{1C53BEE9-9A9C-4529-BEA7-F967F4945E31}"/>
  </hyperlinks>
  <pageMargins left="0.7" right="0.7" top="0.75" bottom="0.75" header="0.3" footer="0.3"/>
  <pageSetup orientation="portrait" horizontalDpi="1200" verticalDpi="1200" r:id="rId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330EEC84-5B38-4122-8D2B-DCAF7012DD13}">
            <xm:f>NOT(ISERROR(SEARCH("-",O27)))</xm:f>
            <xm:f>"-"</xm:f>
            <x14:dxf>
              <fill>
                <patternFill>
                  <bgColor rgb="FFFF0000"/>
                </patternFill>
              </fill>
            </x14:dxf>
          </x14:cfRule>
          <xm:sqref>O27:O30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354B06-FB83-4783-9A09-63F868054D63}">
          <x14:formula1>
            <xm:f>'MSLC TABEL '!$B$2:$B$7</xm:f>
          </x14:formula1>
          <xm:sqref>O27:O30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03A7-7620-4D35-A7D0-30FA18D4E9B8}">
  <sheetPr codeName="Sheet5">
    <tabColor rgb="FF00B0F0"/>
  </sheetPr>
  <dimension ref="U2:V3"/>
  <sheetViews>
    <sheetView topLeftCell="C1" zoomScale="85" zoomScaleNormal="85" workbookViewId="0">
      <selection activeCell="V2" sqref="V2"/>
    </sheetView>
  </sheetViews>
  <sheetFormatPr defaultRowHeight="14.5" x14ac:dyDescent="0.35"/>
  <cols>
    <col min="21" max="21" width="19.7265625" customWidth="1"/>
  </cols>
  <sheetData>
    <row r="2" spans="21:22" ht="36" customHeight="1" x14ac:dyDescent="0.35">
      <c r="U2" s="56" t="s">
        <v>256</v>
      </c>
      <c r="V2" s="173"/>
    </row>
    <row r="3" spans="21:22" x14ac:dyDescent="0.35">
      <c r="U3" s="33" t="s">
        <v>257</v>
      </c>
      <c r="V3" s="66" t="e">
        <f>VLOOKUP(V2,'ZODIAC LORD and ATRIBUTES'!A:C,3,FALSE)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501428-E079-4850-8163-D23BA3F379FA}">
          <x14:formula1>
            <xm:f>'CONTINOUS ZODIAC TABLE'!$A$2:$A$13</xm:f>
          </x14:formula1>
          <xm:sqref>V2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>
    <tabColor rgb="FF00B0F0"/>
  </sheetPr>
  <dimension ref="H1:W108"/>
  <sheetViews>
    <sheetView zoomScale="70" zoomScaleNormal="70" workbookViewId="0">
      <selection activeCell="O12" sqref="O12:P12"/>
    </sheetView>
  </sheetViews>
  <sheetFormatPr defaultRowHeight="14.5" x14ac:dyDescent="0.35"/>
  <cols>
    <col min="8" max="8" width="6.1796875" customWidth="1"/>
    <col min="9" max="9" width="41.1796875" bestFit="1" customWidth="1"/>
    <col min="10" max="10" width="11.453125" bestFit="1" customWidth="1"/>
    <col min="11" max="11" width="12.81640625" customWidth="1"/>
    <col min="12" max="12" width="13.1796875" customWidth="1"/>
    <col min="13" max="13" width="14" customWidth="1"/>
    <col min="14" max="14" width="10.7265625" bestFit="1" customWidth="1"/>
    <col min="15" max="15" width="10.453125" customWidth="1"/>
    <col min="16" max="16" width="8.54296875" bestFit="1" customWidth="1"/>
  </cols>
  <sheetData>
    <row r="1" spans="8:17" ht="15" thickBot="1" x14ac:dyDescent="0.4"/>
    <row r="2" spans="8:17" ht="19" thickTop="1" x14ac:dyDescent="0.45">
      <c r="H2" s="14" t="s">
        <v>364</v>
      </c>
      <c r="I2" s="15"/>
      <c r="J2" s="15"/>
      <c r="K2" s="15"/>
      <c r="L2" s="15"/>
      <c r="M2" s="15"/>
      <c r="N2" s="15"/>
      <c r="O2" s="15"/>
      <c r="P2" s="16"/>
    </row>
    <row r="3" spans="8:17" x14ac:dyDescent="0.35">
      <c r="H3" s="22"/>
      <c r="I3" s="4"/>
      <c r="J3" s="496"/>
      <c r="K3" s="496"/>
      <c r="L3" s="496"/>
      <c r="M3" s="82"/>
      <c r="N3" s="496"/>
      <c r="O3" s="496"/>
      <c r="P3" s="601"/>
      <c r="Q3" s="82"/>
    </row>
    <row r="4" spans="8:17" ht="15.5" x14ac:dyDescent="0.35">
      <c r="H4" s="204" t="s">
        <v>51</v>
      </c>
      <c r="I4" s="205" t="s">
        <v>52</v>
      </c>
      <c r="J4" s="569" t="s">
        <v>53</v>
      </c>
      <c r="K4" s="604"/>
      <c r="L4" s="312"/>
      <c r="P4" s="28"/>
    </row>
    <row r="5" spans="8:17" x14ac:dyDescent="0.35">
      <c r="H5" s="17">
        <v>1</v>
      </c>
      <c r="I5" s="13" t="s">
        <v>54</v>
      </c>
      <c r="J5" s="57" t="e">
        <f>'2. PROFECTION YEARLY &amp; MONTHLY'!I4</f>
        <v>#N/A</v>
      </c>
      <c r="K5" s="31"/>
      <c r="L5" s="231"/>
      <c r="P5" s="24"/>
    </row>
    <row r="6" spans="8:17" x14ac:dyDescent="0.35">
      <c r="H6" s="17">
        <v>2</v>
      </c>
      <c r="I6" s="13" t="s">
        <v>55</v>
      </c>
      <c r="J6" s="57" t="e">
        <f>'1. ANNUAL REVOLUTION'!E2</f>
        <v>#N/A</v>
      </c>
      <c r="K6" s="31"/>
      <c r="L6" s="231"/>
      <c r="P6" s="24"/>
    </row>
    <row r="7" spans="8:17" x14ac:dyDescent="0.35">
      <c r="H7" s="17">
        <v>3</v>
      </c>
      <c r="I7" s="13" t="s">
        <v>57</v>
      </c>
      <c r="J7" s="57" t="e">
        <f>'TRIPLICITY TABEL '!J3</f>
        <v>#N/A</v>
      </c>
      <c r="K7" s="57">
        <f>'1. FIRDARIA CALCULATOR'!S3</f>
        <v>0</v>
      </c>
      <c r="L7" s="231"/>
      <c r="P7" s="24"/>
    </row>
    <row r="8" spans="8:17" x14ac:dyDescent="0.35">
      <c r="H8" s="17">
        <v>4</v>
      </c>
      <c r="I8" s="13" t="s">
        <v>58</v>
      </c>
      <c r="J8" s="57" t="e">
        <f>'1. ANNUAL REVOLUTION'!D4</f>
        <v>#N/A</v>
      </c>
      <c r="K8" s="31"/>
      <c r="P8" s="24"/>
    </row>
    <row r="9" spans="8:17" x14ac:dyDescent="0.35">
      <c r="H9" s="37">
        <v>5</v>
      </c>
      <c r="I9" s="30" t="s">
        <v>60</v>
      </c>
      <c r="J9" s="57" t="e">
        <f>'1. ZODIAC NATAL'!C2</f>
        <v>#N/A</v>
      </c>
      <c r="K9" s="32"/>
      <c r="P9" s="24"/>
    </row>
    <row r="10" spans="8:17" x14ac:dyDescent="0.35">
      <c r="H10" s="22"/>
      <c r="P10" s="24"/>
    </row>
    <row r="11" spans="8:17" x14ac:dyDescent="0.35">
      <c r="H11" s="22"/>
      <c r="L11" s="586" t="s">
        <v>325</v>
      </c>
      <c r="M11" s="586"/>
      <c r="N11" s="586"/>
      <c r="O11" s="586" t="s">
        <v>267</v>
      </c>
      <c r="P11" s="586"/>
    </row>
    <row r="12" spans="8:17" ht="35.15" customHeight="1" x14ac:dyDescent="0.35">
      <c r="H12" s="22"/>
      <c r="I12" s="250" t="s">
        <v>61</v>
      </c>
      <c r="J12" s="255"/>
      <c r="K12" s="256"/>
      <c r="L12" s="595"/>
      <c r="M12" s="595"/>
      <c r="N12" s="595"/>
      <c r="O12" s="606" t="str">
        <f>IF(J12="MOON", "FLUCTUATING MOMENT", "NON FLUCTUATING MOMENT")</f>
        <v>NON FLUCTUATING MOMENT</v>
      </c>
      <c r="P12" s="606"/>
    </row>
    <row r="13" spans="8:17" ht="21" hidden="1" x14ac:dyDescent="0.5">
      <c r="H13" s="22"/>
      <c r="I13" s="250" t="s">
        <v>319</v>
      </c>
      <c r="J13" s="602" t="e">
        <f>INDEX('1. LORD OF THE TURN'!$Q$4:$Q$10,MATCH("NOW",'1. LORD OF THE TURN'!S4:S10,0))</f>
        <v>#N/A</v>
      </c>
      <c r="K13" s="602"/>
      <c r="P13" s="24"/>
    </row>
    <row r="14" spans="8:17" ht="27" customHeight="1" x14ac:dyDescent="0.35">
      <c r="H14" s="22"/>
      <c r="I14" s="250" t="s">
        <v>408</v>
      </c>
      <c r="J14" s="584" t="e">
        <f>'LUNAR MANSION'!C5</f>
        <v>#N/A</v>
      </c>
      <c r="K14" s="584"/>
      <c r="P14" s="24"/>
    </row>
    <row r="15" spans="8:17" ht="15" thickBot="1" x14ac:dyDescent="0.4">
      <c r="H15" s="25"/>
      <c r="I15" s="26"/>
      <c r="J15" s="26"/>
      <c r="K15" s="26"/>
      <c r="L15" s="26"/>
      <c r="M15" s="26"/>
      <c r="N15" s="26"/>
      <c r="O15" s="26"/>
      <c r="P15" s="27"/>
    </row>
    <row r="16" spans="8:17" ht="15.5" thickTop="1" thickBot="1" x14ac:dyDescent="0.4"/>
    <row r="17" spans="8:16" ht="19" thickTop="1" x14ac:dyDescent="0.45">
      <c r="H17" s="14" t="s">
        <v>327</v>
      </c>
      <c r="I17" s="286" t="s">
        <v>328</v>
      </c>
      <c r="J17" s="15"/>
      <c r="K17" s="15"/>
      <c r="L17" s="15"/>
      <c r="M17" s="15"/>
      <c r="N17" s="15"/>
      <c r="O17" s="15"/>
      <c r="P17" s="16"/>
    </row>
    <row r="18" spans="8:16" ht="18.5" x14ac:dyDescent="0.45">
      <c r="H18" s="287"/>
      <c r="I18" s="11"/>
      <c r="K18" s="586" t="s">
        <v>325</v>
      </c>
      <c r="L18" s="586"/>
      <c r="M18" s="586"/>
      <c r="N18" s="586"/>
      <c r="O18" s="586"/>
      <c r="P18" s="24"/>
    </row>
    <row r="19" spans="8:16" ht="34.5" customHeight="1" x14ac:dyDescent="0.35">
      <c r="H19" s="22"/>
      <c r="I19" s="607" t="s">
        <v>338</v>
      </c>
      <c r="J19" s="607"/>
      <c r="K19" s="590"/>
      <c r="L19" s="591"/>
      <c r="M19" s="591"/>
      <c r="N19" s="591"/>
      <c r="O19" s="591"/>
      <c r="P19" s="24"/>
    </row>
    <row r="20" spans="8:16" x14ac:dyDescent="0.35">
      <c r="H20" s="22"/>
      <c r="I20" s="126" t="s">
        <v>334</v>
      </c>
      <c r="J20" s="66" t="e">
        <f>'1. ANNUAL REVOLUTION'!$B$29</f>
        <v>#N/A</v>
      </c>
      <c r="K20" s="592"/>
      <c r="L20" s="494"/>
      <c r="M20" s="494"/>
      <c r="N20" s="494"/>
      <c r="O20" s="494"/>
      <c r="P20" s="24"/>
    </row>
    <row r="21" spans="8:16" x14ac:dyDescent="0.35">
      <c r="H21" s="22"/>
      <c r="I21" s="126" t="s">
        <v>336</v>
      </c>
      <c r="J21" s="66" t="e">
        <f>'TRIPLICITY TABEL '!M4</f>
        <v>#N/A</v>
      </c>
      <c r="K21" s="592"/>
      <c r="L21" s="494"/>
      <c r="M21" s="494"/>
      <c r="N21" s="494"/>
      <c r="O21" s="494"/>
      <c r="P21" s="24"/>
    </row>
    <row r="22" spans="8:16" x14ac:dyDescent="0.35">
      <c r="H22" s="22"/>
      <c r="P22" s="24"/>
    </row>
    <row r="23" spans="8:16" ht="21" x14ac:dyDescent="0.35">
      <c r="H23" s="22"/>
      <c r="I23" s="288"/>
      <c r="K23" s="586" t="s">
        <v>325</v>
      </c>
      <c r="L23" s="586"/>
      <c r="M23" s="586"/>
      <c r="N23" s="586"/>
      <c r="O23" s="586"/>
      <c r="P23" s="24"/>
    </row>
    <row r="24" spans="8:16" ht="23.25" customHeight="1" x14ac:dyDescent="0.35">
      <c r="H24" s="22"/>
      <c r="I24" s="126" t="s">
        <v>376</v>
      </c>
      <c r="J24" s="66" t="e">
        <f>IF(OR('ZODIAC CALCULATION '!I5="ANGGULAR",'ZODIAC CALCULATION '!I5="SUCCEDENT"),"YES","NO")</f>
        <v>#N/A</v>
      </c>
      <c r="K24" s="595"/>
      <c r="L24" s="595"/>
      <c r="M24" s="595"/>
      <c r="N24" s="595"/>
      <c r="O24" s="595"/>
      <c r="P24" s="24"/>
    </row>
    <row r="25" spans="8:16" ht="29.25" customHeight="1" x14ac:dyDescent="0.35">
      <c r="H25" s="22"/>
      <c r="I25" s="126" t="s">
        <v>339</v>
      </c>
      <c r="J25" s="66" t="e">
        <f>IF(OR('1. ANNUAL REVOLUTION'!H29='1. ANNUAL REVOLUTION'!B37,'1. ANNUAL REVOLUTION'!H29='1. ANNUAL REVOLUTION'!B24,'1. ANNUAL REVOLUTION'!B27),"CHECK AGAIN IN SOLAR REVOLUTION","-")</f>
        <v>#N/A</v>
      </c>
      <c r="K25" s="595"/>
      <c r="L25" s="595"/>
      <c r="M25" s="595"/>
      <c r="N25" s="595"/>
      <c r="O25" s="595"/>
      <c r="P25" s="24"/>
    </row>
    <row r="26" spans="8:16" ht="15" thickBot="1" x14ac:dyDescent="0.4">
      <c r="H26" s="25"/>
      <c r="I26" s="26"/>
      <c r="J26" s="26"/>
      <c r="K26" s="26"/>
      <c r="L26" s="26"/>
      <c r="M26" s="26"/>
      <c r="N26" s="26"/>
      <c r="O26" s="26"/>
      <c r="P26" s="27"/>
    </row>
    <row r="27" spans="8:16" ht="15.5" thickTop="1" thickBot="1" x14ac:dyDescent="0.4"/>
    <row r="28" spans="8:16" ht="19" thickTop="1" x14ac:dyDescent="0.45">
      <c r="H28" s="326">
        <v>3</v>
      </c>
      <c r="I28" s="286" t="s">
        <v>355</v>
      </c>
      <c r="J28" s="15"/>
      <c r="K28" s="15"/>
      <c r="L28" s="15"/>
      <c r="M28" s="15"/>
      <c r="N28" s="15"/>
      <c r="O28" s="15"/>
      <c r="P28" s="16"/>
    </row>
    <row r="29" spans="8:16" ht="30" customHeight="1" x14ac:dyDescent="0.35">
      <c r="H29" s="22"/>
      <c r="K29" s="151" t="s">
        <v>357</v>
      </c>
      <c r="L29" s="608" t="s">
        <v>325</v>
      </c>
      <c r="M29" s="609"/>
      <c r="N29" s="609"/>
      <c r="O29" s="610"/>
      <c r="P29" s="24"/>
    </row>
    <row r="30" spans="8:16" x14ac:dyDescent="0.35">
      <c r="H30" s="22"/>
      <c r="I30" s="306" t="s">
        <v>286</v>
      </c>
      <c r="J30" s="206" t="e">
        <f>'TRIPLICITY TABEL '!J5</f>
        <v>#N/A</v>
      </c>
      <c r="K30" s="311" t="e">
        <f>VLOOKUP(J30,'1. ANNUAL REVOLUTION'!$A$23:$D$29,4,FALSE)</f>
        <v>#N/A</v>
      </c>
      <c r="L30" s="555" t="s">
        <v>362</v>
      </c>
      <c r="M30" s="595"/>
      <c r="N30" s="595"/>
      <c r="O30" s="595"/>
      <c r="P30" s="24"/>
    </row>
    <row r="31" spans="8:16" ht="33" customHeight="1" x14ac:dyDescent="0.35">
      <c r="H31" s="22"/>
      <c r="I31" s="306" t="s">
        <v>287</v>
      </c>
      <c r="J31" s="206" t="e">
        <f>'TRIPLICITY TABEL '!K5</f>
        <v>#N/A</v>
      </c>
      <c r="K31" s="206" t="e">
        <f>VLOOKUP(J31,'1. ANNUAL REVOLUTION'!$A$23:$D$29,4,FALSE)</f>
        <v>#N/A</v>
      </c>
      <c r="L31" s="611"/>
      <c r="M31" s="595"/>
      <c r="N31" s="595"/>
      <c r="O31" s="595"/>
      <c r="P31" s="24"/>
    </row>
    <row r="32" spans="8:16" ht="33" customHeight="1" x14ac:dyDescent="0.35">
      <c r="H32" s="22"/>
      <c r="I32" s="306" t="s">
        <v>288</v>
      </c>
      <c r="J32" s="206" t="e">
        <f>'TRIPLICITY TABEL '!L5</f>
        <v>#N/A</v>
      </c>
      <c r="K32" s="206" t="e">
        <f>VLOOKUP(J32,'1. ANNUAL REVOLUTION'!$A$23:$D$29,4,FALSE)</f>
        <v>#N/A</v>
      </c>
      <c r="L32" s="378" t="s">
        <v>363</v>
      </c>
      <c r="M32" s="596"/>
      <c r="N32" s="597"/>
      <c r="O32" s="598"/>
      <c r="P32" s="24"/>
    </row>
    <row r="33" spans="8:16" ht="15" thickBot="1" x14ac:dyDescent="0.4">
      <c r="H33" s="25"/>
      <c r="I33" s="26"/>
      <c r="J33" s="26"/>
      <c r="K33" s="26"/>
      <c r="L33" s="26"/>
      <c r="M33" s="26"/>
      <c r="N33" s="26"/>
      <c r="O33" s="26"/>
      <c r="P33" s="27"/>
    </row>
    <row r="34" spans="8:16" ht="15.5" thickTop="1" thickBot="1" x14ac:dyDescent="0.4"/>
    <row r="35" spans="8:16" ht="19" thickTop="1" x14ac:dyDescent="0.45">
      <c r="H35" s="326">
        <v>4</v>
      </c>
      <c r="I35" s="286" t="s">
        <v>358</v>
      </c>
      <c r="J35" s="15"/>
      <c r="K35" s="15"/>
      <c r="L35" s="15"/>
      <c r="M35" s="15"/>
      <c r="N35" s="15"/>
      <c r="O35" s="15"/>
      <c r="P35" s="16"/>
    </row>
    <row r="36" spans="8:16" x14ac:dyDescent="0.35">
      <c r="H36" s="22"/>
      <c r="P36" s="24"/>
    </row>
    <row r="37" spans="8:16" x14ac:dyDescent="0.35">
      <c r="H37" s="22"/>
      <c r="K37" s="612" t="s">
        <v>325</v>
      </c>
      <c r="L37" s="613"/>
      <c r="M37" s="613"/>
      <c r="N37" s="613"/>
      <c r="O37" s="613"/>
      <c r="P37" s="24"/>
    </row>
    <row r="38" spans="8:16" ht="27.75" customHeight="1" x14ac:dyDescent="0.35">
      <c r="H38" s="22"/>
      <c r="I38" s="306" t="s">
        <v>359</v>
      </c>
      <c r="J38" s="206" t="e">
        <f>'1. ANNUAL REVOLUTION'!E2</f>
        <v>#N/A</v>
      </c>
      <c r="K38" s="592"/>
      <c r="L38" s="494"/>
      <c r="M38" s="494"/>
      <c r="N38" s="494"/>
      <c r="O38" s="494"/>
      <c r="P38" s="24"/>
    </row>
    <row r="39" spans="8:16" ht="30" customHeight="1" x14ac:dyDescent="0.35">
      <c r="H39" s="22"/>
      <c r="I39" s="306" t="s">
        <v>360</v>
      </c>
      <c r="J39" s="206" t="e">
        <f>VLOOKUP(J38,'1. ANNUAL REVOLUTION'!$A$23:$D$29,4,FALSE)</f>
        <v>#N/A</v>
      </c>
      <c r="K39" s="592"/>
      <c r="L39" s="494"/>
      <c r="M39" s="494"/>
      <c r="N39" s="494"/>
      <c r="O39" s="494"/>
      <c r="P39" s="24"/>
    </row>
    <row r="40" spans="8:16" ht="15" thickBot="1" x14ac:dyDescent="0.4">
      <c r="H40" s="25"/>
      <c r="I40" s="26"/>
      <c r="J40" s="26"/>
      <c r="K40" s="26"/>
      <c r="L40" s="26"/>
      <c r="M40" s="26"/>
      <c r="N40" s="26"/>
      <c r="O40" s="26"/>
      <c r="P40" s="27"/>
    </row>
    <row r="41" spans="8:16" ht="15" thickTop="1" x14ac:dyDescent="0.35"/>
    <row r="43" spans="8:16" ht="15" thickBot="1" x14ac:dyDescent="0.4"/>
    <row r="44" spans="8:16" ht="19" thickTop="1" x14ac:dyDescent="0.45">
      <c r="H44" s="14" t="s">
        <v>370</v>
      </c>
      <c r="I44" s="286" t="s">
        <v>371</v>
      </c>
      <c r="J44" s="15"/>
      <c r="K44" s="15"/>
      <c r="L44" s="15"/>
      <c r="M44" s="15"/>
      <c r="N44" s="15"/>
      <c r="O44" s="15"/>
      <c r="P44" s="16"/>
    </row>
    <row r="45" spans="8:16" x14ac:dyDescent="0.35">
      <c r="H45" s="22"/>
      <c r="P45" s="24"/>
    </row>
    <row r="46" spans="8:16" ht="15.5" x14ac:dyDescent="0.35">
      <c r="H46" s="196" t="s">
        <v>62</v>
      </c>
      <c r="I46" s="197" t="s">
        <v>63</v>
      </c>
      <c r="J46" s="603" t="s">
        <v>64</v>
      </c>
      <c r="K46" s="603"/>
      <c r="L46" s="197" t="s">
        <v>65</v>
      </c>
      <c r="M46" s="603" t="s">
        <v>326</v>
      </c>
      <c r="N46" s="603"/>
      <c r="O46" s="603"/>
      <c r="P46" s="605"/>
    </row>
    <row r="47" spans="8:16" ht="30" customHeight="1" x14ac:dyDescent="0.35">
      <c r="H47" s="18">
        <v>1</v>
      </c>
      <c r="I47" s="313" t="s">
        <v>365</v>
      </c>
      <c r="J47" s="624" t="e">
        <f>'1. ANNUAL REVOLUTION'!D33</f>
        <v>#REF!</v>
      </c>
      <c r="K47" s="624"/>
      <c r="L47" s="163" t="e">
        <f>INDEX('1. ZODIAC NATAL'!$A$6:$C$17,MATCH('2. SOLAR REVOLUTION'!J47,'1. ZODIAC NATAL'!$B$6:$B$17,0),1)</f>
        <v>#REF!</v>
      </c>
      <c r="M47" s="593"/>
      <c r="N47" s="593"/>
      <c r="O47" s="593"/>
      <c r="P47" s="594"/>
    </row>
    <row r="48" spans="8:16" ht="30" customHeight="1" x14ac:dyDescent="0.35">
      <c r="H48" s="17">
        <v>2</v>
      </c>
      <c r="I48" s="314" t="s">
        <v>366</v>
      </c>
      <c r="J48" s="579" t="e">
        <f>'1. ANNUAL REVOLUTION'!D35</f>
        <v>#REF!</v>
      </c>
      <c r="K48" s="579"/>
      <c r="L48" s="242" t="e">
        <f>INDEX('1. ZODIAC NATAL'!$A$6:$C$17,MATCH('2. SOLAR REVOLUTION'!J48,'1. ZODIAC NATAL'!$B$6:$B$17,0),1)</f>
        <v>#REF!</v>
      </c>
      <c r="M48" s="599"/>
      <c r="N48" s="599"/>
      <c r="O48" s="599"/>
      <c r="P48" s="600"/>
    </row>
    <row r="49" spans="8:17" ht="30" customHeight="1" x14ac:dyDescent="0.35">
      <c r="H49" s="17">
        <v>3</v>
      </c>
      <c r="I49" s="314" t="s">
        <v>66</v>
      </c>
      <c r="J49" s="579" t="e">
        <f>'1. ANNUAL REVOLUTION'!D38</f>
        <v>#N/A</v>
      </c>
      <c r="K49" s="579"/>
      <c r="L49" s="242" t="e">
        <f>INDEX('1. ZODIAC NATAL'!$A$6:$C$17,MATCH('2. SOLAR REVOLUTION'!J49,'1. ZODIAC NATAL'!$B$6:$B$17,0),1)</f>
        <v>#N/A</v>
      </c>
      <c r="M49" s="599"/>
      <c r="N49" s="599"/>
      <c r="O49" s="599"/>
      <c r="P49" s="600"/>
    </row>
    <row r="50" spans="8:17" ht="30" customHeight="1" x14ac:dyDescent="0.35">
      <c r="H50" s="38">
        <v>4</v>
      </c>
      <c r="I50" s="315" t="s">
        <v>68</v>
      </c>
      <c r="J50" s="581" t="e">
        <f>'1. ANNUAL REVOLUTION'!D37</f>
        <v>#N/A</v>
      </c>
      <c r="K50" s="581"/>
      <c r="L50" s="243" t="e">
        <f>INDEX('1. ZODIAC NATAL'!$A$6:$C$17,MATCH('2. SOLAR REVOLUTION'!J50,'1. ZODIAC NATAL'!$B$6:$B$17,0),1)</f>
        <v>#N/A</v>
      </c>
      <c r="M50" s="622"/>
      <c r="N50" s="622"/>
      <c r="O50" s="622"/>
      <c r="P50" s="623"/>
    </row>
    <row r="51" spans="8:17" ht="32.25" customHeight="1" x14ac:dyDescent="0.35">
      <c r="H51" s="22"/>
      <c r="P51" s="24"/>
    </row>
    <row r="52" spans="8:17" ht="15" thickBot="1" x14ac:dyDescent="0.4">
      <c r="H52" s="25"/>
      <c r="I52" s="26"/>
      <c r="J52" s="26"/>
      <c r="K52" s="26"/>
      <c r="L52" s="26"/>
      <c r="M52" s="26"/>
      <c r="N52" s="26"/>
      <c r="O52" s="26"/>
      <c r="P52" s="27"/>
    </row>
    <row r="53" spans="8:17" ht="15" thickTop="1" x14ac:dyDescent="0.35"/>
    <row r="54" spans="8:17" ht="15" thickBot="1" x14ac:dyDescent="0.4"/>
    <row r="55" spans="8:17" ht="19" thickTop="1" x14ac:dyDescent="0.45">
      <c r="H55" s="14" t="s">
        <v>372</v>
      </c>
      <c r="I55" s="286" t="s">
        <v>373</v>
      </c>
      <c r="J55" s="15"/>
      <c r="K55" s="15"/>
      <c r="L55" s="15"/>
      <c r="M55" s="15"/>
      <c r="N55" s="15"/>
      <c r="O55" s="15"/>
      <c r="P55" s="15"/>
      <c r="Q55" s="16"/>
    </row>
    <row r="56" spans="8:17" x14ac:dyDescent="0.35">
      <c r="H56" s="22"/>
      <c r="Q56" s="24"/>
    </row>
    <row r="57" spans="8:17" ht="15" customHeight="1" x14ac:dyDescent="0.35">
      <c r="H57" s="619" t="s">
        <v>24</v>
      </c>
      <c r="I57" s="616" t="s">
        <v>70</v>
      </c>
      <c r="J57" s="616"/>
      <c r="K57" s="616"/>
      <c r="L57" s="617" t="s">
        <v>71</v>
      </c>
      <c r="M57" s="617"/>
      <c r="N57" s="616" t="s">
        <v>325</v>
      </c>
      <c r="O57" s="616"/>
      <c r="P57" s="616"/>
      <c r="Q57" s="618"/>
    </row>
    <row r="58" spans="8:17" ht="15.5" x14ac:dyDescent="0.35">
      <c r="H58" s="619"/>
      <c r="I58" s="198" t="s">
        <v>72</v>
      </c>
      <c r="J58" s="198" t="s">
        <v>73</v>
      </c>
      <c r="K58" s="197" t="s">
        <v>26</v>
      </c>
      <c r="L58" s="199" t="s">
        <v>25</v>
      </c>
      <c r="M58" s="197" t="s">
        <v>26</v>
      </c>
      <c r="N58" s="616"/>
      <c r="O58" s="616"/>
      <c r="P58" s="616"/>
      <c r="Q58" s="618"/>
    </row>
    <row r="59" spans="8:17" ht="43.5" customHeight="1" x14ac:dyDescent="0.35">
      <c r="H59" s="83">
        <v>1</v>
      </c>
      <c r="I59" s="92" t="str" cm="1">
        <f t="array" ref="I59">IFERROR(
  INDEX('1. ZODIAC NATAL'!$A$20:$A$26,
    SMALL(
      IF(ISNUMBER(MATCH('1. ZODIAC NATAL'!$D$20:$D$26, {10;1;7;4}, 0)),
         ROW('1. ZODIAC NATAL'!$A$20:$A$26) - ROW('1. ZODIAC NATAL'!$A$20) + 1
      ),
      ROWS($I$59:I59)
    )
  ),
"-")</f>
        <v>-</v>
      </c>
      <c r="J59" s="327" t="str">
        <f>IFERROR(VLOOKUP(I59,'1. ZODIAC NATAL'!A20:D26,4,FALSE), "-")</f>
        <v>-</v>
      </c>
      <c r="K59" s="327" t="str">
        <f>IFERROR(VLOOKUP('2. SOLAR REVOLUTION'!I59,'1. ZODIAC NATAL'!A20:B26,2,FALSE),"-")</f>
        <v>-</v>
      </c>
      <c r="L59" s="327" t="str">
        <f>IFERROR(VLOOKUP(I59,'1. ANNUAL REVOLUTION'!A23:D29,4,FALSE),"-")</f>
        <v>-</v>
      </c>
      <c r="M59" s="327" t="str">
        <f>IFERROR(VLOOKUP(I59,'1. ANNUAL REVOLUTION'!A23:B29,2,FALSE),"-")</f>
        <v>-</v>
      </c>
      <c r="N59" s="577"/>
      <c r="O59" s="577"/>
      <c r="P59" s="577"/>
      <c r="Q59" s="578"/>
    </row>
    <row r="60" spans="8:17" ht="71.25" customHeight="1" x14ac:dyDescent="0.35">
      <c r="H60" s="83">
        <v>2</v>
      </c>
      <c r="I60" s="92" t="str" cm="1">
        <f t="array" ref="I60">IFERROR(
  INDEX('1. ZODIAC NATAL'!$A$20:$A$26,
    SMALL(
      IF(ISNUMBER(MATCH('1. ZODIAC NATAL'!$D$20:$D$26, {10;1;7;4}, 0)),
         ROW('1. ZODIAC NATAL'!$A$20:$A$26) - ROW('1. ZODIAC NATAL'!$A$20) + 1
      ),
      ROWS($I$59:I60)
    )
  ),
"-")</f>
        <v>-</v>
      </c>
      <c r="J60" s="327" t="str">
        <f>IFERROR(VLOOKUP(I60,'1. ZODIAC NATAL'!A21:D28,4,FALSE), "-")</f>
        <v>-</v>
      </c>
      <c r="K60" s="327" t="str">
        <f>IFERROR(VLOOKUP('2. SOLAR REVOLUTION'!I60,'1. ZODIAC NATAL'!A21:B28,2,FALSE),"-")</f>
        <v>-</v>
      </c>
      <c r="L60" s="327" t="str">
        <f>IFERROR(VLOOKUP(I60,'1. ANNUAL REVOLUTION'!A24:D30,4,FALSE),"-")</f>
        <v>-</v>
      </c>
      <c r="M60" s="327" t="str">
        <f>IFERROR(VLOOKUP(I60,'1. ANNUAL REVOLUTION'!A24:B30,2,FALSE),"-")</f>
        <v>-</v>
      </c>
      <c r="N60" s="577"/>
      <c r="O60" s="577"/>
      <c r="P60" s="577"/>
      <c r="Q60" s="578"/>
    </row>
    <row r="61" spans="8:17" ht="71.25" customHeight="1" x14ac:dyDescent="0.35">
      <c r="H61" s="83">
        <v>3</v>
      </c>
      <c r="I61" s="92" t="str" cm="1">
        <f t="array" ref="I61">IFERROR(
  INDEX('1. ZODIAC NATAL'!$A$20:$A$26,
    SMALL(
      IF(ISNUMBER(MATCH('1. ZODIAC NATAL'!$D$20:$D$26, {10;1;7;4}, 0)),
         ROW('1. ZODIAC NATAL'!$A$20:$A$26) - ROW('1. ZODIAC NATAL'!$A$20) + 1
      ),
      ROWS($I$59:I61)
    )
  ),
"-")</f>
        <v>-</v>
      </c>
      <c r="J61" s="327" t="str">
        <f>IFERROR(VLOOKUP(I61,'1. ZODIAC NATAL'!A22:D29,4,FALSE), "-")</f>
        <v>-</v>
      </c>
      <c r="K61" s="327" t="str">
        <f>IFERROR(VLOOKUP('2. SOLAR REVOLUTION'!I61,'1. ZODIAC NATAL'!A22:B29,2,FALSE),"-")</f>
        <v>-</v>
      </c>
      <c r="L61" s="327" t="str">
        <f>IFERROR(VLOOKUP(I61,'1. ANNUAL REVOLUTION'!A25:D31,4,FALSE),"-")</f>
        <v>-</v>
      </c>
      <c r="M61" s="327" t="str">
        <f>IFERROR(VLOOKUP(I61,'1. ANNUAL REVOLUTION'!A25:B31,2,FALSE),"-")</f>
        <v>-</v>
      </c>
      <c r="N61" s="577"/>
      <c r="O61" s="577"/>
      <c r="P61" s="577"/>
      <c r="Q61" s="578"/>
    </row>
    <row r="62" spans="8:17" ht="15.5" x14ac:dyDescent="0.35">
      <c r="H62" s="83">
        <v>4</v>
      </c>
      <c r="I62" s="92" t="str" cm="1">
        <f t="array" ref="I62">IFERROR(
  INDEX('1. ZODIAC NATAL'!$A$20:$A$26,
    SMALL(
      IF(ISNUMBER(MATCH('1. ZODIAC NATAL'!$D$20:$D$26, {10;1;7;4}, 0)),
         ROW('1. ZODIAC NATAL'!$A$20:$A$26) - ROW('1. ZODIAC NATAL'!$A$20) + 1
      ),
      ROWS($I$59:I62)
    )
  ),
"-")</f>
        <v>-</v>
      </c>
      <c r="J62" s="327" t="str">
        <f>IFERROR(VLOOKUP(I62,'1. ZODIAC NATAL'!A23:D30,4,FALSE), "-")</f>
        <v>-</v>
      </c>
      <c r="K62" s="327" t="str">
        <f>IFERROR(VLOOKUP('2. SOLAR REVOLUTION'!I62,'1. ZODIAC NATAL'!A23:B30,2,FALSE),"-")</f>
        <v>-</v>
      </c>
      <c r="L62" s="327" t="str">
        <f>IFERROR(VLOOKUP(I62,'1. ANNUAL REVOLUTION'!A26:D32,4,FALSE),"-")</f>
        <v>-</v>
      </c>
      <c r="M62" s="327" t="str">
        <f>IFERROR(VLOOKUP(I62,'1. ANNUAL REVOLUTION'!A26:B32,2,FALSE),"-")</f>
        <v>-</v>
      </c>
      <c r="N62" s="577"/>
      <c r="O62" s="577"/>
      <c r="P62" s="577"/>
      <c r="Q62" s="578"/>
    </row>
    <row r="63" spans="8:17" ht="15.5" x14ac:dyDescent="0.35">
      <c r="H63" s="83">
        <v>5</v>
      </c>
      <c r="I63" s="92" t="str" cm="1">
        <f t="array" ref="I63">IFERROR(
  INDEX('1. ZODIAC NATAL'!$A$20:$A$26,
    SMALL(
      IF(ISNUMBER(MATCH('1. ZODIAC NATAL'!$D$20:$D$26, {10;1;7;4}, 0)),
         ROW('1. ZODIAC NATAL'!$A$20:$A$26) - ROW('1. ZODIAC NATAL'!$A$20) + 1
      ),
      ROWS($I$59:I63)
    )
  ),
"-")</f>
        <v>-</v>
      </c>
      <c r="J63" s="327" t="str">
        <f>IFERROR(VLOOKUP(I63,'1. ZODIAC NATAL'!A24:D31,4,FALSE), "-")</f>
        <v>-</v>
      </c>
      <c r="K63" s="327" t="str">
        <f>IFERROR(VLOOKUP('2. SOLAR REVOLUTION'!I63,'1. ZODIAC NATAL'!A24:B31,2,FALSE),"-")</f>
        <v>-</v>
      </c>
      <c r="L63" s="327" t="str">
        <f>IFERROR(VLOOKUP(I63,'1. ANNUAL REVOLUTION'!A27:D33,4,FALSE),"-")</f>
        <v>-</v>
      </c>
      <c r="M63" s="327" t="str">
        <f>IFERROR(VLOOKUP(I63,'1. ANNUAL REVOLUTION'!A27:B33,2,FALSE),"-")</f>
        <v>-</v>
      </c>
      <c r="N63" s="577"/>
      <c r="O63" s="577"/>
      <c r="P63" s="577"/>
      <c r="Q63" s="578"/>
    </row>
    <row r="64" spans="8:17" ht="15.5" x14ac:dyDescent="0.35">
      <c r="H64" s="83">
        <v>6</v>
      </c>
      <c r="I64" s="92" t="str" cm="1">
        <f t="array" ref="I64">IFERROR(
  INDEX('1. ZODIAC NATAL'!$A$20:$A$26,
    SMALL(
      IF(ISNUMBER(MATCH('1. ZODIAC NATAL'!$D$20:$D$26, {10;1;7;4}, 0)),
         ROW('1. ZODIAC NATAL'!$A$20:$A$26) - ROW('1. ZODIAC NATAL'!$A$20) + 1
      ),
      ROWS($I$59:I64)
    )
  ),
"-")</f>
        <v>-</v>
      </c>
      <c r="J64" s="327" t="str">
        <f>IFERROR(VLOOKUP(I64,'1. ZODIAC NATAL'!A25:D32,4,FALSE), "-")</f>
        <v>-</v>
      </c>
      <c r="K64" s="327" t="str">
        <f>IFERROR(VLOOKUP('2. SOLAR REVOLUTION'!I64,'1. ZODIAC NATAL'!A25:B32,2,FALSE),"-")</f>
        <v>-</v>
      </c>
      <c r="L64" s="327" t="str">
        <f>IFERROR(VLOOKUP(I64,'1. ANNUAL REVOLUTION'!A28:D34,4,FALSE),"-")</f>
        <v>-</v>
      </c>
      <c r="M64" s="327" t="str">
        <f>IFERROR(VLOOKUP(I64,'1. ANNUAL REVOLUTION'!A28:B34,2,FALSE),"-")</f>
        <v>-</v>
      </c>
      <c r="N64" s="577"/>
      <c r="O64" s="577"/>
      <c r="P64" s="577"/>
      <c r="Q64" s="578"/>
    </row>
    <row r="65" spans="8:20" ht="15.5" x14ac:dyDescent="0.35">
      <c r="H65" s="83">
        <v>7</v>
      </c>
      <c r="I65" s="92" t="str" cm="1">
        <f t="array" ref="I65">IFERROR(
  INDEX('1. ZODIAC NATAL'!$A$20:$A$26,
    SMALL(
      IF(ISNUMBER(MATCH('1. ZODIAC NATAL'!$D$20:$D$26, {10;1;7;4}, 0)),
         ROW('1. ZODIAC NATAL'!$A$20:$A$26) - ROW('1. ZODIAC NATAL'!$A$20) + 1
      ),
      ROWS($I$59:I65)
    )
  ),
"-")</f>
        <v>-</v>
      </c>
      <c r="J65" s="327" t="str">
        <f>IFERROR(VLOOKUP(I65,'1. ZODIAC NATAL'!A26:D33,4,FALSE), "-")</f>
        <v>-</v>
      </c>
      <c r="K65" s="327" t="str">
        <f>IFERROR(VLOOKUP('2. SOLAR REVOLUTION'!I65,'1. ZODIAC NATAL'!A26:B33,2,FALSE),"-")</f>
        <v>-</v>
      </c>
      <c r="L65" s="327" t="str">
        <f>IFERROR(VLOOKUP(I65,'1. ANNUAL REVOLUTION'!A29:D35,4,FALSE),"-")</f>
        <v>-</v>
      </c>
      <c r="M65" s="327" t="str">
        <f>IFERROR(VLOOKUP(I65,'1. ANNUAL REVOLUTION'!A29:B35,2,FALSE),"-")</f>
        <v>-</v>
      </c>
      <c r="N65" s="577"/>
      <c r="O65" s="577"/>
      <c r="P65" s="577"/>
      <c r="Q65" s="578"/>
    </row>
    <row r="66" spans="8:20" x14ac:dyDescent="0.35">
      <c r="H66" s="22"/>
      <c r="Q66" s="24"/>
    </row>
    <row r="67" spans="8:20" ht="15" thickBot="1" x14ac:dyDescent="0.4">
      <c r="H67" s="25"/>
      <c r="I67" s="26"/>
      <c r="J67" s="26"/>
      <c r="K67" s="26"/>
      <c r="L67" s="26"/>
      <c r="M67" s="26"/>
      <c r="N67" s="26"/>
      <c r="O67" s="26"/>
      <c r="P67" s="26"/>
      <c r="Q67" s="27"/>
    </row>
    <row r="68" spans="8:20" ht="15" thickTop="1" x14ac:dyDescent="0.35"/>
    <row r="69" spans="8:20" ht="15" thickBot="1" x14ac:dyDescent="0.4"/>
    <row r="70" spans="8:20" ht="19" thickTop="1" x14ac:dyDescent="0.45">
      <c r="H70" s="36" t="s">
        <v>374</v>
      </c>
      <c r="I70" s="286" t="s">
        <v>375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6"/>
    </row>
    <row r="71" spans="8:20" x14ac:dyDescent="0.35">
      <c r="H71" s="22"/>
      <c r="T71" s="24"/>
    </row>
    <row r="72" spans="8:20" ht="15.5" x14ac:dyDescent="0.35">
      <c r="H72" s="614" t="s">
        <v>24</v>
      </c>
      <c r="I72" s="620" t="s">
        <v>340</v>
      </c>
      <c r="J72" s="603" t="s">
        <v>74</v>
      </c>
      <c r="K72" s="603"/>
      <c r="L72" s="197" t="s">
        <v>75</v>
      </c>
      <c r="M72" s="569" t="s">
        <v>326</v>
      </c>
      <c r="N72" s="570"/>
      <c r="O72" s="570"/>
      <c r="P72" s="570"/>
      <c r="Q72" s="570"/>
      <c r="R72" s="570"/>
      <c r="S72" s="570"/>
      <c r="T72" s="571"/>
    </row>
    <row r="73" spans="8:20" ht="15.5" x14ac:dyDescent="0.35">
      <c r="H73" s="615"/>
      <c r="I73" s="621"/>
      <c r="J73" s="324" t="s">
        <v>26</v>
      </c>
      <c r="K73" s="324" t="s">
        <v>25</v>
      </c>
      <c r="L73" s="324" t="s">
        <v>25</v>
      </c>
      <c r="M73" s="572"/>
      <c r="N73" s="573"/>
      <c r="O73" s="573"/>
      <c r="P73" s="573"/>
      <c r="Q73" s="573"/>
      <c r="R73" s="573"/>
      <c r="S73" s="573"/>
      <c r="T73" s="574"/>
    </row>
    <row r="74" spans="8:20" ht="32.25" customHeight="1" x14ac:dyDescent="0.35">
      <c r="H74" s="246">
        <v>1</v>
      </c>
      <c r="I74" s="156" t="s">
        <v>76</v>
      </c>
      <c r="J74" s="228" t="e">
        <f>'1. ANNUAL REVOLUTION'!B37</f>
        <v>#N/A</v>
      </c>
      <c r="K74" s="206" t="e">
        <f>'1. ANNUAL REVOLUTION'!E37</f>
        <v>#N/A</v>
      </c>
      <c r="L74" s="176" t="e">
        <f>INDEX('1. ZODIAC NATAL'!$A$6:$A$17,MATCH('2. SOLAR REVOLUTION'!J74,'1. ZODIAC NATAL'!$B$6:$B$17,0),1)</f>
        <v>#N/A</v>
      </c>
      <c r="M74" s="587"/>
      <c r="N74" s="588"/>
      <c r="O74" s="588"/>
      <c r="P74" s="588"/>
      <c r="Q74" s="588"/>
      <c r="R74" s="588"/>
      <c r="S74" s="588"/>
      <c r="T74" s="588"/>
    </row>
    <row r="75" spans="8:20" ht="39.75" customHeight="1" x14ac:dyDescent="0.35">
      <c r="H75" s="246">
        <v>2</v>
      </c>
      <c r="I75" s="156" t="s">
        <v>78</v>
      </c>
      <c r="J75" s="228">
        <f>'1. ANNUAL REVOLUTION'!B43</f>
        <v>0</v>
      </c>
      <c r="K75" s="206">
        <f>'1. ANNUAL REVOLUTION'!D43</f>
        <v>1</v>
      </c>
      <c r="L75" s="176">
        <f>INDEX('1. ZODIAC NATAL'!$A$6:$A$17,MATCH('2. SOLAR REVOLUTION'!J75,'1. ZODIAC NATAL'!$B$6:$B$17,0),1)</f>
        <v>1</v>
      </c>
      <c r="M75" s="587"/>
      <c r="N75" s="587"/>
      <c r="O75" s="587"/>
      <c r="P75" s="587"/>
      <c r="Q75" s="587"/>
      <c r="R75" s="587"/>
      <c r="S75" s="587"/>
      <c r="T75" s="587"/>
    </row>
    <row r="76" spans="8:20" ht="30.75" customHeight="1" x14ac:dyDescent="0.35">
      <c r="H76" s="246">
        <v>3</v>
      </c>
      <c r="I76" s="156" t="s">
        <v>80</v>
      </c>
      <c r="J76" s="228">
        <f>'1. ANNUAL REVOLUTION'!B44</f>
        <v>0</v>
      </c>
      <c r="K76" s="575" t="e">
        <f>VLOOKUP(J76,'ZODIAC LORD and ATRIBUTES'!A:D,4,FALSE)</f>
        <v>#N/A</v>
      </c>
      <c r="L76" s="576"/>
      <c r="M76" s="587"/>
      <c r="N76" s="587"/>
      <c r="O76" s="587"/>
      <c r="P76" s="587"/>
      <c r="Q76" s="587"/>
      <c r="R76" s="587"/>
      <c r="S76" s="587"/>
      <c r="T76" s="587"/>
    </row>
    <row r="77" spans="8:20" ht="52.5" customHeight="1" x14ac:dyDescent="0.35">
      <c r="H77" s="246">
        <v>4</v>
      </c>
      <c r="I77" s="156" t="s">
        <v>81</v>
      </c>
      <c r="J77" s="228">
        <f>'1. ANNUAL REVOLUTION'!B45</f>
        <v>0</v>
      </c>
      <c r="K77" s="206">
        <f>'1. ANNUAL REVOLUTION'!D45</f>
        <v>1</v>
      </c>
      <c r="L77" s="176">
        <f>INDEX('1. ZODIAC NATAL'!$A$6:$A$17,MATCH('2. SOLAR REVOLUTION'!J77,'1. ZODIAC NATAL'!$B$6:$B$17,0),1)</f>
        <v>1</v>
      </c>
      <c r="M77" s="587"/>
      <c r="N77" s="587"/>
      <c r="O77" s="587"/>
      <c r="P77" s="587"/>
      <c r="Q77" s="587"/>
      <c r="R77" s="587"/>
      <c r="S77" s="587"/>
      <c r="T77" s="587"/>
    </row>
    <row r="78" spans="8:20" ht="33" customHeight="1" x14ac:dyDescent="0.35">
      <c r="H78" s="246">
        <v>5</v>
      </c>
      <c r="I78" s="156" t="s">
        <v>83</v>
      </c>
      <c r="J78" s="228">
        <f>'1. ANNUAL REVOLUTION'!B46</f>
        <v>0</v>
      </c>
      <c r="K78" s="206">
        <f>'1. ANNUAL REVOLUTION'!D46</f>
        <v>1</v>
      </c>
      <c r="L78" s="176">
        <f>INDEX('1. ZODIAC NATAL'!$A$6:$A$17,MATCH('2. SOLAR REVOLUTION'!J78,'1. ZODIAC NATAL'!$B$6:$B$17,0),1)</f>
        <v>1</v>
      </c>
      <c r="M78" s="589"/>
      <c r="N78" s="589"/>
      <c r="O78" s="589"/>
      <c r="P78" s="589"/>
      <c r="Q78" s="589"/>
      <c r="R78" s="589"/>
      <c r="S78" s="589"/>
      <c r="T78" s="589"/>
    </row>
    <row r="79" spans="8:20" ht="15" thickBot="1" x14ac:dyDescent="0.4">
      <c r="H79" s="22"/>
      <c r="T79" s="24"/>
    </row>
    <row r="80" spans="8:20" ht="31" x14ac:dyDescent="0.65">
      <c r="H80" s="22"/>
      <c r="I80" s="582" t="s">
        <v>323</v>
      </c>
      <c r="J80" s="583"/>
      <c r="O80" s="157"/>
      <c r="P80" s="157"/>
      <c r="Q80" s="157"/>
      <c r="R80" s="157"/>
      <c r="S80" s="157"/>
      <c r="T80" s="158"/>
    </row>
    <row r="81" spans="8:20" ht="18.5" x14ac:dyDescent="0.45">
      <c r="H81" s="22"/>
      <c r="I81" s="328" t="s">
        <v>85</v>
      </c>
      <c r="J81" s="329">
        <f>'1. ANNUAL REVOLUTION'!B45</f>
        <v>0</v>
      </c>
      <c r="O81" s="159"/>
      <c r="P81" s="159"/>
      <c r="Q81" s="159"/>
      <c r="R81" s="159"/>
      <c r="S81" s="159"/>
      <c r="T81" s="160"/>
    </row>
    <row r="82" spans="8:20" ht="18.5" x14ac:dyDescent="0.45">
      <c r="H82" s="22"/>
      <c r="I82" s="328" t="s">
        <v>44</v>
      </c>
      <c r="J82" s="330" t="e">
        <f>'1. ANNUAL REVOLUTION'!$E$45</f>
        <v>#REF!</v>
      </c>
      <c r="O82" s="159"/>
      <c r="P82" s="159"/>
      <c r="Q82" s="159"/>
      <c r="R82" s="159"/>
      <c r="S82" s="159"/>
      <c r="T82" s="160"/>
    </row>
    <row r="83" spans="8:20" ht="18.5" x14ac:dyDescent="0.45">
      <c r="H83" s="22"/>
      <c r="I83" s="328" t="s">
        <v>86</v>
      </c>
      <c r="J83" s="331" t="e">
        <f>INDEX('1. ZODIAC NATAL'!$A$6:$A$17,MATCH(J82,'1. ZODIAC NATAL'!$B$6:$B$17,0))</f>
        <v>#REF!</v>
      </c>
      <c r="O83" s="107"/>
      <c r="P83" s="107"/>
      <c r="Q83" s="107"/>
      <c r="R83" s="107"/>
      <c r="S83" s="107"/>
      <c r="T83" s="161"/>
    </row>
    <row r="84" spans="8:20" ht="19" thickBot="1" x14ac:dyDescent="0.5">
      <c r="H84" s="22"/>
      <c r="I84" s="332" t="s">
        <v>87</v>
      </c>
      <c r="J84" s="333" t="e">
        <f>'1. ANNUAL REVOLUTION'!F45</f>
        <v>#N/A</v>
      </c>
      <c r="O84" s="107"/>
      <c r="P84" s="107"/>
      <c r="Q84" s="107"/>
      <c r="R84" s="107"/>
      <c r="S84" s="107"/>
      <c r="T84" s="161"/>
    </row>
    <row r="85" spans="8:20" ht="18.5" x14ac:dyDescent="0.45">
      <c r="H85" s="22"/>
      <c r="I85" s="11"/>
      <c r="J85" s="277"/>
      <c r="O85" s="107"/>
      <c r="P85" s="107"/>
      <c r="Q85" s="107"/>
      <c r="R85" s="107"/>
      <c r="S85" s="107"/>
      <c r="T85" s="161"/>
    </row>
    <row r="86" spans="8:20" ht="18.5" x14ac:dyDescent="0.45">
      <c r="H86" s="22"/>
      <c r="I86" s="580" t="s">
        <v>341</v>
      </c>
      <c r="J86" s="580"/>
      <c r="O86" s="107"/>
      <c r="P86" s="107"/>
      <c r="Q86" s="107"/>
      <c r="R86" s="107"/>
      <c r="S86" s="107"/>
      <c r="T86" s="161"/>
    </row>
    <row r="87" spans="8:20" ht="18.5" x14ac:dyDescent="0.45">
      <c r="H87" s="22"/>
      <c r="I87" s="282" t="s">
        <v>46</v>
      </c>
      <c r="J87" s="278" t="e">
        <f>'ZODIAC CALCULATION '!H3</f>
        <v>#N/A</v>
      </c>
      <c r="K87" s="52"/>
      <c r="O87" s="107"/>
      <c r="P87" s="107"/>
      <c r="Q87" s="107"/>
      <c r="R87" s="107"/>
      <c r="S87" s="107"/>
      <c r="T87" s="161"/>
    </row>
    <row r="88" spans="8:20" ht="18.5" x14ac:dyDescent="0.45">
      <c r="H88" s="22"/>
      <c r="I88" s="282" t="s">
        <v>44</v>
      </c>
      <c r="J88" s="278" t="e">
        <f>'1. ANNUAL REVOLUTION'!E46</f>
        <v>#REF!</v>
      </c>
      <c r="K88" s="52"/>
      <c r="O88" s="107"/>
      <c r="P88" s="107"/>
      <c r="Q88" s="107"/>
      <c r="R88" s="107"/>
      <c r="S88" s="107"/>
      <c r="T88" s="161"/>
    </row>
    <row r="89" spans="8:20" ht="18.5" x14ac:dyDescent="0.45">
      <c r="H89" s="22"/>
      <c r="I89" s="283" t="s">
        <v>65</v>
      </c>
      <c r="J89" s="278" t="e">
        <f>INDEX('1. ZODIAC NATAL'!$A$6:$A$17,MATCH('2. SOLAR REVOLUTION'!J88,'1. ZODIAC NATAL'!$B$6:$B$17,0))</f>
        <v>#REF!</v>
      </c>
      <c r="K89" s="52"/>
      <c r="O89" s="107"/>
      <c r="P89" s="107"/>
      <c r="Q89" s="107"/>
      <c r="R89" s="107"/>
      <c r="S89" s="107"/>
      <c r="T89" s="161"/>
    </row>
    <row r="90" spans="8:20" ht="18.5" x14ac:dyDescent="0.45">
      <c r="H90" s="22"/>
      <c r="I90" s="11"/>
      <c r="J90" s="277"/>
      <c r="O90" s="107"/>
      <c r="P90" s="107"/>
      <c r="Q90" s="107"/>
      <c r="R90" s="107"/>
      <c r="S90" s="107"/>
      <c r="T90" s="161"/>
    </row>
    <row r="91" spans="8:20" ht="18.5" x14ac:dyDescent="0.45">
      <c r="H91" s="22"/>
      <c r="I91" s="580" t="s">
        <v>342</v>
      </c>
      <c r="J91" s="580"/>
      <c r="O91" s="107"/>
      <c r="P91" s="107"/>
      <c r="Q91" s="107"/>
      <c r="R91" s="107"/>
      <c r="S91" s="107"/>
      <c r="T91" s="161"/>
    </row>
    <row r="92" spans="8:20" ht="18.5" x14ac:dyDescent="0.45">
      <c r="H92" s="22"/>
      <c r="I92" s="282" t="s">
        <v>46</v>
      </c>
      <c r="J92" s="278" t="e">
        <f>'ZODIAC CALCULATION '!H4</f>
        <v>#N/A</v>
      </c>
      <c r="O92" s="107"/>
      <c r="P92" s="107"/>
      <c r="Q92" s="107"/>
      <c r="R92" s="107"/>
      <c r="S92" s="107"/>
      <c r="T92" s="161"/>
    </row>
    <row r="93" spans="8:20" ht="18.5" x14ac:dyDescent="0.45">
      <c r="H93" s="22"/>
      <c r="I93" s="11"/>
      <c r="J93" s="277"/>
      <c r="O93" s="107"/>
      <c r="P93" s="107"/>
      <c r="Q93" s="107"/>
      <c r="R93" s="107"/>
      <c r="S93" s="107"/>
      <c r="T93" s="161"/>
    </row>
    <row r="94" spans="8:20" ht="15" thickBot="1" x14ac:dyDescent="0.4">
      <c r="H94" s="25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7"/>
    </row>
    <row r="95" spans="8:20" ht="15" thickTop="1" x14ac:dyDescent="0.35"/>
    <row r="96" spans="8:20" ht="15" thickBot="1" x14ac:dyDescent="0.4"/>
    <row r="97" spans="8:23" ht="21.5" thickTop="1" x14ac:dyDescent="0.5">
      <c r="H97" s="106">
        <v>8</v>
      </c>
      <c r="I97" s="105" t="s">
        <v>253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6"/>
    </row>
    <row r="98" spans="8:23" x14ac:dyDescent="0.35">
      <c r="H98" s="22"/>
      <c r="W98" s="24"/>
    </row>
    <row r="99" spans="8:23" x14ac:dyDescent="0.35">
      <c r="H99" s="22"/>
      <c r="I99" s="168" t="s">
        <v>266</v>
      </c>
      <c r="J99" s="66" t="e">
        <f>'2. SATURN JUPITER CONJ'!V3</f>
        <v>#N/A</v>
      </c>
      <c r="K99" s="165"/>
      <c r="L99" s="166"/>
      <c r="M99" s="166"/>
      <c r="W99" s="24"/>
    </row>
    <row r="100" spans="8:23" x14ac:dyDescent="0.35">
      <c r="H100" s="22"/>
      <c r="I100" s="168" t="s">
        <v>265</v>
      </c>
      <c r="J100" s="66" t="e">
        <f>INDEX('1. ANNUAL REVOLUTION'!$B$23:$B$29,MATCH('2. SOLAR REVOLUTION'!J99,'1. ANNUAL REVOLUTION'!$A$23:$A$29,0))</f>
        <v>#N/A</v>
      </c>
      <c r="W100" s="24"/>
    </row>
    <row r="101" spans="8:23" x14ac:dyDescent="0.35">
      <c r="H101" s="22"/>
      <c r="I101" s="4"/>
      <c r="W101" s="24"/>
    </row>
    <row r="102" spans="8:23" x14ac:dyDescent="0.35">
      <c r="H102" s="22"/>
      <c r="J102" s="137" t="s">
        <v>26</v>
      </c>
      <c r="K102" s="137" t="s">
        <v>39</v>
      </c>
      <c r="L102" s="168" t="s">
        <v>258</v>
      </c>
      <c r="M102" s="586" t="s">
        <v>325</v>
      </c>
      <c r="N102" s="586"/>
      <c r="O102" s="586"/>
      <c r="P102" s="586"/>
      <c r="Q102" s="586"/>
      <c r="R102" s="586"/>
      <c r="S102" s="586"/>
      <c r="W102" s="24"/>
    </row>
    <row r="103" spans="8:23" ht="26.15" customHeight="1" x14ac:dyDescent="0.35">
      <c r="H103" s="22"/>
      <c r="I103" s="448" t="s">
        <v>254</v>
      </c>
      <c r="J103" s="206">
        <f>'1. ZODIAC NATAL'!B37</f>
        <v>0</v>
      </c>
      <c r="K103" s="447">
        <f>'1. ZODIAC NATAL'!C37</f>
        <v>0</v>
      </c>
      <c r="L103" s="206" t="e">
        <f>VLOOKUP(J103,'ZODIAC LORD and ATRIBUTES'!A:C,3,FALSE)</f>
        <v>#N/A</v>
      </c>
      <c r="M103" s="585"/>
      <c r="N103" s="585"/>
      <c r="O103" s="585"/>
      <c r="P103" s="585"/>
      <c r="Q103" s="585"/>
      <c r="R103" s="585"/>
      <c r="S103" s="585"/>
      <c r="W103" s="24"/>
    </row>
    <row r="104" spans="8:23" ht="29.15" customHeight="1" x14ac:dyDescent="0.35">
      <c r="H104" s="22"/>
      <c r="I104" s="448" t="s">
        <v>255</v>
      </c>
      <c r="J104" s="206">
        <f>'1. ZODIAC NATAL'!B38</f>
        <v>0</v>
      </c>
      <c r="K104" s="447">
        <f>'1. ZODIAC NATAL'!C38</f>
        <v>0</v>
      </c>
      <c r="L104" s="206" t="e">
        <f>VLOOKUP(J104,'ZODIAC LORD and ATRIBUTES'!A:C,3,FALSE)</f>
        <v>#N/A</v>
      </c>
      <c r="M104" s="585"/>
      <c r="N104" s="585"/>
      <c r="O104" s="585"/>
      <c r="P104" s="585"/>
      <c r="Q104" s="585"/>
      <c r="R104" s="585"/>
      <c r="S104" s="585"/>
      <c r="W104" s="24"/>
    </row>
    <row r="105" spans="8:23" x14ac:dyDescent="0.35">
      <c r="H105" s="22"/>
      <c r="W105" s="24"/>
    </row>
    <row r="106" spans="8:23" x14ac:dyDescent="0.35">
      <c r="H106" s="22"/>
      <c r="W106" s="24"/>
    </row>
    <row r="107" spans="8:23" ht="15" thickBot="1" x14ac:dyDescent="0.4">
      <c r="H107" s="25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7"/>
    </row>
    <row r="108" spans="8:23" ht="15" thickTop="1" x14ac:dyDescent="0.35"/>
  </sheetData>
  <mergeCells count="56">
    <mergeCell ref="K37:O37"/>
    <mergeCell ref="H72:H73"/>
    <mergeCell ref="I57:K57"/>
    <mergeCell ref="L57:M57"/>
    <mergeCell ref="N57:Q58"/>
    <mergeCell ref="N65:Q65"/>
    <mergeCell ref="H57:H58"/>
    <mergeCell ref="N59:Q59"/>
    <mergeCell ref="N60:Q60"/>
    <mergeCell ref="N63:Q63"/>
    <mergeCell ref="N64:Q64"/>
    <mergeCell ref="I72:I73"/>
    <mergeCell ref="J72:K72"/>
    <mergeCell ref="M49:P49"/>
    <mergeCell ref="M50:P50"/>
    <mergeCell ref="J47:K47"/>
    <mergeCell ref="J3:L3"/>
    <mergeCell ref="N3:P3"/>
    <mergeCell ref="J13:K13"/>
    <mergeCell ref="J46:K46"/>
    <mergeCell ref="J4:K4"/>
    <mergeCell ref="L12:N12"/>
    <mergeCell ref="M46:P46"/>
    <mergeCell ref="O12:P12"/>
    <mergeCell ref="L11:N11"/>
    <mergeCell ref="O11:P11"/>
    <mergeCell ref="K18:O18"/>
    <mergeCell ref="K24:O25"/>
    <mergeCell ref="I19:J19"/>
    <mergeCell ref="L29:O29"/>
    <mergeCell ref="L30:L31"/>
    <mergeCell ref="K38:O39"/>
    <mergeCell ref="J14:K14"/>
    <mergeCell ref="M103:S104"/>
    <mergeCell ref="M102:S102"/>
    <mergeCell ref="M74:T74"/>
    <mergeCell ref="M75:T75"/>
    <mergeCell ref="M77:T77"/>
    <mergeCell ref="M78:T78"/>
    <mergeCell ref="M76:T76"/>
    <mergeCell ref="K23:O23"/>
    <mergeCell ref="K19:O21"/>
    <mergeCell ref="I91:J91"/>
    <mergeCell ref="M47:P47"/>
    <mergeCell ref="M30:O31"/>
    <mergeCell ref="M32:O32"/>
    <mergeCell ref="N62:Q62"/>
    <mergeCell ref="M48:P48"/>
    <mergeCell ref="M72:T73"/>
    <mergeCell ref="K76:L76"/>
    <mergeCell ref="N61:Q61"/>
    <mergeCell ref="J48:K48"/>
    <mergeCell ref="I86:J86"/>
    <mergeCell ref="J49:K49"/>
    <mergeCell ref="J50:K50"/>
    <mergeCell ref="I80:J80"/>
  </mergeCells>
  <conditionalFormatting sqref="I59:M65">
    <cfRule type="cellIs" dxfId="7" priority="2" operator="equal">
      <formula>"-"</formula>
    </cfRule>
  </conditionalFormatting>
  <conditionalFormatting sqref="J24">
    <cfRule type="cellIs" dxfId="6" priority="1" operator="equal">
      <formula>"YES"</formula>
    </cfRule>
  </conditionalFormatting>
  <conditionalFormatting sqref="O12:P12">
    <cfRule type="cellIs" dxfId="5" priority="4" operator="equal">
      <formula>"NON FLUCTUATING MOMENT"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D9715-63FC-40C0-AB7C-90469AB9C25F}">
          <x14:formula1>
            <xm:f>'CHALDEAN ORDER'!$C$2:$C$8</xm:f>
          </x14:formula1>
          <xm:sqref>J12</xm:sqref>
        </x14:dataValidation>
        <x14:dataValidation type="list" allowBlank="1" showInputMessage="1" showErrorMessage="1" xr:uid="{8E86330B-C82A-4278-B8B9-9A2116FA1E5A}">
          <x14:formula1>
            <xm:f>'CONTINOUS ZODIAC TABLE'!$A$2:$A$61</xm:f>
          </x14:formula1>
          <xm:sqref>J103:J104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14A9-980C-46DC-951E-1B5B0F1DD71F}">
  <sheetPr codeName="Sheet6">
    <tabColor rgb="FF00B0F0"/>
  </sheetPr>
  <dimension ref="A1:S210"/>
  <sheetViews>
    <sheetView zoomScale="70" zoomScaleNormal="70" workbookViewId="0">
      <pane ySplit="4" topLeftCell="A5" activePane="bottomLeft" state="frozen"/>
      <selection activeCell="E1" sqref="E1"/>
      <selection pane="bottomLeft" activeCell="M5" sqref="M5"/>
    </sheetView>
  </sheetViews>
  <sheetFormatPr defaultColWidth="8.7265625" defaultRowHeight="14.5" x14ac:dyDescent="0.35"/>
  <cols>
    <col min="1" max="3" width="21.1796875" style="71" hidden="1" customWidth="1"/>
    <col min="4" max="4" width="8.81640625" style="71" hidden="1" customWidth="1"/>
    <col min="5" max="5" width="24.26953125" style="71" bestFit="1" customWidth="1"/>
    <col min="6" max="6" width="13.453125" style="218" customWidth="1"/>
    <col min="7" max="7" width="16.26953125" style="71" customWidth="1"/>
    <col min="8" max="8" width="13.26953125" style="71" customWidth="1"/>
    <col min="9" max="9" width="16" style="71" bestFit="1" customWidth="1"/>
    <col min="10" max="10" width="15" style="71" bestFit="1" customWidth="1"/>
    <col min="11" max="11" width="14.54296875" style="71" bestFit="1" customWidth="1"/>
    <col min="12" max="12" width="14" style="71" customWidth="1"/>
    <col min="13" max="13" width="8.7265625" style="71" bestFit="1" customWidth="1"/>
    <col min="14" max="14" width="15.26953125" style="71" customWidth="1"/>
    <col min="15" max="15" width="8.7265625" style="71"/>
    <col min="16" max="16" width="20.54296875" style="71" bestFit="1" customWidth="1"/>
    <col min="17" max="17" width="18.26953125" style="71" bestFit="1" customWidth="1"/>
    <col min="18" max="18" width="15.54296875" style="71" bestFit="1" customWidth="1"/>
    <col min="19" max="19" width="12.1796875" style="218" bestFit="1" customWidth="1"/>
    <col min="20" max="16384" width="8.7265625" style="71"/>
  </cols>
  <sheetData>
    <row r="1" spans="5:19" ht="44.25" customHeight="1" x14ac:dyDescent="0.35">
      <c r="E1" s="316" t="s">
        <v>61</v>
      </c>
      <c r="F1" s="317">
        <f>'2. SOLAR REVOLUTION'!J12</f>
        <v>0</v>
      </c>
      <c r="G1" s="625" t="s">
        <v>321</v>
      </c>
      <c r="H1" s="626"/>
      <c r="I1" s="318" t="s">
        <v>140</v>
      </c>
      <c r="Q1" s="71" t="s">
        <v>153</v>
      </c>
      <c r="S1" s="218" t="s">
        <v>153</v>
      </c>
    </row>
    <row r="2" spans="5:19" ht="44.25" customHeight="1" x14ac:dyDescent="0.35">
      <c r="E2" s="316" t="s">
        <v>379</v>
      </c>
      <c r="F2" s="317" t="e">
        <f>'1. ZODIAC NATAL'!D37</f>
        <v>#N/A</v>
      </c>
      <c r="G2" s="336"/>
      <c r="H2" s="337"/>
    </row>
    <row r="3" spans="5:19" ht="10.5" customHeight="1" x14ac:dyDescent="0.35">
      <c r="E3" s="254"/>
    </row>
    <row r="4" spans="5:19" s="273" customFormat="1" ht="61.5" customHeight="1" x14ac:dyDescent="0.35">
      <c r="E4" s="257" t="s">
        <v>297</v>
      </c>
      <c r="F4" s="258" t="s">
        <v>295</v>
      </c>
      <c r="G4" s="259" t="s">
        <v>26</v>
      </c>
      <c r="H4" s="257" t="s">
        <v>324</v>
      </c>
      <c r="I4" s="259" t="s">
        <v>44</v>
      </c>
      <c r="J4" s="257" t="s">
        <v>302</v>
      </c>
      <c r="K4" s="257" t="s">
        <v>304</v>
      </c>
      <c r="L4" s="270" t="s">
        <v>307</v>
      </c>
      <c r="M4" s="270" t="s">
        <v>415</v>
      </c>
      <c r="N4" s="270" t="s">
        <v>378</v>
      </c>
      <c r="S4" s="389"/>
    </row>
    <row r="5" spans="5:19" ht="18.5" x14ac:dyDescent="0.45">
      <c r="E5" s="260"/>
      <c r="F5" s="261"/>
      <c r="G5" s="260"/>
      <c r="H5" s="262"/>
      <c r="I5" s="263" t="e" cm="1">
        <f t="array" ref="I5">INDEX(D:D, SUMPRODUCT((A:A=G5) * (B:B&lt;=H5) * (C:C&gt;=H5) * ROW(A:A)))</f>
        <v>#REF!</v>
      </c>
      <c r="J5" s="260"/>
      <c r="K5" s="263" t="str">
        <f>IFERROR(CHOOSE(MATCH(J5, {"SCORPIO";"CAPRICORN";"TAURUS";"CANCER"}, 0), "FALL","DETRIMENT", "EXALTED", "DIGNITY"), "PEREGRINE")</f>
        <v>PEREGRINE</v>
      </c>
      <c r="L5" s="260"/>
      <c r="M5" s="271"/>
      <c r="N5" s="74"/>
    </row>
    <row r="6" spans="5:19" ht="18.5" x14ac:dyDescent="0.45">
      <c r="E6" s="260"/>
      <c r="F6" s="261"/>
      <c r="G6" s="260"/>
      <c r="H6" s="262"/>
      <c r="I6" s="263" t="e" cm="1">
        <f t="array" ref="I6">INDEX(D:D, SUMPRODUCT((A:A=G6) * (B:B&lt;=H6) * (C:C&gt;=H6) * ROW(A:A)))</f>
        <v>#REF!</v>
      </c>
      <c r="J6" s="260"/>
      <c r="K6" s="263" t="str">
        <f>IFERROR(CHOOSE(MATCH(J6, {"SCORPIO";"CAPRICORN";"TAURUS";"CANCER"}, 0), "FALL","DETRIMENT", "EXALTED", "DIGNITY"), "PEREGRINE")</f>
        <v>PEREGRINE</v>
      </c>
      <c r="L6" s="260"/>
      <c r="M6" s="272"/>
      <c r="N6" s="74"/>
    </row>
    <row r="7" spans="5:19" ht="18.5" x14ac:dyDescent="0.45">
      <c r="E7" s="260"/>
      <c r="F7" s="261"/>
      <c r="G7" s="260"/>
      <c r="H7" s="262"/>
      <c r="I7" s="263" t="e" cm="1">
        <f t="array" ref="I7">INDEX(D:D, SUMPRODUCT((A:A=G7) * (B:B&lt;=H7) * (C:C&gt;=H7) * ROW(A:A)))</f>
        <v>#REF!</v>
      </c>
      <c r="J7" s="260"/>
      <c r="K7" s="263" t="str">
        <f>IFERROR(CHOOSE(MATCH(J7, {"SCORPIO";"CAPRICORN";"TAURUS";"CANCER"}, 0), "FALL","DETRIMENT", "EXALTED", "DIGNITY"), "PEREGRINE")</f>
        <v>PEREGRINE</v>
      </c>
      <c r="L7" s="260"/>
      <c r="M7" s="271"/>
      <c r="N7" s="74"/>
    </row>
    <row r="8" spans="5:19" ht="18.5" x14ac:dyDescent="0.45">
      <c r="E8" s="260"/>
      <c r="F8" s="261"/>
      <c r="G8" s="260"/>
      <c r="H8" s="262"/>
      <c r="I8" s="263" t="e" cm="1">
        <f t="array" ref="I8">INDEX(D:D, SUMPRODUCT((A:A=G8) * (B:B&lt;=H8) * (C:C&gt;=H8) * ROW(A:A)))</f>
        <v>#REF!</v>
      </c>
      <c r="J8" s="260"/>
      <c r="K8" s="263" t="str">
        <f>IFERROR(CHOOSE(MATCH(J8, {"SCORPIO";"CAPRICORN";"TAURUS";"CANCER"}, 0), "FALL","DETRIMENT", "EXALTED", "DIGNITY"), "PEREGRINE")</f>
        <v>PEREGRINE</v>
      </c>
      <c r="L8" s="260"/>
      <c r="M8" s="272"/>
      <c r="N8" s="74"/>
    </row>
    <row r="9" spans="5:19" ht="18.5" x14ac:dyDescent="0.45">
      <c r="E9" s="260"/>
      <c r="F9" s="261"/>
      <c r="G9" s="260"/>
      <c r="H9" s="262"/>
      <c r="I9" s="263" t="e" cm="1">
        <f t="array" ref="I9">INDEX(D:D, SUMPRODUCT((A:A=G9) * (B:B&lt;=H9) * (C:C&gt;=H9) * ROW(A:A)))</f>
        <v>#REF!</v>
      </c>
      <c r="J9" s="260"/>
      <c r="K9" s="263" t="str">
        <f>IFERROR(CHOOSE(MATCH(J9, {"SCORPIO";"CAPRICORN";"TAURUS";"CANCER"}, 0), "FALL","DETRIMENT", "EXALTED", "DIGNITY"), "PEREGRINE")</f>
        <v>PEREGRINE</v>
      </c>
      <c r="L9" s="260"/>
      <c r="M9" s="272"/>
      <c r="N9" s="74"/>
    </row>
    <row r="10" spans="5:19" ht="18.5" x14ac:dyDescent="0.45">
      <c r="E10" s="260"/>
      <c r="F10" s="261"/>
      <c r="G10" s="260"/>
      <c r="H10" s="262"/>
      <c r="I10" s="263" t="e" cm="1">
        <f t="array" ref="I10">INDEX(D:D, SUMPRODUCT((A:A=G10) * (B:B&lt;=H10) * (C:C&gt;=H10) * ROW(A:A)))</f>
        <v>#REF!</v>
      </c>
      <c r="J10" s="260"/>
      <c r="K10" s="263" t="str">
        <f>IFERROR(CHOOSE(MATCH(J10, {"SCORPIO";"CAPRICORN";"TAURUS";"CANCER"}, 0), "FALL","DETRIMENT", "EXALTED", "DIGNITY"), "PEREGRINE")</f>
        <v>PEREGRINE</v>
      </c>
      <c r="L10" s="260"/>
      <c r="M10" s="272"/>
      <c r="N10" s="74"/>
    </row>
    <row r="11" spans="5:19" ht="18.5" x14ac:dyDescent="0.45">
      <c r="E11" s="260"/>
      <c r="F11" s="261"/>
      <c r="G11" s="260"/>
      <c r="H11" s="262"/>
      <c r="I11" s="263" t="e" cm="1">
        <f t="array" ref="I11">INDEX(D:D, SUMPRODUCT((A:A=G11) * (B:B&lt;=H11) * (C:C&gt;=H11) * ROW(A:A)))</f>
        <v>#REF!</v>
      </c>
      <c r="J11" s="260"/>
      <c r="K11" s="263" t="str">
        <f>IFERROR(CHOOSE(MATCH(J11, {"SCORPIO";"CAPRICORN";"TAURUS";"CANCER"}, 0), "FALL","DETRIMENT", "EXALTED", "DIGNITY"), "PEREGRINE")</f>
        <v>PEREGRINE</v>
      </c>
      <c r="L11" s="260"/>
      <c r="M11" s="272"/>
      <c r="N11" s="74"/>
    </row>
    <row r="12" spans="5:19" ht="18.5" x14ac:dyDescent="0.45">
      <c r="E12" s="260"/>
      <c r="F12" s="261"/>
      <c r="G12" s="260"/>
      <c r="H12" s="262"/>
      <c r="I12" s="263" t="e" cm="1">
        <f t="array" ref="I12">INDEX(D:D, SUMPRODUCT((A:A=G12) * (B:B&lt;=H12) * (C:C&gt;=H12) * ROW(A:A)))</f>
        <v>#REF!</v>
      </c>
      <c r="J12" s="260"/>
      <c r="K12" s="263" t="str">
        <f>IFERROR(CHOOSE(MATCH(J12, {"SCORPIO";"CAPRICORN";"TAURUS";"CANCER"}, 0), "FALL","DETRIMENT", "EXALTED", "DIGNITY"), "PEREGRINE")</f>
        <v>PEREGRINE</v>
      </c>
      <c r="L12" s="260"/>
      <c r="M12" s="272"/>
      <c r="N12" s="74"/>
    </row>
    <row r="13" spans="5:19" ht="18.5" x14ac:dyDescent="0.45">
      <c r="E13" s="260"/>
      <c r="F13" s="261"/>
      <c r="G13" s="260"/>
      <c r="H13" s="262"/>
      <c r="I13" s="263" t="e" cm="1">
        <f t="array" ref="I13">INDEX(D:D, SUMPRODUCT((A:A=G13) * (B:B&lt;=H13) * (C:C&gt;=H13) * ROW(A:A)))</f>
        <v>#REF!</v>
      </c>
      <c r="J13" s="260"/>
      <c r="K13" s="263" t="str">
        <f>IFERROR(CHOOSE(MATCH(J13, {"SCORPIO";"CAPRICORN";"TAURUS";"CANCER"}, 0), "FALL","DETRIMENT", "EXALTED", "DIGNITY"), "PEREGRINE")</f>
        <v>PEREGRINE</v>
      </c>
      <c r="L13" s="260"/>
      <c r="M13" s="272"/>
      <c r="N13" s="74"/>
    </row>
    <row r="14" spans="5:19" ht="18.5" x14ac:dyDescent="0.45">
      <c r="E14" s="260"/>
      <c r="F14" s="261"/>
      <c r="G14" s="260"/>
      <c r="H14" s="262"/>
      <c r="I14" s="263" t="e" cm="1">
        <f t="array" ref="I14">INDEX(D:D, SUMPRODUCT((A:A=G14) * (B:B&lt;=H14) * (C:C&gt;=H14) * ROW(A:A)))</f>
        <v>#REF!</v>
      </c>
      <c r="J14" s="260"/>
      <c r="K14" s="263" t="str">
        <f>IFERROR(CHOOSE(MATCH(J14, {"SCORPIO";"CAPRICORN";"TAURUS";"CANCER"}, 0), "FALL","DETRIMENT", "EXALTED", "DIGNITY"), "PEREGRINE")</f>
        <v>PEREGRINE</v>
      </c>
      <c r="L14" s="260"/>
      <c r="M14" s="272"/>
      <c r="N14" s="74"/>
    </row>
    <row r="15" spans="5:19" ht="18.5" x14ac:dyDescent="0.45">
      <c r="E15" s="260"/>
      <c r="F15" s="261"/>
      <c r="G15" s="260"/>
      <c r="H15" s="262"/>
      <c r="I15" s="263" t="e" cm="1">
        <f t="array" ref="I15">INDEX(D:D, SUMPRODUCT((A:A=G15) * (B:B&lt;=H15) * (C:C&gt;=H15) * ROW(A:A)))</f>
        <v>#REF!</v>
      </c>
      <c r="J15" s="260"/>
      <c r="K15" s="263" t="str">
        <f>IFERROR(CHOOSE(MATCH(J15, {"SCORPIO";"CAPRICORN";"TAURUS";"CANCER"}, 0), "FALL","DETRIMENT", "EXALTED", "DIGNITY"), "PEREGRINE")</f>
        <v>PEREGRINE</v>
      </c>
      <c r="L15" s="260"/>
      <c r="M15" s="272"/>
      <c r="N15" s="74"/>
    </row>
    <row r="16" spans="5:19" ht="18.5" x14ac:dyDescent="0.45">
      <c r="E16" s="260"/>
      <c r="F16" s="261"/>
      <c r="G16" s="260"/>
      <c r="H16" s="262"/>
      <c r="I16" s="263" t="e" cm="1">
        <f t="array" ref="I16">INDEX(D:D, SUMPRODUCT((A:A=G16) * (B:B&lt;=H16) * (C:C&gt;=H16) * ROW(A:A)))</f>
        <v>#REF!</v>
      </c>
      <c r="J16" s="260"/>
      <c r="K16" s="263" t="str">
        <f>IFERROR(CHOOSE(MATCH(J16, {"SCORPIO";"CAPRICORN";"TAURUS";"CANCER"}, 0), "FALL","DETRIMENT", "EXALTED", "DIGNITY"), "PEREGRINE")</f>
        <v>PEREGRINE</v>
      </c>
      <c r="L16" s="260"/>
      <c r="M16" s="272"/>
      <c r="N16" s="260"/>
    </row>
    <row r="18" spans="1:19" x14ac:dyDescent="0.35">
      <c r="A18" s="71" t="s">
        <v>129</v>
      </c>
      <c r="B18" s="71" t="s">
        <v>130</v>
      </c>
      <c r="C18" s="71" t="s">
        <v>131</v>
      </c>
      <c r="D18" s="71" t="s">
        <v>132</v>
      </c>
    </row>
    <row r="19" spans="1:19" x14ac:dyDescent="0.35">
      <c r="A19" s="71" t="s">
        <v>31</v>
      </c>
      <c r="B19" s="76">
        <v>0</v>
      </c>
      <c r="C19" s="76">
        <v>1.736111111111111E-3</v>
      </c>
      <c r="D19" s="71" t="s">
        <v>31</v>
      </c>
      <c r="S19" s="390"/>
    </row>
    <row r="20" spans="1:19" x14ac:dyDescent="0.35">
      <c r="A20" s="71" t="s">
        <v>31</v>
      </c>
      <c r="B20" s="76">
        <v>1.7476851851851852E-3</v>
      </c>
      <c r="C20" s="76">
        <v>3.472222222222222E-3</v>
      </c>
      <c r="D20" s="71" t="s">
        <v>122</v>
      </c>
      <c r="S20" s="390"/>
    </row>
    <row r="21" spans="1:19" x14ac:dyDescent="0.35">
      <c r="A21" s="71" t="s">
        <v>31</v>
      </c>
      <c r="B21" s="76">
        <v>3.4837962962962965E-3</v>
      </c>
      <c r="C21" s="76">
        <v>5.208333333333333E-3</v>
      </c>
      <c r="D21" s="71" t="s">
        <v>103</v>
      </c>
      <c r="S21" s="390"/>
    </row>
    <row r="22" spans="1:19" x14ac:dyDescent="0.35">
      <c r="A22" s="71" t="s">
        <v>31</v>
      </c>
      <c r="B22" s="76">
        <v>5.2199074074074075E-3</v>
      </c>
      <c r="C22" s="76">
        <v>6.9444444444444449E-3</v>
      </c>
      <c r="D22" s="71" t="s">
        <v>67</v>
      </c>
      <c r="S22" s="390"/>
    </row>
    <row r="23" spans="1:19" x14ac:dyDescent="0.35">
      <c r="A23" s="71" t="s">
        <v>31</v>
      </c>
      <c r="B23" s="76">
        <v>6.9560185185185185E-3</v>
      </c>
      <c r="C23" s="76">
        <v>8.6805555555555559E-3</v>
      </c>
      <c r="D23" s="71" t="s">
        <v>69</v>
      </c>
      <c r="S23" s="390"/>
    </row>
    <row r="24" spans="1:19" x14ac:dyDescent="0.35">
      <c r="A24" s="71" t="s">
        <v>31</v>
      </c>
      <c r="B24" s="76">
        <v>8.6921296296296295E-3</v>
      </c>
      <c r="C24" s="76">
        <v>1.0416666666666666E-2</v>
      </c>
      <c r="D24" s="71" t="s">
        <v>77</v>
      </c>
      <c r="S24" s="390"/>
    </row>
    <row r="25" spans="1:19" x14ac:dyDescent="0.35">
      <c r="A25" s="71" t="s">
        <v>31</v>
      </c>
      <c r="B25" s="76">
        <v>1.0428240740740741E-2</v>
      </c>
      <c r="C25" s="76">
        <v>1.2152777777777776E-2</v>
      </c>
      <c r="D25" s="71" t="s">
        <v>84</v>
      </c>
      <c r="S25" s="390"/>
    </row>
    <row r="26" spans="1:19" x14ac:dyDescent="0.35">
      <c r="A26" s="71" t="s">
        <v>31</v>
      </c>
      <c r="B26" s="76">
        <v>1.2164351851851852E-2</v>
      </c>
      <c r="C26" s="76">
        <v>1.3888888888888886E-2</v>
      </c>
      <c r="D26" s="71" t="s">
        <v>123</v>
      </c>
      <c r="S26" s="390"/>
    </row>
    <row r="27" spans="1:19" x14ac:dyDescent="0.35">
      <c r="A27" s="71" t="s">
        <v>31</v>
      </c>
      <c r="B27" s="76">
        <v>1.3900462962962963E-2</v>
      </c>
      <c r="C27" s="76">
        <v>1.5624999999999997E-2</v>
      </c>
      <c r="D27" s="71" t="s">
        <v>82</v>
      </c>
      <c r="S27" s="390"/>
    </row>
    <row r="28" spans="1:19" x14ac:dyDescent="0.35">
      <c r="A28" s="71" t="s">
        <v>31</v>
      </c>
      <c r="B28" s="76">
        <v>1.5636574074074074E-2</v>
      </c>
      <c r="C28" s="76">
        <v>1.7361111111111108E-2</v>
      </c>
      <c r="D28" s="71" t="s">
        <v>143</v>
      </c>
      <c r="S28" s="390"/>
    </row>
    <row r="29" spans="1:19" x14ac:dyDescent="0.35">
      <c r="A29" s="71" t="s">
        <v>31</v>
      </c>
      <c r="B29" s="76">
        <v>1.7372685185185185E-2</v>
      </c>
      <c r="C29" s="76">
        <v>1.909722222222222E-2</v>
      </c>
      <c r="D29" s="71" t="s">
        <v>79</v>
      </c>
      <c r="S29" s="390"/>
    </row>
    <row r="30" spans="1:19" x14ac:dyDescent="0.35">
      <c r="A30" s="71" t="s">
        <v>31</v>
      </c>
      <c r="B30" s="76">
        <v>1.9108796296296297E-2</v>
      </c>
      <c r="C30" s="76">
        <v>2.0833333333333332E-2</v>
      </c>
      <c r="D30" s="71" t="s">
        <v>125</v>
      </c>
      <c r="S30" s="390"/>
    </row>
    <row r="31" spans="1:19" x14ac:dyDescent="0.35">
      <c r="A31" s="71" t="s">
        <v>122</v>
      </c>
      <c r="B31" s="76">
        <v>0</v>
      </c>
      <c r="C31" s="76">
        <v>1.736111111111111E-3</v>
      </c>
      <c r="D31" s="71" t="s">
        <v>122</v>
      </c>
      <c r="S31" s="390"/>
    </row>
    <row r="32" spans="1:19" x14ac:dyDescent="0.35">
      <c r="A32" s="71" t="s">
        <v>122</v>
      </c>
      <c r="B32" s="76">
        <v>1.7476851851851852E-3</v>
      </c>
      <c r="C32" s="76">
        <v>3.472222222222222E-3</v>
      </c>
      <c r="D32" s="71" t="s">
        <v>103</v>
      </c>
    </row>
    <row r="33" spans="1:4" x14ac:dyDescent="0.35">
      <c r="A33" s="71" t="s">
        <v>122</v>
      </c>
      <c r="B33" s="76">
        <v>3.4837962962962965E-3</v>
      </c>
      <c r="C33" s="76">
        <v>5.208333333333333E-3</v>
      </c>
      <c r="D33" s="71" t="s">
        <v>67</v>
      </c>
    </row>
    <row r="34" spans="1:4" x14ac:dyDescent="0.35">
      <c r="A34" s="71" t="s">
        <v>122</v>
      </c>
      <c r="B34" s="76">
        <v>5.2199074074074075E-3</v>
      </c>
      <c r="C34" s="76">
        <v>6.9444444444444449E-3</v>
      </c>
      <c r="D34" s="71" t="s">
        <v>69</v>
      </c>
    </row>
    <row r="35" spans="1:4" x14ac:dyDescent="0.35">
      <c r="A35" s="71" t="s">
        <v>122</v>
      </c>
      <c r="B35" s="76">
        <v>6.9560185185185185E-3</v>
      </c>
      <c r="C35" s="76">
        <v>8.6805555555555559E-3</v>
      </c>
      <c r="D35" s="71" t="s">
        <v>77</v>
      </c>
    </row>
    <row r="36" spans="1:4" x14ac:dyDescent="0.35">
      <c r="A36" s="71" t="s">
        <v>122</v>
      </c>
      <c r="B36" s="76">
        <v>8.6921296296296295E-3</v>
      </c>
      <c r="C36" s="76">
        <v>1.0416666666666666E-2</v>
      </c>
      <c r="D36" s="71" t="s">
        <v>84</v>
      </c>
    </row>
    <row r="37" spans="1:4" x14ac:dyDescent="0.35">
      <c r="A37" s="71" t="s">
        <v>122</v>
      </c>
      <c r="B37" s="76">
        <v>1.0428240740740741E-2</v>
      </c>
      <c r="C37" s="76">
        <v>1.2152777777777776E-2</v>
      </c>
      <c r="D37" s="71" t="s">
        <v>123</v>
      </c>
    </row>
    <row r="38" spans="1:4" x14ac:dyDescent="0.35">
      <c r="A38" s="71" t="s">
        <v>122</v>
      </c>
      <c r="B38" s="76">
        <v>1.2164351851851852E-2</v>
      </c>
      <c r="C38" s="76">
        <v>1.3888888888888886E-2</v>
      </c>
      <c r="D38" s="71" t="s">
        <v>82</v>
      </c>
    </row>
    <row r="39" spans="1:4" x14ac:dyDescent="0.35">
      <c r="A39" s="71" t="s">
        <v>122</v>
      </c>
      <c r="B39" s="76">
        <v>1.3900462962962963E-2</v>
      </c>
      <c r="C39" s="76">
        <v>1.5624999999999997E-2</v>
      </c>
      <c r="D39" s="71" t="s">
        <v>143</v>
      </c>
    </row>
    <row r="40" spans="1:4" x14ac:dyDescent="0.35">
      <c r="A40" s="71" t="s">
        <v>122</v>
      </c>
      <c r="B40" s="76">
        <v>1.5636574074074074E-2</v>
      </c>
      <c r="C40" s="76">
        <v>1.7361111111111108E-2</v>
      </c>
      <c r="D40" s="71" t="s">
        <v>79</v>
      </c>
    </row>
    <row r="41" spans="1:4" x14ac:dyDescent="0.35">
      <c r="A41" s="71" t="s">
        <v>122</v>
      </c>
      <c r="B41" s="76">
        <v>1.7372685185185185E-2</v>
      </c>
      <c r="C41" s="76">
        <v>1.909722222222222E-2</v>
      </c>
      <c r="D41" s="71" t="s">
        <v>125</v>
      </c>
    </row>
    <row r="42" spans="1:4" x14ac:dyDescent="0.35">
      <c r="A42" s="71" t="s">
        <v>122</v>
      </c>
      <c r="B42" s="76">
        <v>1.9108796296296297E-2</v>
      </c>
      <c r="C42" s="76">
        <v>2.0833333333333332E-2</v>
      </c>
      <c r="D42" s="71" t="s">
        <v>31</v>
      </c>
    </row>
    <row r="43" spans="1:4" x14ac:dyDescent="0.35">
      <c r="A43" s="71" t="s">
        <v>103</v>
      </c>
      <c r="B43" s="76">
        <v>0</v>
      </c>
      <c r="C43" s="76">
        <v>1.736111111111111E-3</v>
      </c>
      <c r="D43" s="71" t="s">
        <v>103</v>
      </c>
    </row>
    <row r="44" spans="1:4" x14ac:dyDescent="0.35">
      <c r="A44" s="71" t="s">
        <v>103</v>
      </c>
      <c r="B44" s="76">
        <v>1.7476851851851852E-3</v>
      </c>
      <c r="C44" s="76">
        <v>3.472222222222222E-3</v>
      </c>
      <c r="D44" s="71" t="s">
        <v>67</v>
      </c>
    </row>
    <row r="45" spans="1:4" x14ac:dyDescent="0.35">
      <c r="A45" s="71" t="s">
        <v>103</v>
      </c>
      <c r="B45" s="76">
        <v>3.4837962962962965E-3</v>
      </c>
      <c r="C45" s="76">
        <v>5.208333333333333E-3</v>
      </c>
      <c r="D45" s="71" t="s">
        <v>69</v>
      </c>
    </row>
    <row r="46" spans="1:4" x14ac:dyDescent="0.35">
      <c r="A46" s="71" t="s">
        <v>103</v>
      </c>
      <c r="B46" s="76">
        <v>5.2199074074074075E-3</v>
      </c>
      <c r="C46" s="76">
        <v>6.9444444444444449E-3</v>
      </c>
      <c r="D46" s="71" t="s">
        <v>77</v>
      </c>
    </row>
    <row r="47" spans="1:4" x14ac:dyDescent="0.35">
      <c r="A47" s="71" t="s">
        <v>103</v>
      </c>
      <c r="B47" s="76">
        <v>6.9560185185185185E-3</v>
      </c>
      <c r="C47" s="76">
        <v>8.6805555555555559E-3</v>
      </c>
      <c r="D47" s="71" t="s">
        <v>84</v>
      </c>
    </row>
    <row r="48" spans="1:4" x14ac:dyDescent="0.35">
      <c r="A48" s="71" t="s">
        <v>103</v>
      </c>
      <c r="B48" s="76">
        <v>8.6921296296296295E-3</v>
      </c>
      <c r="C48" s="76">
        <v>1.0416666666666666E-2</v>
      </c>
      <c r="D48" s="71" t="s">
        <v>123</v>
      </c>
    </row>
    <row r="49" spans="1:4" x14ac:dyDescent="0.35">
      <c r="A49" s="71" t="s">
        <v>103</v>
      </c>
      <c r="B49" s="76">
        <v>1.0428240740740741E-2</v>
      </c>
      <c r="C49" s="76">
        <v>1.2152777777777776E-2</v>
      </c>
      <c r="D49" s="71" t="s">
        <v>82</v>
      </c>
    </row>
    <row r="50" spans="1:4" x14ac:dyDescent="0.35">
      <c r="A50" s="71" t="s">
        <v>103</v>
      </c>
      <c r="B50" s="76">
        <v>1.2164351851851852E-2</v>
      </c>
      <c r="C50" s="76">
        <v>1.3888888888888886E-2</v>
      </c>
      <c r="D50" s="71" t="s">
        <v>143</v>
      </c>
    </row>
    <row r="51" spans="1:4" x14ac:dyDescent="0.35">
      <c r="A51" s="71" t="s">
        <v>103</v>
      </c>
      <c r="B51" s="76">
        <v>1.3900462962962963E-2</v>
      </c>
      <c r="C51" s="76">
        <v>1.5624999999999997E-2</v>
      </c>
      <c r="D51" s="71" t="s">
        <v>79</v>
      </c>
    </row>
    <row r="52" spans="1:4" x14ac:dyDescent="0.35">
      <c r="A52" s="71" t="s">
        <v>103</v>
      </c>
      <c r="B52" s="76">
        <v>1.5636574074074074E-2</v>
      </c>
      <c r="C52" s="76">
        <v>1.7361111111111108E-2</v>
      </c>
      <c r="D52" s="71" t="s">
        <v>125</v>
      </c>
    </row>
    <row r="53" spans="1:4" x14ac:dyDescent="0.35">
      <c r="A53" s="71" t="s">
        <v>103</v>
      </c>
      <c r="B53" s="76">
        <v>1.7372685185185185E-2</v>
      </c>
      <c r="C53" s="76">
        <v>1.909722222222222E-2</v>
      </c>
      <c r="D53" s="71" t="s">
        <v>31</v>
      </c>
    </row>
    <row r="54" spans="1:4" x14ac:dyDescent="0.35">
      <c r="A54" s="71" t="s">
        <v>103</v>
      </c>
      <c r="B54" s="76">
        <v>1.9108796296296297E-2</v>
      </c>
      <c r="C54" s="76">
        <v>2.0833333333333332E-2</v>
      </c>
      <c r="D54" s="71" t="s">
        <v>122</v>
      </c>
    </row>
    <row r="55" spans="1:4" x14ac:dyDescent="0.35">
      <c r="A55" s="71" t="s">
        <v>67</v>
      </c>
      <c r="B55" s="76">
        <v>0</v>
      </c>
      <c r="C55" s="76">
        <v>1.736111111111111E-3</v>
      </c>
      <c r="D55" s="71" t="s">
        <v>67</v>
      </c>
    </row>
    <row r="56" spans="1:4" x14ac:dyDescent="0.35">
      <c r="A56" s="71" t="s">
        <v>67</v>
      </c>
      <c r="B56" s="76">
        <v>1.7476851851851852E-3</v>
      </c>
      <c r="C56" s="76">
        <v>3.472222222222222E-3</v>
      </c>
      <c r="D56" s="71" t="s">
        <v>69</v>
      </c>
    </row>
    <row r="57" spans="1:4" x14ac:dyDescent="0.35">
      <c r="A57" s="71" t="s">
        <v>67</v>
      </c>
      <c r="B57" s="76">
        <v>3.4837962962962965E-3</v>
      </c>
      <c r="C57" s="76">
        <v>5.208333333333333E-3</v>
      </c>
      <c r="D57" s="71" t="s">
        <v>77</v>
      </c>
    </row>
    <row r="58" spans="1:4" x14ac:dyDescent="0.35">
      <c r="A58" s="71" t="s">
        <v>67</v>
      </c>
      <c r="B58" s="76">
        <v>5.2199074074074075E-3</v>
      </c>
      <c r="C58" s="76">
        <v>6.9444444444444449E-3</v>
      </c>
      <c r="D58" s="71" t="s">
        <v>84</v>
      </c>
    </row>
    <row r="59" spans="1:4" x14ac:dyDescent="0.35">
      <c r="A59" s="71" t="s">
        <v>67</v>
      </c>
      <c r="B59" s="76">
        <v>6.9560185185185185E-3</v>
      </c>
      <c r="C59" s="76">
        <v>8.6805555555555559E-3</v>
      </c>
      <c r="D59" s="71" t="s">
        <v>123</v>
      </c>
    </row>
    <row r="60" spans="1:4" x14ac:dyDescent="0.35">
      <c r="A60" s="71" t="s">
        <v>67</v>
      </c>
      <c r="B60" s="76">
        <v>8.6921296296296295E-3</v>
      </c>
      <c r="C60" s="76">
        <v>1.0416666666666666E-2</v>
      </c>
      <c r="D60" s="71" t="s">
        <v>82</v>
      </c>
    </row>
    <row r="61" spans="1:4" x14ac:dyDescent="0.35">
      <c r="A61" s="71" t="s">
        <v>67</v>
      </c>
      <c r="B61" s="76">
        <v>1.0428240740740741E-2</v>
      </c>
      <c r="C61" s="76">
        <v>1.2152777777777776E-2</v>
      </c>
      <c r="D61" s="71" t="s">
        <v>143</v>
      </c>
    </row>
    <row r="62" spans="1:4" x14ac:dyDescent="0.35">
      <c r="A62" s="71" t="s">
        <v>67</v>
      </c>
      <c r="B62" s="76">
        <v>1.2164351851851852E-2</v>
      </c>
      <c r="C62" s="76">
        <v>1.3888888888888886E-2</v>
      </c>
      <c r="D62" s="71" t="s">
        <v>79</v>
      </c>
    </row>
    <row r="63" spans="1:4" x14ac:dyDescent="0.35">
      <c r="A63" s="71" t="s">
        <v>67</v>
      </c>
      <c r="B63" s="76">
        <v>1.3900462962962963E-2</v>
      </c>
      <c r="C63" s="76">
        <v>1.5624999999999997E-2</v>
      </c>
      <c r="D63" s="71" t="s">
        <v>125</v>
      </c>
    </row>
    <row r="64" spans="1:4" x14ac:dyDescent="0.35">
      <c r="A64" s="71" t="s">
        <v>67</v>
      </c>
      <c r="B64" s="76">
        <v>1.5636574074074074E-2</v>
      </c>
      <c r="C64" s="76">
        <v>1.7361111111111108E-2</v>
      </c>
      <c r="D64" s="71" t="s">
        <v>31</v>
      </c>
    </row>
    <row r="65" spans="1:4" x14ac:dyDescent="0.35">
      <c r="A65" s="71" t="s">
        <v>67</v>
      </c>
      <c r="B65" s="76">
        <v>1.7372685185185185E-2</v>
      </c>
      <c r="C65" s="76">
        <v>1.909722222222222E-2</v>
      </c>
      <c r="D65" s="71" t="s">
        <v>122</v>
      </c>
    </row>
    <row r="66" spans="1:4" x14ac:dyDescent="0.35">
      <c r="A66" s="71" t="s">
        <v>67</v>
      </c>
      <c r="B66" s="76">
        <v>1.9108796296296297E-2</v>
      </c>
      <c r="C66" s="76">
        <v>2.0833333333333332E-2</v>
      </c>
      <c r="D66" s="71" t="s">
        <v>103</v>
      </c>
    </row>
    <row r="67" spans="1:4" x14ac:dyDescent="0.35">
      <c r="A67" s="71" t="s">
        <v>69</v>
      </c>
      <c r="B67" s="76">
        <v>0</v>
      </c>
      <c r="C67" s="76">
        <v>1.736111111111111E-3</v>
      </c>
      <c r="D67" s="71" t="s">
        <v>69</v>
      </c>
    </row>
    <row r="68" spans="1:4" x14ac:dyDescent="0.35">
      <c r="A68" s="71" t="s">
        <v>69</v>
      </c>
      <c r="B68" s="76">
        <v>1.7476851851851852E-3</v>
      </c>
      <c r="C68" s="76">
        <v>3.472222222222222E-3</v>
      </c>
      <c r="D68" s="71" t="s">
        <v>77</v>
      </c>
    </row>
    <row r="69" spans="1:4" x14ac:dyDescent="0.35">
      <c r="A69" s="71" t="s">
        <v>69</v>
      </c>
      <c r="B69" s="76">
        <v>3.4837962962962965E-3</v>
      </c>
      <c r="C69" s="76">
        <v>5.208333333333333E-3</v>
      </c>
      <c r="D69" s="71" t="s">
        <v>84</v>
      </c>
    </row>
    <row r="70" spans="1:4" x14ac:dyDescent="0.35">
      <c r="A70" s="71" t="s">
        <v>69</v>
      </c>
      <c r="B70" s="76">
        <v>5.2199074074074075E-3</v>
      </c>
      <c r="C70" s="76">
        <v>6.9444444444444449E-3</v>
      </c>
      <c r="D70" s="71" t="s">
        <v>123</v>
      </c>
    </row>
    <row r="71" spans="1:4" x14ac:dyDescent="0.35">
      <c r="A71" s="71" t="s">
        <v>69</v>
      </c>
      <c r="B71" s="76">
        <v>6.9560185185185185E-3</v>
      </c>
      <c r="C71" s="76">
        <v>8.6805555555555559E-3</v>
      </c>
      <c r="D71" s="71" t="s">
        <v>82</v>
      </c>
    </row>
    <row r="72" spans="1:4" x14ac:dyDescent="0.35">
      <c r="A72" s="71" t="s">
        <v>69</v>
      </c>
      <c r="B72" s="76">
        <v>8.6921296296296295E-3</v>
      </c>
      <c r="C72" s="76">
        <v>1.0416666666666666E-2</v>
      </c>
      <c r="D72" s="71" t="s">
        <v>143</v>
      </c>
    </row>
    <row r="73" spans="1:4" x14ac:dyDescent="0.35">
      <c r="A73" s="71" t="s">
        <v>69</v>
      </c>
      <c r="B73" s="76">
        <v>1.0428240740740741E-2</v>
      </c>
      <c r="C73" s="76">
        <v>1.2152777777777776E-2</v>
      </c>
      <c r="D73" s="71" t="s">
        <v>79</v>
      </c>
    </row>
    <row r="74" spans="1:4" x14ac:dyDescent="0.35">
      <c r="A74" s="71" t="s">
        <v>69</v>
      </c>
      <c r="B74" s="76">
        <v>1.2164351851851852E-2</v>
      </c>
      <c r="C74" s="76">
        <v>1.3888888888888886E-2</v>
      </c>
      <c r="D74" s="71" t="s">
        <v>125</v>
      </c>
    </row>
    <row r="75" spans="1:4" x14ac:dyDescent="0.35">
      <c r="A75" s="71" t="s">
        <v>69</v>
      </c>
      <c r="B75" s="76">
        <v>1.3900462962962963E-2</v>
      </c>
      <c r="C75" s="76">
        <v>1.5624999999999997E-2</v>
      </c>
      <c r="D75" s="71" t="s">
        <v>31</v>
      </c>
    </row>
    <row r="76" spans="1:4" x14ac:dyDescent="0.35">
      <c r="A76" s="71" t="s">
        <v>69</v>
      </c>
      <c r="B76" s="76">
        <v>1.5636574074074074E-2</v>
      </c>
      <c r="C76" s="76">
        <v>1.7361111111111108E-2</v>
      </c>
      <c r="D76" s="71" t="s">
        <v>122</v>
      </c>
    </row>
    <row r="77" spans="1:4" x14ac:dyDescent="0.35">
      <c r="A77" s="71" t="s">
        <v>69</v>
      </c>
      <c r="B77" s="76">
        <v>1.7372685185185185E-2</v>
      </c>
      <c r="C77" s="76">
        <v>1.909722222222222E-2</v>
      </c>
      <c r="D77" s="71" t="s">
        <v>103</v>
      </c>
    </row>
    <row r="78" spans="1:4" x14ac:dyDescent="0.35">
      <c r="A78" s="71" t="s">
        <v>69</v>
      </c>
      <c r="B78" s="76">
        <v>1.9108796296296297E-2</v>
      </c>
      <c r="C78" s="76">
        <v>2.0833333333333332E-2</v>
      </c>
      <c r="D78" s="71" t="s">
        <v>67</v>
      </c>
    </row>
    <row r="79" spans="1:4" x14ac:dyDescent="0.35">
      <c r="A79" s="71" t="s">
        <v>77</v>
      </c>
      <c r="B79" s="76">
        <v>0</v>
      </c>
      <c r="C79" s="76">
        <v>1.736111111111111E-3</v>
      </c>
      <c r="D79" s="71" t="s">
        <v>77</v>
      </c>
    </row>
    <row r="80" spans="1:4" x14ac:dyDescent="0.35">
      <c r="A80" s="71" t="s">
        <v>77</v>
      </c>
      <c r="B80" s="76">
        <v>1.7476851851851852E-3</v>
      </c>
      <c r="C80" s="76">
        <v>3.472222222222222E-3</v>
      </c>
      <c r="D80" s="71" t="s">
        <v>84</v>
      </c>
    </row>
    <row r="81" spans="1:4" x14ac:dyDescent="0.35">
      <c r="A81" s="71" t="s">
        <v>77</v>
      </c>
      <c r="B81" s="76">
        <v>3.4837962962962965E-3</v>
      </c>
      <c r="C81" s="76">
        <v>5.208333333333333E-3</v>
      </c>
      <c r="D81" s="71" t="s">
        <v>123</v>
      </c>
    </row>
    <row r="82" spans="1:4" x14ac:dyDescent="0.35">
      <c r="A82" s="71" t="s">
        <v>77</v>
      </c>
      <c r="B82" s="76">
        <v>5.2199074074074075E-3</v>
      </c>
      <c r="C82" s="76">
        <v>6.9444444444444449E-3</v>
      </c>
      <c r="D82" s="71" t="s">
        <v>82</v>
      </c>
    </row>
    <row r="83" spans="1:4" x14ac:dyDescent="0.35">
      <c r="A83" s="71" t="s">
        <v>77</v>
      </c>
      <c r="B83" s="76">
        <v>6.9560185185185185E-3</v>
      </c>
      <c r="C83" s="76">
        <v>8.6805555555555559E-3</v>
      </c>
      <c r="D83" s="71" t="s">
        <v>143</v>
      </c>
    </row>
    <row r="84" spans="1:4" x14ac:dyDescent="0.35">
      <c r="A84" s="71" t="s">
        <v>77</v>
      </c>
      <c r="B84" s="76">
        <v>8.6921296296296295E-3</v>
      </c>
      <c r="C84" s="76">
        <v>1.0416666666666666E-2</v>
      </c>
      <c r="D84" s="71" t="s">
        <v>79</v>
      </c>
    </row>
    <row r="85" spans="1:4" x14ac:dyDescent="0.35">
      <c r="A85" s="71" t="s">
        <v>77</v>
      </c>
      <c r="B85" s="76">
        <v>1.0428240740740741E-2</v>
      </c>
      <c r="C85" s="76">
        <v>1.2152777777777776E-2</v>
      </c>
      <c r="D85" s="71" t="s">
        <v>125</v>
      </c>
    </row>
    <row r="86" spans="1:4" x14ac:dyDescent="0.35">
      <c r="A86" s="71" t="s">
        <v>77</v>
      </c>
      <c r="B86" s="76">
        <v>1.2164351851851852E-2</v>
      </c>
      <c r="C86" s="76">
        <v>1.3888888888888886E-2</v>
      </c>
      <c r="D86" s="71" t="s">
        <v>31</v>
      </c>
    </row>
    <row r="87" spans="1:4" x14ac:dyDescent="0.35">
      <c r="A87" s="71" t="s">
        <v>77</v>
      </c>
      <c r="B87" s="76">
        <v>1.3900462962962963E-2</v>
      </c>
      <c r="C87" s="76">
        <v>1.5624999999999997E-2</v>
      </c>
      <c r="D87" s="71" t="s">
        <v>122</v>
      </c>
    </row>
    <row r="88" spans="1:4" x14ac:dyDescent="0.35">
      <c r="A88" s="71" t="s">
        <v>77</v>
      </c>
      <c r="B88" s="76">
        <v>1.5636574074074074E-2</v>
      </c>
      <c r="C88" s="76">
        <v>1.7361111111111108E-2</v>
      </c>
      <c r="D88" s="71" t="s">
        <v>103</v>
      </c>
    </row>
    <row r="89" spans="1:4" x14ac:dyDescent="0.35">
      <c r="A89" s="71" t="s">
        <v>77</v>
      </c>
      <c r="B89" s="76">
        <v>1.7372685185185185E-2</v>
      </c>
      <c r="C89" s="76">
        <v>1.909722222222222E-2</v>
      </c>
      <c r="D89" s="71" t="s">
        <v>67</v>
      </c>
    </row>
    <row r="90" spans="1:4" x14ac:dyDescent="0.35">
      <c r="A90" s="71" t="s">
        <v>77</v>
      </c>
      <c r="B90" s="76">
        <v>1.9108796296296297E-2</v>
      </c>
      <c r="C90" s="76">
        <v>2.0833333333333332E-2</v>
      </c>
      <c r="D90" s="71" t="s">
        <v>69</v>
      </c>
    </row>
    <row r="91" spans="1:4" x14ac:dyDescent="0.35">
      <c r="A91" s="71" t="s">
        <v>84</v>
      </c>
      <c r="B91" s="76">
        <v>0</v>
      </c>
      <c r="C91" s="76">
        <v>1.736111111111111E-3</v>
      </c>
      <c r="D91" s="71" t="s">
        <v>84</v>
      </c>
    </row>
    <row r="92" spans="1:4" x14ac:dyDescent="0.35">
      <c r="A92" s="71" t="s">
        <v>84</v>
      </c>
      <c r="B92" s="76">
        <v>1.7476851851851852E-3</v>
      </c>
      <c r="C92" s="76">
        <v>3.472222222222222E-3</v>
      </c>
      <c r="D92" s="71" t="s">
        <v>123</v>
      </c>
    </row>
    <row r="93" spans="1:4" x14ac:dyDescent="0.35">
      <c r="A93" s="71" t="s">
        <v>84</v>
      </c>
      <c r="B93" s="76">
        <v>3.4837962962962965E-3</v>
      </c>
      <c r="C93" s="76">
        <v>5.208333333333333E-3</v>
      </c>
      <c r="D93" s="71" t="s">
        <v>82</v>
      </c>
    </row>
    <row r="94" spans="1:4" x14ac:dyDescent="0.35">
      <c r="A94" s="71" t="s">
        <v>84</v>
      </c>
      <c r="B94" s="76">
        <v>5.2199074074074075E-3</v>
      </c>
      <c r="C94" s="76">
        <v>6.9444444444444449E-3</v>
      </c>
      <c r="D94" s="71" t="s">
        <v>143</v>
      </c>
    </row>
    <row r="95" spans="1:4" x14ac:dyDescent="0.35">
      <c r="A95" s="71" t="s">
        <v>84</v>
      </c>
      <c r="B95" s="76">
        <v>6.9560185185185185E-3</v>
      </c>
      <c r="C95" s="76">
        <v>8.6805555555555559E-3</v>
      </c>
      <c r="D95" s="71" t="s">
        <v>79</v>
      </c>
    </row>
    <row r="96" spans="1:4" x14ac:dyDescent="0.35">
      <c r="A96" s="71" t="s">
        <v>84</v>
      </c>
      <c r="B96" s="76">
        <v>8.6921296296296295E-3</v>
      </c>
      <c r="C96" s="76">
        <v>1.0416666666666666E-2</v>
      </c>
      <c r="D96" s="71" t="s">
        <v>125</v>
      </c>
    </row>
    <row r="97" spans="1:4" x14ac:dyDescent="0.35">
      <c r="A97" s="71" t="s">
        <v>84</v>
      </c>
      <c r="B97" s="76">
        <v>1.0428240740740741E-2</v>
      </c>
      <c r="C97" s="76">
        <v>1.2152777777777776E-2</v>
      </c>
      <c r="D97" s="71" t="s">
        <v>31</v>
      </c>
    </row>
    <row r="98" spans="1:4" x14ac:dyDescent="0.35">
      <c r="A98" s="71" t="s">
        <v>84</v>
      </c>
      <c r="B98" s="76">
        <v>1.2164351851851852E-2</v>
      </c>
      <c r="C98" s="76">
        <v>1.3888888888888886E-2</v>
      </c>
      <c r="D98" s="71" t="s">
        <v>122</v>
      </c>
    </row>
    <row r="99" spans="1:4" x14ac:dyDescent="0.35">
      <c r="A99" s="71" t="s">
        <v>84</v>
      </c>
      <c r="B99" s="76">
        <v>1.3900462962962963E-2</v>
      </c>
      <c r="C99" s="76">
        <v>1.5624999999999997E-2</v>
      </c>
      <c r="D99" s="71" t="s">
        <v>103</v>
      </c>
    </row>
    <row r="100" spans="1:4" x14ac:dyDescent="0.35">
      <c r="A100" s="71" t="s">
        <v>84</v>
      </c>
      <c r="B100" s="76">
        <v>1.5636574074074074E-2</v>
      </c>
      <c r="C100" s="76">
        <v>1.7361111111111108E-2</v>
      </c>
      <c r="D100" s="71" t="s">
        <v>67</v>
      </c>
    </row>
    <row r="101" spans="1:4" x14ac:dyDescent="0.35">
      <c r="A101" s="71" t="s">
        <v>84</v>
      </c>
      <c r="B101" s="76">
        <v>1.7372685185185185E-2</v>
      </c>
      <c r="C101" s="76">
        <v>1.909722222222222E-2</v>
      </c>
      <c r="D101" s="71" t="s">
        <v>69</v>
      </c>
    </row>
    <row r="102" spans="1:4" x14ac:dyDescent="0.35">
      <c r="A102" s="71" t="s">
        <v>84</v>
      </c>
      <c r="B102" s="76">
        <v>1.9108796296296297E-2</v>
      </c>
      <c r="C102" s="76">
        <v>2.0833333333333332E-2</v>
      </c>
      <c r="D102" s="71" t="s">
        <v>77</v>
      </c>
    </row>
    <row r="103" spans="1:4" x14ac:dyDescent="0.35">
      <c r="A103" s="71" t="s">
        <v>123</v>
      </c>
      <c r="B103" s="76">
        <v>0</v>
      </c>
      <c r="C103" s="76">
        <v>1.736111111111111E-3</v>
      </c>
      <c r="D103" s="71" t="s">
        <v>123</v>
      </c>
    </row>
    <row r="104" spans="1:4" x14ac:dyDescent="0.35">
      <c r="A104" s="71" t="s">
        <v>123</v>
      </c>
      <c r="B104" s="76">
        <v>1.7476851851851852E-3</v>
      </c>
      <c r="C104" s="76">
        <v>3.472222222222222E-3</v>
      </c>
      <c r="D104" s="71" t="s">
        <v>82</v>
      </c>
    </row>
    <row r="105" spans="1:4" x14ac:dyDescent="0.35">
      <c r="A105" s="71" t="s">
        <v>123</v>
      </c>
      <c r="B105" s="76">
        <v>3.4837962962962965E-3</v>
      </c>
      <c r="C105" s="76">
        <v>5.208333333333333E-3</v>
      </c>
      <c r="D105" s="71" t="s">
        <v>143</v>
      </c>
    </row>
    <row r="106" spans="1:4" x14ac:dyDescent="0.35">
      <c r="A106" s="71" t="s">
        <v>123</v>
      </c>
      <c r="B106" s="76">
        <v>5.2199074074074075E-3</v>
      </c>
      <c r="C106" s="76">
        <v>6.9444444444444449E-3</v>
      </c>
      <c r="D106" s="71" t="s">
        <v>79</v>
      </c>
    </row>
    <row r="107" spans="1:4" x14ac:dyDescent="0.35">
      <c r="A107" s="71" t="s">
        <v>123</v>
      </c>
      <c r="B107" s="76">
        <v>6.9560185185185185E-3</v>
      </c>
      <c r="C107" s="76">
        <v>8.6805555555555559E-3</v>
      </c>
      <c r="D107" s="71" t="s">
        <v>125</v>
      </c>
    </row>
    <row r="108" spans="1:4" x14ac:dyDescent="0.35">
      <c r="A108" s="71" t="s">
        <v>123</v>
      </c>
      <c r="B108" s="76">
        <v>8.6921296296296295E-3</v>
      </c>
      <c r="C108" s="76">
        <v>1.0416666666666666E-2</v>
      </c>
      <c r="D108" s="71" t="s">
        <v>31</v>
      </c>
    </row>
    <row r="109" spans="1:4" x14ac:dyDescent="0.35">
      <c r="A109" s="71" t="s">
        <v>123</v>
      </c>
      <c r="B109" s="76">
        <v>1.0428240740740741E-2</v>
      </c>
      <c r="C109" s="76">
        <v>1.2152777777777776E-2</v>
      </c>
      <c r="D109" s="71" t="s">
        <v>122</v>
      </c>
    </row>
    <row r="110" spans="1:4" x14ac:dyDescent="0.35">
      <c r="A110" s="71" t="s">
        <v>123</v>
      </c>
      <c r="B110" s="76">
        <v>1.2164351851851852E-2</v>
      </c>
      <c r="C110" s="76">
        <v>1.3888888888888886E-2</v>
      </c>
      <c r="D110" s="71" t="s">
        <v>103</v>
      </c>
    </row>
    <row r="111" spans="1:4" x14ac:dyDescent="0.35">
      <c r="A111" s="71" t="s">
        <v>123</v>
      </c>
      <c r="B111" s="76">
        <v>1.3900462962962963E-2</v>
      </c>
      <c r="C111" s="76">
        <v>1.5624999999999997E-2</v>
      </c>
      <c r="D111" s="71" t="s">
        <v>67</v>
      </c>
    </row>
    <row r="112" spans="1:4" x14ac:dyDescent="0.35">
      <c r="A112" s="71" t="s">
        <v>123</v>
      </c>
      <c r="B112" s="76">
        <v>1.5636574074074074E-2</v>
      </c>
      <c r="C112" s="76">
        <v>1.7361111111111108E-2</v>
      </c>
      <c r="D112" s="71" t="s">
        <v>69</v>
      </c>
    </row>
    <row r="113" spans="1:4" x14ac:dyDescent="0.35">
      <c r="A113" s="71" t="s">
        <v>123</v>
      </c>
      <c r="B113" s="76">
        <v>1.7372685185185185E-2</v>
      </c>
      <c r="C113" s="76">
        <v>1.909722222222222E-2</v>
      </c>
      <c r="D113" s="71" t="s">
        <v>77</v>
      </c>
    </row>
    <row r="114" spans="1:4" x14ac:dyDescent="0.35">
      <c r="A114" s="71" t="s">
        <v>123</v>
      </c>
      <c r="B114" s="76">
        <v>1.9108796296296297E-2</v>
      </c>
      <c r="C114" s="76">
        <v>2.0833333333333332E-2</v>
      </c>
      <c r="D114" s="71" t="s">
        <v>84</v>
      </c>
    </row>
    <row r="115" spans="1:4" x14ac:dyDescent="0.35">
      <c r="A115" s="71" t="s">
        <v>82</v>
      </c>
      <c r="B115" s="76">
        <v>0</v>
      </c>
      <c r="C115" s="76">
        <v>1.736111111111111E-3</v>
      </c>
      <c r="D115" s="71" t="s">
        <v>82</v>
      </c>
    </row>
    <row r="116" spans="1:4" x14ac:dyDescent="0.35">
      <c r="A116" s="71" t="s">
        <v>82</v>
      </c>
      <c r="B116" s="76">
        <v>1.7476851851851852E-3</v>
      </c>
      <c r="C116" s="76">
        <v>3.472222222222222E-3</v>
      </c>
      <c r="D116" s="71" t="s">
        <v>143</v>
      </c>
    </row>
    <row r="117" spans="1:4" x14ac:dyDescent="0.35">
      <c r="A117" s="71" t="s">
        <v>82</v>
      </c>
      <c r="B117" s="76">
        <v>3.4837962962962965E-3</v>
      </c>
      <c r="C117" s="76">
        <v>5.208333333333333E-3</v>
      </c>
      <c r="D117" s="71" t="s">
        <v>79</v>
      </c>
    </row>
    <row r="118" spans="1:4" x14ac:dyDescent="0.35">
      <c r="A118" s="71" t="s">
        <v>82</v>
      </c>
      <c r="B118" s="76">
        <v>5.2199074074074075E-3</v>
      </c>
      <c r="C118" s="76">
        <v>6.9444444444444449E-3</v>
      </c>
      <c r="D118" s="71" t="s">
        <v>125</v>
      </c>
    </row>
    <row r="119" spans="1:4" x14ac:dyDescent="0.35">
      <c r="A119" s="71" t="s">
        <v>82</v>
      </c>
      <c r="B119" s="76">
        <v>6.9560185185185185E-3</v>
      </c>
      <c r="C119" s="76">
        <v>8.6805555555555559E-3</v>
      </c>
      <c r="D119" s="71" t="s">
        <v>31</v>
      </c>
    </row>
    <row r="120" spans="1:4" x14ac:dyDescent="0.35">
      <c r="A120" s="71" t="s">
        <v>82</v>
      </c>
      <c r="B120" s="76">
        <v>8.6921296296296295E-3</v>
      </c>
      <c r="C120" s="76">
        <v>1.0416666666666666E-2</v>
      </c>
      <c r="D120" s="71" t="s">
        <v>122</v>
      </c>
    </row>
    <row r="121" spans="1:4" x14ac:dyDescent="0.35">
      <c r="A121" s="71" t="s">
        <v>82</v>
      </c>
      <c r="B121" s="76">
        <v>1.0428240740740741E-2</v>
      </c>
      <c r="C121" s="76">
        <v>1.2152777777777776E-2</v>
      </c>
      <c r="D121" s="71" t="s">
        <v>103</v>
      </c>
    </row>
    <row r="122" spans="1:4" x14ac:dyDescent="0.35">
      <c r="A122" s="71" t="s">
        <v>82</v>
      </c>
      <c r="B122" s="76">
        <v>1.2164351851851852E-2</v>
      </c>
      <c r="C122" s="76">
        <v>1.3888888888888886E-2</v>
      </c>
      <c r="D122" s="71" t="s">
        <v>67</v>
      </c>
    </row>
    <row r="123" spans="1:4" x14ac:dyDescent="0.35">
      <c r="A123" s="71" t="s">
        <v>82</v>
      </c>
      <c r="B123" s="76">
        <v>1.3900462962962963E-2</v>
      </c>
      <c r="C123" s="76">
        <v>1.5624999999999997E-2</v>
      </c>
      <c r="D123" s="71" t="s">
        <v>69</v>
      </c>
    </row>
    <row r="124" spans="1:4" x14ac:dyDescent="0.35">
      <c r="A124" s="71" t="s">
        <v>82</v>
      </c>
      <c r="B124" s="76">
        <v>1.5636574074074074E-2</v>
      </c>
      <c r="C124" s="76">
        <v>1.7361111111111108E-2</v>
      </c>
      <c r="D124" s="71" t="s">
        <v>77</v>
      </c>
    </row>
    <row r="125" spans="1:4" x14ac:dyDescent="0.35">
      <c r="A125" s="71" t="s">
        <v>82</v>
      </c>
      <c r="B125" s="76">
        <v>1.7372685185185185E-2</v>
      </c>
      <c r="C125" s="76">
        <v>1.909722222222222E-2</v>
      </c>
      <c r="D125" s="71" t="s">
        <v>84</v>
      </c>
    </row>
    <row r="126" spans="1:4" x14ac:dyDescent="0.35">
      <c r="A126" s="71" t="s">
        <v>82</v>
      </c>
      <c r="B126" s="76">
        <v>1.9108796296296297E-2</v>
      </c>
      <c r="C126" s="76">
        <v>2.0833333333333332E-2</v>
      </c>
      <c r="D126" s="71" t="s">
        <v>123</v>
      </c>
    </row>
    <row r="127" spans="1:4" x14ac:dyDescent="0.35">
      <c r="A127" s="71" t="s">
        <v>143</v>
      </c>
      <c r="B127" s="76">
        <v>0</v>
      </c>
      <c r="C127" s="76">
        <v>1.736111111111111E-3</v>
      </c>
      <c r="D127" s="71" t="s">
        <v>143</v>
      </c>
    </row>
    <row r="128" spans="1:4" x14ac:dyDescent="0.35">
      <c r="A128" s="71" t="s">
        <v>143</v>
      </c>
      <c r="B128" s="76">
        <v>1.7476851851851852E-3</v>
      </c>
      <c r="C128" s="76">
        <v>3.472222222222222E-3</v>
      </c>
      <c r="D128" s="71" t="s">
        <v>79</v>
      </c>
    </row>
    <row r="129" spans="1:4" x14ac:dyDescent="0.35">
      <c r="A129" s="71" t="s">
        <v>143</v>
      </c>
      <c r="B129" s="76">
        <v>3.4837962962962965E-3</v>
      </c>
      <c r="C129" s="76">
        <v>5.208333333333333E-3</v>
      </c>
      <c r="D129" s="71" t="s">
        <v>125</v>
      </c>
    </row>
    <row r="130" spans="1:4" x14ac:dyDescent="0.35">
      <c r="A130" s="71" t="s">
        <v>143</v>
      </c>
      <c r="B130" s="76">
        <v>5.2199074074074075E-3</v>
      </c>
      <c r="C130" s="76">
        <v>6.9444444444444449E-3</v>
      </c>
      <c r="D130" s="71" t="s">
        <v>31</v>
      </c>
    </row>
    <row r="131" spans="1:4" x14ac:dyDescent="0.35">
      <c r="A131" s="71" t="s">
        <v>143</v>
      </c>
      <c r="B131" s="76">
        <v>6.9560185185185185E-3</v>
      </c>
      <c r="C131" s="76">
        <v>8.6805555555555559E-3</v>
      </c>
      <c r="D131" s="71" t="s">
        <v>122</v>
      </c>
    </row>
    <row r="132" spans="1:4" x14ac:dyDescent="0.35">
      <c r="A132" s="71" t="s">
        <v>143</v>
      </c>
      <c r="B132" s="76">
        <v>8.6921296296296295E-3</v>
      </c>
      <c r="C132" s="76">
        <v>1.0416666666666666E-2</v>
      </c>
      <c r="D132" s="71" t="s">
        <v>103</v>
      </c>
    </row>
    <row r="133" spans="1:4" x14ac:dyDescent="0.35">
      <c r="A133" s="71" t="s">
        <v>143</v>
      </c>
      <c r="B133" s="76">
        <v>1.0428240740740741E-2</v>
      </c>
      <c r="C133" s="76">
        <v>1.2152777777777776E-2</v>
      </c>
      <c r="D133" s="71" t="s">
        <v>67</v>
      </c>
    </row>
    <row r="134" spans="1:4" x14ac:dyDescent="0.35">
      <c r="A134" s="71" t="s">
        <v>143</v>
      </c>
      <c r="B134" s="76">
        <v>1.2164351851851852E-2</v>
      </c>
      <c r="C134" s="76">
        <v>1.3888888888888886E-2</v>
      </c>
      <c r="D134" s="71" t="s">
        <v>69</v>
      </c>
    </row>
    <row r="135" spans="1:4" x14ac:dyDescent="0.35">
      <c r="A135" s="71" t="s">
        <v>143</v>
      </c>
      <c r="B135" s="76">
        <v>1.3900462962962963E-2</v>
      </c>
      <c r="C135" s="76">
        <v>1.5624999999999997E-2</v>
      </c>
      <c r="D135" s="71" t="s">
        <v>77</v>
      </c>
    </row>
    <row r="136" spans="1:4" x14ac:dyDescent="0.35">
      <c r="A136" s="71" t="s">
        <v>143</v>
      </c>
      <c r="B136" s="76">
        <v>1.5636574074074074E-2</v>
      </c>
      <c r="C136" s="76">
        <v>1.7361111111111108E-2</v>
      </c>
      <c r="D136" s="71" t="s">
        <v>84</v>
      </c>
    </row>
    <row r="137" spans="1:4" x14ac:dyDescent="0.35">
      <c r="A137" s="71" t="s">
        <v>143</v>
      </c>
      <c r="B137" s="76">
        <v>1.7372685185185185E-2</v>
      </c>
      <c r="C137" s="76">
        <v>1.909722222222222E-2</v>
      </c>
      <c r="D137" s="71" t="s">
        <v>123</v>
      </c>
    </row>
    <row r="138" spans="1:4" x14ac:dyDescent="0.35">
      <c r="A138" s="71" t="s">
        <v>143</v>
      </c>
      <c r="B138" s="76">
        <v>1.9108796296296297E-2</v>
      </c>
      <c r="C138" s="76">
        <v>2.0833333333333332E-2</v>
      </c>
      <c r="D138" s="71" t="s">
        <v>82</v>
      </c>
    </row>
    <row r="139" spans="1:4" x14ac:dyDescent="0.35">
      <c r="A139" s="71" t="s">
        <v>79</v>
      </c>
      <c r="B139" s="76">
        <v>0</v>
      </c>
      <c r="C139" s="76">
        <v>1.736111111111111E-3</v>
      </c>
      <c r="D139" s="71" t="s">
        <v>79</v>
      </c>
    </row>
    <row r="140" spans="1:4" x14ac:dyDescent="0.35">
      <c r="A140" s="71" t="s">
        <v>79</v>
      </c>
      <c r="B140" s="76">
        <v>1.7476851851851852E-3</v>
      </c>
      <c r="C140" s="76">
        <v>3.472222222222222E-3</v>
      </c>
      <c r="D140" s="71" t="s">
        <v>125</v>
      </c>
    </row>
    <row r="141" spans="1:4" x14ac:dyDescent="0.35">
      <c r="A141" s="71" t="s">
        <v>79</v>
      </c>
      <c r="B141" s="76">
        <v>3.4837962962962965E-3</v>
      </c>
      <c r="C141" s="76">
        <v>5.208333333333333E-3</v>
      </c>
      <c r="D141" s="71" t="s">
        <v>31</v>
      </c>
    </row>
    <row r="142" spans="1:4" x14ac:dyDescent="0.35">
      <c r="A142" s="71" t="s">
        <v>79</v>
      </c>
      <c r="B142" s="76">
        <v>5.2199074074074075E-3</v>
      </c>
      <c r="C142" s="76">
        <v>6.9444444444444449E-3</v>
      </c>
      <c r="D142" s="71" t="s">
        <v>122</v>
      </c>
    </row>
    <row r="143" spans="1:4" x14ac:dyDescent="0.35">
      <c r="A143" s="71" t="s">
        <v>79</v>
      </c>
      <c r="B143" s="76">
        <v>6.9560185185185185E-3</v>
      </c>
      <c r="C143" s="76">
        <v>8.6805555555555559E-3</v>
      </c>
      <c r="D143" s="71" t="s">
        <v>103</v>
      </c>
    </row>
    <row r="144" spans="1:4" x14ac:dyDescent="0.35">
      <c r="A144" s="71" t="s">
        <v>79</v>
      </c>
      <c r="B144" s="76">
        <v>8.6921296296296295E-3</v>
      </c>
      <c r="C144" s="76">
        <v>1.0416666666666666E-2</v>
      </c>
      <c r="D144" s="71" t="s">
        <v>67</v>
      </c>
    </row>
    <row r="145" spans="1:4" x14ac:dyDescent="0.35">
      <c r="A145" s="71" t="s">
        <v>79</v>
      </c>
      <c r="B145" s="76">
        <v>1.0428240740740741E-2</v>
      </c>
      <c r="C145" s="76">
        <v>1.2152777777777776E-2</v>
      </c>
      <c r="D145" s="71" t="s">
        <v>69</v>
      </c>
    </row>
    <row r="146" spans="1:4" x14ac:dyDescent="0.35">
      <c r="A146" s="71" t="s">
        <v>79</v>
      </c>
      <c r="B146" s="76">
        <v>1.2164351851851852E-2</v>
      </c>
      <c r="C146" s="76">
        <v>1.3888888888888886E-2</v>
      </c>
      <c r="D146" s="71" t="s">
        <v>77</v>
      </c>
    </row>
    <row r="147" spans="1:4" x14ac:dyDescent="0.35">
      <c r="A147" s="71" t="s">
        <v>79</v>
      </c>
      <c r="B147" s="76">
        <v>1.3900462962962963E-2</v>
      </c>
      <c r="C147" s="76">
        <v>1.5624999999999997E-2</v>
      </c>
      <c r="D147" s="71" t="s">
        <v>84</v>
      </c>
    </row>
    <row r="148" spans="1:4" x14ac:dyDescent="0.35">
      <c r="A148" s="71" t="s">
        <v>79</v>
      </c>
      <c r="B148" s="76">
        <v>1.5636574074074074E-2</v>
      </c>
      <c r="C148" s="76">
        <v>1.7361111111111108E-2</v>
      </c>
      <c r="D148" s="71" t="s">
        <v>123</v>
      </c>
    </row>
    <row r="149" spans="1:4" x14ac:dyDescent="0.35">
      <c r="A149" s="71" t="s">
        <v>79</v>
      </c>
      <c r="B149" s="76">
        <v>1.7372685185185185E-2</v>
      </c>
      <c r="C149" s="76">
        <v>1.909722222222222E-2</v>
      </c>
      <c r="D149" s="71" t="s">
        <v>82</v>
      </c>
    </row>
    <row r="150" spans="1:4" x14ac:dyDescent="0.35">
      <c r="A150" s="71" t="s">
        <v>79</v>
      </c>
      <c r="B150" s="76">
        <v>1.9108796296296297E-2</v>
      </c>
      <c r="C150" s="76">
        <v>2.0833333333333332E-2</v>
      </c>
      <c r="D150" s="71" t="s">
        <v>143</v>
      </c>
    </row>
    <row r="151" spans="1:4" x14ac:dyDescent="0.35">
      <c r="A151" s="71" t="s">
        <v>125</v>
      </c>
      <c r="B151" s="76">
        <v>0</v>
      </c>
      <c r="C151" s="76">
        <v>1.736111111111111E-3</v>
      </c>
      <c r="D151" s="71" t="s">
        <v>125</v>
      </c>
    </row>
    <row r="152" spans="1:4" x14ac:dyDescent="0.35">
      <c r="A152" s="71" t="s">
        <v>125</v>
      </c>
      <c r="B152" s="76">
        <v>1.7476851851851852E-3</v>
      </c>
      <c r="C152" s="76">
        <v>3.472222222222222E-3</v>
      </c>
      <c r="D152" s="71" t="s">
        <v>31</v>
      </c>
    </row>
    <row r="153" spans="1:4" x14ac:dyDescent="0.35">
      <c r="A153" s="71" t="s">
        <v>125</v>
      </c>
      <c r="B153" s="76">
        <v>3.4837962962962965E-3</v>
      </c>
      <c r="C153" s="76">
        <v>5.208333333333333E-3</v>
      </c>
      <c r="D153" s="71" t="s">
        <v>122</v>
      </c>
    </row>
    <row r="154" spans="1:4" x14ac:dyDescent="0.35">
      <c r="A154" s="71" t="s">
        <v>125</v>
      </c>
      <c r="B154" s="76">
        <v>5.2199074074074075E-3</v>
      </c>
      <c r="C154" s="76">
        <v>6.9444444444444449E-3</v>
      </c>
      <c r="D154" s="71" t="s">
        <v>103</v>
      </c>
    </row>
    <row r="155" spans="1:4" x14ac:dyDescent="0.35">
      <c r="A155" s="71" t="s">
        <v>125</v>
      </c>
      <c r="B155" s="76">
        <v>6.9560185185185185E-3</v>
      </c>
      <c r="C155" s="76">
        <v>8.6805555555555559E-3</v>
      </c>
      <c r="D155" s="71" t="s">
        <v>67</v>
      </c>
    </row>
    <row r="156" spans="1:4" x14ac:dyDescent="0.35">
      <c r="A156" s="71" t="s">
        <v>125</v>
      </c>
      <c r="B156" s="76">
        <v>8.6921296296296295E-3</v>
      </c>
      <c r="C156" s="76">
        <v>1.0416666666666666E-2</v>
      </c>
      <c r="D156" s="71" t="s">
        <v>69</v>
      </c>
    </row>
    <row r="157" spans="1:4" x14ac:dyDescent="0.35">
      <c r="A157" s="71" t="s">
        <v>125</v>
      </c>
      <c r="B157" s="76">
        <v>1.0428240740740741E-2</v>
      </c>
      <c r="C157" s="76">
        <v>1.2152777777777776E-2</v>
      </c>
      <c r="D157" s="71" t="s">
        <v>77</v>
      </c>
    </row>
    <row r="158" spans="1:4" x14ac:dyDescent="0.35">
      <c r="A158" s="71" t="s">
        <v>125</v>
      </c>
      <c r="B158" s="76">
        <v>1.2164351851851852E-2</v>
      </c>
      <c r="C158" s="76">
        <v>1.3888888888888886E-2</v>
      </c>
      <c r="D158" s="71" t="s">
        <v>84</v>
      </c>
    </row>
    <row r="159" spans="1:4" x14ac:dyDescent="0.35">
      <c r="A159" s="71" t="s">
        <v>125</v>
      </c>
      <c r="B159" s="76">
        <v>1.3900462962962963E-2</v>
      </c>
      <c r="C159" s="76">
        <v>1.5624999999999997E-2</v>
      </c>
      <c r="D159" s="71" t="s">
        <v>123</v>
      </c>
    </row>
    <row r="160" spans="1:4" x14ac:dyDescent="0.35">
      <c r="A160" s="71" t="s">
        <v>125</v>
      </c>
      <c r="B160" s="76">
        <v>1.5636574074074074E-2</v>
      </c>
      <c r="C160" s="76">
        <v>1.7361111111111108E-2</v>
      </c>
      <c r="D160" s="71" t="s">
        <v>82</v>
      </c>
    </row>
    <row r="161" spans="1:4" x14ac:dyDescent="0.35">
      <c r="A161" s="71" t="s">
        <v>125</v>
      </c>
      <c r="B161" s="76">
        <v>1.7372685185185185E-2</v>
      </c>
      <c r="C161" s="76">
        <v>1.909722222222222E-2</v>
      </c>
      <c r="D161" s="71" t="s">
        <v>143</v>
      </c>
    </row>
    <row r="162" spans="1:4" x14ac:dyDescent="0.35">
      <c r="A162" s="71" t="s">
        <v>125</v>
      </c>
      <c r="B162" s="76">
        <v>1.9108796296296297E-2</v>
      </c>
      <c r="C162" s="76">
        <v>2.0833333333333332E-2</v>
      </c>
      <c r="D162" s="71" t="s">
        <v>79</v>
      </c>
    </row>
    <row r="163" spans="1:4" x14ac:dyDescent="0.35">
      <c r="B163" s="76"/>
      <c r="C163" s="76"/>
    </row>
    <row r="164" spans="1:4" x14ac:dyDescent="0.35">
      <c r="B164" s="76"/>
      <c r="C164" s="76"/>
    </row>
    <row r="165" spans="1:4" x14ac:dyDescent="0.35">
      <c r="B165" s="76"/>
      <c r="C165" s="76"/>
    </row>
    <row r="166" spans="1:4" x14ac:dyDescent="0.35">
      <c r="B166" s="76"/>
      <c r="C166" s="76"/>
    </row>
    <row r="167" spans="1:4" x14ac:dyDescent="0.35">
      <c r="B167" s="76"/>
      <c r="C167" s="76"/>
    </row>
    <row r="168" spans="1:4" x14ac:dyDescent="0.35">
      <c r="B168" s="76"/>
      <c r="C168" s="76"/>
    </row>
    <row r="169" spans="1:4" x14ac:dyDescent="0.35">
      <c r="B169" s="76"/>
      <c r="C169" s="76"/>
    </row>
    <row r="170" spans="1:4" x14ac:dyDescent="0.35">
      <c r="B170" s="76"/>
      <c r="C170" s="76"/>
    </row>
    <row r="171" spans="1:4" x14ac:dyDescent="0.35">
      <c r="B171" s="76"/>
      <c r="C171" s="76"/>
    </row>
    <row r="172" spans="1:4" x14ac:dyDescent="0.35">
      <c r="B172" s="76"/>
      <c r="C172" s="76"/>
    </row>
    <row r="173" spans="1:4" x14ac:dyDescent="0.35">
      <c r="B173" s="76"/>
      <c r="C173" s="76"/>
    </row>
    <row r="174" spans="1:4" x14ac:dyDescent="0.35">
      <c r="B174" s="76"/>
      <c r="C174" s="76"/>
    </row>
    <row r="175" spans="1:4" x14ac:dyDescent="0.35">
      <c r="B175" s="76"/>
      <c r="C175" s="76"/>
    </row>
    <row r="176" spans="1:4" x14ac:dyDescent="0.35">
      <c r="B176" s="76"/>
      <c r="C176" s="76"/>
    </row>
    <row r="177" spans="2:3" x14ac:dyDescent="0.35">
      <c r="B177" s="76"/>
      <c r="C177" s="76"/>
    </row>
    <row r="178" spans="2:3" x14ac:dyDescent="0.35">
      <c r="B178" s="76"/>
      <c r="C178" s="76"/>
    </row>
    <row r="179" spans="2:3" x14ac:dyDescent="0.35">
      <c r="B179" s="76"/>
      <c r="C179" s="76"/>
    </row>
    <row r="180" spans="2:3" x14ac:dyDescent="0.35">
      <c r="B180" s="76"/>
      <c r="C180" s="76"/>
    </row>
    <row r="181" spans="2:3" x14ac:dyDescent="0.35">
      <c r="B181" s="76"/>
      <c r="C181" s="76"/>
    </row>
    <row r="182" spans="2:3" x14ac:dyDescent="0.35">
      <c r="B182" s="76"/>
      <c r="C182" s="76"/>
    </row>
    <row r="183" spans="2:3" x14ac:dyDescent="0.35">
      <c r="B183" s="76"/>
      <c r="C183" s="76"/>
    </row>
    <row r="184" spans="2:3" x14ac:dyDescent="0.35">
      <c r="B184" s="76"/>
      <c r="C184" s="76"/>
    </row>
    <row r="185" spans="2:3" x14ac:dyDescent="0.35">
      <c r="B185" s="76"/>
      <c r="C185" s="76"/>
    </row>
    <row r="186" spans="2:3" x14ac:dyDescent="0.35">
      <c r="B186" s="76"/>
      <c r="C186" s="76"/>
    </row>
    <row r="187" spans="2:3" x14ac:dyDescent="0.35">
      <c r="B187" s="76"/>
      <c r="C187" s="76"/>
    </row>
    <row r="188" spans="2:3" x14ac:dyDescent="0.35">
      <c r="B188" s="76"/>
      <c r="C188" s="76"/>
    </row>
    <row r="189" spans="2:3" x14ac:dyDescent="0.35">
      <c r="B189" s="76"/>
      <c r="C189" s="76"/>
    </row>
    <row r="190" spans="2:3" x14ac:dyDescent="0.35">
      <c r="B190" s="76"/>
      <c r="C190" s="76"/>
    </row>
    <row r="191" spans="2:3" x14ac:dyDescent="0.35">
      <c r="B191" s="76"/>
      <c r="C191" s="76"/>
    </row>
    <row r="192" spans="2:3" x14ac:dyDescent="0.35">
      <c r="B192" s="76"/>
      <c r="C192" s="76"/>
    </row>
    <row r="193" spans="2:3" x14ac:dyDescent="0.35">
      <c r="B193" s="76"/>
      <c r="C193" s="76"/>
    </row>
    <row r="194" spans="2:3" x14ac:dyDescent="0.35">
      <c r="B194" s="76"/>
      <c r="C194" s="76"/>
    </row>
    <row r="195" spans="2:3" x14ac:dyDescent="0.35">
      <c r="B195" s="76"/>
      <c r="C195" s="76"/>
    </row>
    <row r="196" spans="2:3" x14ac:dyDescent="0.35">
      <c r="B196" s="76"/>
      <c r="C196" s="76"/>
    </row>
    <row r="197" spans="2:3" x14ac:dyDescent="0.35">
      <c r="B197" s="76"/>
      <c r="C197" s="76"/>
    </row>
    <row r="198" spans="2:3" x14ac:dyDescent="0.35">
      <c r="B198" s="76"/>
      <c r="C198" s="76"/>
    </row>
    <row r="199" spans="2:3" x14ac:dyDescent="0.35">
      <c r="B199" s="76"/>
      <c r="C199" s="76"/>
    </row>
    <row r="200" spans="2:3" x14ac:dyDescent="0.35">
      <c r="B200" s="76"/>
      <c r="C200" s="76"/>
    </row>
    <row r="201" spans="2:3" x14ac:dyDescent="0.35">
      <c r="B201" s="76"/>
      <c r="C201" s="76"/>
    </row>
    <row r="202" spans="2:3" x14ac:dyDescent="0.35">
      <c r="B202" s="76"/>
      <c r="C202" s="76"/>
    </row>
    <row r="203" spans="2:3" x14ac:dyDescent="0.35">
      <c r="B203" s="76"/>
      <c r="C203" s="76"/>
    </row>
    <row r="204" spans="2:3" x14ac:dyDescent="0.35">
      <c r="B204" s="76"/>
      <c r="C204" s="76"/>
    </row>
    <row r="205" spans="2:3" x14ac:dyDescent="0.35">
      <c r="B205" s="76"/>
      <c r="C205" s="76"/>
    </row>
    <row r="206" spans="2:3" x14ac:dyDescent="0.35">
      <c r="B206" s="76"/>
      <c r="C206" s="76"/>
    </row>
    <row r="207" spans="2:3" x14ac:dyDescent="0.35">
      <c r="B207" s="76"/>
      <c r="C207" s="76"/>
    </row>
    <row r="208" spans="2:3" x14ac:dyDescent="0.35">
      <c r="B208" s="76"/>
      <c r="C208" s="76"/>
    </row>
    <row r="209" spans="2:3" x14ac:dyDescent="0.35">
      <c r="B209" s="76"/>
      <c r="C209" s="76"/>
    </row>
    <row r="210" spans="2:3" x14ac:dyDescent="0.35">
      <c r="B210" s="76"/>
      <c r="C210" s="76"/>
    </row>
  </sheetData>
  <autoFilter ref="A18:D162" xr:uid="{C35C7DF9-4577-44CD-9715-CCC44A72A75C}"/>
  <mergeCells count="1">
    <mergeCell ref="G1:H1"/>
  </mergeCells>
  <dataValidations count="1">
    <dataValidation type="list" allowBlank="1" showInputMessage="1" showErrorMessage="1" sqref="L5:L16" xr:uid="{AB49029E-85EE-4976-B143-E521D97E7990}">
      <formula1>$I$1:$I$3</formula1>
    </dataValidation>
  </dataValidations>
  <hyperlinks>
    <hyperlink ref="G1" r:id="rId1" display="SOLAR RETURN CHART  LINK " xr:uid="{FBEEA72C-7881-4A67-8F3A-9FE4B3C4EAFA}"/>
    <hyperlink ref="G1:H1" r:id="rId2" display="LINK SOLAR RETUR CHART (ASTROSEEK)" xr:uid="{97899BBE-5B69-43CD-ADA1-765B3BF7AE79}"/>
  </hyperlinks>
  <pageMargins left="0.7" right="0.7" top="0.75" bottom="0.75" header="0.3" footer="0.3"/>
  <pageSetup paperSize="9" orientation="portrait" r:id="rId3"/>
  <drawing r:id="rId4"/>
  <legacyDrawing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D040978-CA12-4218-91DC-AD1F68D31263}">
          <x14:formula1>
            <xm:f>'ZODIAC LORD and ATRIBUTES'!$A$3:$A$14</xm:f>
          </x14:formula1>
          <xm:sqref>G5:G16 J5:J16</xm:sqref>
        </x14:dataValidation>
        <x14:dataValidation type="list" allowBlank="1" showInputMessage="1" showErrorMessage="1" xr:uid="{C38B94CE-C662-4C39-B15C-E30A05552ACA}">
          <x14:formula1>
            <xm:f>'MSLC TABEL '!$A$2:$A$3</xm:f>
          </x14:formula1>
          <xm:sqref>N5:N16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93CA-73EB-43CF-97E5-00BE861F2C3D}">
  <sheetPr codeName="Sheet1">
    <tabColor rgb="FF00B0F0"/>
  </sheetPr>
  <dimension ref="A1:L31"/>
  <sheetViews>
    <sheetView zoomScale="55" zoomScaleNormal="55" workbookViewId="0">
      <pane ySplit="2" topLeftCell="A3" activePane="bottomLeft" state="frozen"/>
      <selection pane="bottomLeft" activeCell="E7" sqref="E7"/>
    </sheetView>
  </sheetViews>
  <sheetFormatPr defaultRowHeight="14.5" x14ac:dyDescent="0.35"/>
  <cols>
    <col min="1" max="1" width="18.81640625" bestFit="1" customWidth="1"/>
    <col min="2" max="2" width="18.7265625" bestFit="1" customWidth="1"/>
    <col min="3" max="3" width="12.81640625" bestFit="1" customWidth="1"/>
    <col min="4" max="4" width="17.453125" bestFit="1" customWidth="1"/>
    <col min="5" max="5" width="18.81640625" customWidth="1"/>
    <col min="6" max="6" width="13.26953125" customWidth="1"/>
    <col min="7" max="7" width="14.1796875" customWidth="1"/>
    <col min="8" max="8" width="13.26953125" customWidth="1"/>
    <col min="10" max="10" width="18.54296875" customWidth="1"/>
    <col min="11" max="11" width="12.54296875" bestFit="1" customWidth="1"/>
    <col min="13" max="14" width="11.7265625" bestFit="1" customWidth="1"/>
    <col min="21" max="21" width="12" bestFit="1" customWidth="1"/>
  </cols>
  <sheetData>
    <row r="1" spans="1:10" ht="15.5" x14ac:dyDescent="0.35">
      <c r="B1" s="197" t="s">
        <v>26</v>
      </c>
      <c r="C1" s="197" t="s">
        <v>39</v>
      </c>
      <c r="D1" s="197" t="s">
        <v>40</v>
      </c>
    </row>
    <row r="2" spans="1:10" s="19" customFormat="1" ht="63" x14ac:dyDescent="0.5">
      <c r="A2" s="217" t="s">
        <v>41</v>
      </c>
      <c r="B2" s="93" t="e">
        <f>'2. PROFECTION YEARLY &amp; MONTHLY'!M27</f>
        <v>#N/A</v>
      </c>
      <c r="C2" s="264">
        <f>IF('1. ZODIAC NATAL'!B3="NOCTURNAL",'1. ZODIAC NATAL'!C26,'1. ZODIAC NATAL'!C23)</f>
        <v>0</v>
      </c>
      <c r="D2" s="94" t="e">
        <f>'DODECATEMORIA TABLE'!H37</f>
        <v>#N/A</v>
      </c>
      <c r="E2" s="268" t="s">
        <v>268</v>
      </c>
    </row>
    <row r="5" spans="1:10" ht="15" customHeight="1" x14ac:dyDescent="0.35">
      <c r="A5" s="491" t="s">
        <v>235</v>
      </c>
      <c r="B5" s="501" t="s">
        <v>236</v>
      </c>
      <c r="C5" s="501" t="s">
        <v>39</v>
      </c>
      <c r="D5" s="501" t="s">
        <v>43</v>
      </c>
      <c r="E5" s="501" t="s">
        <v>42</v>
      </c>
      <c r="F5" s="508" t="s">
        <v>44</v>
      </c>
      <c r="G5" s="510"/>
      <c r="H5" s="627" t="s">
        <v>413</v>
      </c>
    </row>
    <row r="6" spans="1:10" ht="29" x14ac:dyDescent="0.35">
      <c r="A6" s="491"/>
      <c r="B6" s="543"/>
      <c r="C6" s="543"/>
      <c r="D6" s="543"/>
      <c r="E6" s="543"/>
      <c r="F6" s="151" t="s">
        <v>26</v>
      </c>
      <c r="G6" s="151" t="s">
        <v>45</v>
      </c>
      <c r="H6" s="628"/>
    </row>
    <row r="7" spans="1:10" ht="40.5" customHeight="1" x14ac:dyDescent="0.35">
      <c r="A7" s="446"/>
      <c r="B7" s="70"/>
      <c r="C7" s="98"/>
      <c r="D7" s="69"/>
      <c r="E7" s="103" t="str">
        <f>IF(OR(D7=1,D7=4,D7=7,D7=10),"IMPACT","")</f>
        <v/>
      </c>
      <c r="F7" s="103" t="str">
        <f>IF(E7="IMPACT",'DODECATEMORIA TABLE'!H4,"")</f>
        <v/>
      </c>
      <c r="G7" s="103" t="e">
        <f>INDEX('1. ZODIAC NATAL'!$A$6:$C$17,MATCH('2. YEAR OF USURPATION(ECLIPSE)'!F7,'1. ZODIAC NATAL'!$B$6:$B$17,0),1)</f>
        <v>#N/A</v>
      </c>
      <c r="H7" s="453" t="e">
        <f>D7&amp;" , "&amp;G7</f>
        <v>#N/A</v>
      </c>
    </row>
    <row r="8" spans="1:10" ht="40.5" customHeight="1" x14ac:dyDescent="0.35">
      <c r="A8" s="446"/>
      <c r="B8" s="70"/>
      <c r="C8" s="98"/>
      <c r="D8" s="69"/>
      <c r="E8" s="103" t="str">
        <f t="shared" ref="E8:E10" si="0">IF(OR(D8=1,D8=4,D8=7,D8=10),"IMPACT","")</f>
        <v/>
      </c>
      <c r="F8" s="103" t="str">
        <f>IF(E8="IMPACT",'DODECATEMORIA TABLE'!H5,"")</f>
        <v/>
      </c>
      <c r="G8" s="103" t="e">
        <f>INDEX('1. ZODIAC NATAL'!$A$6:$C$17,MATCH('2. YEAR OF USURPATION(ECLIPSE)'!F8,'1. ZODIAC NATAL'!$B$6:$B$17,0),1)</f>
        <v>#N/A</v>
      </c>
      <c r="H8" s="453" t="e">
        <f>D8&amp;" ; "&amp;G8</f>
        <v>#N/A</v>
      </c>
    </row>
    <row r="9" spans="1:10" ht="40.5" customHeight="1" x14ac:dyDescent="0.35">
      <c r="A9" s="446"/>
      <c r="B9" s="70"/>
      <c r="C9" s="98"/>
      <c r="D9" s="69"/>
      <c r="E9" s="103" t="str">
        <f t="shared" si="0"/>
        <v/>
      </c>
      <c r="F9" s="103" t="str">
        <f>IF(E9="IMPACT",'DODECATEMORIA TABLE'!H6,"")</f>
        <v/>
      </c>
      <c r="G9" s="103" t="e">
        <f>INDEX('1. ZODIAC NATAL'!$A$6:$C$17,MATCH('2. YEAR OF USURPATION(ECLIPSE)'!F9,'1. ZODIAC NATAL'!$B$6:$B$17,0),1)</f>
        <v>#N/A</v>
      </c>
      <c r="H9" s="453" t="e">
        <f>D9&amp;" ; "&amp;G9</f>
        <v>#N/A</v>
      </c>
    </row>
    <row r="10" spans="1:10" ht="40.5" customHeight="1" x14ac:dyDescent="0.35">
      <c r="A10" s="446"/>
      <c r="B10" s="70"/>
      <c r="C10" s="98"/>
      <c r="D10" s="69"/>
      <c r="E10" s="103" t="str">
        <f t="shared" si="0"/>
        <v/>
      </c>
      <c r="F10" s="103" t="str">
        <f>IF(E10="IMPACT",'DODECATEMORIA TABLE'!H7,"")</f>
        <v/>
      </c>
      <c r="G10" s="103" t="e">
        <f>INDEX('1. ZODIAC NATAL'!$A$6:$C$17,MATCH('2. YEAR OF USURPATION(ECLIPSE)'!F10,'1. ZODIAC NATAL'!$B$6:$B$17,0),1)</f>
        <v>#N/A</v>
      </c>
      <c r="H10" s="453" t="e">
        <f>D10&amp;" ; "&amp;G10</f>
        <v>#N/A</v>
      </c>
    </row>
    <row r="12" spans="1:10" ht="33.75" customHeight="1" x14ac:dyDescent="0.35">
      <c r="A12" s="253" t="s">
        <v>46</v>
      </c>
      <c r="B12" s="253" t="s">
        <v>407</v>
      </c>
      <c r="C12" s="253" t="s">
        <v>406</v>
      </c>
      <c r="D12" s="253" t="s">
        <v>47</v>
      </c>
      <c r="E12" s="253" t="s">
        <v>48</v>
      </c>
      <c r="F12" s="472" t="s">
        <v>49</v>
      </c>
      <c r="G12" s="472" t="s">
        <v>50</v>
      </c>
      <c r="H12" s="472" t="s">
        <v>135</v>
      </c>
      <c r="I12" s="472" t="s">
        <v>136</v>
      </c>
      <c r="J12" s="471" t="s">
        <v>412</v>
      </c>
    </row>
    <row r="13" spans="1:10" x14ac:dyDescent="0.35">
      <c r="A13" s="206">
        <v>1</v>
      </c>
      <c r="B13" s="473">
        <f>'2.DODECATEMORIA TABLE HOROSCOPE'!E5</f>
        <v>0</v>
      </c>
      <c r="C13" s="473">
        <f>'2.DODECATEMORIA TABLE HOROSCOPE'!F5</f>
        <v>0</v>
      </c>
      <c r="D13" s="66" t="e">
        <f>INDEX('1. ZODIAC NATAL'!$B$6:$C$17,MATCH('2. YEAR OF USURPATION(ECLIPSE)'!E13,'1. ZODIAC NATAL'!$B$6:$B$17,0),2)</f>
        <v>#N/A</v>
      </c>
      <c r="E13" s="66" t="e">
        <f>D2</f>
        <v>#N/A</v>
      </c>
      <c r="F13" s="474" t="str" cm="1">
        <f t="array" ref="F13">IFERROR(IF(AND($A$7&gt;=INDEX($C$13:$C$24, ROW()-12), $A$7&lt;=INDEX($C$13:$C$24, ROW()-11)), $H$7, ""),"")</f>
        <v/>
      </c>
      <c r="G13" s="474" t="str" cm="1">
        <f t="array" ref="G13">IFERROR(IF(AND($A$8&gt;=INDEX($C$13:$C$24, ROW()-12), $A$8&lt;=INDEX($C$13:$C$24, ROW()-11)), $H$8, ""),"")</f>
        <v/>
      </c>
      <c r="H13" s="474" t="str" cm="1">
        <f t="array" ref="H13">IFERROR(IF(AND($A$9&gt;=INDEX($C$13:$C$24, ROW()-12), $A$9&lt;=INDEX($C$13:$C$24, ROW()-11)), $H$9, ""),"")</f>
        <v/>
      </c>
      <c r="I13" s="66" t="str" cm="1">
        <f t="array" ref="I13">IFERROR(IF(AND($A$10&gt;=INDEX($C$13:$C$24, ROW()-12), $A$10&lt;=INDEX($C$13:$C$24, ROW()-11)), $H$10, ""),"")</f>
        <v/>
      </c>
      <c r="J13" s="66" t="str">
        <f>F13&amp;" , "&amp;G13&amp;" , "&amp;H13&amp;" , "&amp;I13</f>
        <v xml:space="preserve"> ,  ,  , </v>
      </c>
    </row>
    <row r="14" spans="1:10" x14ac:dyDescent="0.35">
      <c r="A14" s="206">
        <v>2</v>
      </c>
      <c r="B14" s="473">
        <f>'2.DODECATEMORIA TABLE HOROSCOPE'!E6</f>
        <v>0</v>
      </c>
      <c r="C14" s="473">
        <f>'2.DODECATEMORIA TABLE HOROSCOPE'!F6</f>
        <v>0</v>
      </c>
      <c r="D14" s="66" t="e">
        <f>INDEX('1. ZODIAC NATAL'!$B$6:$C$17,MATCH('2. YEAR OF USURPATION(ECLIPSE)'!E14,'1. ZODIAC NATAL'!$B$6:$B$17,0),2)</f>
        <v>#N/A</v>
      </c>
      <c r="E14" s="104" t="e">
        <f>'CONTINOUS ZODIAC TABLE'!B3</f>
        <v>#N/A</v>
      </c>
      <c r="F14" s="474" t="str" cm="1">
        <f t="array" ref="F14">IFERROR(IF(AND($A$7&gt;=INDEX($C$13:$C$24, ROW()-12), $A$7&lt;=INDEX($C$13:$C$24, ROW()-11)), $H$7, ""),"")</f>
        <v/>
      </c>
      <c r="G14" s="474" t="str" cm="1">
        <f t="array" ref="G14">IFERROR(IF(AND($A$8&gt;=INDEX($C$13:$C$24, ROW()-12), $A$8&lt;=INDEX($C$13:$C$24, ROW()-11)), $H$8, ""),"")</f>
        <v/>
      </c>
      <c r="H14" s="474" t="str" cm="1">
        <f t="array" ref="H14">IFERROR(IF(AND($A$9&gt;=INDEX($C$13:$C$24, ROW()-12), $A$9&lt;=INDEX($C$13:$C$24, ROW()-11)), $H$9, ""),"")</f>
        <v/>
      </c>
      <c r="I14" s="66" t="str" cm="1">
        <f t="array" ref="I14">IFERROR(IF(AND($A$10&gt;=INDEX($C$13:$C$24, ROW()-12), $A$10&lt;=INDEX($C$13:$C$24, ROW()-11)), $H$10, ""),"")</f>
        <v/>
      </c>
      <c r="J14" s="66" t="str">
        <f t="shared" ref="J14:J24" si="1">F14&amp;" , "&amp;G14&amp;" , "&amp;H14&amp;" , "&amp;I14</f>
        <v xml:space="preserve"> ,  ,  , </v>
      </c>
    </row>
    <row r="15" spans="1:10" x14ac:dyDescent="0.35">
      <c r="A15" s="206">
        <v>3</v>
      </c>
      <c r="B15" s="473">
        <f>'2.DODECATEMORIA TABLE HOROSCOPE'!E7</f>
        <v>0</v>
      </c>
      <c r="C15" s="473">
        <f>'2.DODECATEMORIA TABLE HOROSCOPE'!F7</f>
        <v>0</v>
      </c>
      <c r="D15" s="66" t="e">
        <f>INDEX('1. ZODIAC NATAL'!$B$6:$C$17,MATCH('2. YEAR OF USURPATION(ECLIPSE)'!E15,'1. ZODIAC NATAL'!$B$6:$B$17,0),2)</f>
        <v>#N/A</v>
      </c>
      <c r="E15" s="104" t="e">
        <f>'CONTINOUS ZODIAC TABLE'!B4</f>
        <v>#N/A</v>
      </c>
      <c r="F15" s="474" t="str" cm="1">
        <f t="array" ref="F15">IFERROR(IF(AND($A$7&gt;=INDEX($C$13:$C$24, ROW()-12), $A$7&lt;=INDEX($C$13:$C$24, ROW()-11)), $H$7, ""),"")</f>
        <v/>
      </c>
      <c r="G15" s="474" t="str" cm="1">
        <f t="array" ref="G15">IFERROR(IF(AND($A$8&gt;=INDEX($C$13:$C$24, ROW()-12), $A$8&lt;=INDEX($C$13:$C$24, ROW()-11)), $H$8, ""),"")</f>
        <v/>
      </c>
      <c r="H15" s="474" t="str" cm="1">
        <f t="array" ref="H15">IFERROR(IF(AND($A$9&gt;=INDEX($C$13:$C$24, ROW()-12), $A$9&lt;=INDEX($C$13:$C$24, ROW()-11)), $H$9, ""),"")</f>
        <v/>
      </c>
      <c r="I15" s="66" t="str" cm="1">
        <f t="array" ref="I15">IFERROR(IF(AND($A$10&gt;=INDEX($C$13:$C$24, ROW()-12), $A$10&lt;=INDEX($C$13:$C$24, ROW()-11)), $H$10, ""),"")</f>
        <v/>
      </c>
      <c r="J15" s="66" t="str">
        <f t="shared" si="1"/>
        <v xml:space="preserve"> ,  ,  , </v>
      </c>
    </row>
    <row r="16" spans="1:10" x14ac:dyDescent="0.35">
      <c r="A16" s="206">
        <v>4</v>
      </c>
      <c r="B16" s="473">
        <f>'2.DODECATEMORIA TABLE HOROSCOPE'!E8</f>
        <v>0</v>
      </c>
      <c r="C16" s="473">
        <f>'2.DODECATEMORIA TABLE HOROSCOPE'!F8</f>
        <v>0</v>
      </c>
      <c r="D16" s="66" t="e">
        <f>INDEX('1. ZODIAC NATAL'!$B$6:$C$17,MATCH('2. YEAR OF USURPATION(ECLIPSE)'!E16,'1. ZODIAC NATAL'!$B$6:$B$17,0),2)</f>
        <v>#N/A</v>
      </c>
      <c r="E16" s="104" t="e">
        <f>'CONTINOUS ZODIAC TABLE'!B5</f>
        <v>#N/A</v>
      </c>
      <c r="F16" s="474" t="str" cm="1">
        <f t="array" ref="F16">IFERROR(IF(AND($A$7&gt;=INDEX($C$13:$C$24, ROW()-12), $A$7&lt;=INDEX($C$13:$C$24, ROW()-11)), $H$7, ""),"")</f>
        <v/>
      </c>
      <c r="G16" s="474" t="str" cm="1">
        <f t="array" ref="G16">IFERROR(IF(AND($A$8&gt;=INDEX($C$13:$C$24, ROW()-12), $A$8&lt;=INDEX($C$13:$C$24, ROW()-11)), $H$8, ""),"")</f>
        <v/>
      </c>
      <c r="H16" s="474" t="str" cm="1">
        <f t="array" ref="H16">IFERROR(IF(AND($A$9&gt;=INDEX($C$13:$C$24, ROW()-12), $A$9&lt;=INDEX($C$13:$C$24, ROW()-11)), $H$9, ""),"")</f>
        <v/>
      </c>
      <c r="I16" s="66" t="str" cm="1">
        <f t="array" ref="I16">IFERROR(IF(AND($A$10&gt;=INDEX($C$13:$C$24, ROW()-12), $A$10&lt;=INDEX($C$13:$C$24, ROW()-11)), $H$10, ""),"")</f>
        <v/>
      </c>
      <c r="J16" s="66" t="str">
        <f t="shared" si="1"/>
        <v xml:space="preserve"> ,  ,  , </v>
      </c>
    </row>
    <row r="17" spans="1:12" x14ac:dyDescent="0.35">
      <c r="A17" s="206">
        <v>5</v>
      </c>
      <c r="B17" s="473">
        <f>'2.DODECATEMORIA TABLE HOROSCOPE'!E9</f>
        <v>0</v>
      </c>
      <c r="C17" s="473">
        <f>'2.DODECATEMORIA TABLE HOROSCOPE'!F9</f>
        <v>0</v>
      </c>
      <c r="D17" s="66" t="e">
        <f>INDEX('1. ZODIAC NATAL'!$B$6:$C$17,MATCH('2. YEAR OF USURPATION(ECLIPSE)'!E17,'1. ZODIAC NATAL'!$B$6:$B$17,0),2)</f>
        <v>#N/A</v>
      </c>
      <c r="E17" s="104" t="e">
        <f>'CONTINOUS ZODIAC TABLE'!B6</f>
        <v>#N/A</v>
      </c>
      <c r="F17" s="474" t="str" cm="1">
        <f t="array" ref="F17">IFERROR(IF(AND($A$7&gt;=INDEX($C$13:$C$24, ROW()-12), $A$7&lt;=INDEX($C$13:$C$24, ROW()-11)), $H$7, ""),"")</f>
        <v/>
      </c>
      <c r="G17" s="474" t="str" cm="1">
        <f t="array" ref="G17">IFERROR(IF(AND($A$8&gt;=INDEX($C$13:$C$24, ROW()-12), $A$8&lt;=INDEX($C$13:$C$24, ROW()-11)), $H$8, ""),"")</f>
        <v/>
      </c>
      <c r="H17" s="474" t="str" cm="1">
        <f t="array" ref="H17">IFERROR(IF(AND($A$9&gt;=INDEX($C$13:$C$24, ROW()-12), $A$9&lt;=INDEX($C$13:$C$24, ROW()-11)), $H$9, ""),"")</f>
        <v/>
      </c>
      <c r="I17" s="66" t="str" cm="1">
        <f t="array" ref="I17">IFERROR(IF(AND($A$10&gt;=INDEX($C$13:$C$24, ROW()-12), $A$10&lt;=INDEX($C$13:$C$24, ROW()-11)), $H$10, ""),"")</f>
        <v/>
      </c>
      <c r="J17" s="66" t="str">
        <f t="shared" si="1"/>
        <v xml:space="preserve"> ,  ,  , </v>
      </c>
    </row>
    <row r="18" spans="1:12" x14ac:dyDescent="0.35">
      <c r="A18" s="206">
        <v>6</v>
      </c>
      <c r="B18" s="473">
        <f>'2.DODECATEMORIA TABLE HOROSCOPE'!E10</f>
        <v>0</v>
      </c>
      <c r="C18" s="473">
        <f>'2.DODECATEMORIA TABLE HOROSCOPE'!F10</f>
        <v>0</v>
      </c>
      <c r="D18" s="66" t="e">
        <f>INDEX('1. ZODIAC NATAL'!$B$6:$C$17,MATCH('2. YEAR OF USURPATION(ECLIPSE)'!E18,'1. ZODIAC NATAL'!$B$6:$B$17,0),2)</f>
        <v>#N/A</v>
      </c>
      <c r="E18" s="104" t="e">
        <f>'CONTINOUS ZODIAC TABLE'!B7</f>
        <v>#N/A</v>
      </c>
      <c r="F18" s="474" t="str" cm="1">
        <f t="array" ref="F18">IFERROR(IF(AND($A$7&gt;=INDEX($C$13:$C$24, ROW()-12), $A$7&lt;=INDEX($C$13:$C$24, ROW()-11)), $H$7, ""),"")</f>
        <v/>
      </c>
      <c r="G18" s="474" t="str" cm="1">
        <f t="array" ref="G18">IFERROR(IF(AND($A$8&gt;=INDEX($C$13:$C$24, ROW()-12), $A$8&lt;=INDEX($C$13:$C$24, ROW()-11)), $H$8, ""),"")</f>
        <v/>
      </c>
      <c r="H18" s="474" t="str" cm="1">
        <f t="array" ref="H18">IFERROR(IF(AND($A$9&gt;=INDEX($C$13:$C$24, ROW()-12), $A$9&lt;=INDEX($C$13:$C$24, ROW()-11)), $H$9, ""),"")</f>
        <v/>
      </c>
      <c r="I18" s="66" t="str" cm="1">
        <f t="array" ref="I18">IFERROR(IF(AND($A$10&gt;=INDEX($C$13:$C$24, ROW()-12), $A$10&lt;=INDEX($C$13:$C$24, ROW()-11)), $H$10, ""),"")</f>
        <v/>
      </c>
      <c r="J18" s="66" t="str">
        <f t="shared" si="1"/>
        <v xml:space="preserve"> ,  ,  , </v>
      </c>
    </row>
    <row r="19" spans="1:12" x14ac:dyDescent="0.35">
      <c r="A19" s="206">
        <v>7</v>
      </c>
      <c r="B19" s="473">
        <f>'2.DODECATEMORIA TABLE HOROSCOPE'!E11</f>
        <v>0</v>
      </c>
      <c r="C19" s="473">
        <f>'2.DODECATEMORIA TABLE HOROSCOPE'!F11</f>
        <v>0</v>
      </c>
      <c r="D19" s="66" t="e">
        <f>INDEX('1. ZODIAC NATAL'!$B$6:$C$17,MATCH('2. YEAR OF USURPATION(ECLIPSE)'!E19,'1. ZODIAC NATAL'!$B$6:$B$17,0),2)</f>
        <v>#N/A</v>
      </c>
      <c r="E19" s="104" t="e">
        <f>'CONTINOUS ZODIAC TABLE'!B8</f>
        <v>#N/A</v>
      </c>
      <c r="F19" s="474" t="str" cm="1">
        <f t="array" ref="F19">IFERROR(IF(AND($A$7&gt;=INDEX($C$13:$C$24, ROW()-12), $A$7&lt;=INDEX($C$13:$C$24, ROW()-11)), $H$7, ""),"")</f>
        <v/>
      </c>
      <c r="G19" s="474" t="str" cm="1">
        <f t="array" ref="G19">IFERROR(IF(AND($A$8&gt;=INDEX($C$13:$C$24, ROW()-12), $A$8&lt;=INDEX($C$13:$C$24, ROW()-11)), $H$8, ""),"")</f>
        <v/>
      </c>
      <c r="H19" s="474" t="str" cm="1">
        <f t="array" ref="H19">IFERROR(IF(AND($A$9&gt;=INDEX($C$13:$C$24, ROW()-12), $A$9&lt;=INDEX($C$13:$C$24, ROW()-11)), $H$9, ""),"")</f>
        <v/>
      </c>
      <c r="I19" s="66" t="str" cm="1">
        <f t="array" ref="I19">IFERROR(IF(AND($A$10&gt;=INDEX($C$13:$C$24, ROW()-12), $A$10&lt;=INDEX($C$13:$C$24, ROW()-11)), $H$10, ""),"")</f>
        <v/>
      </c>
      <c r="J19" s="66" t="str">
        <f t="shared" si="1"/>
        <v xml:space="preserve"> ,  ,  , </v>
      </c>
    </row>
    <row r="20" spans="1:12" x14ac:dyDescent="0.35">
      <c r="A20" s="206">
        <v>8</v>
      </c>
      <c r="B20" s="473">
        <f>'2.DODECATEMORIA TABLE HOROSCOPE'!E12</f>
        <v>0</v>
      </c>
      <c r="C20" s="473">
        <f>'2.DODECATEMORIA TABLE HOROSCOPE'!F12</f>
        <v>0</v>
      </c>
      <c r="D20" s="66" t="e">
        <f>INDEX('1. ZODIAC NATAL'!$B$6:$C$17,MATCH('2. YEAR OF USURPATION(ECLIPSE)'!E20,'1. ZODIAC NATAL'!$B$6:$B$17,0),2)</f>
        <v>#N/A</v>
      </c>
      <c r="E20" s="104" t="e">
        <f>'CONTINOUS ZODIAC TABLE'!B9</f>
        <v>#N/A</v>
      </c>
      <c r="F20" s="474" t="str" cm="1">
        <f t="array" ref="F20">IFERROR(IF(AND($A$7&gt;=INDEX($C$13:$C$24, ROW()-12), $A$7&lt;=INDEX($C$13:$C$24, ROW()-11)), $H$7, ""),"")</f>
        <v/>
      </c>
      <c r="G20" s="474" t="str" cm="1">
        <f t="array" ref="G20">IFERROR(IF(AND($A$8&gt;=INDEX($C$13:$C$24, ROW()-12), $A$8&lt;=INDEX($C$13:$C$24, ROW()-11)), $H$8, ""),"")</f>
        <v/>
      </c>
      <c r="H20" s="474" t="str" cm="1">
        <f t="array" ref="H20">IFERROR(IF(AND($A$9&gt;=INDEX($C$13:$C$24, ROW()-12), $A$9&lt;=INDEX($C$13:$C$24, ROW()-11)), $H$9, ""),"")</f>
        <v/>
      </c>
      <c r="I20" s="66" t="str" cm="1">
        <f t="array" ref="I20">IFERROR(IF(AND($A$10&gt;=INDEX($C$13:$C$24, ROW()-12), $A$10&lt;=INDEX($C$13:$C$24, ROW()-11)), $H$10, ""),"")</f>
        <v/>
      </c>
      <c r="J20" s="66" t="str">
        <f t="shared" si="1"/>
        <v xml:space="preserve"> ,  ,  , </v>
      </c>
    </row>
    <row r="21" spans="1:12" x14ac:dyDescent="0.35">
      <c r="A21" s="206">
        <v>9</v>
      </c>
      <c r="B21" s="473">
        <f>'2.DODECATEMORIA TABLE HOROSCOPE'!E13</f>
        <v>0</v>
      </c>
      <c r="C21" s="473">
        <f>'2.DODECATEMORIA TABLE HOROSCOPE'!F13</f>
        <v>0</v>
      </c>
      <c r="D21" s="66" t="e">
        <f>INDEX('1. ZODIAC NATAL'!$B$6:$C$17,MATCH('2. YEAR OF USURPATION(ECLIPSE)'!E21,'1. ZODIAC NATAL'!$B$6:$B$17,0),2)</f>
        <v>#N/A</v>
      </c>
      <c r="E21" s="104" t="e">
        <f>'CONTINOUS ZODIAC TABLE'!B10</f>
        <v>#N/A</v>
      </c>
      <c r="F21" s="474" t="str" cm="1">
        <f t="array" ref="F21">IFERROR(IF(AND($A$7&gt;=INDEX($C$13:$C$24, ROW()-12), $A$7&lt;=INDEX($C$13:$C$24, ROW()-11)), $H$7, ""),"")</f>
        <v/>
      </c>
      <c r="G21" s="474" t="str" cm="1">
        <f t="array" ref="G21">IFERROR(IF(AND($A$8&gt;=INDEX($C$13:$C$24, ROW()-12), $A$8&lt;=INDEX($C$13:$C$24, ROW()-11)), $H$8, ""),"")</f>
        <v/>
      </c>
      <c r="H21" s="474" t="str" cm="1">
        <f t="array" ref="H21">IFERROR(IF(AND($A$9&gt;=INDEX($C$13:$C$24, ROW()-12), $A$9&lt;=INDEX($C$13:$C$24, ROW()-11)), $H$9, ""),"")</f>
        <v/>
      </c>
      <c r="I21" s="66" t="str" cm="1">
        <f t="array" ref="I21">IFERROR(IF(AND($A$10&gt;=INDEX($C$13:$C$24, ROW()-12), $A$10&lt;=INDEX($C$13:$C$24, ROW()-11)), $H$10, ""),"")</f>
        <v/>
      </c>
      <c r="J21" s="66" t="str">
        <f t="shared" si="1"/>
        <v xml:space="preserve"> ,  ,  , </v>
      </c>
    </row>
    <row r="22" spans="1:12" x14ac:dyDescent="0.35">
      <c r="A22" s="206">
        <v>10</v>
      </c>
      <c r="B22" s="473">
        <f>'2.DODECATEMORIA TABLE HOROSCOPE'!E14</f>
        <v>0</v>
      </c>
      <c r="C22" s="473">
        <f>'2.DODECATEMORIA TABLE HOROSCOPE'!F14</f>
        <v>0</v>
      </c>
      <c r="D22" s="66" t="e">
        <f>INDEX('1. ZODIAC NATAL'!$B$6:$C$17,MATCH('2. YEAR OF USURPATION(ECLIPSE)'!E22,'1. ZODIAC NATAL'!$B$6:$B$17,0),2)</f>
        <v>#N/A</v>
      </c>
      <c r="E22" s="104" t="e">
        <f>'CONTINOUS ZODIAC TABLE'!B11</f>
        <v>#N/A</v>
      </c>
      <c r="F22" s="474" t="str" cm="1">
        <f t="array" ref="F22">IFERROR(IF(AND($A$7&gt;=INDEX($C$13:$C$24, ROW()-12), $A$7&lt;=INDEX($C$13:$C$24, ROW()-11)), $H$7, ""),"")</f>
        <v/>
      </c>
      <c r="G22" s="474" t="str" cm="1">
        <f t="array" ref="G22">IFERROR(IF(AND($A$8&gt;=INDEX($C$13:$C$24, ROW()-12), $A$8&lt;=INDEX($C$13:$C$24, ROW()-11)), $H$8, ""),"")</f>
        <v/>
      </c>
      <c r="H22" s="474" t="str" cm="1">
        <f t="array" ref="H22">IFERROR(IF(AND($A$9&gt;=INDEX($C$13:$C$24, ROW()-12), $A$9&lt;=INDEX($C$13:$C$24, ROW()-11)), $H$9, ""),"")</f>
        <v/>
      </c>
      <c r="I22" s="66" t="str" cm="1">
        <f t="array" ref="I22">IFERROR(IF(AND($A$10&gt;=INDEX($C$13:$C$24, ROW()-12), $A$10&lt;=INDEX($C$13:$C$24, ROW()-11)), $H$10, ""),"")</f>
        <v/>
      </c>
      <c r="J22" s="66" t="str">
        <f t="shared" si="1"/>
        <v xml:space="preserve"> ,  ,  , </v>
      </c>
    </row>
    <row r="23" spans="1:12" x14ac:dyDescent="0.35">
      <c r="A23" s="206">
        <v>11</v>
      </c>
      <c r="B23" s="473">
        <f>'2.DODECATEMORIA TABLE HOROSCOPE'!E15</f>
        <v>0</v>
      </c>
      <c r="C23" s="473">
        <f>'2.DODECATEMORIA TABLE HOROSCOPE'!F15</f>
        <v>0</v>
      </c>
      <c r="D23" s="66" t="e">
        <f>INDEX('1. ZODIAC NATAL'!$B$6:$C$17,MATCH('2. YEAR OF USURPATION(ECLIPSE)'!E23,'1. ZODIAC NATAL'!$B$6:$B$17,0),2)</f>
        <v>#N/A</v>
      </c>
      <c r="E23" s="104" t="e">
        <f>'CONTINOUS ZODIAC TABLE'!B12</f>
        <v>#N/A</v>
      </c>
      <c r="F23" s="474" t="str" cm="1">
        <f t="array" ref="F23">IFERROR(IF(AND($A$7&gt;=INDEX($C$13:$C$24, ROW()-12), $A$7&lt;=INDEX($C$13:$C$24, ROW()-11)), $H$7, ""),"")</f>
        <v/>
      </c>
      <c r="G23" s="474" t="str" cm="1">
        <f t="array" ref="G23">IFERROR(IF(AND($A$8&gt;=INDEX($C$13:$C$24, ROW()-12), $A$8&lt;=INDEX($C$13:$C$24, ROW()-11)), $H$8, ""),"")</f>
        <v/>
      </c>
      <c r="H23" s="474" t="str" cm="1">
        <f t="array" ref="H23">IFERROR(IF(AND($A$9&gt;=INDEX($C$13:$C$24, ROW()-12), $A$9&lt;=INDEX($C$13:$C$24, ROW()-11)), $H$9, ""),"")</f>
        <v/>
      </c>
      <c r="I23" s="66" t="str" cm="1">
        <f t="array" ref="I23">IFERROR(IF(AND($A$10&gt;=INDEX($C$13:$C$24, ROW()-12), $A$10&lt;=INDEX($C$13:$C$24, ROW()-11)), $H$10, ""),"")</f>
        <v/>
      </c>
      <c r="J23" s="66" t="str">
        <f t="shared" si="1"/>
        <v xml:space="preserve"> ,  ,  , </v>
      </c>
    </row>
    <row r="24" spans="1:12" x14ac:dyDescent="0.35">
      <c r="A24" s="206">
        <v>12</v>
      </c>
      <c r="B24" s="473">
        <f>'2.DODECATEMORIA TABLE HOROSCOPE'!E16</f>
        <v>0</v>
      </c>
      <c r="C24" s="473">
        <f>'2.DODECATEMORIA TABLE HOROSCOPE'!F16</f>
        <v>0</v>
      </c>
      <c r="D24" s="66" t="e">
        <f>INDEX('1. ZODIAC NATAL'!$B$6:$C$17,MATCH('2. YEAR OF USURPATION(ECLIPSE)'!E24,'1. ZODIAC NATAL'!$B$6:$B$17,0),2)</f>
        <v>#N/A</v>
      </c>
      <c r="E24" s="104" t="e">
        <f>'CONTINOUS ZODIAC TABLE'!B13</f>
        <v>#N/A</v>
      </c>
      <c r="F24" s="474" t="str" cm="1">
        <f t="array" ref="F24">IFERROR(IF(AND($A$7&gt;=INDEX($C$13:$C$24, ROW()-12), $A$7&lt;=INDEX($C$13:$C$24, ROW()-11)), $H$7, ""),"")</f>
        <v/>
      </c>
      <c r="G24" s="474" t="str" cm="1">
        <f t="array" ref="G24">IFERROR(IF(AND($A$8&gt;=INDEX($C$13:$C$24, ROW()-12), $A$8&lt;=INDEX($C$13:$C$24, ROW()-11)), $H$8, ""),"")</f>
        <v/>
      </c>
      <c r="H24" s="474" t="str" cm="1">
        <f t="array" ref="H24">IFERROR(IF(AND($A$9&gt;=INDEX($C$13:$C$24, ROW()-12), $A$9&lt;=INDEX($C$13:$C$24, ROW()-11)), $H$9, ""),"")</f>
        <v/>
      </c>
      <c r="I24" s="66" t="str" cm="1">
        <f t="array" ref="I24">IFERROR(IF(AND($A$10&gt;=INDEX($C$13:$C$24, ROW()-12), $A$10&lt;=INDEX($C$13:$C$24, ROW()-11)), $H$10, ""),"")</f>
        <v/>
      </c>
      <c r="J24" s="66" t="str">
        <f t="shared" si="1"/>
        <v xml:space="preserve"> ,  ,  , </v>
      </c>
    </row>
    <row r="26" spans="1:12" x14ac:dyDescent="0.35">
      <c r="L26" s="97"/>
    </row>
    <row r="28" spans="1:12" x14ac:dyDescent="0.35">
      <c r="L28" s="97"/>
    </row>
    <row r="30" spans="1:12" x14ac:dyDescent="0.35">
      <c r="L30" s="97"/>
    </row>
    <row r="31" spans="1:12" x14ac:dyDescent="0.35">
      <c r="L31" s="97"/>
    </row>
  </sheetData>
  <mergeCells count="7">
    <mergeCell ref="H5:H6"/>
    <mergeCell ref="F5:G5"/>
    <mergeCell ref="D5:D6"/>
    <mergeCell ref="E5:E6"/>
    <mergeCell ref="A5:A6"/>
    <mergeCell ref="B5:B6"/>
    <mergeCell ref="C5:C6"/>
  </mergeCells>
  <conditionalFormatting sqref="D13:D24">
    <cfRule type="containsText" dxfId="4" priority="1" operator="containsText" text="CARDINAL">
      <formula>NOT(ISERROR(SEARCH("CARDINAL",D13)))</formula>
    </cfRule>
  </conditionalFormatting>
  <hyperlinks>
    <hyperlink ref="E2" r:id="rId1" xr:uid="{E0F23BA9-E1AD-4661-B6A7-DF056584DFF9}"/>
  </hyperlinks>
  <pageMargins left="0.7" right="0.7" top="0.75" bottom="0.75" header="0.3" footer="0.3"/>
  <pageSetup paperSize="9" orientation="portrait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8221128A-3808-45E6-9FA9-84E0C1C2ABB2}">
          <x14:formula1>
            <xm:f>'CONTINOUS ZODIAC TABLE'!$A$2:$A$13</xm:f>
          </x14:formula1>
          <xm:sqref>B7:B10</xm:sqref>
        </x14:dataValidation>
        <x14:dataValidation type="list" allowBlank="1" showInputMessage="1" showErrorMessage="1" xr:uid="{96134ED3-F0C0-4465-BD72-58B67E5ED28C}">
          <x14:formula1>
            <xm:f>'1. ZODIAC NATAL'!$A$6:$A$17</xm:f>
          </x14:formula1>
          <xm:sqref>D7:D10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0E99-BE2A-4E66-8F59-6ED74456C303}">
  <sheetPr codeName="Sheet10">
    <tabColor rgb="FF00B0F0"/>
  </sheetPr>
  <dimension ref="A1:N144"/>
  <sheetViews>
    <sheetView zoomScale="70" zoomScaleNormal="70" workbookViewId="0">
      <pane ySplit="9" topLeftCell="A10" activePane="bottomLeft" state="frozen"/>
      <selection pane="bottomLeft" activeCell="F22" sqref="F22"/>
    </sheetView>
  </sheetViews>
  <sheetFormatPr defaultRowHeight="14.5" x14ac:dyDescent="0.35"/>
  <cols>
    <col min="1" max="1" width="33.1796875" customWidth="1"/>
    <col min="2" max="2" width="19.453125" bestFit="1" customWidth="1"/>
    <col min="3" max="3" width="10.453125" style="19" bestFit="1" customWidth="1"/>
    <col min="4" max="4" width="14.81640625" customWidth="1"/>
    <col min="5" max="5" width="18.453125" customWidth="1"/>
    <col min="6" max="6" width="38.7265625" customWidth="1"/>
    <col min="7" max="7" width="15.54296875" customWidth="1"/>
    <col min="8" max="8" width="9.54296875" bestFit="1" customWidth="1"/>
    <col min="9" max="9" width="9.1796875" bestFit="1" customWidth="1"/>
    <col min="10" max="11" width="16" bestFit="1" customWidth="1"/>
    <col min="12" max="12" width="15.1796875" style="19" customWidth="1"/>
    <col min="13" max="13" width="25.7265625" customWidth="1"/>
    <col min="14" max="14" width="30.1796875" style="19" customWidth="1"/>
  </cols>
  <sheetData>
    <row r="1" spans="1:14" ht="31" x14ac:dyDescent="0.7">
      <c r="A1" s="629" t="s">
        <v>29</v>
      </c>
      <c r="B1" s="629"/>
      <c r="C1" s="629"/>
      <c r="D1" s="629"/>
      <c r="E1" s="629"/>
      <c r="F1" s="629"/>
      <c r="G1" s="629"/>
      <c r="H1" s="108"/>
      <c r="I1" s="108"/>
      <c r="J1" s="108"/>
      <c r="K1" s="108"/>
      <c r="L1" s="135" t="s">
        <v>225</v>
      </c>
    </row>
    <row r="2" spans="1:14" ht="6" customHeight="1" thickBot="1" x14ac:dyDescent="0.4">
      <c r="L2" s="135" t="s">
        <v>226</v>
      </c>
    </row>
    <row r="3" spans="1:14" ht="15" thickTop="1" x14ac:dyDescent="0.35">
      <c r="A3" s="143"/>
      <c r="B3" s="144" t="s">
        <v>187</v>
      </c>
      <c r="C3" s="144" t="s">
        <v>30</v>
      </c>
      <c r="D3" s="145" t="s">
        <v>150</v>
      </c>
      <c r="E3" s="145" t="s">
        <v>154</v>
      </c>
      <c r="F3" s="146" t="s">
        <v>155</v>
      </c>
      <c r="G3" s="19"/>
      <c r="I3" s="19"/>
      <c r="L3"/>
      <c r="N3"/>
    </row>
    <row r="4" spans="1:14" ht="15" customHeight="1" x14ac:dyDescent="0.35">
      <c r="A4" s="109" t="s">
        <v>380</v>
      </c>
      <c r="B4" s="12"/>
      <c r="C4" s="112"/>
      <c r="D4" s="631"/>
      <c r="E4" s="66" t="e">
        <f>INDEX('ZODIAC LORD and ATRIBUTES'!$E$3:$E$14,MATCH('3. ILLNESS AND PERILOUS YEAR'!B4,'ZODIAC LORD and ATRIBUTES'!$A$3:$A$14,0))</f>
        <v>#N/A</v>
      </c>
      <c r="F4" s="341" t="e">
        <f>INDEX('ZODIAC LORD and ATRIBUTES'!$F$3:$F$14,MATCH('3. ILLNESS AND PERILOUS YEAR'!B4,'ZODIAC LORD and ATRIBUTES'!$A$3:$A$14,0))</f>
        <v>#N/A</v>
      </c>
      <c r="G4" s="335"/>
      <c r="I4" s="19"/>
      <c r="L4"/>
      <c r="N4"/>
    </row>
    <row r="5" spans="1:14" x14ac:dyDescent="0.35">
      <c r="A5" s="109" t="s">
        <v>257</v>
      </c>
      <c r="B5" s="195" t="e">
        <f>INDEX('ZODIAC LORD and ATRIBUTES'!$C$3:$C$14,MATCH('3. ILLNESS AND PERILOUS YEAR'!B4,'ZODIAC LORD and ATRIBUTES'!$A$3:$A$14,0))</f>
        <v>#N/A</v>
      </c>
      <c r="C5" s="113"/>
      <c r="D5" s="632"/>
      <c r="E5" s="66"/>
      <c r="F5" s="341"/>
      <c r="G5" s="630" t="s">
        <v>159</v>
      </c>
      <c r="H5" s="630"/>
      <c r="I5" s="19"/>
      <c r="L5"/>
      <c r="N5"/>
    </row>
    <row r="6" spans="1:14" x14ac:dyDescent="0.35">
      <c r="A6" s="109" t="s">
        <v>382</v>
      </c>
      <c r="B6" s="66" t="e">
        <f>INDEX('1. ANNUAL REVOLUTION'!$B$23:$B$29,MATCH(B5,'1. ANNUAL REVOLUTION'!$A$23:$A$29,0))</f>
        <v>#N/A</v>
      </c>
      <c r="C6" s="113"/>
      <c r="D6" s="632"/>
      <c r="E6" s="66" t="e">
        <f>INDEX('ZODIAC LORD and ATRIBUTES'!$E$3:$E$14,MATCH('3. ILLNESS AND PERILOUS YEAR'!B6,'ZODIAC LORD and ATRIBUTES'!$A$3:$A$14,0))</f>
        <v>#N/A</v>
      </c>
      <c r="F6" s="341" t="e">
        <f>INDEX('ZODIAC LORD and ATRIBUTES'!$F$3:$F$14,MATCH('3. ILLNESS AND PERILOUS YEAR'!B6,'ZODIAC LORD and ATRIBUTES'!$A$3:$A$14,0))</f>
        <v>#N/A</v>
      </c>
      <c r="G6" s="340" t="s">
        <v>157</v>
      </c>
      <c r="H6" s="206">
        <f>COUNTIF($E$4:$F$8,G6)</f>
        <v>0</v>
      </c>
      <c r="I6" s="19"/>
      <c r="L6"/>
      <c r="N6"/>
    </row>
    <row r="7" spans="1:14" x14ac:dyDescent="0.35">
      <c r="A7" s="109" t="s">
        <v>137</v>
      </c>
      <c r="B7" s="66" t="e">
        <f>'DODECATEMORIA TABLE'!H9</f>
        <v>#REF!</v>
      </c>
      <c r="C7" s="113"/>
      <c r="D7" s="632"/>
      <c r="E7" s="66" t="e">
        <f>INDEX('ZODIAC LORD and ATRIBUTES'!$E$3:$E$14,MATCH('3. ILLNESS AND PERILOUS YEAR'!B7,'ZODIAC LORD and ATRIBUTES'!$A$3:$A$14,0))</f>
        <v>#REF!</v>
      </c>
      <c r="F7" s="341" t="e">
        <f>INDEX('ZODIAC LORD and ATRIBUTES'!$F$3:$F$14,MATCH('3. ILLNESS AND PERILOUS YEAR'!B7,'ZODIAC LORD and ATRIBUTES'!$A$3:$A$14,0))</f>
        <v>#REF!</v>
      </c>
      <c r="G7" s="340" t="s">
        <v>158</v>
      </c>
      <c r="H7" s="206">
        <f t="shared" ref="H7:H9" si="0">COUNTIF($E$4:$F$8,G7)</f>
        <v>0</v>
      </c>
      <c r="I7" s="19"/>
      <c r="L7"/>
      <c r="N7"/>
    </row>
    <row r="8" spans="1:14" ht="15" thickBot="1" x14ac:dyDescent="0.4">
      <c r="A8" s="110" t="s">
        <v>32</v>
      </c>
      <c r="B8" s="338" t="e">
        <f>'1. ANNUAL REVOLUTION'!B29</f>
        <v>#N/A</v>
      </c>
      <c r="C8" s="339">
        <f>'1. ANNUAL REVOLUTION'!C29</f>
        <v>0</v>
      </c>
      <c r="D8" s="632"/>
      <c r="E8" s="66" t="e">
        <f>INDEX('ZODIAC LORD and ATRIBUTES'!$E$3:$E$14,MATCH('3. ILLNESS AND PERILOUS YEAR'!B8,'ZODIAC LORD and ATRIBUTES'!$A$3:$A$14,0))</f>
        <v>#N/A</v>
      </c>
      <c r="F8" s="341" t="e">
        <f>INDEX('ZODIAC LORD and ATRIBUTES'!$F$3:$F$14,MATCH('3. ILLNESS AND PERILOUS YEAR'!B8,'ZODIAC LORD and ATRIBUTES'!$A$3:$A$14,0))</f>
        <v>#N/A</v>
      </c>
      <c r="G8" s="340" t="s">
        <v>156</v>
      </c>
      <c r="H8" s="206">
        <f t="shared" si="0"/>
        <v>0</v>
      </c>
      <c r="I8" s="19"/>
      <c r="L8"/>
      <c r="N8"/>
    </row>
    <row r="9" spans="1:14" ht="29.5" thickTop="1" x14ac:dyDescent="0.35">
      <c r="A9" s="142" t="s">
        <v>381</v>
      </c>
      <c r="B9" s="148" t="s">
        <v>233</v>
      </c>
      <c r="C9" s="148" t="s">
        <v>234</v>
      </c>
      <c r="D9" s="325" t="s">
        <v>188</v>
      </c>
      <c r="E9" s="334" t="s">
        <v>189</v>
      </c>
      <c r="F9" s="147" t="s">
        <v>207</v>
      </c>
      <c r="G9" s="340" t="s">
        <v>205</v>
      </c>
      <c r="H9" s="206">
        <f t="shared" si="0"/>
        <v>0</v>
      </c>
      <c r="I9" s="19"/>
      <c r="L9"/>
      <c r="N9"/>
    </row>
    <row r="10" spans="1:14" x14ac:dyDescent="0.35">
      <c r="A10" s="79"/>
      <c r="B10" s="79"/>
      <c r="C10" s="34"/>
      <c r="D10" s="100" t="str">
        <f t="shared" ref="D10:D21" si="1">IF(C10="WANING", "LINGER", "NOT LINGER")</f>
        <v>NOT LINGER</v>
      </c>
      <c r="E10" s="641" t="str">
        <f>_xlfn.IFNA(VLOOKUP(B10,'ZODIAC LORD and ATRIBUTES'!A:K,11,FALSE),"")</f>
        <v/>
      </c>
      <c r="F10" s="342" t="str">
        <f>D10 &amp; "-&gt;" &amp;E10</f>
        <v>NOT LINGER-&gt;</v>
      </c>
      <c r="G10" s="19"/>
      <c r="I10" s="19"/>
      <c r="L10"/>
      <c r="N10"/>
    </row>
    <row r="11" spans="1:14" x14ac:dyDescent="0.35">
      <c r="A11" s="79"/>
      <c r="B11" s="79"/>
      <c r="C11" s="34"/>
      <c r="D11" s="100" t="str">
        <f t="shared" si="1"/>
        <v>NOT LINGER</v>
      </c>
      <c r="E11" s="100" t="str">
        <f>_xlfn.IFNA(VLOOKUP(B11,'ZODIAC LORD and ATRIBUTES'!A:K,11,FALSE),"")</f>
        <v/>
      </c>
      <c r="F11" s="342" t="str">
        <f t="shared" ref="F11:F21" si="2">D11 &amp; "-&gt;" &amp;E11</f>
        <v>NOT LINGER-&gt;</v>
      </c>
      <c r="L11"/>
      <c r="N11"/>
    </row>
    <row r="12" spans="1:14" x14ac:dyDescent="0.35">
      <c r="A12" s="79"/>
      <c r="B12" s="79"/>
      <c r="C12" s="34"/>
      <c r="D12" s="100" t="str">
        <f t="shared" si="1"/>
        <v>NOT LINGER</v>
      </c>
      <c r="E12" s="100" t="str">
        <f>_xlfn.IFNA(VLOOKUP(B12,'ZODIAC LORD and ATRIBUTES'!A:K,11,FALSE),"")</f>
        <v/>
      </c>
      <c r="F12" s="342" t="str">
        <f t="shared" si="2"/>
        <v>NOT LINGER-&gt;</v>
      </c>
      <c r="L12"/>
      <c r="N12"/>
    </row>
    <row r="13" spans="1:14" x14ac:dyDescent="0.35">
      <c r="A13" s="79"/>
      <c r="B13" s="79"/>
      <c r="C13" s="34"/>
      <c r="D13" s="100" t="str">
        <f t="shared" si="1"/>
        <v>NOT LINGER</v>
      </c>
      <c r="E13" s="100" t="str">
        <f>_xlfn.IFNA(VLOOKUP(B13,'ZODIAC LORD and ATRIBUTES'!A:K,11,FALSE),"")</f>
        <v/>
      </c>
      <c r="F13" s="342" t="str">
        <f t="shared" si="2"/>
        <v>NOT LINGER-&gt;</v>
      </c>
      <c r="L13"/>
      <c r="N13"/>
    </row>
    <row r="14" spans="1:14" x14ac:dyDescent="0.35">
      <c r="A14" s="79"/>
      <c r="B14" s="79"/>
      <c r="C14" s="34"/>
      <c r="D14" s="100" t="str">
        <f t="shared" si="1"/>
        <v>NOT LINGER</v>
      </c>
      <c r="E14" s="100" t="str">
        <f>_xlfn.IFNA(VLOOKUP(B14,'ZODIAC LORD and ATRIBUTES'!A:K,11,FALSE),"")</f>
        <v/>
      </c>
      <c r="F14" s="342" t="str">
        <f t="shared" si="2"/>
        <v>NOT LINGER-&gt;</v>
      </c>
      <c r="L14"/>
      <c r="N14"/>
    </row>
    <row r="15" spans="1:14" x14ac:dyDescent="0.35">
      <c r="A15" s="79"/>
      <c r="B15" s="79"/>
      <c r="C15" s="34"/>
      <c r="D15" s="100" t="str">
        <f t="shared" si="1"/>
        <v>NOT LINGER</v>
      </c>
      <c r="E15" s="100" t="str">
        <f>_xlfn.IFNA(VLOOKUP(B15,'ZODIAC LORD and ATRIBUTES'!A:K,11,FALSE),"")</f>
        <v/>
      </c>
      <c r="F15" s="342" t="str">
        <f t="shared" si="2"/>
        <v>NOT LINGER-&gt;</v>
      </c>
      <c r="L15"/>
      <c r="N15"/>
    </row>
    <row r="16" spans="1:14" x14ac:dyDescent="0.35">
      <c r="A16" s="79"/>
      <c r="B16" s="79"/>
      <c r="C16" s="34"/>
      <c r="D16" s="100" t="str">
        <f t="shared" si="1"/>
        <v>NOT LINGER</v>
      </c>
      <c r="E16" s="100" t="str">
        <f>_xlfn.IFNA(VLOOKUP(B16,'ZODIAC LORD and ATRIBUTES'!A:K,11,FALSE),"")</f>
        <v/>
      </c>
      <c r="F16" s="342" t="str">
        <f t="shared" si="2"/>
        <v>NOT LINGER-&gt;</v>
      </c>
      <c r="L16"/>
      <c r="N16"/>
    </row>
    <row r="17" spans="1:14" x14ac:dyDescent="0.35">
      <c r="A17" s="79"/>
      <c r="B17" s="79"/>
      <c r="C17" s="34"/>
      <c r="D17" s="100" t="str">
        <f t="shared" si="1"/>
        <v>NOT LINGER</v>
      </c>
      <c r="E17" s="100" t="str">
        <f>_xlfn.IFNA(VLOOKUP(B17,'ZODIAC LORD and ATRIBUTES'!A:K,11,FALSE),"")</f>
        <v/>
      </c>
      <c r="F17" s="342" t="str">
        <f t="shared" si="2"/>
        <v>NOT LINGER-&gt;</v>
      </c>
      <c r="L17"/>
      <c r="N17"/>
    </row>
    <row r="18" spans="1:14" x14ac:dyDescent="0.35">
      <c r="A18" s="79"/>
      <c r="B18" s="79"/>
      <c r="C18" s="79"/>
      <c r="D18" s="100" t="str">
        <f t="shared" si="1"/>
        <v>NOT LINGER</v>
      </c>
      <c r="E18" s="100" t="str">
        <f>_xlfn.IFNA(VLOOKUP(B18,'ZODIAC LORD and ATRIBUTES'!A:K,11,FALSE),"")</f>
        <v/>
      </c>
      <c r="F18" s="100" t="str">
        <f t="shared" si="2"/>
        <v>NOT LINGER-&gt;</v>
      </c>
      <c r="L18"/>
      <c r="N18"/>
    </row>
    <row r="19" spans="1:14" x14ac:dyDescent="0.35">
      <c r="A19" s="79"/>
      <c r="B19" s="79"/>
      <c r="C19" s="79"/>
      <c r="D19" s="100" t="str">
        <f t="shared" si="1"/>
        <v>NOT LINGER</v>
      </c>
      <c r="E19" s="100" t="str">
        <f>_xlfn.IFNA(VLOOKUP(B19,'ZODIAC LORD and ATRIBUTES'!A:K,11,FALSE),"")</f>
        <v/>
      </c>
      <c r="F19" s="100" t="str">
        <f t="shared" si="2"/>
        <v>NOT LINGER-&gt;</v>
      </c>
      <c r="L19"/>
      <c r="N19"/>
    </row>
    <row r="20" spans="1:14" x14ac:dyDescent="0.35">
      <c r="A20" s="79"/>
      <c r="B20" s="79"/>
      <c r="C20" s="79"/>
      <c r="D20" s="100" t="str">
        <f t="shared" si="1"/>
        <v>NOT LINGER</v>
      </c>
      <c r="E20" s="100" t="str">
        <f>_xlfn.IFNA(VLOOKUP(B20,'ZODIAC LORD and ATRIBUTES'!A:K,11,FALSE),"")</f>
        <v/>
      </c>
      <c r="F20" s="100" t="str">
        <f t="shared" si="2"/>
        <v>NOT LINGER-&gt;</v>
      </c>
      <c r="L20"/>
      <c r="N20"/>
    </row>
    <row r="21" spans="1:14" ht="15" thickBot="1" x14ac:dyDescent="0.4">
      <c r="A21" s="172"/>
      <c r="B21" s="172"/>
      <c r="C21" s="172"/>
      <c r="D21" s="101" t="str">
        <f t="shared" si="1"/>
        <v>NOT LINGER</v>
      </c>
      <c r="E21" s="101" t="str">
        <f>_xlfn.IFNA(VLOOKUP(B21,'ZODIAC LORD and ATRIBUTES'!A:K,11,FALSE),"")</f>
        <v/>
      </c>
      <c r="F21" s="101" t="str">
        <f t="shared" si="2"/>
        <v>NOT LINGER-&gt;</v>
      </c>
      <c r="L21"/>
      <c r="N21"/>
    </row>
    <row r="22" spans="1:14" ht="30" customHeight="1" thickTop="1" x14ac:dyDescent="0.35">
      <c r="A22" s="41"/>
      <c r="B22" s="41"/>
      <c r="C22" s="55"/>
      <c r="D22" s="41"/>
      <c r="E22" s="41"/>
      <c r="F22" s="41"/>
      <c r="L22"/>
      <c r="N22"/>
    </row>
    <row r="23" spans="1:14" hidden="1" x14ac:dyDescent="0.35">
      <c r="G23" s="10"/>
      <c r="H23" s="10"/>
      <c r="I23" s="10"/>
      <c r="J23" s="10"/>
      <c r="K23" s="10"/>
      <c r="L23" s="111"/>
      <c r="M23" s="10"/>
    </row>
    <row r="27" spans="1:14" x14ac:dyDescent="0.35">
      <c r="D27" s="41"/>
      <c r="E27" s="41"/>
    </row>
    <row r="28" spans="1:14" x14ac:dyDescent="0.35">
      <c r="A28" s="19"/>
    </row>
    <row r="91" spans="10:10" x14ac:dyDescent="0.35">
      <c r="J91" s="52"/>
    </row>
    <row r="94" spans="10:10" x14ac:dyDescent="0.35">
      <c r="J94" s="52"/>
    </row>
    <row r="97" spans="10:10" x14ac:dyDescent="0.35">
      <c r="J97" s="52"/>
    </row>
    <row r="100" spans="10:10" x14ac:dyDescent="0.35">
      <c r="J100" s="52"/>
    </row>
    <row r="103" spans="10:10" x14ac:dyDescent="0.35">
      <c r="J103" s="52"/>
    </row>
    <row r="106" spans="10:10" x14ac:dyDescent="0.35">
      <c r="J106" s="52"/>
    </row>
    <row r="109" spans="10:10" x14ac:dyDescent="0.35">
      <c r="J109" s="52"/>
    </row>
    <row r="112" spans="10:10" x14ac:dyDescent="0.35">
      <c r="J112" s="52"/>
    </row>
    <row r="115" spans="10:10" x14ac:dyDescent="0.35">
      <c r="J115" s="52"/>
    </row>
    <row r="119" spans="10:10" x14ac:dyDescent="0.35">
      <c r="J119" s="52"/>
    </row>
    <row r="122" spans="10:10" x14ac:dyDescent="0.35">
      <c r="J122" s="52"/>
    </row>
    <row r="125" spans="10:10" x14ac:dyDescent="0.35">
      <c r="J125" s="52"/>
    </row>
    <row r="128" spans="10:10" x14ac:dyDescent="0.35">
      <c r="J128" s="52"/>
    </row>
    <row r="131" spans="10:10" x14ac:dyDescent="0.35">
      <c r="J131" s="52"/>
    </row>
    <row r="134" spans="10:10" x14ac:dyDescent="0.35">
      <c r="J134" s="52"/>
    </row>
    <row r="137" spans="10:10" x14ac:dyDescent="0.35">
      <c r="J137" s="52"/>
    </row>
    <row r="140" spans="10:10" x14ac:dyDescent="0.35">
      <c r="J140" s="52"/>
    </row>
    <row r="143" spans="10:10" x14ac:dyDescent="0.35">
      <c r="J143" s="52"/>
    </row>
    <row r="144" spans="10:10" x14ac:dyDescent="0.35">
      <c r="J144" t="s">
        <v>186</v>
      </c>
    </row>
  </sheetData>
  <mergeCells count="3">
    <mergeCell ref="A1:G1"/>
    <mergeCell ref="G5:H5"/>
    <mergeCell ref="D4:D8"/>
  </mergeCells>
  <conditionalFormatting sqref="D10:D21">
    <cfRule type="cellIs" dxfId="3" priority="2" operator="equal">
      <formula>"LINGER"</formula>
    </cfRule>
  </conditionalFormatting>
  <conditionalFormatting sqref="H6:H9">
    <cfRule type="top10" dxfId="2" priority="1" rank="2"/>
  </conditionalFormatting>
  <dataValidations count="1">
    <dataValidation type="list" allowBlank="1" showInputMessage="1" showErrorMessage="1" sqref="C10:C21" xr:uid="{21FD3F67-A366-444F-8846-13FC1A437497}">
      <formula1>$L$1:$L$2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2FB7DA-01FE-413E-A093-CB8611653D6B}">
          <x14:formula1>
            <xm:f>'CONTINOUS ZODIAC TABLE'!$A$2:$A$13</xm:f>
          </x14:formula1>
          <xm:sqref>B10:B21 B4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FA4D-E1F5-4BAA-A2AB-3A68CA2858BA}">
  <dimension ref="A1"/>
  <sheetViews>
    <sheetView zoomScale="70" zoomScaleNormal="70" workbookViewId="0">
      <selection activeCell="BS136" sqref="BS136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3141-343E-45FC-B194-732239092526}">
  <sheetPr codeName="Sheet19"/>
  <dimension ref="A3:C10"/>
  <sheetViews>
    <sheetView workbookViewId="0">
      <selection activeCell="B11" sqref="B11"/>
    </sheetView>
  </sheetViews>
  <sheetFormatPr defaultRowHeight="14.5" x14ac:dyDescent="0.35"/>
  <cols>
    <col min="1" max="1" width="11.453125" bestFit="1" customWidth="1"/>
  </cols>
  <sheetData>
    <row r="3" spans="1:3" x14ac:dyDescent="0.35">
      <c r="A3" t="s">
        <v>271</v>
      </c>
      <c r="B3" t="s">
        <v>272</v>
      </c>
      <c r="C3" t="s">
        <v>53</v>
      </c>
    </row>
    <row r="4" spans="1:3" x14ac:dyDescent="0.35">
      <c r="A4">
        <v>0</v>
      </c>
      <c r="B4">
        <v>3</v>
      </c>
      <c r="C4" t="s">
        <v>35</v>
      </c>
    </row>
    <row r="5" spans="1:3" x14ac:dyDescent="0.35">
      <c r="A5">
        <v>4</v>
      </c>
      <c r="B5">
        <v>13</v>
      </c>
      <c r="C5" t="s">
        <v>56</v>
      </c>
    </row>
    <row r="6" spans="1:3" x14ac:dyDescent="0.35">
      <c r="A6">
        <v>14</v>
      </c>
      <c r="B6">
        <v>21</v>
      </c>
      <c r="C6" t="s">
        <v>118</v>
      </c>
    </row>
    <row r="7" spans="1:3" x14ac:dyDescent="0.35">
      <c r="A7">
        <v>22</v>
      </c>
      <c r="B7">
        <v>40</v>
      </c>
      <c r="C7" t="s">
        <v>59</v>
      </c>
    </row>
    <row r="8" spans="1:3" x14ac:dyDescent="0.35">
      <c r="A8">
        <v>41</v>
      </c>
      <c r="B8">
        <v>55</v>
      </c>
      <c r="C8" t="s">
        <v>121</v>
      </c>
    </row>
    <row r="9" spans="1:3" x14ac:dyDescent="0.35">
      <c r="A9">
        <v>56</v>
      </c>
      <c r="B9">
        <v>67</v>
      </c>
      <c r="C9" t="s">
        <v>13</v>
      </c>
    </row>
    <row r="10" spans="1:3" x14ac:dyDescent="0.35">
      <c r="A10">
        <v>68</v>
      </c>
      <c r="B10">
        <v>97</v>
      </c>
      <c r="C10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5130-D174-4BF6-9A56-B4C7D3CC8B43}">
  <sheetPr codeName="Sheet18">
    <tabColor theme="1"/>
  </sheetPr>
  <dimension ref="B2:F29"/>
  <sheetViews>
    <sheetView workbookViewId="0">
      <selection activeCell="J8" sqref="J8"/>
    </sheetView>
  </sheetViews>
  <sheetFormatPr defaultRowHeight="14.5" x14ac:dyDescent="0.35"/>
  <sheetData>
    <row r="2" spans="2:6" x14ac:dyDescent="0.35">
      <c r="B2" t="s">
        <v>21</v>
      </c>
      <c r="C2" t="s">
        <v>10</v>
      </c>
      <c r="F2" t="s">
        <v>10</v>
      </c>
    </row>
    <row r="3" spans="2:6" x14ac:dyDescent="0.35">
      <c r="B3" t="s">
        <v>23</v>
      </c>
      <c r="C3" t="s">
        <v>13</v>
      </c>
      <c r="F3" t="s">
        <v>13</v>
      </c>
    </row>
    <row r="4" spans="2:6" x14ac:dyDescent="0.35">
      <c r="B4" t="s">
        <v>127</v>
      </c>
      <c r="C4" t="s">
        <v>121</v>
      </c>
      <c r="F4" t="s">
        <v>121</v>
      </c>
    </row>
    <row r="5" spans="2:6" x14ac:dyDescent="0.35">
      <c r="B5" t="s">
        <v>18</v>
      </c>
      <c r="C5" t="s">
        <v>59</v>
      </c>
      <c r="F5" t="s">
        <v>59</v>
      </c>
    </row>
    <row r="6" spans="2:6" x14ac:dyDescent="0.35">
      <c r="B6" t="s">
        <v>19</v>
      </c>
      <c r="C6" t="s">
        <v>118</v>
      </c>
      <c r="F6" t="s">
        <v>118</v>
      </c>
    </row>
    <row r="7" spans="2:6" x14ac:dyDescent="0.35">
      <c r="B7" t="s">
        <v>22</v>
      </c>
      <c r="C7" t="s">
        <v>56</v>
      </c>
      <c r="F7" t="s">
        <v>56</v>
      </c>
    </row>
    <row r="8" spans="2:6" x14ac:dyDescent="0.35">
      <c r="B8" t="s">
        <v>20</v>
      </c>
      <c r="C8" t="s">
        <v>35</v>
      </c>
      <c r="F8" t="s">
        <v>35</v>
      </c>
    </row>
    <row r="9" spans="2:6" x14ac:dyDescent="0.35">
      <c r="C9" t="s">
        <v>10</v>
      </c>
      <c r="F9" t="s">
        <v>68</v>
      </c>
    </row>
    <row r="10" spans="2:6" x14ac:dyDescent="0.35">
      <c r="C10" t="s">
        <v>13</v>
      </c>
    </row>
    <row r="11" spans="2:6" x14ac:dyDescent="0.35">
      <c r="C11" t="s">
        <v>121</v>
      </c>
    </row>
    <row r="12" spans="2:6" x14ac:dyDescent="0.35">
      <c r="C12" t="s">
        <v>59</v>
      </c>
    </row>
    <row r="13" spans="2:6" x14ac:dyDescent="0.35">
      <c r="C13" t="s">
        <v>118</v>
      </c>
    </row>
    <row r="14" spans="2:6" x14ac:dyDescent="0.35">
      <c r="C14" t="s">
        <v>56</v>
      </c>
    </row>
    <row r="15" spans="2:6" x14ac:dyDescent="0.35">
      <c r="C15" t="s">
        <v>35</v>
      </c>
    </row>
    <row r="16" spans="2:6" x14ac:dyDescent="0.35">
      <c r="C16" t="s">
        <v>10</v>
      </c>
    </row>
    <row r="17" spans="3:3" x14ac:dyDescent="0.35">
      <c r="C17" t="s">
        <v>13</v>
      </c>
    </row>
    <row r="18" spans="3:3" x14ac:dyDescent="0.35">
      <c r="C18" t="s">
        <v>121</v>
      </c>
    </row>
    <row r="19" spans="3:3" x14ac:dyDescent="0.35">
      <c r="C19" t="s">
        <v>59</v>
      </c>
    </row>
    <row r="20" spans="3:3" x14ac:dyDescent="0.35">
      <c r="C20" t="s">
        <v>118</v>
      </c>
    </row>
    <row r="21" spans="3:3" x14ac:dyDescent="0.35">
      <c r="C21" t="s">
        <v>56</v>
      </c>
    </row>
    <row r="22" spans="3:3" x14ac:dyDescent="0.35">
      <c r="C22" t="s">
        <v>35</v>
      </c>
    </row>
    <row r="23" spans="3:3" x14ac:dyDescent="0.35">
      <c r="C23" t="s">
        <v>10</v>
      </c>
    </row>
    <row r="24" spans="3:3" x14ac:dyDescent="0.35">
      <c r="C24" t="s">
        <v>13</v>
      </c>
    </row>
    <row r="25" spans="3:3" x14ac:dyDescent="0.35">
      <c r="C25" t="s">
        <v>121</v>
      </c>
    </row>
    <row r="26" spans="3:3" x14ac:dyDescent="0.35">
      <c r="C26" t="s">
        <v>59</v>
      </c>
    </row>
    <row r="27" spans="3:3" x14ac:dyDescent="0.35">
      <c r="C27" t="s">
        <v>118</v>
      </c>
    </row>
    <row r="28" spans="3:3" x14ac:dyDescent="0.35">
      <c r="C28" t="s">
        <v>56</v>
      </c>
    </row>
    <row r="29" spans="3:3" x14ac:dyDescent="0.35">
      <c r="C29" t="s">
        <v>35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>
    <tabColor theme="1"/>
  </sheetPr>
  <dimension ref="V2:Y34"/>
  <sheetViews>
    <sheetView topLeftCell="E1" zoomScale="85" zoomScaleNormal="85" workbookViewId="0">
      <selection activeCell="T11" sqref="T11"/>
    </sheetView>
  </sheetViews>
  <sheetFormatPr defaultRowHeight="14.5" x14ac:dyDescent="0.35"/>
  <cols>
    <col min="22" max="22" width="7.26953125" bestFit="1" customWidth="1"/>
    <col min="23" max="23" width="23.81640625" customWidth="1"/>
    <col min="24" max="24" width="12.1796875" hidden="1" customWidth="1"/>
    <col min="25" max="25" width="9.1796875" hidden="1" customWidth="1"/>
  </cols>
  <sheetData>
    <row r="2" spans="22:25" ht="37.5" customHeight="1" x14ac:dyDescent="0.35">
      <c r="V2" s="9" t="s">
        <v>119</v>
      </c>
      <c r="W2" s="84" t="s">
        <v>120</v>
      </c>
      <c r="X2" s="135"/>
      <c r="Y2" s="135"/>
    </row>
    <row r="3" spans="22:25" x14ac:dyDescent="0.35">
      <c r="V3" s="9">
        <v>1</v>
      </c>
      <c r="W3" s="66" t="e">
        <f>VLOOKUP('2. PROFECTION YEARLY &amp; MONTHLY'!I3,X:Y,2,FALSE)</f>
        <v>#N/A</v>
      </c>
      <c r="X3" s="318" t="s">
        <v>31</v>
      </c>
      <c r="Y3" s="135" t="s">
        <v>121</v>
      </c>
    </row>
    <row r="4" spans="22:25" x14ac:dyDescent="0.35">
      <c r="V4" s="9">
        <v>2</v>
      </c>
      <c r="W4" s="66" t="e" cm="1">
        <f t="array" ref="W4">INDEX(Y:Y, MATCH(W3,Y:Y,0)+1)</f>
        <v>#N/A</v>
      </c>
      <c r="X4" s="318" t="s">
        <v>122</v>
      </c>
      <c r="Y4" s="135" t="s">
        <v>10</v>
      </c>
    </row>
    <row r="5" spans="22:25" x14ac:dyDescent="0.35">
      <c r="V5" s="9">
        <v>3</v>
      </c>
      <c r="W5" s="66" t="e" cm="1">
        <f t="array" ref="W5">INDEX(Y:Y, MATCH(W4,Y:Y,0)+1)</f>
        <v>#N/A</v>
      </c>
      <c r="X5" s="318" t="s">
        <v>103</v>
      </c>
      <c r="Y5" s="135" t="s">
        <v>118</v>
      </c>
    </row>
    <row r="6" spans="22:25" x14ac:dyDescent="0.35">
      <c r="V6" s="9">
        <v>4</v>
      </c>
      <c r="W6" s="66" t="e" cm="1">
        <f t="array" ref="W6">INDEX(Y:Y, MATCH(W5,Y:Y,0)+1)</f>
        <v>#N/A</v>
      </c>
      <c r="X6" s="318" t="s">
        <v>67</v>
      </c>
      <c r="Y6" s="135" t="s">
        <v>35</v>
      </c>
    </row>
    <row r="7" spans="22:25" x14ac:dyDescent="0.35">
      <c r="V7" s="9">
        <v>5</v>
      </c>
      <c r="W7" s="66" t="e" cm="1">
        <f t="array" ref="W7">INDEX(Y:Y, MATCH(W6,Y:Y,0)+1)</f>
        <v>#N/A</v>
      </c>
      <c r="X7" s="318" t="s">
        <v>69</v>
      </c>
      <c r="Y7" s="135" t="s">
        <v>121</v>
      </c>
    </row>
    <row r="8" spans="22:25" x14ac:dyDescent="0.35">
      <c r="V8" s="9">
        <v>6</v>
      </c>
      <c r="W8" s="66" t="e" cm="1">
        <f t="array" ref="W8">INDEX(Y:Y, MATCH(W7,Y:Y,0)+1)</f>
        <v>#N/A</v>
      </c>
      <c r="X8" s="318" t="s">
        <v>77</v>
      </c>
      <c r="Y8" s="135" t="s">
        <v>10</v>
      </c>
    </row>
    <row r="9" spans="22:25" x14ac:dyDescent="0.35">
      <c r="V9" s="9">
        <v>7</v>
      </c>
      <c r="W9" s="66" t="e" cm="1">
        <f t="array" ref="W9">INDEX(Y:Y, MATCH(W8,Y:Y,0)+1)</f>
        <v>#N/A</v>
      </c>
      <c r="X9" s="318" t="s">
        <v>84</v>
      </c>
      <c r="Y9" s="135" t="s">
        <v>118</v>
      </c>
    </row>
    <row r="10" spans="22:25" x14ac:dyDescent="0.35">
      <c r="V10" s="9">
        <v>8</v>
      </c>
      <c r="W10" s="66" t="e" cm="1">
        <f t="array" ref="W10">INDEX(Y:Y, MATCH(W9,Y:Y,0)+1)</f>
        <v>#N/A</v>
      </c>
      <c r="X10" s="318" t="s">
        <v>123</v>
      </c>
      <c r="Y10" s="135" t="s">
        <v>35</v>
      </c>
    </row>
    <row r="11" spans="22:25" x14ac:dyDescent="0.35">
      <c r="V11" s="9">
        <v>9</v>
      </c>
      <c r="W11" s="66" t="e" cm="1">
        <f t="array" ref="W11">INDEX(Y:Y, MATCH(W10,Y:Y,0)+1)</f>
        <v>#N/A</v>
      </c>
      <c r="X11" s="318" t="s">
        <v>82</v>
      </c>
      <c r="Y11" s="135" t="s">
        <v>121</v>
      </c>
    </row>
    <row r="12" spans="22:25" x14ac:dyDescent="0.35">
      <c r="V12" s="9">
        <v>10</v>
      </c>
      <c r="W12" s="66" t="e" cm="1">
        <f t="array" ref="W12">INDEX(Y:Y, MATCH(W11,Y:Y,0)+1)</f>
        <v>#N/A</v>
      </c>
      <c r="X12" s="318" t="s">
        <v>143</v>
      </c>
      <c r="Y12" s="135" t="s">
        <v>10</v>
      </c>
    </row>
    <row r="13" spans="22:25" x14ac:dyDescent="0.35">
      <c r="V13" s="9">
        <v>11</v>
      </c>
      <c r="W13" s="66" t="e" cm="1">
        <f t="array" ref="W13">INDEX(Y:Y, MATCH(W12,Y:Y,0)+1)</f>
        <v>#N/A</v>
      </c>
      <c r="X13" s="318" t="s">
        <v>79</v>
      </c>
      <c r="Y13" s="135" t="s">
        <v>118</v>
      </c>
    </row>
    <row r="14" spans="22:25" x14ac:dyDescent="0.35">
      <c r="V14" s="9">
        <v>12</v>
      </c>
      <c r="W14" s="66" t="e" cm="1">
        <f t="array" ref="W14">INDEX(Y:Y, MATCH(W13,Y:Y,0)+1)</f>
        <v>#N/A</v>
      </c>
      <c r="X14" s="318" t="s">
        <v>125</v>
      </c>
      <c r="Y14" s="135" t="s">
        <v>35</v>
      </c>
    </row>
    <row r="15" spans="22:25" x14ac:dyDescent="0.35">
      <c r="X15" s="135"/>
      <c r="Y15" s="135" t="s">
        <v>121</v>
      </c>
    </row>
    <row r="16" spans="22:25" x14ac:dyDescent="0.35">
      <c r="X16" s="135"/>
      <c r="Y16" s="135" t="s">
        <v>10</v>
      </c>
    </row>
    <row r="17" spans="24:25" x14ac:dyDescent="0.35">
      <c r="X17" s="135"/>
      <c r="Y17" s="135" t="s">
        <v>118</v>
      </c>
    </row>
    <row r="18" spans="24:25" x14ac:dyDescent="0.35">
      <c r="X18" s="135"/>
      <c r="Y18" s="135" t="s">
        <v>35</v>
      </c>
    </row>
    <row r="19" spans="24:25" x14ac:dyDescent="0.35">
      <c r="X19" s="135"/>
      <c r="Y19" s="135" t="s">
        <v>121</v>
      </c>
    </row>
    <row r="20" spans="24:25" x14ac:dyDescent="0.35">
      <c r="X20" s="135"/>
      <c r="Y20" s="135" t="s">
        <v>10</v>
      </c>
    </row>
    <row r="21" spans="24:25" x14ac:dyDescent="0.35">
      <c r="X21" s="135"/>
      <c r="Y21" s="135" t="s">
        <v>118</v>
      </c>
    </row>
    <row r="22" spans="24:25" x14ac:dyDescent="0.35">
      <c r="X22" s="135"/>
      <c r="Y22" s="135" t="s">
        <v>35</v>
      </c>
    </row>
    <row r="23" spans="24:25" x14ac:dyDescent="0.35">
      <c r="X23" s="135"/>
      <c r="Y23" s="135" t="s">
        <v>121</v>
      </c>
    </row>
    <row r="24" spans="24:25" x14ac:dyDescent="0.35">
      <c r="X24" s="135"/>
      <c r="Y24" s="135" t="s">
        <v>10</v>
      </c>
    </row>
    <row r="25" spans="24:25" x14ac:dyDescent="0.35">
      <c r="X25" s="135"/>
      <c r="Y25" s="135" t="s">
        <v>118</v>
      </c>
    </row>
    <row r="26" spans="24:25" x14ac:dyDescent="0.35">
      <c r="X26" s="135"/>
      <c r="Y26" s="135" t="s">
        <v>35</v>
      </c>
    </row>
    <row r="27" spans="24:25" x14ac:dyDescent="0.35">
      <c r="X27" s="135"/>
      <c r="Y27" s="135" t="s">
        <v>121</v>
      </c>
    </row>
    <row r="28" spans="24:25" x14ac:dyDescent="0.35">
      <c r="X28" s="135"/>
      <c r="Y28" s="135" t="s">
        <v>10</v>
      </c>
    </row>
    <row r="29" spans="24:25" x14ac:dyDescent="0.35">
      <c r="X29" s="135"/>
      <c r="Y29" s="135" t="s">
        <v>118</v>
      </c>
    </row>
    <row r="30" spans="24:25" x14ac:dyDescent="0.35">
      <c r="X30" s="135"/>
      <c r="Y30" s="135" t="s">
        <v>35</v>
      </c>
    </row>
    <row r="31" spans="24:25" x14ac:dyDescent="0.35">
      <c r="X31" s="135"/>
      <c r="Y31" s="135" t="s">
        <v>121</v>
      </c>
    </row>
    <row r="32" spans="24:25" x14ac:dyDescent="0.35">
      <c r="X32" s="135"/>
      <c r="Y32" s="135" t="s">
        <v>10</v>
      </c>
    </row>
    <row r="33" spans="24:25" x14ac:dyDescent="0.35">
      <c r="X33" s="135"/>
      <c r="Y33" s="135" t="s">
        <v>118</v>
      </c>
    </row>
    <row r="34" spans="24:25" x14ac:dyDescent="0.35">
      <c r="X34" s="135"/>
      <c r="Y34" s="135" t="s">
        <v>35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BBBC-57BD-4034-A730-13100FA850E1}">
  <sheetPr codeName="Sheet7">
    <tabColor theme="1"/>
  </sheetPr>
  <dimension ref="A1:F36"/>
  <sheetViews>
    <sheetView zoomScaleNormal="100" workbookViewId="0">
      <pane ySplit="6" topLeftCell="A7" activePane="bottomLeft" state="frozen"/>
      <selection activeCell="L12" sqref="L12"/>
      <selection pane="bottomLeft" activeCell="C4" sqref="C4"/>
    </sheetView>
  </sheetViews>
  <sheetFormatPr defaultRowHeight="14.5" x14ac:dyDescent="0.35"/>
  <cols>
    <col min="1" max="1" width="10" customWidth="1"/>
    <col min="2" max="2" width="23.26953125" customWidth="1"/>
    <col min="3" max="3" width="10.81640625" bestFit="1" customWidth="1"/>
    <col min="4" max="4" width="15.81640625" customWidth="1"/>
    <col min="5" max="5" width="9.1796875" customWidth="1"/>
    <col min="6" max="6" width="14.1796875" bestFit="1" customWidth="1"/>
  </cols>
  <sheetData>
    <row r="1" spans="1:6" x14ac:dyDescent="0.35">
      <c r="B1" s="9" t="s">
        <v>0</v>
      </c>
      <c r="C1" s="228">
        <f>'1. FIRDARIA CALCULATOR'!Q3</f>
        <v>1900</v>
      </c>
      <c r="D1" s="64">
        <f>C2</f>
        <v>0</v>
      </c>
      <c r="E1" s="135">
        <f>MOD((C2-C1+C3), 28)</f>
        <v>4</v>
      </c>
      <c r="F1" s="136" t="str">
        <f>VLOOKUP(E1,A:B,2,FALSE)</f>
        <v>AUSPICIOUS</v>
      </c>
    </row>
    <row r="2" spans="1:6" x14ac:dyDescent="0.35">
      <c r="B2" s="67" t="s">
        <v>298</v>
      </c>
      <c r="C2" s="228">
        <f>'1. FIRDARIA CALCULATOR'!B2</f>
        <v>0</v>
      </c>
      <c r="D2" s="64"/>
      <c r="F2" s="4"/>
    </row>
    <row r="3" spans="1:6" ht="29" x14ac:dyDescent="0.35">
      <c r="B3" s="63" t="s">
        <v>1</v>
      </c>
      <c r="C3" s="228">
        <f>'1. ZODIAC NATAL'!E26</f>
        <v>0</v>
      </c>
      <c r="D3" s="64"/>
      <c r="F3" s="4"/>
    </row>
    <row r="4" spans="1:6" ht="29" x14ac:dyDescent="0.35">
      <c r="B4" s="63" t="s">
        <v>2</v>
      </c>
      <c r="C4" s="228">
        <f>'1. ANNUAL REVOLUTION'!$E$29</f>
        <v>0</v>
      </c>
      <c r="F4" s="239" t="e">
        <f>VLOOKUP(C4,A:B,2,FALSE)</f>
        <v>#N/A</v>
      </c>
    </row>
    <row r="5" spans="1:6" ht="23.5" x14ac:dyDescent="0.55000000000000004">
      <c r="B5" s="63" t="s">
        <v>3</v>
      </c>
      <c r="C5" s="65" t="e">
        <f>IF(F1=F4, F4, "MIXED")</f>
        <v>#N/A</v>
      </c>
    </row>
    <row r="6" spans="1:6" ht="3.75" customHeight="1" x14ac:dyDescent="0.35"/>
    <row r="7" spans="1:6" x14ac:dyDescent="0.35">
      <c r="A7" s="216" t="s">
        <v>229</v>
      </c>
      <c r="B7" s="216"/>
      <c r="C7" s="240" t="s">
        <v>231</v>
      </c>
      <c r="D7" s="240"/>
    </row>
    <row r="8" spans="1:6" ht="27.65" customHeight="1" x14ac:dyDescent="0.35">
      <c r="A8" s="151" t="s">
        <v>230</v>
      </c>
      <c r="B8" s="154" t="s">
        <v>150</v>
      </c>
      <c r="C8" s="241"/>
      <c r="D8" s="241"/>
    </row>
    <row r="9" spans="1:6" x14ac:dyDescent="0.35">
      <c r="A9" s="66">
        <v>1</v>
      </c>
      <c r="B9" s="66" t="s">
        <v>4</v>
      </c>
      <c r="C9" s="66"/>
      <c r="D9" s="66"/>
    </row>
    <row r="10" spans="1:6" x14ac:dyDescent="0.35">
      <c r="A10" s="66">
        <v>2</v>
      </c>
      <c r="B10" s="66" t="s">
        <v>5</v>
      </c>
      <c r="C10" s="66"/>
      <c r="D10" s="66"/>
    </row>
    <row r="11" spans="1:6" x14ac:dyDescent="0.35">
      <c r="A11" s="66">
        <v>3</v>
      </c>
      <c r="B11" s="66" t="s">
        <v>5</v>
      </c>
      <c r="C11" s="66"/>
      <c r="D11" s="66"/>
    </row>
    <row r="12" spans="1:6" x14ac:dyDescent="0.35">
      <c r="A12" s="66">
        <v>4</v>
      </c>
      <c r="B12" s="66" t="s">
        <v>5</v>
      </c>
      <c r="C12" s="66"/>
      <c r="D12" s="66"/>
    </row>
    <row r="13" spans="1:6" x14ac:dyDescent="0.35">
      <c r="A13" s="66">
        <v>5</v>
      </c>
      <c r="B13" s="66" t="s">
        <v>6</v>
      </c>
      <c r="C13" s="66"/>
      <c r="D13" s="66"/>
    </row>
    <row r="14" spans="1:6" x14ac:dyDescent="0.35">
      <c r="A14" s="66">
        <v>6</v>
      </c>
      <c r="B14" s="66" t="s">
        <v>5</v>
      </c>
      <c r="C14" s="66"/>
      <c r="D14" s="66"/>
    </row>
    <row r="15" spans="1:6" x14ac:dyDescent="0.35">
      <c r="A15" s="66">
        <v>7</v>
      </c>
      <c r="B15" s="66" t="s">
        <v>6</v>
      </c>
      <c r="C15" s="66"/>
      <c r="D15" s="66"/>
    </row>
    <row r="16" spans="1:6" x14ac:dyDescent="0.35">
      <c r="A16" s="66">
        <v>8</v>
      </c>
      <c r="B16" s="66" t="s">
        <v>5</v>
      </c>
      <c r="C16" s="66"/>
      <c r="D16" s="66"/>
    </row>
    <row r="17" spans="1:4" x14ac:dyDescent="0.35">
      <c r="A17" s="66">
        <v>9</v>
      </c>
      <c r="B17" s="66" t="s">
        <v>4</v>
      </c>
      <c r="C17" s="66"/>
      <c r="D17" s="66"/>
    </row>
    <row r="18" spans="1:4" x14ac:dyDescent="0.35">
      <c r="A18" s="66">
        <v>10</v>
      </c>
      <c r="B18" s="66" t="s">
        <v>4</v>
      </c>
      <c r="C18" s="66"/>
      <c r="D18" s="66"/>
    </row>
    <row r="19" spans="1:4" x14ac:dyDescent="0.35">
      <c r="A19" s="66">
        <v>11</v>
      </c>
      <c r="B19" s="66" t="s">
        <v>4</v>
      </c>
      <c r="C19" s="66"/>
      <c r="D19" s="66"/>
    </row>
    <row r="20" spans="1:4" x14ac:dyDescent="0.35">
      <c r="A20" s="66">
        <v>12</v>
      </c>
      <c r="B20" s="66" t="s">
        <v>6</v>
      </c>
      <c r="C20" s="66"/>
      <c r="D20" s="66"/>
    </row>
    <row r="21" spans="1:4" x14ac:dyDescent="0.35">
      <c r="A21" s="66">
        <v>13</v>
      </c>
      <c r="B21" s="66" t="s">
        <v>6</v>
      </c>
      <c r="C21" s="66"/>
      <c r="D21" s="66"/>
    </row>
    <row r="22" spans="1:4" x14ac:dyDescent="0.35">
      <c r="A22" s="66">
        <v>14</v>
      </c>
      <c r="B22" s="66" t="s">
        <v>5</v>
      </c>
      <c r="C22" s="66"/>
      <c r="D22" s="66"/>
    </row>
    <row r="23" spans="1:4" x14ac:dyDescent="0.35">
      <c r="A23" s="66">
        <v>15</v>
      </c>
      <c r="B23" s="66" t="s">
        <v>5</v>
      </c>
      <c r="C23" s="66"/>
      <c r="D23" s="66"/>
    </row>
    <row r="24" spans="1:4" x14ac:dyDescent="0.35">
      <c r="A24" s="66">
        <v>16</v>
      </c>
      <c r="B24" s="66" t="s">
        <v>6</v>
      </c>
      <c r="C24" s="66"/>
      <c r="D24" s="66"/>
    </row>
    <row r="25" spans="1:4" x14ac:dyDescent="0.35">
      <c r="A25" s="66">
        <v>17</v>
      </c>
      <c r="B25" s="66" t="s">
        <v>6</v>
      </c>
      <c r="C25" s="66"/>
      <c r="D25" s="66"/>
    </row>
    <row r="26" spans="1:4" x14ac:dyDescent="0.35">
      <c r="A26" s="66">
        <v>18</v>
      </c>
      <c r="B26" s="66" t="s">
        <v>5</v>
      </c>
      <c r="C26" s="66"/>
      <c r="D26" s="66"/>
    </row>
    <row r="27" spans="1:4" x14ac:dyDescent="0.35">
      <c r="A27" s="66">
        <v>19</v>
      </c>
      <c r="B27" s="66" t="s">
        <v>6</v>
      </c>
      <c r="C27" s="66"/>
      <c r="D27" s="66"/>
    </row>
    <row r="28" spans="1:4" x14ac:dyDescent="0.35">
      <c r="A28" s="66">
        <v>20</v>
      </c>
      <c r="B28" s="66" t="s">
        <v>5</v>
      </c>
      <c r="C28" s="66"/>
      <c r="D28" s="66"/>
    </row>
    <row r="29" spans="1:4" x14ac:dyDescent="0.35">
      <c r="A29" s="66">
        <v>21</v>
      </c>
      <c r="B29" s="66" t="s">
        <v>4</v>
      </c>
      <c r="C29" s="66"/>
      <c r="D29" s="66"/>
    </row>
    <row r="30" spans="1:4" x14ac:dyDescent="0.35">
      <c r="A30" s="66">
        <v>22</v>
      </c>
      <c r="B30" s="66" t="s">
        <v>4</v>
      </c>
      <c r="C30" s="66"/>
      <c r="D30" s="66"/>
    </row>
    <row r="31" spans="1:4" x14ac:dyDescent="0.35">
      <c r="A31" s="66">
        <v>23</v>
      </c>
      <c r="B31" s="66" t="s">
        <v>6</v>
      </c>
      <c r="C31" s="66"/>
      <c r="D31" s="66"/>
    </row>
    <row r="32" spans="1:4" x14ac:dyDescent="0.35">
      <c r="A32" s="66">
        <v>24</v>
      </c>
      <c r="B32" s="66" t="s">
        <v>5</v>
      </c>
      <c r="C32" s="66"/>
      <c r="D32" s="66"/>
    </row>
    <row r="33" spans="1:4" x14ac:dyDescent="0.35">
      <c r="A33" s="66">
        <v>25</v>
      </c>
      <c r="B33" s="66" t="s">
        <v>4</v>
      </c>
      <c r="C33" s="66"/>
      <c r="D33" s="66"/>
    </row>
    <row r="34" spans="1:4" x14ac:dyDescent="0.35">
      <c r="A34" s="66">
        <v>26</v>
      </c>
      <c r="B34" s="66" t="s">
        <v>5</v>
      </c>
      <c r="C34" s="66"/>
      <c r="D34" s="66"/>
    </row>
    <row r="35" spans="1:4" x14ac:dyDescent="0.35">
      <c r="A35" s="66">
        <v>27</v>
      </c>
      <c r="B35" s="66" t="s">
        <v>6</v>
      </c>
      <c r="C35" s="66"/>
      <c r="D35" s="66"/>
    </row>
    <row r="36" spans="1:4" x14ac:dyDescent="0.35">
      <c r="A36" s="66">
        <v>28</v>
      </c>
      <c r="B36" s="66" t="s">
        <v>5</v>
      </c>
      <c r="C36" s="66"/>
      <c r="D36" s="6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4332-E823-407F-BA31-659CDE33B53E}">
  <sheetPr>
    <tabColor theme="1"/>
  </sheetPr>
  <dimension ref="A1:G15"/>
  <sheetViews>
    <sheetView zoomScale="115" zoomScaleNormal="115" workbookViewId="0">
      <pane ySplit="3" topLeftCell="A4" activePane="bottomLeft" state="frozen"/>
      <selection activeCell="L12" sqref="L12"/>
      <selection pane="bottomLeft" activeCell="L12" sqref="L12"/>
    </sheetView>
  </sheetViews>
  <sheetFormatPr defaultRowHeight="14.5" x14ac:dyDescent="0.35"/>
  <cols>
    <col min="1" max="1" width="8.1796875" bestFit="1" customWidth="1"/>
    <col min="2" max="2" width="11.81640625" bestFit="1" customWidth="1"/>
    <col min="3" max="3" width="10.54296875" customWidth="1"/>
    <col min="4" max="4" width="8.7265625" bestFit="1" customWidth="1"/>
  </cols>
  <sheetData>
    <row r="1" spans="1:7" ht="31" customHeight="1" x14ac:dyDescent="0.35">
      <c r="B1" s="633" t="s">
        <v>7</v>
      </c>
      <c r="C1" s="633"/>
      <c r="D1" s="248">
        <f>'1. ZODIAC NATAL'!C31</f>
        <v>0</v>
      </c>
    </row>
    <row r="2" spans="1:7" x14ac:dyDescent="0.35">
      <c r="D2" s="52"/>
    </row>
    <row r="3" spans="1:7" x14ac:dyDescent="0.35">
      <c r="A3" s="126" t="s">
        <v>46</v>
      </c>
      <c r="B3" s="126" t="s">
        <v>232</v>
      </c>
    </row>
    <row r="4" spans="1:7" x14ac:dyDescent="0.35">
      <c r="A4" s="66">
        <v>1</v>
      </c>
      <c r="B4" s="141">
        <f>D1</f>
        <v>0</v>
      </c>
      <c r="C4" s="53"/>
    </row>
    <row r="5" spans="1:7" x14ac:dyDescent="0.35">
      <c r="A5" s="66">
        <v>2</v>
      </c>
      <c r="B5" s="141">
        <f t="shared" ref="B5:B15" si="0">IF(MOD(B4+TIME(0,2,30),TIME(0,30,0))=0, TIME(0,2,30)-TIME(0,30,0), MOD(B4+TIME(0,2,30),TIME(0,30,0)))</f>
        <v>1.736111111111111E-3</v>
      </c>
      <c r="C5" s="53"/>
    </row>
    <row r="6" spans="1:7" x14ac:dyDescent="0.35">
      <c r="A6" s="66">
        <v>3</v>
      </c>
      <c r="B6" s="141">
        <f t="shared" si="0"/>
        <v>3.472222222222222E-3</v>
      </c>
      <c r="C6" s="53"/>
    </row>
    <row r="7" spans="1:7" x14ac:dyDescent="0.35">
      <c r="A7" s="66">
        <v>4</v>
      </c>
      <c r="B7" s="141">
        <f t="shared" si="0"/>
        <v>5.208333333333333E-3</v>
      </c>
      <c r="C7" s="53"/>
    </row>
    <row r="8" spans="1:7" x14ac:dyDescent="0.35">
      <c r="A8" s="66">
        <v>5</v>
      </c>
      <c r="B8" s="141">
        <f t="shared" si="0"/>
        <v>6.9444444444444441E-3</v>
      </c>
      <c r="C8" s="53"/>
    </row>
    <row r="9" spans="1:7" x14ac:dyDescent="0.35">
      <c r="A9" s="66">
        <v>6</v>
      </c>
      <c r="B9" s="141">
        <f t="shared" si="0"/>
        <v>8.6805555555555559E-3</v>
      </c>
      <c r="C9" s="53"/>
    </row>
    <row r="10" spans="1:7" x14ac:dyDescent="0.35">
      <c r="A10" s="66">
        <v>7</v>
      </c>
      <c r="B10" s="141">
        <f t="shared" si="0"/>
        <v>1.0416666666666668E-2</v>
      </c>
      <c r="C10" s="53"/>
      <c r="E10" s="53"/>
    </row>
    <row r="11" spans="1:7" x14ac:dyDescent="0.35">
      <c r="A11" s="66">
        <v>8</v>
      </c>
      <c r="B11" s="141">
        <f t="shared" si="0"/>
        <v>1.215277777777778E-2</v>
      </c>
      <c r="C11" s="53"/>
      <c r="G11" s="162"/>
    </row>
    <row r="12" spans="1:7" x14ac:dyDescent="0.35">
      <c r="A12" s="66">
        <v>9</v>
      </c>
      <c r="B12" s="141">
        <f t="shared" si="0"/>
        <v>1.3888888888888892E-2</v>
      </c>
      <c r="C12" s="53"/>
    </row>
    <row r="13" spans="1:7" x14ac:dyDescent="0.35">
      <c r="A13" s="66">
        <v>10</v>
      </c>
      <c r="B13" s="141">
        <f t="shared" si="0"/>
        <v>1.5625000000000003E-2</v>
      </c>
      <c r="C13" s="53"/>
    </row>
    <row r="14" spans="1:7" x14ac:dyDescent="0.35">
      <c r="A14" s="66">
        <v>11</v>
      </c>
      <c r="B14" s="141">
        <f t="shared" si="0"/>
        <v>1.7361111111111115E-2</v>
      </c>
      <c r="C14" s="53"/>
    </row>
    <row r="15" spans="1:7" x14ac:dyDescent="0.35">
      <c r="A15" s="66">
        <v>12</v>
      </c>
      <c r="B15" s="141">
        <f t="shared" si="0"/>
        <v>1.9097222222222227E-2</v>
      </c>
      <c r="C15" s="53"/>
      <c r="E15" s="53"/>
    </row>
  </sheetData>
  <mergeCells count="1">
    <mergeCell ref="B1:C1"/>
  </mergeCells>
  <conditionalFormatting sqref="B4:B15">
    <cfRule type="cellIs" dxfId="1" priority="1" operator="lessThan">
      <formula>0.00173611111111111</formula>
    </cfRule>
    <cfRule type="cellIs" dxfId="0" priority="2" operator="greaterThan">
      <formula>0.0208333333333333</formula>
    </cfRule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05E2-C4D0-46BD-8DA5-E450E730B02F}">
  <sheetPr codeName="Sheet20">
    <tabColor theme="1"/>
  </sheetPr>
  <dimension ref="A1:I235"/>
  <sheetViews>
    <sheetView workbookViewId="0">
      <pane ySplit="1" topLeftCell="A2" activePane="bottomLeft" state="frozen"/>
      <selection activeCell="L12" sqref="L12"/>
      <selection pane="bottomLeft" activeCell="L34" sqref="L34"/>
    </sheetView>
  </sheetViews>
  <sheetFormatPr defaultColWidth="8.7265625" defaultRowHeight="14.5" x14ac:dyDescent="0.35"/>
  <cols>
    <col min="1" max="1" width="9.26953125" style="71" hidden="1" customWidth="1"/>
    <col min="2" max="2" width="8.1796875" style="71" hidden="1" customWidth="1"/>
    <col min="3" max="4" width="6.81640625" style="71" hidden="1" customWidth="1"/>
    <col min="5" max="5" width="21.7265625" style="96" bestFit="1" customWidth="1"/>
    <col min="6" max="6" width="11.453125" style="71" bestFit="1" customWidth="1"/>
    <col min="7" max="7" width="8.453125" style="71" bestFit="1" customWidth="1"/>
    <col min="8" max="8" width="16" style="71" bestFit="1" customWidth="1"/>
    <col min="9" max="16384" width="8.7265625" style="71"/>
  </cols>
  <sheetData>
    <row r="1" spans="5:9" x14ac:dyDescent="0.35">
      <c r="E1" s="224" t="s">
        <v>244</v>
      </c>
      <c r="F1" s="171" t="s">
        <v>26</v>
      </c>
      <c r="G1" s="171" t="s">
        <v>128</v>
      </c>
      <c r="H1" s="171" t="s">
        <v>44</v>
      </c>
    </row>
    <row r="2" spans="5:9" x14ac:dyDescent="0.35">
      <c r="E2" s="229" t="s">
        <v>245</v>
      </c>
      <c r="F2" s="73" t="e">
        <f>'2. PROFECTION YEARLY &amp; MONTHLY'!I3</f>
        <v>#N/A</v>
      </c>
      <c r="G2" s="99">
        <f>'CNT PROGRESSION HLPR-SENSITIVE'!D1</f>
        <v>0</v>
      </c>
      <c r="H2" s="73" t="e" cm="1">
        <f t="array" ref="H2">INDEX(D:D, SUMPRODUCT(($A:$A=F2) * ($B:$B&lt;=G2) * ($C:$C&gt;=G2) * ROW($A:$A)))</f>
        <v>#N/A</v>
      </c>
      <c r="I2" s="75"/>
    </row>
    <row r="3" spans="5:9" x14ac:dyDescent="0.35">
      <c r="E3" s="635" t="s">
        <v>273</v>
      </c>
      <c r="F3" s="636"/>
      <c r="G3" s="636"/>
      <c r="H3" s="637"/>
      <c r="I3" s="75"/>
    </row>
    <row r="4" spans="5:9" x14ac:dyDescent="0.35">
      <c r="E4" s="229" t="s">
        <v>134</v>
      </c>
      <c r="F4" s="73">
        <f>'2. YEAR OF USURPATION(ECLIPSE)'!B7</f>
        <v>0</v>
      </c>
      <c r="G4" s="99">
        <f>'2. YEAR OF USURPATION(ECLIPSE)'!C7</f>
        <v>0</v>
      </c>
      <c r="H4" s="73" t="e" cm="1">
        <f t="array" ref="H4">INDEX(D:D, SUMPRODUCT(($A:$A=F4) * ($B:$B&lt;=G4) * ($C:$C&gt;=G4) * ROW($A:$A)))</f>
        <v>#REF!</v>
      </c>
      <c r="I4" s="75"/>
    </row>
    <row r="5" spans="5:9" x14ac:dyDescent="0.35">
      <c r="E5" s="229" t="s">
        <v>50</v>
      </c>
      <c r="F5" s="73">
        <f>'2. YEAR OF USURPATION(ECLIPSE)'!B8</f>
        <v>0</v>
      </c>
      <c r="G5" s="99">
        <f>'2. YEAR OF USURPATION(ECLIPSE)'!C8</f>
        <v>0</v>
      </c>
      <c r="H5" s="73" t="e" cm="1">
        <f t="array" ref="H5">INDEX(D:D, SUMPRODUCT(($A:$A=F5) * ($B:$B&lt;=G5) * ($C:$C&gt;=G5) * ROW($A:$A)))</f>
        <v>#REF!</v>
      </c>
      <c r="I5" s="75"/>
    </row>
    <row r="6" spans="5:9" x14ac:dyDescent="0.35">
      <c r="E6" s="229" t="s">
        <v>135</v>
      </c>
      <c r="F6" s="73">
        <f>'2. YEAR OF USURPATION(ECLIPSE)'!B9</f>
        <v>0</v>
      </c>
      <c r="G6" s="99">
        <f>'2. YEAR OF USURPATION(ECLIPSE)'!C9</f>
        <v>0</v>
      </c>
      <c r="H6" s="73" t="e" cm="1">
        <f t="array" ref="H6">INDEX(D:D, SUMPRODUCT(($A:$A=F6) * ($B:$B&lt;=G6) * ($C:$C&gt;=G6) * ROW($A:$A)))</f>
        <v>#REF!</v>
      </c>
      <c r="I6" s="75"/>
    </row>
    <row r="7" spans="5:9" x14ac:dyDescent="0.35">
      <c r="E7" s="229" t="s">
        <v>136</v>
      </c>
      <c r="F7" s="73">
        <f>'2. YEAR OF USURPATION(ECLIPSE)'!B10</f>
        <v>0</v>
      </c>
      <c r="G7" s="99">
        <f>'2. YEAR OF USURPATION(ECLIPSE)'!C10</f>
        <v>0</v>
      </c>
      <c r="H7" s="73" t="e" cm="1">
        <f t="array" ref="H7">INDEX(D:D, SUMPRODUCT(($A:$A=F7) * ($B:$B&lt;=G7) * ($C:$C&gt;=G7) * ROW($A:$A)))</f>
        <v>#REF!</v>
      </c>
      <c r="I7" s="75"/>
    </row>
    <row r="8" spans="5:9" x14ac:dyDescent="0.35">
      <c r="E8" s="635" t="s">
        <v>274</v>
      </c>
      <c r="F8" s="636"/>
      <c r="G8" s="636"/>
      <c r="H8" s="637"/>
      <c r="I8" s="75"/>
    </row>
    <row r="9" spans="5:9" x14ac:dyDescent="0.35">
      <c r="E9" s="229" t="s">
        <v>138</v>
      </c>
      <c r="F9" s="73">
        <f>'3. ILLNESS AND PERILOUS YEAR'!B4</f>
        <v>0</v>
      </c>
      <c r="G9" s="99">
        <f>'3. ILLNESS AND PERILOUS YEAR'!C4</f>
        <v>0</v>
      </c>
      <c r="H9" s="73" t="e" cm="1">
        <f t="array" ref="H9">INDEX(D:D, SUMPRODUCT(($A:$A=F9) * ($B:$B&lt;=G9) * ($C:$C&gt;=G9) * ROW($A:$A)))</f>
        <v>#REF!</v>
      </c>
      <c r="I9" s="75"/>
    </row>
    <row r="10" spans="5:9" x14ac:dyDescent="0.35">
      <c r="E10" s="635" t="s">
        <v>70</v>
      </c>
      <c r="F10" s="636"/>
      <c r="G10" s="636"/>
      <c r="H10" s="637"/>
      <c r="I10" s="75"/>
    </row>
    <row r="11" spans="5:9" x14ac:dyDescent="0.35">
      <c r="E11" s="230" t="s">
        <v>126</v>
      </c>
      <c r="F11" s="175">
        <f>'1. ZODIAC NATAL'!B31</f>
        <v>0</v>
      </c>
      <c r="G11" s="99">
        <f>'1. ZODIAC NATAL'!C31</f>
        <v>0</v>
      </c>
      <c r="H11" s="73" t="e" cm="1">
        <f t="array" ref="H11">INDEX(D:D, SUMPRODUCT(($A:$A=F11) * ($B:$B&lt;=G11) * ($C:$C&gt;=G11) * ROW($A:$A)))</f>
        <v>#REF!</v>
      </c>
      <c r="I11" s="75"/>
    </row>
    <row r="12" spans="5:9" x14ac:dyDescent="0.35">
      <c r="E12" s="230" t="s">
        <v>237</v>
      </c>
      <c r="F12" s="175">
        <f>'1. ZODIAC NATAL'!B32</f>
        <v>0</v>
      </c>
      <c r="G12" s="99">
        <f>'1. ZODIAC NATAL'!C32</f>
        <v>0</v>
      </c>
      <c r="H12" s="73" t="e" cm="1">
        <f t="array" ref="H12">INDEX(D:D, SUMPRODUCT(($A:$A=F12) * ($B:$B&lt;=G12) * ($C:$C&gt;=G12) * ROW($A:$A)))</f>
        <v>#REF!</v>
      </c>
      <c r="I12" s="75"/>
    </row>
    <row r="13" spans="5:9" x14ac:dyDescent="0.35">
      <c r="E13" s="230" t="s">
        <v>238</v>
      </c>
      <c r="F13" s="175">
        <f>'1. ZODIAC NATAL'!B33</f>
        <v>0</v>
      </c>
      <c r="G13" s="99">
        <f>'1. ZODIAC NATAL'!C33</f>
        <v>0</v>
      </c>
      <c r="H13" s="73" t="e" cm="1">
        <f t="array" ref="H13">INDEX(D:D, SUMPRODUCT(($A:$A=F13) * ($B:$B&lt;=G13) * ($C:$C&gt;=G13) * ROW($A:$A)))</f>
        <v>#REF!</v>
      </c>
      <c r="I13" s="75"/>
    </row>
    <row r="14" spans="5:9" x14ac:dyDescent="0.35">
      <c r="E14" s="230" t="s">
        <v>239</v>
      </c>
      <c r="F14" s="175">
        <f>'1. ZODIAC NATAL'!B34</f>
        <v>0</v>
      </c>
      <c r="G14" s="99">
        <f>'1. ZODIAC NATAL'!C34</f>
        <v>0</v>
      </c>
      <c r="H14" s="73" t="e" cm="1">
        <f t="array" ref="H14">INDEX(D:D, SUMPRODUCT(($A:$A=F14) * ($B:$B&lt;=G14) * ($C:$C&gt;=G14) * ROW($A:$A)))</f>
        <v>#REF!</v>
      </c>
      <c r="I14" s="75"/>
    </row>
    <row r="15" spans="5:9" x14ac:dyDescent="0.35">
      <c r="E15" s="638" t="s">
        <v>329</v>
      </c>
      <c r="F15" s="639"/>
      <c r="G15" s="639"/>
      <c r="H15" s="640"/>
      <c r="I15" s="75"/>
    </row>
    <row r="16" spans="5:9" x14ac:dyDescent="0.35">
      <c r="E16" s="230" t="s">
        <v>78</v>
      </c>
      <c r="F16" s="175">
        <f>'1. ANNUAL REVOLUTION'!B43</f>
        <v>0</v>
      </c>
      <c r="G16" s="99">
        <f>'1. ANNUAL REVOLUTION'!C43</f>
        <v>0</v>
      </c>
      <c r="H16" s="73" t="e" cm="1">
        <f t="array" ref="H16">INDEX(D:D, SUMPRODUCT(($A:$A=F16) * ($B:$B&lt;=G16) * ($C:$C&gt;=G16) * ROW($A:$A)))</f>
        <v>#REF!</v>
      </c>
      <c r="I16" s="75"/>
    </row>
    <row r="17" spans="5:9" x14ac:dyDescent="0.35">
      <c r="E17" s="230" t="s">
        <v>80</v>
      </c>
      <c r="F17" s="175">
        <f>'1. ANNUAL REVOLUTION'!B44</f>
        <v>0</v>
      </c>
      <c r="G17" s="99">
        <f>'1. ANNUAL REVOLUTION'!C44</f>
        <v>0</v>
      </c>
      <c r="H17" s="73" t="e" cm="1">
        <f t="array" ref="H17">INDEX(D:D, SUMPRODUCT(($A:$A=F17) * ($B:$B&lt;=G17) * ($C:$C&gt;=G17) * ROW($A:$A)))</f>
        <v>#REF!</v>
      </c>
      <c r="I17" s="75"/>
    </row>
    <row r="18" spans="5:9" x14ac:dyDescent="0.35">
      <c r="E18" s="230" t="s">
        <v>81</v>
      </c>
      <c r="F18" s="175">
        <f>'1. ANNUAL REVOLUTION'!B45</f>
        <v>0</v>
      </c>
      <c r="G18" s="99">
        <f>'1. ANNUAL REVOLUTION'!C45</f>
        <v>0</v>
      </c>
      <c r="H18" s="73" t="e" cm="1">
        <f t="array" ref="H18">INDEX(D:D, SUMPRODUCT(($A:$A=F18) * ($B:$B&lt;=G18) * ($C:$C&gt;=G18) * ROW($A:$A)))</f>
        <v>#REF!</v>
      </c>
      <c r="I18" s="75"/>
    </row>
    <row r="19" spans="5:9" x14ac:dyDescent="0.35">
      <c r="E19" s="230" t="s">
        <v>83</v>
      </c>
      <c r="F19" s="175">
        <f>'1. ANNUAL REVOLUTION'!B46</f>
        <v>0</v>
      </c>
      <c r="G19" s="99">
        <f>'1. ANNUAL REVOLUTION'!C46</f>
        <v>0</v>
      </c>
      <c r="H19" s="73" t="e" cm="1">
        <f t="array" ref="H19">INDEX(D:D, SUMPRODUCT(($A:$A=F19) * ($B:$B&lt;=G19) * ($C:$C&gt;=G19) * ROW($A:$A)))</f>
        <v>#REF!</v>
      </c>
      <c r="I19" s="75"/>
    </row>
    <row r="20" spans="5:9" x14ac:dyDescent="0.35">
      <c r="E20" s="635" t="s">
        <v>275</v>
      </c>
      <c r="F20" s="636"/>
      <c r="G20" s="636"/>
      <c r="H20" s="637"/>
      <c r="I20" s="75"/>
    </row>
    <row r="21" spans="5:9" x14ac:dyDescent="0.35">
      <c r="E21" s="229" t="str">
        <f>'1. ANNUAL REVOLUTION'!A33</f>
        <v>ASC</v>
      </c>
      <c r="F21" s="73">
        <f>'1. ANNUAL REVOLUTION'!B33</f>
        <v>0</v>
      </c>
      <c r="G21" s="99">
        <f>'1. ANNUAL REVOLUTION'!C33</f>
        <v>0</v>
      </c>
      <c r="H21" s="73" t="e" cm="1">
        <f t="array" ref="H21">INDEX(D:D, SUMPRODUCT(($A:$A=F21) * ($B:$B&lt;=G21) * ($C:$C&gt;=G21) * ROW($A:$A)))</f>
        <v>#REF!</v>
      </c>
      <c r="I21" s="75"/>
    </row>
    <row r="22" spans="5:9" x14ac:dyDescent="0.35">
      <c r="E22" s="229" t="str">
        <f>'1. ANNUAL REVOLUTION'!A35</f>
        <v>MC</v>
      </c>
      <c r="F22" s="73">
        <f>'1. ANNUAL REVOLUTION'!B35</f>
        <v>0</v>
      </c>
      <c r="G22" s="99">
        <f>'1. ANNUAL REVOLUTION'!C35</f>
        <v>0</v>
      </c>
      <c r="H22" s="73" t="e" cm="1">
        <f t="array" ref="H22">INDEX(D:D, SUMPRODUCT(($A:$A=F22) * ($B:$B&lt;=G22) * ($C:$C&gt;=G22) * ROW($A:$A)))</f>
        <v>#REF!</v>
      </c>
      <c r="I22" s="75"/>
    </row>
    <row r="23" spans="5:9" x14ac:dyDescent="0.35">
      <c r="E23" s="229" t="str">
        <f>'1. ANNUAL REVOLUTION'!A37</f>
        <v>Lot of Fortune</v>
      </c>
      <c r="F23" s="73" t="e">
        <f>'1. ANNUAL REVOLUTION'!B37</f>
        <v>#N/A</v>
      </c>
      <c r="G23" s="99">
        <f>'1. ANNUAL REVOLUTION'!C37</f>
        <v>0</v>
      </c>
      <c r="H23" s="73" t="e" cm="1">
        <f t="array" ref="H23">INDEX(D:D, SUMPRODUCT(($A:$A=F23) * ($B:$B&lt;=G23) * ($C:$C&gt;=G23) * ROW($A:$A)))</f>
        <v>#N/A</v>
      </c>
      <c r="I23" s="75"/>
    </row>
    <row r="24" spans="5:9" x14ac:dyDescent="0.35">
      <c r="E24" s="229" t="s">
        <v>277</v>
      </c>
      <c r="F24" s="73" t="e">
        <f>'1. ANNUAL REVOLUTION'!B38</f>
        <v>#N/A</v>
      </c>
      <c r="G24" s="99">
        <f>'1. ANNUAL REVOLUTION'!C38</f>
        <v>0</v>
      </c>
      <c r="H24" s="73" t="e" cm="1">
        <f t="array" ref="H24">INDEX(D:D, SUMPRODUCT(($A:$A=F24) * ($B:$B&lt;=G24) * ($C:$C&gt;=G24) * ROW($A:$A)))</f>
        <v>#N/A</v>
      </c>
      <c r="I24" s="75"/>
    </row>
    <row r="25" spans="5:9" x14ac:dyDescent="0.35">
      <c r="E25" s="635" t="s">
        <v>70</v>
      </c>
      <c r="F25" s="636"/>
      <c r="G25" s="636"/>
      <c r="H25" s="637"/>
      <c r="I25" s="75"/>
    </row>
    <row r="26" spans="5:9" x14ac:dyDescent="0.35">
      <c r="E26" s="229" t="str">
        <f>'1. ZODIAC NATAL'!A20</f>
        <v>SATURN</v>
      </c>
      <c r="F26" s="73" t="e">
        <f>'1. ZODIAC NATAL'!B20</f>
        <v>#N/A</v>
      </c>
      <c r="G26" s="99">
        <f>'1. ZODIAC NATAL'!C20</f>
        <v>0</v>
      </c>
      <c r="H26" s="73" t="e" cm="1">
        <f t="array" ref="H26">INDEX(D:D, SUMPRODUCT(($A:$A=F26) * ($B:$B&lt;=G26) * ($C:$C&gt;=G26) * ROW($A:$A)))</f>
        <v>#N/A</v>
      </c>
      <c r="I26" s="75"/>
    </row>
    <row r="27" spans="5:9" x14ac:dyDescent="0.35">
      <c r="E27" s="229" t="str">
        <f>'1. ZODIAC NATAL'!A21</f>
        <v>JUPITER</v>
      </c>
      <c r="F27" s="73" t="e">
        <f>'1. ZODIAC NATAL'!B21</f>
        <v>#N/A</v>
      </c>
      <c r="G27" s="99">
        <f>'1. ZODIAC NATAL'!C21</f>
        <v>0</v>
      </c>
      <c r="H27" s="73" t="e" cm="1">
        <f t="array" ref="H27">INDEX(D:D, SUMPRODUCT(($A:$A=F27) * ($B:$B&lt;=G27) * ($C:$C&gt;=G27) * ROW($A:$A)))</f>
        <v>#N/A</v>
      </c>
      <c r="I27" s="75"/>
    </row>
    <row r="28" spans="5:9" x14ac:dyDescent="0.35">
      <c r="E28" s="229" t="str">
        <f>'1. ZODIAC NATAL'!A22</f>
        <v>MARS</v>
      </c>
      <c r="F28" s="73" t="e">
        <f>'1. ZODIAC NATAL'!B22</f>
        <v>#N/A</v>
      </c>
      <c r="G28" s="99">
        <f>'1. ZODIAC NATAL'!C22</f>
        <v>0</v>
      </c>
      <c r="H28" s="73" t="e" cm="1">
        <f t="array" ref="H28">INDEX(D:D, SUMPRODUCT(($A:$A=F28) * ($B:$B&lt;=G28) * ($C:$C&gt;=G28) * ROW($A:$A)))</f>
        <v>#N/A</v>
      </c>
      <c r="I28" s="75"/>
    </row>
    <row r="29" spans="5:9" x14ac:dyDescent="0.35">
      <c r="E29" s="229" t="str">
        <f>'1. ZODIAC NATAL'!A23</f>
        <v>SUN</v>
      </c>
      <c r="F29" s="73" t="e">
        <f>'1. ZODIAC NATAL'!B23</f>
        <v>#N/A</v>
      </c>
      <c r="G29" s="99">
        <f>'1. ZODIAC NATAL'!C23</f>
        <v>0</v>
      </c>
      <c r="H29" s="73" t="e" cm="1">
        <f t="array" ref="H29">INDEX(D:D, SUMPRODUCT(($A:$A=F29) * ($B:$B&lt;=G29) * ($C:$C&gt;=G29) * ROW($A:$A)))</f>
        <v>#N/A</v>
      </c>
      <c r="I29" s="75"/>
    </row>
    <row r="30" spans="5:9" x14ac:dyDescent="0.35">
      <c r="E30" s="229" t="str">
        <f>'1. ZODIAC NATAL'!A24</f>
        <v>VENUS</v>
      </c>
      <c r="F30" s="73" t="e">
        <f>'1. ZODIAC NATAL'!B24</f>
        <v>#N/A</v>
      </c>
      <c r="G30" s="99">
        <f>'1. ZODIAC NATAL'!C24</f>
        <v>0</v>
      </c>
      <c r="H30" s="73" t="e" cm="1">
        <f t="array" ref="H30">INDEX(D:D, SUMPRODUCT(($A:$A=F30) * ($B:$B&lt;=G30) * ($C:$C&gt;=G30) * ROW($A:$A)))</f>
        <v>#N/A</v>
      </c>
      <c r="I30" s="75"/>
    </row>
    <row r="31" spans="5:9" x14ac:dyDescent="0.35">
      <c r="E31" s="229" t="str">
        <f>'1. ZODIAC NATAL'!A25</f>
        <v>MERCURY</v>
      </c>
      <c r="F31" s="73" t="e">
        <f>'1. ZODIAC NATAL'!B25</f>
        <v>#N/A</v>
      </c>
      <c r="G31" s="99">
        <f>'1. ZODIAC NATAL'!C25</f>
        <v>0</v>
      </c>
      <c r="H31" s="73" t="e" cm="1">
        <f t="array" ref="H31">INDEX(D:D, SUMPRODUCT(($A:$A=F31) * ($B:$B&lt;=G31) * ($C:$C&gt;=G31) * ROW($A:$A)))</f>
        <v>#N/A</v>
      </c>
      <c r="I31" s="75"/>
    </row>
    <row r="32" spans="5:9" x14ac:dyDescent="0.35">
      <c r="E32" s="229" t="str">
        <f>'1. ZODIAC NATAL'!A26</f>
        <v>MOON</v>
      </c>
      <c r="F32" s="73" t="e">
        <f>'1. ZODIAC NATAL'!B26</f>
        <v>#N/A</v>
      </c>
      <c r="G32" s="99">
        <f>'1. ZODIAC NATAL'!C26</f>
        <v>0</v>
      </c>
      <c r="H32" s="73" t="e" cm="1">
        <f t="array" ref="H32">INDEX(D:D, SUMPRODUCT(($A:$A=F32) * ($B:$B&lt;=G32) * ($C:$C&gt;=G32) * ROW($A:$A)))</f>
        <v>#N/A</v>
      </c>
      <c r="I32" s="75"/>
    </row>
    <row r="33" spans="1:9" x14ac:dyDescent="0.35">
      <c r="E33" s="229" t="str">
        <f>'1. ZODIAC NATAL'!A39</f>
        <v xml:space="preserve">Lots Of union </v>
      </c>
      <c r="F33" s="73">
        <f>'1. ZODIAC NATAL'!B39</f>
        <v>0</v>
      </c>
      <c r="G33" s="99">
        <f>'1. ZODIAC NATAL'!C39</f>
        <v>0</v>
      </c>
      <c r="H33" s="73" t="e" cm="1">
        <f t="array" ref="H33">INDEX(D:D, SUMPRODUCT(($A:$A=F33) * ($B:$B&lt;=G33) * ($C:$C&gt;=G33) * ROW($A:$A)))</f>
        <v>#REF!</v>
      </c>
      <c r="I33" s="75"/>
    </row>
    <row r="34" spans="1:9" x14ac:dyDescent="0.35">
      <c r="E34" s="432" t="s">
        <v>68</v>
      </c>
      <c r="F34" s="284" t="e">
        <f>'1. ZODIAC NATAL'!B27</f>
        <v>#N/A</v>
      </c>
      <c r="G34" s="433">
        <f>'1. ZODIAC NATAL'!C27</f>
        <v>0</v>
      </c>
      <c r="H34" s="73" t="e" cm="1">
        <f t="array" ref="H34">INDEX(D:D, SUMPRODUCT(($A:$A=F34) * ($B:$B&lt;=G34) * ($C:$C&gt;=G34) * ROW($A:$A)))</f>
        <v>#N/A</v>
      </c>
      <c r="I34" s="75"/>
    </row>
    <row r="35" spans="1:9" x14ac:dyDescent="0.35">
      <c r="E35" s="399"/>
      <c r="G35" s="76"/>
      <c r="I35" s="75"/>
    </row>
    <row r="36" spans="1:9" x14ac:dyDescent="0.35">
      <c r="E36" s="634" t="s">
        <v>133</v>
      </c>
      <c r="F36" s="171" t="s">
        <v>26</v>
      </c>
      <c r="G36" s="171" t="s">
        <v>128</v>
      </c>
      <c r="H36" s="171" t="s">
        <v>44</v>
      </c>
      <c r="I36" s="75"/>
    </row>
    <row r="37" spans="1:9" x14ac:dyDescent="0.35">
      <c r="E37" s="634"/>
      <c r="F37" s="73" t="e">
        <f>'2. YEAR OF USURPATION(ECLIPSE)'!B2</f>
        <v>#N/A</v>
      </c>
      <c r="G37" s="99">
        <f>'2. YEAR OF USURPATION(ECLIPSE)'!C2</f>
        <v>0</v>
      </c>
      <c r="H37" s="73" t="e" cm="1">
        <f t="array" ref="H37">INDEX(D:D, SUMPRODUCT(($A:$A=F37) * ($B:$B&lt;=G37) * ($C:$C&gt;=G37) * ROW($A:$A)))</f>
        <v>#N/A</v>
      </c>
      <c r="I37" s="75"/>
    </row>
    <row r="43" spans="1:9" x14ac:dyDescent="0.35">
      <c r="A43" s="71" t="s">
        <v>129</v>
      </c>
      <c r="B43" s="71" t="s">
        <v>130</v>
      </c>
      <c r="C43" s="71" t="s">
        <v>131</v>
      </c>
      <c r="D43" s="71" t="s">
        <v>132</v>
      </c>
    </row>
    <row r="44" spans="1:9" x14ac:dyDescent="0.35">
      <c r="A44" s="71" t="s">
        <v>31</v>
      </c>
      <c r="B44" s="76">
        <v>0</v>
      </c>
      <c r="C44" s="76">
        <v>1.736111111111111E-3</v>
      </c>
      <c r="D44" s="71" t="s">
        <v>31</v>
      </c>
    </row>
    <row r="45" spans="1:9" x14ac:dyDescent="0.35">
      <c r="A45" s="71" t="s">
        <v>31</v>
      </c>
      <c r="B45" s="76">
        <v>1.7476851851851852E-3</v>
      </c>
      <c r="C45" s="76">
        <v>3.472222222222222E-3</v>
      </c>
      <c r="D45" s="71" t="s">
        <v>122</v>
      </c>
    </row>
    <row r="46" spans="1:9" x14ac:dyDescent="0.35">
      <c r="A46" s="71" t="s">
        <v>31</v>
      </c>
      <c r="B46" s="76">
        <v>3.4837962962962965E-3</v>
      </c>
      <c r="C46" s="76">
        <v>5.208333333333333E-3</v>
      </c>
      <c r="D46" s="71" t="s">
        <v>103</v>
      </c>
    </row>
    <row r="47" spans="1:9" x14ac:dyDescent="0.35">
      <c r="A47" s="71" t="s">
        <v>31</v>
      </c>
      <c r="B47" s="76">
        <v>5.2199074074074075E-3</v>
      </c>
      <c r="C47" s="76">
        <v>6.9444444444444449E-3</v>
      </c>
      <c r="D47" s="71" t="s">
        <v>67</v>
      </c>
    </row>
    <row r="48" spans="1:9" x14ac:dyDescent="0.35">
      <c r="A48" s="71" t="s">
        <v>31</v>
      </c>
      <c r="B48" s="76">
        <v>6.9560185185185185E-3</v>
      </c>
      <c r="C48" s="76">
        <v>8.6805555555555559E-3</v>
      </c>
      <c r="D48" s="71" t="s">
        <v>69</v>
      </c>
    </row>
    <row r="49" spans="1:4" x14ac:dyDescent="0.35">
      <c r="A49" s="71" t="s">
        <v>31</v>
      </c>
      <c r="B49" s="76">
        <v>8.6921296296296295E-3</v>
      </c>
      <c r="C49" s="76">
        <v>1.0416666666666666E-2</v>
      </c>
      <c r="D49" s="71" t="s">
        <v>77</v>
      </c>
    </row>
    <row r="50" spans="1:4" x14ac:dyDescent="0.35">
      <c r="A50" s="71" t="s">
        <v>31</v>
      </c>
      <c r="B50" s="76">
        <v>1.0428240740740741E-2</v>
      </c>
      <c r="C50" s="76">
        <v>1.2152777777777776E-2</v>
      </c>
      <c r="D50" s="71" t="s">
        <v>84</v>
      </c>
    </row>
    <row r="51" spans="1:4" x14ac:dyDescent="0.35">
      <c r="A51" s="71" t="s">
        <v>31</v>
      </c>
      <c r="B51" s="76">
        <v>1.2164351851851852E-2</v>
      </c>
      <c r="C51" s="76">
        <v>1.3888888888888886E-2</v>
      </c>
      <c r="D51" s="71" t="s">
        <v>123</v>
      </c>
    </row>
    <row r="52" spans="1:4" x14ac:dyDescent="0.35">
      <c r="A52" s="71" t="s">
        <v>31</v>
      </c>
      <c r="B52" s="76">
        <v>1.3900462962962963E-2</v>
      </c>
      <c r="C52" s="76">
        <v>1.5624999999999997E-2</v>
      </c>
      <c r="D52" s="71" t="s">
        <v>82</v>
      </c>
    </row>
    <row r="53" spans="1:4" x14ac:dyDescent="0.35">
      <c r="A53" s="71" t="s">
        <v>31</v>
      </c>
      <c r="B53" s="76">
        <v>1.5636574074074074E-2</v>
      </c>
      <c r="C53" s="76">
        <v>1.7361111111111108E-2</v>
      </c>
      <c r="D53" s="71" t="s">
        <v>143</v>
      </c>
    </row>
    <row r="54" spans="1:4" x14ac:dyDescent="0.35">
      <c r="A54" s="71" t="s">
        <v>31</v>
      </c>
      <c r="B54" s="76">
        <v>1.7372685185185185E-2</v>
      </c>
      <c r="C54" s="76">
        <v>1.909722222222222E-2</v>
      </c>
      <c r="D54" s="71" t="s">
        <v>79</v>
      </c>
    </row>
    <row r="55" spans="1:4" x14ac:dyDescent="0.35">
      <c r="A55" s="71" t="s">
        <v>31</v>
      </c>
      <c r="B55" s="76">
        <v>1.9108796296296297E-2</v>
      </c>
      <c r="C55" s="76">
        <v>2.0833333333333332E-2</v>
      </c>
      <c r="D55" s="71" t="s">
        <v>125</v>
      </c>
    </row>
    <row r="56" spans="1:4" x14ac:dyDescent="0.35">
      <c r="A56" s="71" t="s">
        <v>122</v>
      </c>
      <c r="B56" s="76">
        <v>0</v>
      </c>
      <c r="C56" s="76">
        <v>1.736111111111111E-3</v>
      </c>
      <c r="D56" s="71" t="s">
        <v>122</v>
      </c>
    </row>
    <row r="57" spans="1:4" x14ac:dyDescent="0.35">
      <c r="A57" s="71" t="s">
        <v>122</v>
      </c>
      <c r="B57" s="76">
        <v>1.7476851851851852E-3</v>
      </c>
      <c r="C57" s="76">
        <v>3.472222222222222E-3</v>
      </c>
      <c r="D57" s="71" t="s">
        <v>103</v>
      </c>
    </row>
    <row r="58" spans="1:4" x14ac:dyDescent="0.35">
      <c r="A58" s="71" t="s">
        <v>122</v>
      </c>
      <c r="B58" s="76">
        <v>3.4837962962962965E-3</v>
      </c>
      <c r="C58" s="76">
        <v>5.208333333333333E-3</v>
      </c>
      <c r="D58" s="71" t="s">
        <v>67</v>
      </c>
    </row>
    <row r="59" spans="1:4" x14ac:dyDescent="0.35">
      <c r="A59" s="71" t="s">
        <v>122</v>
      </c>
      <c r="B59" s="76">
        <v>5.2199074074074075E-3</v>
      </c>
      <c r="C59" s="76">
        <v>6.9444444444444449E-3</v>
      </c>
      <c r="D59" s="71" t="s">
        <v>69</v>
      </c>
    </row>
    <row r="60" spans="1:4" x14ac:dyDescent="0.35">
      <c r="A60" s="71" t="s">
        <v>122</v>
      </c>
      <c r="B60" s="76">
        <v>6.9560185185185185E-3</v>
      </c>
      <c r="C60" s="76">
        <v>8.6805555555555559E-3</v>
      </c>
      <c r="D60" s="71" t="s">
        <v>77</v>
      </c>
    </row>
    <row r="61" spans="1:4" x14ac:dyDescent="0.35">
      <c r="A61" s="71" t="s">
        <v>122</v>
      </c>
      <c r="B61" s="76">
        <v>8.6921296296296295E-3</v>
      </c>
      <c r="C61" s="76">
        <v>1.0416666666666666E-2</v>
      </c>
      <c r="D61" s="71" t="s">
        <v>84</v>
      </c>
    </row>
    <row r="62" spans="1:4" x14ac:dyDescent="0.35">
      <c r="A62" s="71" t="s">
        <v>122</v>
      </c>
      <c r="B62" s="76">
        <v>1.0428240740740741E-2</v>
      </c>
      <c r="C62" s="76">
        <v>1.2152777777777776E-2</v>
      </c>
      <c r="D62" s="71" t="s">
        <v>123</v>
      </c>
    </row>
    <row r="63" spans="1:4" x14ac:dyDescent="0.35">
      <c r="A63" s="71" t="s">
        <v>122</v>
      </c>
      <c r="B63" s="76">
        <v>1.2164351851851852E-2</v>
      </c>
      <c r="C63" s="76">
        <v>1.3888888888888886E-2</v>
      </c>
      <c r="D63" s="71" t="s">
        <v>82</v>
      </c>
    </row>
    <row r="64" spans="1:4" x14ac:dyDescent="0.35">
      <c r="A64" s="71" t="s">
        <v>122</v>
      </c>
      <c r="B64" s="76">
        <v>1.3900462962962963E-2</v>
      </c>
      <c r="C64" s="76">
        <v>1.5624999999999997E-2</v>
      </c>
      <c r="D64" s="71" t="s">
        <v>143</v>
      </c>
    </row>
    <row r="65" spans="1:4" x14ac:dyDescent="0.35">
      <c r="A65" s="71" t="s">
        <v>122</v>
      </c>
      <c r="B65" s="76">
        <v>1.5636574074074074E-2</v>
      </c>
      <c r="C65" s="76">
        <v>1.7361111111111108E-2</v>
      </c>
      <c r="D65" s="71" t="s">
        <v>79</v>
      </c>
    </row>
    <row r="66" spans="1:4" x14ac:dyDescent="0.35">
      <c r="A66" s="71" t="s">
        <v>122</v>
      </c>
      <c r="B66" s="76">
        <v>1.7372685185185185E-2</v>
      </c>
      <c r="C66" s="76">
        <v>1.909722222222222E-2</v>
      </c>
      <c r="D66" s="71" t="s">
        <v>125</v>
      </c>
    </row>
    <row r="67" spans="1:4" x14ac:dyDescent="0.35">
      <c r="A67" s="71" t="s">
        <v>122</v>
      </c>
      <c r="B67" s="76">
        <v>1.9108796296296297E-2</v>
      </c>
      <c r="C67" s="76">
        <v>2.0833333333333332E-2</v>
      </c>
      <c r="D67" s="71" t="s">
        <v>31</v>
      </c>
    </row>
    <row r="68" spans="1:4" x14ac:dyDescent="0.35">
      <c r="A68" s="71" t="s">
        <v>103</v>
      </c>
      <c r="B68" s="76">
        <v>0</v>
      </c>
      <c r="C68" s="76">
        <v>1.736111111111111E-3</v>
      </c>
      <c r="D68" s="71" t="s">
        <v>103</v>
      </c>
    </row>
    <row r="69" spans="1:4" x14ac:dyDescent="0.35">
      <c r="A69" s="71" t="s">
        <v>103</v>
      </c>
      <c r="B69" s="76">
        <v>1.7476851851851852E-3</v>
      </c>
      <c r="C69" s="76">
        <v>3.472222222222222E-3</v>
      </c>
      <c r="D69" s="71" t="s">
        <v>67</v>
      </c>
    </row>
    <row r="70" spans="1:4" x14ac:dyDescent="0.35">
      <c r="A70" s="71" t="s">
        <v>103</v>
      </c>
      <c r="B70" s="76">
        <v>3.4837962962962965E-3</v>
      </c>
      <c r="C70" s="76">
        <v>5.208333333333333E-3</v>
      </c>
      <c r="D70" s="71" t="s">
        <v>69</v>
      </c>
    </row>
    <row r="71" spans="1:4" x14ac:dyDescent="0.35">
      <c r="A71" s="71" t="s">
        <v>103</v>
      </c>
      <c r="B71" s="76">
        <v>5.2199074074074075E-3</v>
      </c>
      <c r="C71" s="76">
        <v>6.9444444444444449E-3</v>
      </c>
      <c r="D71" s="71" t="s">
        <v>77</v>
      </c>
    </row>
    <row r="72" spans="1:4" x14ac:dyDescent="0.35">
      <c r="A72" s="71" t="s">
        <v>103</v>
      </c>
      <c r="B72" s="76">
        <v>6.9560185185185185E-3</v>
      </c>
      <c r="C72" s="76">
        <v>8.6805555555555559E-3</v>
      </c>
      <c r="D72" s="71" t="s">
        <v>84</v>
      </c>
    </row>
    <row r="73" spans="1:4" x14ac:dyDescent="0.35">
      <c r="A73" s="71" t="s">
        <v>103</v>
      </c>
      <c r="B73" s="76">
        <v>8.6921296296296295E-3</v>
      </c>
      <c r="C73" s="76">
        <v>1.0416666666666666E-2</v>
      </c>
      <c r="D73" s="71" t="s">
        <v>123</v>
      </c>
    </row>
    <row r="74" spans="1:4" x14ac:dyDescent="0.35">
      <c r="A74" s="71" t="s">
        <v>103</v>
      </c>
      <c r="B74" s="76">
        <v>1.0428240740740741E-2</v>
      </c>
      <c r="C74" s="76">
        <v>1.2152777777777776E-2</v>
      </c>
      <c r="D74" s="71" t="s">
        <v>82</v>
      </c>
    </row>
    <row r="75" spans="1:4" x14ac:dyDescent="0.35">
      <c r="A75" s="71" t="s">
        <v>103</v>
      </c>
      <c r="B75" s="76">
        <v>1.2164351851851852E-2</v>
      </c>
      <c r="C75" s="76">
        <v>1.3888888888888886E-2</v>
      </c>
      <c r="D75" s="71" t="s">
        <v>143</v>
      </c>
    </row>
    <row r="76" spans="1:4" x14ac:dyDescent="0.35">
      <c r="A76" s="71" t="s">
        <v>103</v>
      </c>
      <c r="B76" s="76">
        <v>1.3900462962962963E-2</v>
      </c>
      <c r="C76" s="76">
        <v>1.5624999999999997E-2</v>
      </c>
      <c r="D76" s="71" t="s">
        <v>79</v>
      </c>
    </row>
    <row r="77" spans="1:4" x14ac:dyDescent="0.35">
      <c r="A77" s="71" t="s">
        <v>103</v>
      </c>
      <c r="B77" s="76">
        <v>1.5636574074074074E-2</v>
      </c>
      <c r="C77" s="76">
        <v>1.7361111111111108E-2</v>
      </c>
      <c r="D77" s="71" t="s">
        <v>125</v>
      </c>
    </row>
    <row r="78" spans="1:4" x14ac:dyDescent="0.35">
      <c r="A78" s="71" t="s">
        <v>103</v>
      </c>
      <c r="B78" s="76">
        <v>1.7372685185185185E-2</v>
      </c>
      <c r="C78" s="76">
        <v>1.909722222222222E-2</v>
      </c>
      <c r="D78" s="71" t="s">
        <v>31</v>
      </c>
    </row>
    <row r="79" spans="1:4" x14ac:dyDescent="0.35">
      <c r="A79" s="71" t="s">
        <v>103</v>
      </c>
      <c r="B79" s="76">
        <v>1.9108796296296297E-2</v>
      </c>
      <c r="C79" s="76">
        <v>2.0833333333333332E-2</v>
      </c>
      <c r="D79" s="71" t="s">
        <v>122</v>
      </c>
    </row>
    <row r="80" spans="1:4" x14ac:dyDescent="0.35">
      <c r="A80" s="71" t="s">
        <v>67</v>
      </c>
      <c r="B80" s="76">
        <v>0</v>
      </c>
      <c r="C80" s="76">
        <v>1.736111111111111E-3</v>
      </c>
      <c r="D80" s="71" t="s">
        <v>67</v>
      </c>
    </row>
    <row r="81" spans="1:4" x14ac:dyDescent="0.35">
      <c r="A81" s="71" t="s">
        <v>67</v>
      </c>
      <c r="B81" s="76">
        <v>1.7476851851851852E-3</v>
      </c>
      <c r="C81" s="76">
        <v>3.472222222222222E-3</v>
      </c>
      <c r="D81" s="71" t="s">
        <v>69</v>
      </c>
    </row>
    <row r="82" spans="1:4" x14ac:dyDescent="0.35">
      <c r="A82" s="71" t="s">
        <v>67</v>
      </c>
      <c r="B82" s="76">
        <v>3.4837962962962965E-3</v>
      </c>
      <c r="C82" s="76">
        <v>5.208333333333333E-3</v>
      </c>
      <c r="D82" s="71" t="s">
        <v>77</v>
      </c>
    </row>
    <row r="83" spans="1:4" x14ac:dyDescent="0.35">
      <c r="A83" s="71" t="s">
        <v>67</v>
      </c>
      <c r="B83" s="76">
        <v>5.2199074074074075E-3</v>
      </c>
      <c r="C83" s="76">
        <v>6.9444444444444449E-3</v>
      </c>
      <c r="D83" s="71" t="s">
        <v>84</v>
      </c>
    </row>
    <row r="84" spans="1:4" x14ac:dyDescent="0.35">
      <c r="A84" s="71" t="s">
        <v>67</v>
      </c>
      <c r="B84" s="76">
        <v>6.9560185185185185E-3</v>
      </c>
      <c r="C84" s="76">
        <v>8.6805555555555559E-3</v>
      </c>
      <c r="D84" s="71" t="s">
        <v>123</v>
      </c>
    </row>
    <row r="85" spans="1:4" x14ac:dyDescent="0.35">
      <c r="A85" s="71" t="s">
        <v>67</v>
      </c>
      <c r="B85" s="76">
        <v>8.6921296296296295E-3</v>
      </c>
      <c r="C85" s="76">
        <v>1.0416666666666666E-2</v>
      </c>
      <c r="D85" s="71" t="s">
        <v>82</v>
      </c>
    </row>
    <row r="86" spans="1:4" x14ac:dyDescent="0.35">
      <c r="A86" s="71" t="s">
        <v>67</v>
      </c>
      <c r="B86" s="76">
        <v>1.0428240740740741E-2</v>
      </c>
      <c r="C86" s="76">
        <v>1.2152777777777776E-2</v>
      </c>
      <c r="D86" s="71" t="s">
        <v>143</v>
      </c>
    </row>
    <row r="87" spans="1:4" x14ac:dyDescent="0.35">
      <c r="A87" s="71" t="s">
        <v>67</v>
      </c>
      <c r="B87" s="76">
        <v>1.2164351851851852E-2</v>
      </c>
      <c r="C87" s="76">
        <v>1.3888888888888886E-2</v>
      </c>
      <c r="D87" s="71" t="s">
        <v>79</v>
      </c>
    </row>
    <row r="88" spans="1:4" x14ac:dyDescent="0.35">
      <c r="A88" s="71" t="s">
        <v>67</v>
      </c>
      <c r="B88" s="76">
        <v>1.3900462962962963E-2</v>
      </c>
      <c r="C88" s="76">
        <v>1.5624999999999997E-2</v>
      </c>
      <c r="D88" s="71" t="s">
        <v>125</v>
      </c>
    </row>
    <row r="89" spans="1:4" x14ac:dyDescent="0.35">
      <c r="A89" s="71" t="s">
        <v>67</v>
      </c>
      <c r="B89" s="76">
        <v>1.5636574074074074E-2</v>
      </c>
      <c r="C89" s="76">
        <v>1.7361111111111108E-2</v>
      </c>
      <c r="D89" s="71" t="s">
        <v>31</v>
      </c>
    </row>
    <row r="90" spans="1:4" x14ac:dyDescent="0.35">
      <c r="A90" s="71" t="s">
        <v>67</v>
      </c>
      <c r="B90" s="76">
        <v>1.7372685185185185E-2</v>
      </c>
      <c r="C90" s="76">
        <v>1.909722222222222E-2</v>
      </c>
      <c r="D90" s="71" t="s">
        <v>122</v>
      </c>
    </row>
    <row r="91" spans="1:4" x14ac:dyDescent="0.35">
      <c r="A91" s="71" t="s">
        <v>67</v>
      </c>
      <c r="B91" s="76">
        <v>1.9108796296296297E-2</v>
      </c>
      <c r="C91" s="76">
        <v>2.0833333333333332E-2</v>
      </c>
      <c r="D91" s="71" t="s">
        <v>103</v>
      </c>
    </row>
    <row r="92" spans="1:4" x14ac:dyDescent="0.35">
      <c r="A92" s="71" t="s">
        <v>69</v>
      </c>
      <c r="B92" s="76">
        <v>0</v>
      </c>
      <c r="C92" s="76">
        <v>1.736111111111111E-3</v>
      </c>
      <c r="D92" s="71" t="s">
        <v>69</v>
      </c>
    </row>
    <row r="93" spans="1:4" x14ac:dyDescent="0.35">
      <c r="A93" s="71" t="s">
        <v>69</v>
      </c>
      <c r="B93" s="76">
        <v>1.7476851851851852E-3</v>
      </c>
      <c r="C93" s="76">
        <v>3.472222222222222E-3</v>
      </c>
      <c r="D93" s="71" t="s">
        <v>77</v>
      </c>
    </row>
    <row r="94" spans="1:4" x14ac:dyDescent="0.35">
      <c r="A94" s="71" t="s">
        <v>69</v>
      </c>
      <c r="B94" s="76">
        <v>3.4837962962962965E-3</v>
      </c>
      <c r="C94" s="76">
        <v>5.208333333333333E-3</v>
      </c>
      <c r="D94" s="71" t="s">
        <v>84</v>
      </c>
    </row>
    <row r="95" spans="1:4" x14ac:dyDescent="0.35">
      <c r="A95" s="71" t="s">
        <v>69</v>
      </c>
      <c r="B95" s="76">
        <v>5.2199074074074075E-3</v>
      </c>
      <c r="C95" s="76">
        <v>6.9444444444444449E-3</v>
      </c>
      <c r="D95" s="71" t="s">
        <v>123</v>
      </c>
    </row>
    <row r="96" spans="1:4" x14ac:dyDescent="0.35">
      <c r="A96" s="71" t="s">
        <v>69</v>
      </c>
      <c r="B96" s="76">
        <v>6.9560185185185185E-3</v>
      </c>
      <c r="C96" s="76">
        <v>8.6805555555555559E-3</v>
      </c>
      <c r="D96" s="71" t="s">
        <v>82</v>
      </c>
    </row>
    <row r="97" spans="1:4" x14ac:dyDescent="0.35">
      <c r="A97" s="71" t="s">
        <v>69</v>
      </c>
      <c r="B97" s="76">
        <v>8.6921296296296295E-3</v>
      </c>
      <c r="C97" s="76">
        <v>1.0416666666666666E-2</v>
      </c>
      <c r="D97" s="71" t="s">
        <v>143</v>
      </c>
    </row>
    <row r="98" spans="1:4" x14ac:dyDescent="0.35">
      <c r="A98" s="71" t="s">
        <v>69</v>
      </c>
      <c r="B98" s="76">
        <v>1.0428240740740741E-2</v>
      </c>
      <c r="C98" s="76">
        <v>1.2152777777777776E-2</v>
      </c>
      <c r="D98" s="71" t="s">
        <v>79</v>
      </c>
    </row>
    <row r="99" spans="1:4" x14ac:dyDescent="0.35">
      <c r="A99" s="71" t="s">
        <v>69</v>
      </c>
      <c r="B99" s="76">
        <v>1.2164351851851852E-2</v>
      </c>
      <c r="C99" s="76">
        <v>1.3888888888888886E-2</v>
      </c>
      <c r="D99" s="71" t="s">
        <v>125</v>
      </c>
    </row>
    <row r="100" spans="1:4" x14ac:dyDescent="0.35">
      <c r="A100" s="71" t="s">
        <v>69</v>
      </c>
      <c r="B100" s="76">
        <v>1.3900462962962963E-2</v>
      </c>
      <c r="C100" s="76">
        <v>1.5624999999999997E-2</v>
      </c>
      <c r="D100" s="71" t="s">
        <v>31</v>
      </c>
    </row>
    <row r="101" spans="1:4" x14ac:dyDescent="0.35">
      <c r="A101" s="71" t="s">
        <v>69</v>
      </c>
      <c r="B101" s="76">
        <v>1.5636574074074074E-2</v>
      </c>
      <c r="C101" s="76">
        <v>1.7361111111111108E-2</v>
      </c>
      <c r="D101" s="71" t="s">
        <v>122</v>
      </c>
    </row>
    <row r="102" spans="1:4" x14ac:dyDescent="0.35">
      <c r="A102" s="71" t="s">
        <v>69</v>
      </c>
      <c r="B102" s="76">
        <v>1.7372685185185185E-2</v>
      </c>
      <c r="C102" s="76">
        <v>1.909722222222222E-2</v>
      </c>
      <c r="D102" s="71" t="s">
        <v>103</v>
      </c>
    </row>
    <row r="103" spans="1:4" x14ac:dyDescent="0.35">
      <c r="A103" s="71" t="s">
        <v>69</v>
      </c>
      <c r="B103" s="76">
        <v>1.9108796296296297E-2</v>
      </c>
      <c r="C103" s="76">
        <v>2.0833333333333332E-2</v>
      </c>
      <c r="D103" s="71" t="s">
        <v>67</v>
      </c>
    </row>
    <row r="104" spans="1:4" x14ac:dyDescent="0.35">
      <c r="A104" s="71" t="s">
        <v>77</v>
      </c>
      <c r="B104" s="76">
        <v>0</v>
      </c>
      <c r="C104" s="76">
        <v>1.736111111111111E-3</v>
      </c>
      <c r="D104" s="71" t="s">
        <v>77</v>
      </c>
    </row>
    <row r="105" spans="1:4" x14ac:dyDescent="0.35">
      <c r="A105" s="71" t="s">
        <v>77</v>
      </c>
      <c r="B105" s="76">
        <v>1.7476851851851852E-3</v>
      </c>
      <c r="C105" s="76">
        <v>3.472222222222222E-3</v>
      </c>
      <c r="D105" s="71" t="s">
        <v>84</v>
      </c>
    </row>
    <row r="106" spans="1:4" x14ac:dyDescent="0.35">
      <c r="A106" s="71" t="s">
        <v>77</v>
      </c>
      <c r="B106" s="76">
        <v>3.4837962962962965E-3</v>
      </c>
      <c r="C106" s="76">
        <v>5.208333333333333E-3</v>
      </c>
      <c r="D106" s="71" t="s">
        <v>123</v>
      </c>
    </row>
    <row r="107" spans="1:4" x14ac:dyDescent="0.35">
      <c r="A107" s="71" t="s">
        <v>77</v>
      </c>
      <c r="B107" s="76">
        <v>5.2199074074074075E-3</v>
      </c>
      <c r="C107" s="76">
        <v>6.9444444444444449E-3</v>
      </c>
      <c r="D107" s="71" t="s">
        <v>82</v>
      </c>
    </row>
    <row r="108" spans="1:4" x14ac:dyDescent="0.35">
      <c r="A108" s="71" t="s">
        <v>77</v>
      </c>
      <c r="B108" s="76">
        <v>6.9560185185185185E-3</v>
      </c>
      <c r="C108" s="76">
        <v>8.6805555555555559E-3</v>
      </c>
      <c r="D108" s="71" t="s">
        <v>143</v>
      </c>
    </row>
    <row r="109" spans="1:4" x14ac:dyDescent="0.35">
      <c r="A109" s="71" t="s">
        <v>77</v>
      </c>
      <c r="B109" s="76">
        <v>8.6921296296296295E-3</v>
      </c>
      <c r="C109" s="76">
        <v>1.0416666666666666E-2</v>
      </c>
      <c r="D109" s="71" t="s">
        <v>79</v>
      </c>
    </row>
    <row r="110" spans="1:4" x14ac:dyDescent="0.35">
      <c r="A110" s="71" t="s">
        <v>77</v>
      </c>
      <c r="B110" s="76">
        <v>1.0428240740740741E-2</v>
      </c>
      <c r="C110" s="76">
        <v>1.2152777777777776E-2</v>
      </c>
      <c r="D110" s="71" t="s">
        <v>125</v>
      </c>
    </row>
    <row r="111" spans="1:4" x14ac:dyDescent="0.35">
      <c r="A111" s="71" t="s">
        <v>77</v>
      </c>
      <c r="B111" s="76">
        <v>1.2164351851851852E-2</v>
      </c>
      <c r="C111" s="76">
        <v>1.3888888888888886E-2</v>
      </c>
      <c r="D111" s="71" t="s">
        <v>31</v>
      </c>
    </row>
    <row r="112" spans="1:4" x14ac:dyDescent="0.35">
      <c r="A112" s="71" t="s">
        <v>77</v>
      </c>
      <c r="B112" s="76">
        <v>1.3900462962962963E-2</v>
      </c>
      <c r="C112" s="76">
        <v>1.5624999999999997E-2</v>
      </c>
      <c r="D112" s="71" t="s">
        <v>122</v>
      </c>
    </row>
    <row r="113" spans="1:4" x14ac:dyDescent="0.35">
      <c r="A113" s="71" t="s">
        <v>77</v>
      </c>
      <c r="B113" s="76">
        <v>1.5636574074074074E-2</v>
      </c>
      <c r="C113" s="76">
        <v>1.7361111111111108E-2</v>
      </c>
      <c r="D113" s="71" t="s">
        <v>103</v>
      </c>
    </row>
    <row r="114" spans="1:4" x14ac:dyDescent="0.35">
      <c r="A114" s="71" t="s">
        <v>77</v>
      </c>
      <c r="B114" s="76">
        <v>1.7372685185185185E-2</v>
      </c>
      <c r="C114" s="76">
        <v>1.909722222222222E-2</v>
      </c>
      <c r="D114" s="71" t="s">
        <v>67</v>
      </c>
    </row>
    <row r="115" spans="1:4" x14ac:dyDescent="0.35">
      <c r="A115" s="71" t="s">
        <v>77</v>
      </c>
      <c r="B115" s="76">
        <v>1.9108796296296297E-2</v>
      </c>
      <c r="C115" s="76">
        <v>2.0833333333333332E-2</v>
      </c>
      <c r="D115" s="71" t="s">
        <v>69</v>
      </c>
    </row>
    <row r="116" spans="1:4" x14ac:dyDescent="0.35">
      <c r="A116" s="71" t="s">
        <v>84</v>
      </c>
      <c r="B116" s="76">
        <v>0</v>
      </c>
      <c r="C116" s="76">
        <v>1.736111111111111E-3</v>
      </c>
      <c r="D116" s="71" t="s">
        <v>84</v>
      </c>
    </row>
    <row r="117" spans="1:4" x14ac:dyDescent="0.35">
      <c r="A117" s="71" t="s">
        <v>84</v>
      </c>
      <c r="B117" s="76">
        <v>1.7476851851851852E-3</v>
      </c>
      <c r="C117" s="76">
        <v>3.472222222222222E-3</v>
      </c>
      <c r="D117" s="71" t="s">
        <v>123</v>
      </c>
    </row>
    <row r="118" spans="1:4" x14ac:dyDescent="0.35">
      <c r="A118" s="71" t="s">
        <v>84</v>
      </c>
      <c r="B118" s="76">
        <v>3.4837962962962965E-3</v>
      </c>
      <c r="C118" s="76">
        <v>5.208333333333333E-3</v>
      </c>
      <c r="D118" s="71" t="s">
        <v>82</v>
      </c>
    </row>
    <row r="119" spans="1:4" x14ac:dyDescent="0.35">
      <c r="A119" s="71" t="s">
        <v>84</v>
      </c>
      <c r="B119" s="76">
        <v>5.2199074074074075E-3</v>
      </c>
      <c r="C119" s="76">
        <v>6.9444444444444449E-3</v>
      </c>
      <c r="D119" s="71" t="s">
        <v>143</v>
      </c>
    </row>
    <row r="120" spans="1:4" x14ac:dyDescent="0.35">
      <c r="A120" s="71" t="s">
        <v>84</v>
      </c>
      <c r="B120" s="76">
        <v>6.9560185185185185E-3</v>
      </c>
      <c r="C120" s="76">
        <v>8.6805555555555559E-3</v>
      </c>
      <c r="D120" s="71" t="s">
        <v>79</v>
      </c>
    </row>
    <row r="121" spans="1:4" x14ac:dyDescent="0.35">
      <c r="A121" s="71" t="s">
        <v>84</v>
      </c>
      <c r="B121" s="76">
        <v>8.6921296296296295E-3</v>
      </c>
      <c r="C121" s="76">
        <v>1.0416666666666666E-2</v>
      </c>
      <c r="D121" s="71" t="s">
        <v>125</v>
      </c>
    </row>
    <row r="122" spans="1:4" x14ac:dyDescent="0.35">
      <c r="A122" s="71" t="s">
        <v>84</v>
      </c>
      <c r="B122" s="76">
        <v>1.0428240740740741E-2</v>
      </c>
      <c r="C122" s="76">
        <v>1.2152777777777776E-2</v>
      </c>
      <c r="D122" s="71" t="s">
        <v>31</v>
      </c>
    </row>
    <row r="123" spans="1:4" x14ac:dyDescent="0.35">
      <c r="A123" s="71" t="s">
        <v>84</v>
      </c>
      <c r="B123" s="76">
        <v>1.2164351851851852E-2</v>
      </c>
      <c r="C123" s="76">
        <v>1.3888888888888886E-2</v>
      </c>
      <c r="D123" s="71" t="s">
        <v>122</v>
      </c>
    </row>
    <row r="124" spans="1:4" x14ac:dyDescent="0.35">
      <c r="A124" s="71" t="s">
        <v>84</v>
      </c>
      <c r="B124" s="76">
        <v>1.3900462962962963E-2</v>
      </c>
      <c r="C124" s="76">
        <v>1.5624999999999997E-2</v>
      </c>
      <c r="D124" s="71" t="s">
        <v>103</v>
      </c>
    </row>
    <row r="125" spans="1:4" x14ac:dyDescent="0.35">
      <c r="A125" s="71" t="s">
        <v>84</v>
      </c>
      <c r="B125" s="76">
        <v>1.5636574074074074E-2</v>
      </c>
      <c r="C125" s="76">
        <v>1.7361111111111108E-2</v>
      </c>
      <c r="D125" s="71" t="s">
        <v>67</v>
      </c>
    </row>
    <row r="126" spans="1:4" x14ac:dyDescent="0.35">
      <c r="A126" s="71" t="s">
        <v>84</v>
      </c>
      <c r="B126" s="76">
        <v>1.7372685185185185E-2</v>
      </c>
      <c r="C126" s="76">
        <v>1.909722222222222E-2</v>
      </c>
      <c r="D126" s="71" t="s">
        <v>69</v>
      </c>
    </row>
    <row r="127" spans="1:4" x14ac:dyDescent="0.35">
      <c r="A127" s="71" t="s">
        <v>84</v>
      </c>
      <c r="B127" s="76">
        <v>1.9108796296296297E-2</v>
      </c>
      <c r="C127" s="76">
        <v>2.0833333333333332E-2</v>
      </c>
      <c r="D127" s="71" t="s">
        <v>77</v>
      </c>
    </row>
    <row r="128" spans="1:4" x14ac:dyDescent="0.35">
      <c r="A128" s="71" t="s">
        <v>123</v>
      </c>
      <c r="B128" s="76">
        <v>0</v>
      </c>
      <c r="C128" s="76">
        <v>1.736111111111111E-3</v>
      </c>
      <c r="D128" s="71" t="s">
        <v>123</v>
      </c>
    </row>
    <row r="129" spans="1:4" x14ac:dyDescent="0.35">
      <c r="A129" s="71" t="s">
        <v>123</v>
      </c>
      <c r="B129" s="76">
        <v>1.7476851851851852E-3</v>
      </c>
      <c r="C129" s="76">
        <v>3.472222222222222E-3</v>
      </c>
      <c r="D129" s="71" t="s">
        <v>82</v>
      </c>
    </row>
    <row r="130" spans="1:4" x14ac:dyDescent="0.35">
      <c r="A130" s="71" t="s">
        <v>123</v>
      </c>
      <c r="B130" s="76">
        <v>3.4837962962962965E-3</v>
      </c>
      <c r="C130" s="76">
        <v>5.208333333333333E-3</v>
      </c>
      <c r="D130" s="71" t="s">
        <v>143</v>
      </c>
    </row>
    <row r="131" spans="1:4" x14ac:dyDescent="0.35">
      <c r="A131" s="71" t="s">
        <v>123</v>
      </c>
      <c r="B131" s="76">
        <v>5.2199074074074075E-3</v>
      </c>
      <c r="C131" s="76">
        <v>6.9444444444444449E-3</v>
      </c>
      <c r="D131" s="71" t="s">
        <v>79</v>
      </c>
    </row>
    <row r="132" spans="1:4" x14ac:dyDescent="0.35">
      <c r="A132" s="71" t="s">
        <v>123</v>
      </c>
      <c r="B132" s="76">
        <v>6.9560185185185185E-3</v>
      </c>
      <c r="C132" s="76">
        <v>8.6805555555555559E-3</v>
      </c>
      <c r="D132" s="71" t="s">
        <v>125</v>
      </c>
    </row>
    <row r="133" spans="1:4" x14ac:dyDescent="0.35">
      <c r="A133" s="71" t="s">
        <v>123</v>
      </c>
      <c r="B133" s="76">
        <v>8.6921296296296295E-3</v>
      </c>
      <c r="C133" s="76">
        <v>1.0416666666666666E-2</v>
      </c>
      <c r="D133" s="71" t="s">
        <v>31</v>
      </c>
    </row>
    <row r="134" spans="1:4" x14ac:dyDescent="0.35">
      <c r="A134" s="71" t="s">
        <v>123</v>
      </c>
      <c r="B134" s="76">
        <v>1.0428240740740741E-2</v>
      </c>
      <c r="C134" s="76">
        <v>1.2152777777777776E-2</v>
      </c>
      <c r="D134" s="71" t="s">
        <v>122</v>
      </c>
    </row>
    <row r="135" spans="1:4" x14ac:dyDescent="0.35">
      <c r="A135" s="71" t="s">
        <v>123</v>
      </c>
      <c r="B135" s="76">
        <v>1.2164351851851852E-2</v>
      </c>
      <c r="C135" s="76">
        <v>1.3888888888888886E-2</v>
      </c>
      <c r="D135" s="71" t="s">
        <v>103</v>
      </c>
    </row>
    <row r="136" spans="1:4" x14ac:dyDescent="0.35">
      <c r="A136" s="71" t="s">
        <v>123</v>
      </c>
      <c r="B136" s="76">
        <v>1.3900462962962963E-2</v>
      </c>
      <c r="C136" s="76">
        <v>1.5624999999999997E-2</v>
      </c>
      <c r="D136" s="71" t="s">
        <v>67</v>
      </c>
    </row>
    <row r="137" spans="1:4" x14ac:dyDescent="0.35">
      <c r="A137" s="71" t="s">
        <v>123</v>
      </c>
      <c r="B137" s="76">
        <v>1.5636574074074074E-2</v>
      </c>
      <c r="C137" s="76">
        <v>1.7361111111111108E-2</v>
      </c>
      <c r="D137" s="71" t="s">
        <v>69</v>
      </c>
    </row>
    <row r="138" spans="1:4" x14ac:dyDescent="0.35">
      <c r="A138" s="71" t="s">
        <v>123</v>
      </c>
      <c r="B138" s="76">
        <v>1.7372685185185185E-2</v>
      </c>
      <c r="C138" s="76">
        <v>1.909722222222222E-2</v>
      </c>
      <c r="D138" s="71" t="s">
        <v>77</v>
      </c>
    </row>
    <row r="139" spans="1:4" x14ac:dyDescent="0.35">
      <c r="A139" s="71" t="s">
        <v>123</v>
      </c>
      <c r="B139" s="76">
        <v>1.9108796296296297E-2</v>
      </c>
      <c r="C139" s="76">
        <v>2.0833333333333332E-2</v>
      </c>
      <c r="D139" s="71" t="s">
        <v>84</v>
      </c>
    </row>
    <row r="140" spans="1:4" x14ac:dyDescent="0.35">
      <c r="A140" s="71" t="s">
        <v>82</v>
      </c>
      <c r="B140" s="76">
        <v>0</v>
      </c>
      <c r="C140" s="76">
        <v>1.736111111111111E-3</v>
      </c>
      <c r="D140" s="71" t="s">
        <v>82</v>
      </c>
    </row>
    <row r="141" spans="1:4" x14ac:dyDescent="0.35">
      <c r="A141" s="71" t="s">
        <v>82</v>
      </c>
      <c r="B141" s="76">
        <v>1.7476851851851852E-3</v>
      </c>
      <c r="C141" s="76">
        <v>3.472222222222222E-3</v>
      </c>
      <c r="D141" s="71" t="s">
        <v>143</v>
      </c>
    </row>
    <row r="142" spans="1:4" x14ac:dyDescent="0.35">
      <c r="A142" s="71" t="s">
        <v>82</v>
      </c>
      <c r="B142" s="76">
        <v>3.4837962962962965E-3</v>
      </c>
      <c r="C142" s="76">
        <v>5.208333333333333E-3</v>
      </c>
      <c r="D142" s="71" t="s">
        <v>79</v>
      </c>
    </row>
    <row r="143" spans="1:4" x14ac:dyDescent="0.35">
      <c r="A143" s="71" t="s">
        <v>82</v>
      </c>
      <c r="B143" s="76">
        <v>5.2199074074074075E-3</v>
      </c>
      <c r="C143" s="76">
        <v>6.9444444444444449E-3</v>
      </c>
      <c r="D143" s="71" t="s">
        <v>125</v>
      </c>
    </row>
    <row r="144" spans="1:4" x14ac:dyDescent="0.35">
      <c r="A144" s="71" t="s">
        <v>82</v>
      </c>
      <c r="B144" s="76">
        <v>6.9560185185185185E-3</v>
      </c>
      <c r="C144" s="76">
        <v>8.6805555555555559E-3</v>
      </c>
      <c r="D144" s="71" t="s">
        <v>31</v>
      </c>
    </row>
    <row r="145" spans="1:4" x14ac:dyDescent="0.35">
      <c r="A145" s="71" t="s">
        <v>82</v>
      </c>
      <c r="B145" s="76">
        <v>8.6921296296296295E-3</v>
      </c>
      <c r="C145" s="76">
        <v>1.0416666666666666E-2</v>
      </c>
      <c r="D145" s="71" t="s">
        <v>122</v>
      </c>
    </row>
    <row r="146" spans="1:4" x14ac:dyDescent="0.35">
      <c r="A146" s="71" t="s">
        <v>82</v>
      </c>
      <c r="B146" s="76">
        <v>1.0428240740740741E-2</v>
      </c>
      <c r="C146" s="76">
        <v>1.2152777777777776E-2</v>
      </c>
      <c r="D146" s="71" t="s">
        <v>103</v>
      </c>
    </row>
    <row r="147" spans="1:4" x14ac:dyDescent="0.35">
      <c r="A147" s="71" t="s">
        <v>82</v>
      </c>
      <c r="B147" s="76">
        <v>1.2164351851851852E-2</v>
      </c>
      <c r="C147" s="76">
        <v>1.3888888888888886E-2</v>
      </c>
      <c r="D147" s="71" t="s">
        <v>67</v>
      </c>
    </row>
    <row r="148" spans="1:4" x14ac:dyDescent="0.35">
      <c r="A148" s="71" t="s">
        <v>82</v>
      </c>
      <c r="B148" s="76">
        <v>1.3900462962962963E-2</v>
      </c>
      <c r="C148" s="76">
        <v>1.5624999999999997E-2</v>
      </c>
      <c r="D148" s="71" t="s">
        <v>69</v>
      </c>
    </row>
    <row r="149" spans="1:4" x14ac:dyDescent="0.35">
      <c r="A149" s="71" t="s">
        <v>82</v>
      </c>
      <c r="B149" s="76">
        <v>1.5636574074074074E-2</v>
      </c>
      <c r="C149" s="76">
        <v>1.7361111111111108E-2</v>
      </c>
      <c r="D149" s="71" t="s">
        <v>77</v>
      </c>
    </row>
    <row r="150" spans="1:4" x14ac:dyDescent="0.35">
      <c r="A150" s="71" t="s">
        <v>82</v>
      </c>
      <c r="B150" s="76">
        <v>1.7372685185185185E-2</v>
      </c>
      <c r="C150" s="76">
        <v>1.909722222222222E-2</v>
      </c>
      <c r="D150" s="71" t="s">
        <v>84</v>
      </c>
    </row>
    <row r="151" spans="1:4" x14ac:dyDescent="0.35">
      <c r="A151" s="71" t="s">
        <v>82</v>
      </c>
      <c r="B151" s="76">
        <v>1.9108796296296297E-2</v>
      </c>
      <c r="C151" s="76">
        <v>2.0833333333333332E-2</v>
      </c>
      <c r="D151" s="71" t="s">
        <v>123</v>
      </c>
    </row>
    <row r="152" spans="1:4" x14ac:dyDescent="0.35">
      <c r="A152" s="71" t="s">
        <v>143</v>
      </c>
      <c r="B152" s="76">
        <v>0</v>
      </c>
      <c r="C152" s="76">
        <v>1.736111111111111E-3</v>
      </c>
      <c r="D152" s="71" t="s">
        <v>143</v>
      </c>
    </row>
    <row r="153" spans="1:4" x14ac:dyDescent="0.35">
      <c r="A153" s="71" t="s">
        <v>143</v>
      </c>
      <c r="B153" s="76">
        <v>1.7476851851851852E-3</v>
      </c>
      <c r="C153" s="76">
        <v>3.472222222222222E-3</v>
      </c>
      <c r="D153" s="71" t="s">
        <v>79</v>
      </c>
    </row>
    <row r="154" spans="1:4" x14ac:dyDescent="0.35">
      <c r="A154" s="71" t="s">
        <v>143</v>
      </c>
      <c r="B154" s="76">
        <v>3.4837962962962965E-3</v>
      </c>
      <c r="C154" s="76">
        <v>5.208333333333333E-3</v>
      </c>
      <c r="D154" s="71" t="s">
        <v>125</v>
      </c>
    </row>
    <row r="155" spans="1:4" x14ac:dyDescent="0.35">
      <c r="A155" s="71" t="s">
        <v>143</v>
      </c>
      <c r="B155" s="76">
        <v>5.2199074074074075E-3</v>
      </c>
      <c r="C155" s="76">
        <v>6.9444444444444449E-3</v>
      </c>
      <c r="D155" s="71" t="s">
        <v>31</v>
      </c>
    </row>
    <row r="156" spans="1:4" x14ac:dyDescent="0.35">
      <c r="A156" s="71" t="s">
        <v>143</v>
      </c>
      <c r="B156" s="76">
        <v>6.9560185185185185E-3</v>
      </c>
      <c r="C156" s="76">
        <v>8.6805555555555559E-3</v>
      </c>
      <c r="D156" s="71" t="s">
        <v>122</v>
      </c>
    </row>
    <row r="157" spans="1:4" x14ac:dyDescent="0.35">
      <c r="A157" s="71" t="s">
        <v>143</v>
      </c>
      <c r="B157" s="76">
        <v>8.6921296296296295E-3</v>
      </c>
      <c r="C157" s="76">
        <v>1.0416666666666666E-2</v>
      </c>
      <c r="D157" s="71" t="s">
        <v>103</v>
      </c>
    </row>
    <row r="158" spans="1:4" x14ac:dyDescent="0.35">
      <c r="A158" s="71" t="s">
        <v>143</v>
      </c>
      <c r="B158" s="76">
        <v>1.0428240740740741E-2</v>
      </c>
      <c r="C158" s="76">
        <v>1.2152777777777776E-2</v>
      </c>
      <c r="D158" s="71" t="s">
        <v>67</v>
      </c>
    </row>
    <row r="159" spans="1:4" x14ac:dyDescent="0.35">
      <c r="A159" s="71" t="s">
        <v>143</v>
      </c>
      <c r="B159" s="76">
        <v>1.2164351851851852E-2</v>
      </c>
      <c r="C159" s="76">
        <v>1.3888888888888886E-2</v>
      </c>
      <c r="D159" s="71" t="s">
        <v>69</v>
      </c>
    </row>
    <row r="160" spans="1:4" x14ac:dyDescent="0.35">
      <c r="A160" s="71" t="s">
        <v>143</v>
      </c>
      <c r="B160" s="76">
        <v>1.3900462962962963E-2</v>
      </c>
      <c r="C160" s="76">
        <v>1.5624999999999997E-2</v>
      </c>
      <c r="D160" s="71" t="s">
        <v>77</v>
      </c>
    </row>
    <row r="161" spans="1:4" x14ac:dyDescent="0.35">
      <c r="A161" s="71" t="s">
        <v>143</v>
      </c>
      <c r="B161" s="76">
        <v>1.5636574074074074E-2</v>
      </c>
      <c r="C161" s="76">
        <v>1.7361111111111108E-2</v>
      </c>
      <c r="D161" s="71" t="s">
        <v>84</v>
      </c>
    </row>
    <row r="162" spans="1:4" x14ac:dyDescent="0.35">
      <c r="A162" s="71" t="s">
        <v>143</v>
      </c>
      <c r="B162" s="76">
        <v>1.7372685185185185E-2</v>
      </c>
      <c r="C162" s="76">
        <v>1.909722222222222E-2</v>
      </c>
      <c r="D162" s="71" t="s">
        <v>123</v>
      </c>
    </row>
    <row r="163" spans="1:4" x14ac:dyDescent="0.35">
      <c r="A163" s="71" t="s">
        <v>143</v>
      </c>
      <c r="B163" s="76">
        <v>1.9108796296296297E-2</v>
      </c>
      <c r="C163" s="76">
        <v>2.0833333333333332E-2</v>
      </c>
      <c r="D163" s="71" t="s">
        <v>82</v>
      </c>
    </row>
    <row r="164" spans="1:4" x14ac:dyDescent="0.35">
      <c r="A164" s="71" t="s">
        <v>79</v>
      </c>
      <c r="B164" s="76">
        <v>0</v>
      </c>
      <c r="C164" s="76">
        <v>1.736111111111111E-3</v>
      </c>
      <c r="D164" s="71" t="s">
        <v>79</v>
      </c>
    </row>
    <row r="165" spans="1:4" x14ac:dyDescent="0.35">
      <c r="A165" s="71" t="s">
        <v>79</v>
      </c>
      <c r="B165" s="76">
        <v>1.7476851851851852E-3</v>
      </c>
      <c r="C165" s="76">
        <v>3.472222222222222E-3</v>
      </c>
      <c r="D165" s="71" t="s">
        <v>125</v>
      </c>
    </row>
    <row r="166" spans="1:4" x14ac:dyDescent="0.35">
      <c r="A166" s="71" t="s">
        <v>79</v>
      </c>
      <c r="B166" s="76">
        <v>3.4837962962962965E-3</v>
      </c>
      <c r="C166" s="76">
        <v>5.208333333333333E-3</v>
      </c>
      <c r="D166" s="71" t="s">
        <v>31</v>
      </c>
    </row>
    <row r="167" spans="1:4" x14ac:dyDescent="0.35">
      <c r="A167" s="71" t="s">
        <v>79</v>
      </c>
      <c r="B167" s="76">
        <v>5.2199074074074075E-3</v>
      </c>
      <c r="C167" s="76">
        <v>6.9444444444444449E-3</v>
      </c>
      <c r="D167" s="71" t="s">
        <v>122</v>
      </c>
    </row>
    <row r="168" spans="1:4" x14ac:dyDescent="0.35">
      <c r="A168" s="71" t="s">
        <v>79</v>
      </c>
      <c r="B168" s="76">
        <v>6.9560185185185185E-3</v>
      </c>
      <c r="C168" s="76">
        <v>8.6805555555555559E-3</v>
      </c>
      <c r="D168" s="71" t="s">
        <v>103</v>
      </c>
    </row>
    <row r="169" spans="1:4" x14ac:dyDescent="0.35">
      <c r="A169" s="71" t="s">
        <v>79</v>
      </c>
      <c r="B169" s="76">
        <v>8.6921296296296295E-3</v>
      </c>
      <c r="C169" s="76">
        <v>1.0416666666666666E-2</v>
      </c>
      <c r="D169" s="71" t="s">
        <v>67</v>
      </c>
    </row>
    <row r="170" spans="1:4" x14ac:dyDescent="0.35">
      <c r="A170" s="71" t="s">
        <v>79</v>
      </c>
      <c r="B170" s="76">
        <v>1.0428240740740741E-2</v>
      </c>
      <c r="C170" s="76">
        <v>1.2152777777777776E-2</v>
      </c>
      <c r="D170" s="71" t="s">
        <v>69</v>
      </c>
    </row>
    <row r="171" spans="1:4" x14ac:dyDescent="0.35">
      <c r="A171" s="71" t="s">
        <v>79</v>
      </c>
      <c r="B171" s="76">
        <v>1.2164351851851852E-2</v>
      </c>
      <c r="C171" s="76">
        <v>1.3888888888888886E-2</v>
      </c>
      <c r="D171" s="71" t="s">
        <v>77</v>
      </c>
    </row>
    <row r="172" spans="1:4" x14ac:dyDescent="0.35">
      <c r="A172" s="71" t="s">
        <v>79</v>
      </c>
      <c r="B172" s="76">
        <v>1.3900462962962963E-2</v>
      </c>
      <c r="C172" s="76">
        <v>1.5624999999999997E-2</v>
      </c>
      <c r="D172" s="71" t="s">
        <v>84</v>
      </c>
    </row>
    <row r="173" spans="1:4" x14ac:dyDescent="0.35">
      <c r="A173" s="71" t="s">
        <v>79</v>
      </c>
      <c r="B173" s="76">
        <v>1.5636574074074074E-2</v>
      </c>
      <c r="C173" s="76">
        <v>1.7361111111111108E-2</v>
      </c>
      <c r="D173" s="71" t="s">
        <v>123</v>
      </c>
    </row>
    <row r="174" spans="1:4" x14ac:dyDescent="0.35">
      <c r="A174" s="71" t="s">
        <v>79</v>
      </c>
      <c r="B174" s="76">
        <v>1.7372685185185185E-2</v>
      </c>
      <c r="C174" s="76">
        <v>1.909722222222222E-2</v>
      </c>
      <c r="D174" s="71" t="s">
        <v>82</v>
      </c>
    </row>
    <row r="175" spans="1:4" x14ac:dyDescent="0.35">
      <c r="A175" s="71" t="s">
        <v>79</v>
      </c>
      <c r="B175" s="76">
        <v>1.9108796296296297E-2</v>
      </c>
      <c r="C175" s="76">
        <v>2.0833333333333332E-2</v>
      </c>
      <c r="D175" s="71" t="s">
        <v>143</v>
      </c>
    </row>
    <row r="176" spans="1:4" x14ac:dyDescent="0.35">
      <c r="A176" s="71" t="s">
        <v>125</v>
      </c>
      <c r="B176" s="76">
        <v>0</v>
      </c>
      <c r="C176" s="76">
        <v>1.736111111111111E-3</v>
      </c>
      <c r="D176" s="71" t="s">
        <v>125</v>
      </c>
    </row>
    <row r="177" spans="1:4" x14ac:dyDescent="0.35">
      <c r="A177" s="71" t="s">
        <v>125</v>
      </c>
      <c r="B177" s="76">
        <v>1.7476851851851852E-3</v>
      </c>
      <c r="C177" s="76">
        <v>3.472222222222222E-3</v>
      </c>
      <c r="D177" s="71" t="s">
        <v>31</v>
      </c>
    </row>
    <row r="178" spans="1:4" x14ac:dyDescent="0.35">
      <c r="A178" s="71" t="s">
        <v>125</v>
      </c>
      <c r="B178" s="76">
        <v>3.4837962962962965E-3</v>
      </c>
      <c r="C178" s="76">
        <v>5.208333333333333E-3</v>
      </c>
      <c r="D178" s="71" t="s">
        <v>122</v>
      </c>
    </row>
    <row r="179" spans="1:4" x14ac:dyDescent="0.35">
      <c r="A179" s="71" t="s">
        <v>125</v>
      </c>
      <c r="B179" s="76">
        <v>5.2199074074074075E-3</v>
      </c>
      <c r="C179" s="76">
        <v>6.9444444444444449E-3</v>
      </c>
      <c r="D179" s="71" t="s">
        <v>103</v>
      </c>
    </row>
    <row r="180" spans="1:4" x14ac:dyDescent="0.35">
      <c r="A180" s="71" t="s">
        <v>125</v>
      </c>
      <c r="B180" s="76">
        <v>6.9560185185185185E-3</v>
      </c>
      <c r="C180" s="76">
        <v>8.6805555555555559E-3</v>
      </c>
      <c r="D180" s="71" t="s">
        <v>67</v>
      </c>
    </row>
    <row r="181" spans="1:4" x14ac:dyDescent="0.35">
      <c r="A181" s="71" t="s">
        <v>125</v>
      </c>
      <c r="B181" s="76">
        <v>8.6921296296296295E-3</v>
      </c>
      <c r="C181" s="76">
        <v>1.0416666666666666E-2</v>
      </c>
      <c r="D181" s="71" t="s">
        <v>69</v>
      </c>
    </row>
    <row r="182" spans="1:4" x14ac:dyDescent="0.35">
      <c r="A182" s="71" t="s">
        <v>125</v>
      </c>
      <c r="B182" s="76">
        <v>1.0428240740740741E-2</v>
      </c>
      <c r="C182" s="76">
        <v>1.2152777777777776E-2</v>
      </c>
      <c r="D182" s="71" t="s">
        <v>77</v>
      </c>
    </row>
    <row r="183" spans="1:4" x14ac:dyDescent="0.35">
      <c r="A183" s="71" t="s">
        <v>125</v>
      </c>
      <c r="B183" s="76">
        <v>1.2164351851851852E-2</v>
      </c>
      <c r="C183" s="76">
        <v>1.3888888888888886E-2</v>
      </c>
      <c r="D183" s="71" t="s">
        <v>84</v>
      </c>
    </row>
    <row r="184" spans="1:4" x14ac:dyDescent="0.35">
      <c r="A184" s="71" t="s">
        <v>125</v>
      </c>
      <c r="B184" s="76">
        <v>1.3900462962962963E-2</v>
      </c>
      <c r="C184" s="76">
        <v>1.5624999999999997E-2</v>
      </c>
      <c r="D184" s="71" t="s">
        <v>123</v>
      </c>
    </row>
    <row r="185" spans="1:4" x14ac:dyDescent="0.35">
      <c r="A185" s="71" t="s">
        <v>125</v>
      </c>
      <c r="B185" s="76">
        <v>1.5636574074074074E-2</v>
      </c>
      <c r="C185" s="76">
        <v>1.7361111111111108E-2</v>
      </c>
      <c r="D185" s="71" t="s">
        <v>82</v>
      </c>
    </row>
    <row r="186" spans="1:4" x14ac:dyDescent="0.35">
      <c r="A186" s="71" t="s">
        <v>125</v>
      </c>
      <c r="B186" s="76">
        <v>1.7372685185185185E-2</v>
      </c>
      <c r="C186" s="76">
        <v>1.909722222222222E-2</v>
      </c>
      <c r="D186" s="71" t="s">
        <v>143</v>
      </c>
    </row>
    <row r="187" spans="1:4" x14ac:dyDescent="0.35">
      <c r="A187" s="71" t="s">
        <v>125</v>
      </c>
      <c r="B187" s="76">
        <v>1.9108796296296297E-2</v>
      </c>
      <c r="C187" s="76">
        <v>2.0833333333333332E-2</v>
      </c>
      <c r="D187" s="71" t="s">
        <v>79</v>
      </c>
    </row>
    <row r="188" spans="1:4" x14ac:dyDescent="0.35">
      <c r="B188" s="76"/>
      <c r="C188" s="76"/>
    </row>
    <row r="189" spans="1:4" x14ac:dyDescent="0.35">
      <c r="B189" s="76"/>
      <c r="C189" s="76"/>
    </row>
    <row r="190" spans="1:4" x14ac:dyDescent="0.35">
      <c r="B190" s="76"/>
      <c r="C190" s="76"/>
    </row>
    <row r="191" spans="1:4" x14ac:dyDescent="0.35">
      <c r="B191" s="76"/>
      <c r="C191" s="76"/>
    </row>
    <row r="192" spans="1:4" x14ac:dyDescent="0.35">
      <c r="B192" s="76"/>
      <c r="C192" s="76"/>
    </row>
    <row r="193" spans="2:3" x14ac:dyDescent="0.35">
      <c r="B193" s="76"/>
      <c r="C193" s="76"/>
    </row>
    <row r="194" spans="2:3" x14ac:dyDescent="0.35">
      <c r="B194" s="76"/>
      <c r="C194" s="76"/>
    </row>
    <row r="195" spans="2:3" x14ac:dyDescent="0.35">
      <c r="B195" s="76"/>
      <c r="C195" s="76"/>
    </row>
    <row r="196" spans="2:3" x14ac:dyDescent="0.35">
      <c r="B196" s="76"/>
      <c r="C196" s="76"/>
    </row>
    <row r="197" spans="2:3" x14ac:dyDescent="0.35">
      <c r="B197" s="76"/>
      <c r="C197" s="76"/>
    </row>
    <row r="198" spans="2:3" x14ac:dyDescent="0.35">
      <c r="B198" s="76"/>
      <c r="C198" s="76"/>
    </row>
    <row r="199" spans="2:3" x14ac:dyDescent="0.35">
      <c r="B199" s="76"/>
      <c r="C199" s="76"/>
    </row>
    <row r="200" spans="2:3" x14ac:dyDescent="0.35">
      <c r="B200" s="76"/>
      <c r="C200" s="76"/>
    </row>
    <row r="201" spans="2:3" x14ac:dyDescent="0.35">
      <c r="B201" s="76"/>
      <c r="C201" s="76"/>
    </row>
    <row r="202" spans="2:3" x14ac:dyDescent="0.35">
      <c r="B202" s="76"/>
      <c r="C202" s="76"/>
    </row>
    <row r="203" spans="2:3" x14ac:dyDescent="0.35">
      <c r="B203" s="76"/>
      <c r="C203" s="76"/>
    </row>
    <row r="204" spans="2:3" x14ac:dyDescent="0.35">
      <c r="B204" s="76"/>
      <c r="C204" s="76"/>
    </row>
    <row r="205" spans="2:3" x14ac:dyDescent="0.35">
      <c r="B205" s="76"/>
      <c r="C205" s="76"/>
    </row>
    <row r="206" spans="2:3" x14ac:dyDescent="0.35">
      <c r="B206" s="76"/>
      <c r="C206" s="76"/>
    </row>
    <row r="207" spans="2:3" x14ac:dyDescent="0.35">
      <c r="B207" s="76"/>
      <c r="C207" s="76"/>
    </row>
    <row r="208" spans="2:3" x14ac:dyDescent="0.35">
      <c r="B208" s="76"/>
      <c r="C208" s="76"/>
    </row>
    <row r="209" spans="2:3" x14ac:dyDescent="0.35">
      <c r="B209" s="76"/>
      <c r="C209" s="76"/>
    </row>
    <row r="210" spans="2:3" x14ac:dyDescent="0.35">
      <c r="B210" s="76"/>
      <c r="C210" s="76"/>
    </row>
    <row r="211" spans="2:3" x14ac:dyDescent="0.35">
      <c r="B211" s="76"/>
      <c r="C211" s="76"/>
    </row>
    <row r="212" spans="2:3" x14ac:dyDescent="0.35">
      <c r="B212" s="76"/>
      <c r="C212" s="76"/>
    </row>
    <row r="213" spans="2:3" x14ac:dyDescent="0.35">
      <c r="B213" s="76"/>
      <c r="C213" s="76"/>
    </row>
    <row r="214" spans="2:3" x14ac:dyDescent="0.35">
      <c r="B214" s="76"/>
      <c r="C214" s="76"/>
    </row>
    <row r="215" spans="2:3" x14ac:dyDescent="0.35">
      <c r="B215" s="76"/>
      <c r="C215" s="76"/>
    </row>
    <row r="216" spans="2:3" x14ac:dyDescent="0.35">
      <c r="B216" s="76"/>
      <c r="C216" s="76"/>
    </row>
    <row r="217" spans="2:3" x14ac:dyDescent="0.35">
      <c r="B217" s="76"/>
      <c r="C217" s="76"/>
    </row>
    <row r="218" spans="2:3" x14ac:dyDescent="0.35">
      <c r="B218" s="76"/>
      <c r="C218" s="76"/>
    </row>
    <row r="219" spans="2:3" x14ac:dyDescent="0.35">
      <c r="B219" s="76"/>
      <c r="C219" s="76"/>
    </row>
    <row r="220" spans="2:3" x14ac:dyDescent="0.35">
      <c r="B220" s="76"/>
      <c r="C220" s="76"/>
    </row>
    <row r="221" spans="2:3" x14ac:dyDescent="0.35">
      <c r="B221" s="76"/>
      <c r="C221" s="76"/>
    </row>
    <row r="222" spans="2:3" x14ac:dyDescent="0.35">
      <c r="B222" s="76"/>
      <c r="C222" s="76"/>
    </row>
    <row r="223" spans="2:3" x14ac:dyDescent="0.35">
      <c r="B223" s="76"/>
      <c r="C223" s="76"/>
    </row>
    <row r="224" spans="2:3" x14ac:dyDescent="0.35">
      <c r="B224" s="76"/>
      <c r="C224" s="76"/>
    </row>
    <row r="225" spans="2:3" x14ac:dyDescent="0.35">
      <c r="B225" s="76"/>
      <c r="C225" s="76"/>
    </row>
    <row r="226" spans="2:3" x14ac:dyDescent="0.35">
      <c r="B226" s="76"/>
      <c r="C226" s="76"/>
    </row>
    <row r="227" spans="2:3" x14ac:dyDescent="0.35">
      <c r="B227" s="76"/>
      <c r="C227" s="76"/>
    </row>
    <row r="228" spans="2:3" x14ac:dyDescent="0.35">
      <c r="B228" s="76"/>
      <c r="C228" s="76"/>
    </row>
    <row r="229" spans="2:3" x14ac:dyDescent="0.35">
      <c r="B229" s="76"/>
      <c r="C229" s="76"/>
    </row>
    <row r="230" spans="2:3" x14ac:dyDescent="0.35">
      <c r="B230" s="76"/>
      <c r="C230" s="76"/>
    </row>
    <row r="231" spans="2:3" x14ac:dyDescent="0.35">
      <c r="B231" s="76"/>
      <c r="C231" s="76"/>
    </row>
    <row r="232" spans="2:3" x14ac:dyDescent="0.35">
      <c r="B232" s="76"/>
      <c r="C232" s="76"/>
    </row>
    <row r="233" spans="2:3" x14ac:dyDescent="0.35">
      <c r="B233" s="76"/>
      <c r="C233" s="76"/>
    </row>
    <row r="234" spans="2:3" x14ac:dyDescent="0.35">
      <c r="B234" s="76"/>
      <c r="C234" s="76"/>
    </row>
    <row r="235" spans="2:3" x14ac:dyDescent="0.35">
      <c r="B235" s="76"/>
      <c r="C235" s="76"/>
    </row>
  </sheetData>
  <mergeCells count="7">
    <mergeCell ref="E36:E37"/>
    <mergeCell ref="E25:H25"/>
    <mergeCell ref="E10:H10"/>
    <mergeCell ref="E3:H3"/>
    <mergeCell ref="E8:H8"/>
    <mergeCell ref="E20:H20"/>
    <mergeCell ref="E15:H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AD1E1A-57F6-4296-A1A5-C65FBCBCD693}">
          <x14:formula1>
            <xm:f>'CONTINOUS ZODIAC TABLE'!$A$2:$A$13</xm:f>
          </x14:formula1>
          <xm:sqref>F24 F11:F13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DF02-F14F-4E0A-B261-993A99A1E2F5}">
  <sheetPr codeName="Sheet21">
    <tabColor theme="1"/>
  </sheetPr>
  <dimension ref="A1:E61"/>
  <sheetViews>
    <sheetView workbookViewId="0">
      <selection activeCell="C3" sqref="C3"/>
    </sheetView>
  </sheetViews>
  <sheetFormatPr defaultColWidth="8.7265625" defaultRowHeight="14.5" x14ac:dyDescent="0.35"/>
  <cols>
    <col min="1" max="1" width="11.453125" style="71" bestFit="1" customWidth="1"/>
    <col min="2" max="2" width="12.54296875" style="71" bestFit="1" customWidth="1"/>
    <col min="3" max="3" width="12.26953125" style="71" bestFit="1" customWidth="1"/>
    <col min="4" max="4" width="19.26953125" style="71" bestFit="1" customWidth="1"/>
    <col min="5" max="5" width="11.453125" style="71" bestFit="1" customWidth="1"/>
    <col min="6" max="16384" width="8.7265625" style="71"/>
  </cols>
  <sheetData>
    <row r="1" spans="1:5" x14ac:dyDescent="0.35">
      <c r="A1" s="170"/>
      <c r="B1" s="171" t="s">
        <v>260</v>
      </c>
      <c r="C1" s="171" t="s">
        <v>245</v>
      </c>
      <c r="D1" s="171" t="s">
        <v>32</v>
      </c>
      <c r="E1" s="171" t="s">
        <v>65</v>
      </c>
    </row>
    <row r="2" spans="1:5" x14ac:dyDescent="0.35">
      <c r="A2" s="71" t="s">
        <v>31</v>
      </c>
      <c r="B2" s="72" t="e">
        <f>'2. YEAR OF USURPATION(ECLIPSE)'!E13</f>
        <v>#N/A</v>
      </c>
      <c r="C2" s="72" t="e">
        <f>'2. PROFECTION YEARLY &amp; MONTHLY'!Q47</f>
        <v>#N/A</v>
      </c>
      <c r="D2" s="72">
        <f>'1. ANNUAL REVOLUTION'!D2</f>
        <v>0</v>
      </c>
      <c r="E2" s="72">
        <f>'1. ZODIAC NATAL'!B6</f>
        <v>0</v>
      </c>
    </row>
    <row r="3" spans="1:5" x14ac:dyDescent="0.35">
      <c r="A3" s="71" t="s">
        <v>122</v>
      </c>
      <c r="B3" s="9" t="e" cm="1">
        <f t="array" ref="B3">INDEX(A:A, MATCH(B2,A:A,0)+1)</f>
        <v>#N/A</v>
      </c>
      <c r="C3" s="9" t="e" cm="1">
        <f t="array" ref="C3">INDEX(A:A, MATCH(C2,A:A,0)+1)</f>
        <v>#N/A</v>
      </c>
      <c r="D3" s="9" t="e" cm="1">
        <f t="array" ref="D3">INDEX(A:A, MATCH(D2,A:A,0)+1)</f>
        <v>#N/A</v>
      </c>
      <c r="E3" s="72" t="e" cm="1">
        <f t="array" ref="E3">INDEX(A:A, MATCH(E2,A:A,0)+1)</f>
        <v>#N/A</v>
      </c>
    </row>
    <row r="4" spans="1:5" x14ac:dyDescent="0.35">
      <c r="A4" s="71" t="s">
        <v>103</v>
      </c>
      <c r="B4" s="9" t="e" cm="1">
        <f t="array" ref="B4">INDEX(A:A, MATCH(B3,A:A,0)+1)</f>
        <v>#N/A</v>
      </c>
      <c r="C4" s="9" t="e" cm="1">
        <f t="array" ref="C4">INDEX(A:A, MATCH(C3,A:A,0)+1)</f>
        <v>#N/A</v>
      </c>
      <c r="D4" s="9" t="e" cm="1">
        <f t="array" ref="D4">INDEX(A:A, MATCH(D3,A:A,0)+1)</f>
        <v>#N/A</v>
      </c>
      <c r="E4" s="72" t="e" cm="1">
        <f t="array" ref="E4">INDEX(A:A, MATCH(E3,A:A,0)+1)</f>
        <v>#N/A</v>
      </c>
    </row>
    <row r="5" spans="1:5" x14ac:dyDescent="0.35">
      <c r="A5" s="71" t="s">
        <v>67</v>
      </c>
      <c r="B5" s="9" t="e" cm="1">
        <f t="array" ref="B5">INDEX(A:A, MATCH(B4,A:A,0)+1)</f>
        <v>#N/A</v>
      </c>
      <c r="C5" s="9" t="e" cm="1">
        <f t="array" ref="C5">INDEX(A:A, MATCH(C4,A:A,0)+1)</f>
        <v>#N/A</v>
      </c>
      <c r="D5" s="9" t="e" cm="1">
        <f t="array" ref="D5">INDEX(A:A, MATCH(D4,A:A,0)+1)</f>
        <v>#N/A</v>
      </c>
      <c r="E5" s="72" t="e" cm="1">
        <f t="array" ref="E5">INDEX(A:A, MATCH(E4,A:A,0)+1)</f>
        <v>#N/A</v>
      </c>
    </row>
    <row r="6" spans="1:5" x14ac:dyDescent="0.35">
      <c r="A6" s="71" t="s">
        <v>69</v>
      </c>
      <c r="B6" s="9" t="e" cm="1">
        <f t="array" ref="B6">INDEX(A:A, MATCH(B5,A:A,0)+1)</f>
        <v>#N/A</v>
      </c>
      <c r="C6" s="9" t="e" cm="1">
        <f t="array" ref="C6">INDEX(A:A, MATCH(C5,A:A,0)+1)</f>
        <v>#N/A</v>
      </c>
      <c r="D6" s="9" t="e" cm="1">
        <f t="array" ref="D6">INDEX(A:A, MATCH(D5,A:A,0)+1)</f>
        <v>#N/A</v>
      </c>
      <c r="E6" s="72" t="e" cm="1">
        <f t="array" ref="E6">INDEX(A:A, MATCH(E5,A:A,0)+1)</f>
        <v>#N/A</v>
      </c>
    </row>
    <row r="7" spans="1:5" x14ac:dyDescent="0.35">
      <c r="A7" s="71" t="s">
        <v>77</v>
      </c>
      <c r="B7" s="9" t="e" cm="1">
        <f t="array" ref="B7">INDEX(A:A, MATCH(B6,A:A,0)+1)</f>
        <v>#N/A</v>
      </c>
      <c r="C7" s="9" t="e" cm="1">
        <f t="array" ref="C7">INDEX(A:A, MATCH(C6,A:A,0)+1)</f>
        <v>#N/A</v>
      </c>
      <c r="D7" s="9" t="e" cm="1">
        <f t="array" ref="D7">INDEX(A:A, MATCH(D6,A:A,0)+1)</f>
        <v>#N/A</v>
      </c>
      <c r="E7" s="72" t="e" cm="1">
        <f t="array" ref="E7">INDEX(A:A, MATCH(E6,A:A,0)+1)</f>
        <v>#N/A</v>
      </c>
    </row>
    <row r="8" spans="1:5" x14ac:dyDescent="0.35">
      <c r="A8" s="71" t="s">
        <v>84</v>
      </c>
      <c r="B8" s="9" t="e" cm="1">
        <f t="array" ref="B8">INDEX(A:A, MATCH(B7,A:A,0)+1)</f>
        <v>#N/A</v>
      </c>
      <c r="C8" s="9" t="e" cm="1">
        <f t="array" ref="C8">INDEX(A:A, MATCH(C7,A:A,0)+1)</f>
        <v>#N/A</v>
      </c>
      <c r="D8" s="9" t="e" cm="1">
        <f t="array" ref="D8">INDEX(A:A, MATCH(D7,A:A,0)+1)</f>
        <v>#N/A</v>
      </c>
      <c r="E8" s="72" t="e" cm="1">
        <f t="array" ref="E8">INDEX(A:A, MATCH(E7,A:A,0)+1)</f>
        <v>#N/A</v>
      </c>
    </row>
    <row r="9" spans="1:5" x14ac:dyDescent="0.35">
      <c r="A9" s="71" t="s">
        <v>123</v>
      </c>
      <c r="B9" s="9" t="e" cm="1">
        <f t="array" ref="B9">INDEX(A:A, MATCH(B8,A:A,0)+1)</f>
        <v>#N/A</v>
      </c>
      <c r="C9" s="9" t="e" cm="1">
        <f t="array" ref="C9">INDEX(A:A, MATCH(C8,A:A,0)+1)</f>
        <v>#N/A</v>
      </c>
      <c r="D9" s="9" t="e" cm="1">
        <f t="array" ref="D9">INDEX(A:A, MATCH(D8,A:A,0)+1)</f>
        <v>#N/A</v>
      </c>
      <c r="E9" s="72" t="e" cm="1">
        <f t="array" ref="E9">INDEX(A:A, MATCH(E8,A:A,0)+1)</f>
        <v>#N/A</v>
      </c>
    </row>
    <row r="10" spans="1:5" x14ac:dyDescent="0.35">
      <c r="A10" s="71" t="s">
        <v>82</v>
      </c>
      <c r="B10" s="9" t="e" cm="1">
        <f t="array" ref="B10">INDEX(A:A, MATCH(B9,A:A,0)+1)</f>
        <v>#N/A</v>
      </c>
      <c r="C10" s="9" t="e" cm="1">
        <f t="array" ref="C10">INDEX(A:A, MATCH(C9,A:A,0)+1)</f>
        <v>#N/A</v>
      </c>
      <c r="D10" s="9" t="e" cm="1">
        <f t="array" ref="D10">INDEX(A:A, MATCH(D9,A:A,0)+1)</f>
        <v>#N/A</v>
      </c>
      <c r="E10" s="72" t="e" cm="1">
        <f t="array" ref="E10">INDEX(A:A, MATCH(E9,A:A,0)+1)</f>
        <v>#N/A</v>
      </c>
    </row>
    <row r="11" spans="1:5" x14ac:dyDescent="0.35">
      <c r="A11" s="71" t="s">
        <v>143</v>
      </c>
      <c r="B11" s="9" t="e" cm="1">
        <f t="array" ref="B11">INDEX(A:A, MATCH(B10,A:A,0)+1)</f>
        <v>#N/A</v>
      </c>
      <c r="C11" s="9" t="e" cm="1">
        <f t="array" ref="C11">INDEX(A:A, MATCH(C10,A:A,0)+1)</f>
        <v>#N/A</v>
      </c>
      <c r="D11" s="9" t="e" cm="1">
        <f t="array" ref="D11">INDEX(A:A, MATCH(D10,A:A,0)+1)</f>
        <v>#N/A</v>
      </c>
      <c r="E11" s="72" t="e" cm="1">
        <f t="array" ref="E11">INDEX(A:A, MATCH(E10,A:A,0)+1)</f>
        <v>#N/A</v>
      </c>
    </row>
    <row r="12" spans="1:5" x14ac:dyDescent="0.35">
      <c r="A12" s="71" t="s">
        <v>79</v>
      </c>
      <c r="B12" s="9" t="e" cm="1">
        <f t="array" ref="B12">INDEX(A:A, MATCH(B11,A:A,0)+1)</f>
        <v>#N/A</v>
      </c>
      <c r="C12" s="9" t="e" cm="1">
        <f t="array" ref="C12">INDEX(A:A, MATCH(C11,A:A,0)+1)</f>
        <v>#N/A</v>
      </c>
      <c r="D12" s="9" t="e" cm="1">
        <f t="array" ref="D12">INDEX(A:A, MATCH(D11,A:A,0)+1)</f>
        <v>#N/A</v>
      </c>
      <c r="E12" s="72" t="e" cm="1">
        <f t="array" ref="E12">INDEX(A:A, MATCH(E11,A:A,0)+1)</f>
        <v>#N/A</v>
      </c>
    </row>
    <row r="13" spans="1:5" x14ac:dyDescent="0.35">
      <c r="A13" s="71" t="s">
        <v>125</v>
      </c>
      <c r="B13" s="9" t="e" cm="1">
        <f t="array" ref="B13">INDEX(A:A, MATCH(B12,A:A,0)+1)</f>
        <v>#N/A</v>
      </c>
      <c r="C13" s="9" t="e" cm="1">
        <f t="array" ref="C13">INDEX(A:A, MATCH(C12,A:A,0)+1)</f>
        <v>#N/A</v>
      </c>
      <c r="D13" s="9" t="e" cm="1">
        <f t="array" ref="D13">INDEX(A:A, MATCH(D12,A:A,0)+1)</f>
        <v>#N/A</v>
      </c>
      <c r="E13" s="72" t="e" cm="1">
        <f t="array" ref="E13">INDEX(A:A, MATCH(E12,A:A,0)+1)</f>
        <v>#N/A</v>
      </c>
    </row>
    <row r="14" spans="1:5" x14ac:dyDescent="0.35">
      <c r="A14" s="71" t="s">
        <v>31</v>
      </c>
    </row>
    <row r="15" spans="1:5" x14ac:dyDescent="0.35">
      <c r="A15" s="71" t="s">
        <v>122</v>
      </c>
    </row>
    <row r="16" spans="1:5" x14ac:dyDescent="0.35">
      <c r="A16" s="71" t="s">
        <v>103</v>
      </c>
    </row>
    <row r="17" spans="1:1" x14ac:dyDescent="0.35">
      <c r="A17" s="71" t="s">
        <v>67</v>
      </c>
    </row>
    <row r="18" spans="1:1" x14ac:dyDescent="0.35">
      <c r="A18" s="71" t="s">
        <v>69</v>
      </c>
    </row>
    <row r="19" spans="1:1" x14ac:dyDescent="0.35">
      <c r="A19" s="71" t="s">
        <v>77</v>
      </c>
    </row>
    <row r="20" spans="1:1" x14ac:dyDescent="0.35">
      <c r="A20" s="71" t="s">
        <v>84</v>
      </c>
    </row>
    <row r="21" spans="1:1" x14ac:dyDescent="0.35">
      <c r="A21" s="71" t="s">
        <v>123</v>
      </c>
    </row>
    <row r="22" spans="1:1" x14ac:dyDescent="0.35">
      <c r="A22" s="71" t="s">
        <v>82</v>
      </c>
    </row>
    <row r="23" spans="1:1" x14ac:dyDescent="0.35">
      <c r="A23" s="71" t="s">
        <v>124</v>
      </c>
    </row>
    <row r="24" spans="1:1" x14ac:dyDescent="0.35">
      <c r="A24" s="71" t="s">
        <v>79</v>
      </c>
    </row>
    <row r="25" spans="1:1" x14ac:dyDescent="0.35">
      <c r="A25" s="71" t="s">
        <v>125</v>
      </c>
    </row>
    <row r="26" spans="1:1" x14ac:dyDescent="0.35">
      <c r="A26" s="71" t="s">
        <v>31</v>
      </c>
    </row>
    <row r="27" spans="1:1" x14ac:dyDescent="0.35">
      <c r="A27" s="71" t="s">
        <v>122</v>
      </c>
    </row>
    <row r="28" spans="1:1" x14ac:dyDescent="0.35">
      <c r="A28" s="71" t="s">
        <v>103</v>
      </c>
    </row>
    <row r="29" spans="1:1" x14ac:dyDescent="0.35">
      <c r="A29" s="71" t="s">
        <v>67</v>
      </c>
    </row>
    <row r="30" spans="1:1" x14ac:dyDescent="0.35">
      <c r="A30" s="71" t="s">
        <v>69</v>
      </c>
    </row>
    <row r="31" spans="1:1" x14ac:dyDescent="0.35">
      <c r="A31" s="71" t="s">
        <v>77</v>
      </c>
    </row>
    <row r="32" spans="1:1" x14ac:dyDescent="0.35">
      <c r="A32" s="71" t="s">
        <v>84</v>
      </c>
    </row>
    <row r="33" spans="1:1" x14ac:dyDescent="0.35">
      <c r="A33" s="71" t="s">
        <v>123</v>
      </c>
    </row>
    <row r="34" spans="1:1" x14ac:dyDescent="0.35">
      <c r="A34" s="71" t="s">
        <v>82</v>
      </c>
    </row>
    <row r="35" spans="1:1" x14ac:dyDescent="0.35">
      <c r="A35" s="71" t="s">
        <v>124</v>
      </c>
    </row>
    <row r="36" spans="1:1" x14ac:dyDescent="0.35">
      <c r="A36" s="71" t="s">
        <v>79</v>
      </c>
    </row>
    <row r="37" spans="1:1" x14ac:dyDescent="0.35">
      <c r="A37" s="71" t="s">
        <v>125</v>
      </c>
    </row>
    <row r="38" spans="1:1" x14ac:dyDescent="0.35">
      <c r="A38" s="71" t="s">
        <v>31</v>
      </c>
    </row>
    <row r="39" spans="1:1" x14ac:dyDescent="0.35">
      <c r="A39" s="71" t="s">
        <v>122</v>
      </c>
    </row>
    <row r="40" spans="1:1" x14ac:dyDescent="0.35">
      <c r="A40" s="71" t="s">
        <v>103</v>
      </c>
    </row>
    <row r="41" spans="1:1" x14ac:dyDescent="0.35">
      <c r="A41" s="71" t="s">
        <v>67</v>
      </c>
    </row>
    <row r="42" spans="1:1" x14ac:dyDescent="0.35">
      <c r="A42" s="71" t="s">
        <v>69</v>
      </c>
    </row>
    <row r="43" spans="1:1" x14ac:dyDescent="0.35">
      <c r="A43" s="71" t="s">
        <v>77</v>
      </c>
    </row>
    <row r="44" spans="1:1" x14ac:dyDescent="0.35">
      <c r="A44" s="71" t="s">
        <v>84</v>
      </c>
    </row>
    <row r="45" spans="1:1" x14ac:dyDescent="0.35">
      <c r="A45" s="71" t="s">
        <v>123</v>
      </c>
    </row>
    <row r="46" spans="1:1" x14ac:dyDescent="0.35">
      <c r="A46" s="71" t="s">
        <v>82</v>
      </c>
    </row>
    <row r="47" spans="1:1" x14ac:dyDescent="0.35">
      <c r="A47" s="71" t="s">
        <v>124</v>
      </c>
    </row>
    <row r="48" spans="1:1" x14ac:dyDescent="0.35">
      <c r="A48" s="71" t="s">
        <v>79</v>
      </c>
    </row>
    <row r="49" spans="1:1" x14ac:dyDescent="0.35">
      <c r="A49" s="71" t="s">
        <v>125</v>
      </c>
    </row>
    <row r="50" spans="1:1" x14ac:dyDescent="0.35">
      <c r="A50" s="71" t="s">
        <v>31</v>
      </c>
    </row>
    <row r="51" spans="1:1" x14ac:dyDescent="0.35">
      <c r="A51" s="71" t="s">
        <v>122</v>
      </c>
    </row>
    <row r="52" spans="1:1" x14ac:dyDescent="0.35">
      <c r="A52" s="71" t="s">
        <v>103</v>
      </c>
    </row>
    <row r="53" spans="1:1" x14ac:dyDescent="0.35">
      <c r="A53" s="71" t="s">
        <v>67</v>
      </c>
    </row>
    <row r="54" spans="1:1" x14ac:dyDescent="0.35">
      <c r="A54" s="71" t="s">
        <v>69</v>
      </c>
    </row>
    <row r="55" spans="1:1" x14ac:dyDescent="0.35">
      <c r="A55" s="71" t="s">
        <v>77</v>
      </c>
    </row>
    <row r="56" spans="1:1" x14ac:dyDescent="0.35">
      <c r="A56" s="71" t="s">
        <v>84</v>
      </c>
    </row>
    <row r="57" spans="1:1" x14ac:dyDescent="0.35">
      <c r="A57" s="71" t="s">
        <v>123</v>
      </c>
    </row>
    <row r="58" spans="1:1" x14ac:dyDescent="0.35">
      <c r="A58" s="71" t="s">
        <v>82</v>
      </c>
    </row>
    <row r="59" spans="1:1" x14ac:dyDescent="0.35">
      <c r="A59" s="71" t="s">
        <v>124</v>
      </c>
    </row>
    <row r="60" spans="1:1" x14ac:dyDescent="0.35">
      <c r="A60" s="71" t="s">
        <v>79</v>
      </c>
    </row>
    <row r="61" spans="1:1" x14ac:dyDescent="0.35">
      <c r="A61" s="71" t="s">
        <v>125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A0F9-3554-4C42-AB83-E9BD05DA2FE1}">
  <sheetPr codeName="Sheet22">
    <tabColor theme="1"/>
  </sheetPr>
  <dimension ref="A1:K14"/>
  <sheetViews>
    <sheetView topLeftCell="E1" workbookViewId="0">
      <pane ySplit="2" topLeftCell="A9" activePane="bottomLeft" state="frozen"/>
      <selection activeCell="L12" sqref="L12"/>
      <selection pane="bottomLeft" activeCell="H8" sqref="H8"/>
    </sheetView>
  </sheetViews>
  <sheetFormatPr defaultRowHeight="14.5" x14ac:dyDescent="0.35"/>
  <cols>
    <col min="1" max="1" width="10.7265625" bestFit="1" customWidth="1"/>
    <col min="2" max="2" width="8.54296875" bestFit="1" customWidth="1"/>
    <col min="3" max="3" width="13.7265625" bestFit="1" customWidth="1"/>
    <col min="4" max="4" width="9.7265625" bestFit="1" customWidth="1"/>
    <col min="5" max="7" width="13.81640625" bestFit="1" customWidth="1"/>
    <col min="8" max="8" width="17.1796875" bestFit="1" customWidth="1"/>
    <col min="9" max="9" width="32.1796875" bestFit="1" customWidth="1"/>
    <col min="10" max="10" width="22.453125" customWidth="1"/>
    <col min="11" max="11" width="40.7265625" style="19" customWidth="1"/>
  </cols>
  <sheetData>
    <row r="1" spans="1:11" x14ac:dyDescent="0.35">
      <c r="E1" s="51"/>
      <c r="F1" s="51"/>
      <c r="G1" s="51"/>
      <c r="H1" s="114"/>
      <c r="I1" s="116" t="s">
        <v>202</v>
      </c>
      <c r="J1" s="114"/>
      <c r="K1" s="115"/>
    </row>
    <row r="2" spans="1:11" x14ac:dyDescent="0.35">
      <c r="A2" s="349" t="s">
        <v>26</v>
      </c>
      <c r="B2" s="350" t="s">
        <v>280</v>
      </c>
      <c r="C2" s="349" t="s">
        <v>206</v>
      </c>
      <c r="D2" s="349" t="s">
        <v>252</v>
      </c>
      <c r="E2" s="351" t="s">
        <v>204</v>
      </c>
      <c r="F2" s="351" t="s">
        <v>204</v>
      </c>
      <c r="G2" s="351" t="s">
        <v>204</v>
      </c>
      <c r="H2" s="352" t="s">
        <v>160</v>
      </c>
      <c r="I2" s="353" t="s">
        <v>161</v>
      </c>
      <c r="J2" s="353" t="s">
        <v>203</v>
      </c>
      <c r="K2" s="353" t="s">
        <v>189</v>
      </c>
    </row>
    <row r="3" spans="1:11" ht="29" x14ac:dyDescent="0.35">
      <c r="A3" s="71" t="s">
        <v>31</v>
      </c>
      <c r="B3" s="71" t="s">
        <v>281</v>
      </c>
      <c r="C3" t="s">
        <v>121</v>
      </c>
      <c r="D3" t="s">
        <v>140</v>
      </c>
      <c r="E3" t="s">
        <v>156</v>
      </c>
      <c r="F3" t="s">
        <v>158</v>
      </c>
      <c r="G3" t="s">
        <v>208</v>
      </c>
      <c r="H3" t="s">
        <v>162</v>
      </c>
      <c r="I3" s="19" t="s">
        <v>163</v>
      </c>
      <c r="J3" s="19" t="s">
        <v>190</v>
      </c>
      <c r="K3" s="19" t="str">
        <f>H3&amp; " | " &amp; I3 &amp; " | " &amp; J3</f>
        <v>head | eyes, adrenals, blood pressure | Head, face and ears</v>
      </c>
    </row>
    <row r="4" spans="1:11" ht="29" x14ac:dyDescent="0.35">
      <c r="A4" s="71" t="s">
        <v>122</v>
      </c>
      <c r="B4" s="71" t="s">
        <v>282</v>
      </c>
      <c r="C4" t="s">
        <v>118</v>
      </c>
      <c r="D4" t="s">
        <v>141</v>
      </c>
      <c r="E4" t="s">
        <v>157</v>
      </c>
      <c r="F4" t="s">
        <v>158</v>
      </c>
      <c r="G4" t="s">
        <v>209</v>
      </c>
      <c r="H4" t="s">
        <v>164</v>
      </c>
      <c r="I4" s="19" t="s">
        <v>165</v>
      </c>
      <c r="J4" s="19" t="s">
        <v>191</v>
      </c>
      <c r="K4" s="19" t="str">
        <f t="shared" ref="K4:K14" si="0">H4&amp; " | " &amp; I4 &amp; " | " &amp; J4</f>
        <v>neck | throat, shoulders, ears | Neck and throat</v>
      </c>
    </row>
    <row r="5" spans="1:11" ht="29" x14ac:dyDescent="0.35">
      <c r="A5" s="71" t="s">
        <v>103</v>
      </c>
      <c r="B5" s="71" t="s">
        <v>283</v>
      </c>
      <c r="C5" t="s">
        <v>56</v>
      </c>
      <c r="D5" t="s">
        <v>142</v>
      </c>
      <c r="E5" t="s">
        <v>156</v>
      </c>
      <c r="F5" t="s">
        <v>205</v>
      </c>
      <c r="G5" t="s">
        <v>210</v>
      </c>
      <c r="H5" t="s">
        <v>166</v>
      </c>
      <c r="I5" s="19" t="s">
        <v>167</v>
      </c>
      <c r="J5" s="19" t="s">
        <v>192</v>
      </c>
      <c r="K5" s="19" t="str">
        <f t="shared" si="0"/>
        <v>shoulders | lungs, nerves, arms, fingers | Arms, hands, shoulders and shoulder blades</v>
      </c>
    </row>
    <row r="6" spans="1:11" ht="43.5" x14ac:dyDescent="0.35">
      <c r="A6" s="71" t="s">
        <v>67</v>
      </c>
      <c r="B6" s="71" t="s">
        <v>284</v>
      </c>
      <c r="C6" t="s">
        <v>35</v>
      </c>
      <c r="D6" t="s">
        <v>140</v>
      </c>
      <c r="E6" t="s">
        <v>157</v>
      </c>
      <c r="F6" t="s">
        <v>205</v>
      </c>
      <c r="G6" t="s">
        <v>211</v>
      </c>
      <c r="H6" t="s">
        <v>168</v>
      </c>
      <c r="I6" s="19" t="s">
        <v>169</v>
      </c>
      <c r="J6" s="19" t="s">
        <v>193</v>
      </c>
      <c r="K6" s="19" t="str">
        <f t="shared" si="0"/>
        <v>chest | breasts, sides, some bodily fluids and organs | Breast, bosom, ribs, stomach and spleen</v>
      </c>
    </row>
    <row r="7" spans="1:11" ht="29" x14ac:dyDescent="0.35">
      <c r="A7" s="71" t="s">
        <v>69</v>
      </c>
      <c r="B7" s="71" t="s">
        <v>281</v>
      </c>
      <c r="C7" t="s">
        <v>59</v>
      </c>
      <c r="D7" t="s">
        <v>141</v>
      </c>
      <c r="E7" t="s">
        <v>156</v>
      </c>
      <c r="F7" t="s">
        <v>158</v>
      </c>
      <c r="G7" t="s">
        <v>208</v>
      </c>
      <c r="H7" t="s">
        <v>170</v>
      </c>
      <c r="I7" s="19" t="s">
        <v>171</v>
      </c>
      <c r="J7" s="19" t="s">
        <v>194</v>
      </c>
      <c r="K7" s="19" t="str">
        <f t="shared" si="0"/>
        <v>sides | stomach, heart, spine, upper back, spleen | Heart, back, spinal column</v>
      </c>
    </row>
    <row r="8" spans="1:11" ht="29" x14ac:dyDescent="0.35">
      <c r="A8" s="71" t="s">
        <v>77</v>
      </c>
      <c r="B8" s="71" t="s">
        <v>282</v>
      </c>
      <c r="C8" t="s">
        <v>56</v>
      </c>
      <c r="D8" t="s">
        <v>142</v>
      </c>
      <c r="E8" t="s">
        <v>157</v>
      </c>
      <c r="F8" t="s">
        <v>158</v>
      </c>
      <c r="G8" t="s">
        <v>209</v>
      </c>
      <c r="H8" t="s">
        <v>172</v>
      </c>
      <c r="I8" s="19" t="s">
        <v>173</v>
      </c>
      <c r="J8" s="19" t="s">
        <v>195</v>
      </c>
      <c r="K8" s="19" t="str">
        <f t="shared" si="0"/>
        <v>belly | abdomen, intestines, gallbladder, pancreas, liver | Belly, intestines e diaphragm</v>
      </c>
    </row>
    <row r="9" spans="1:11" ht="43.5" x14ac:dyDescent="0.35">
      <c r="A9" s="71" t="s">
        <v>84</v>
      </c>
      <c r="B9" s="71" t="s">
        <v>283</v>
      </c>
      <c r="C9" t="s">
        <v>118</v>
      </c>
      <c r="D9" t="s">
        <v>140</v>
      </c>
      <c r="E9" t="s">
        <v>156</v>
      </c>
      <c r="F9" t="s">
        <v>205</v>
      </c>
      <c r="G9" t="s">
        <v>210</v>
      </c>
      <c r="H9" t="s">
        <v>174</v>
      </c>
      <c r="I9" s="19" t="s">
        <v>175</v>
      </c>
      <c r="J9" s="19" t="s">
        <v>196</v>
      </c>
      <c r="K9" s="19" t="str">
        <f t="shared" si="0"/>
        <v>buttocks | hips, lower back, kidneys, endocrines | Bellybutton, kidneys, bladder, urinary system (purification of blood)</v>
      </c>
    </row>
    <row r="10" spans="1:11" ht="29" x14ac:dyDescent="0.35">
      <c r="A10" s="71" t="s">
        <v>123</v>
      </c>
      <c r="B10" s="71" t="s">
        <v>284</v>
      </c>
      <c r="C10" t="s">
        <v>121</v>
      </c>
      <c r="D10" t="s">
        <v>141</v>
      </c>
      <c r="E10" t="s">
        <v>157</v>
      </c>
      <c r="F10" t="s">
        <v>205</v>
      </c>
      <c r="G10" t="s">
        <v>211</v>
      </c>
      <c r="H10" t="s">
        <v>176</v>
      </c>
      <c r="I10" s="19" t="s">
        <v>177</v>
      </c>
      <c r="J10" s="19" t="s">
        <v>197</v>
      </c>
      <c r="K10" s="19" t="str">
        <f t="shared" si="0"/>
        <v>genitalia | pelvis, urinary bladder, rectum | Genitals and anus</v>
      </c>
    </row>
    <row r="11" spans="1:11" ht="29" x14ac:dyDescent="0.35">
      <c r="A11" s="71" t="s">
        <v>82</v>
      </c>
      <c r="B11" s="71" t="s">
        <v>281</v>
      </c>
      <c r="C11" t="s">
        <v>13</v>
      </c>
      <c r="D11" t="s">
        <v>142</v>
      </c>
      <c r="E11" t="s">
        <v>156</v>
      </c>
      <c r="F11" t="s">
        <v>158</v>
      </c>
      <c r="G11" t="s">
        <v>208</v>
      </c>
      <c r="H11" t="s">
        <v>178</v>
      </c>
      <c r="I11" s="19" t="s">
        <v>179</v>
      </c>
      <c r="J11" s="19" t="s">
        <v>198</v>
      </c>
      <c r="K11" s="19" t="str">
        <f t="shared" si="0"/>
        <v>thighs | legs, hips, groin | Thighs, buttocks and muscles in general</v>
      </c>
    </row>
    <row r="12" spans="1:11" ht="29" x14ac:dyDescent="0.35">
      <c r="A12" s="71" t="s">
        <v>143</v>
      </c>
      <c r="B12" s="71" t="s">
        <v>282</v>
      </c>
      <c r="C12" t="s">
        <v>10</v>
      </c>
      <c r="D12" t="s">
        <v>140</v>
      </c>
      <c r="E12" t="s">
        <v>157</v>
      </c>
      <c r="F12" t="s">
        <v>158</v>
      </c>
      <c r="G12" t="s">
        <v>209</v>
      </c>
      <c r="H12" t="s">
        <v>180</v>
      </c>
      <c r="I12" s="19" t="s">
        <v>181</v>
      </c>
      <c r="J12" s="19" t="s">
        <v>199</v>
      </c>
      <c r="K12" s="19" t="str">
        <f t="shared" si="0"/>
        <v>knees | shin, bones, skin, sinew, nerve | Knees (and black bile)</v>
      </c>
    </row>
    <row r="13" spans="1:11" ht="29" x14ac:dyDescent="0.35">
      <c r="A13" s="71" t="s">
        <v>79</v>
      </c>
      <c r="B13" s="71" t="s">
        <v>283</v>
      </c>
      <c r="C13" t="s">
        <v>10</v>
      </c>
      <c r="D13" t="s">
        <v>141</v>
      </c>
      <c r="E13" t="s">
        <v>156</v>
      </c>
      <c r="F13" t="s">
        <v>205</v>
      </c>
      <c r="G13" t="s">
        <v>210</v>
      </c>
      <c r="H13" t="s">
        <v>182</v>
      </c>
      <c r="I13" s="19" t="s">
        <v>183</v>
      </c>
      <c r="J13" s="19" t="s">
        <v>200</v>
      </c>
      <c r="K13" s="19" t="str">
        <f t="shared" si="0"/>
        <v>lower leg | ankle, calf, some blood vessels | Legs and ankles (circulatory system)</v>
      </c>
    </row>
    <row r="14" spans="1:11" x14ac:dyDescent="0.35">
      <c r="A14" s="71" t="s">
        <v>125</v>
      </c>
      <c r="B14" s="71" t="s">
        <v>284</v>
      </c>
      <c r="C14" t="s">
        <v>13</v>
      </c>
      <c r="D14" t="s">
        <v>142</v>
      </c>
      <c r="E14" t="s">
        <v>157</v>
      </c>
      <c r="F14" t="s">
        <v>205</v>
      </c>
      <c r="G14" t="s">
        <v>211</v>
      </c>
      <c r="H14" t="s">
        <v>184</v>
      </c>
      <c r="I14" s="19" t="s">
        <v>185</v>
      </c>
      <c r="J14" s="19" t="s">
        <v>201</v>
      </c>
      <c r="K14" s="19" t="str">
        <f t="shared" si="0"/>
        <v>feet | sole, extremity | Feet (and phlegm)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A2A3-4D25-43E3-8EA9-D5E6645BC888}">
  <sheetPr codeName="Sheet26">
    <tabColor theme="1"/>
  </sheetPr>
  <dimension ref="A1:S16"/>
  <sheetViews>
    <sheetView zoomScale="85" zoomScaleNormal="85" workbookViewId="0">
      <selection activeCell="L12" sqref="L12"/>
    </sheetView>
  </sheetViews>
  <sheetFormatPr defaultRowHeight="14.5" x14ac:dyDescent="0.35"/>
  <cols>
    <col min="1" max="1" width="11.453125" bestFit="1" customWidth="1"/>
    <col min="2" max="2" width="10" bestFit="1" customWidth="1"/>
    <col min="4" max="4" width="53.453125" bestFit="1" customWidth="1"/>
    <col min="6" max="6" width="9" customWidth="1"/>
    <col min="7" max="7" width="21.453125" bestFit="1" customWidth="1"/>
    <col min="8" max="8" width="13" style="124" bestFit="1" customWidth="1"/>
    <col min="9" max="9" width="11.7265625" bestFit="1" customWidth="1"/>
    <col min="10" max="10" width="17.54296875" customWidth="1"/>
    <col min="11" max="11" width="52.1796875" customWidth="1"/>
    <col min="13" max="13" width="20.81640625" bestFit="1" customWidth="1"/>
    <col min="14" max="14" width="18.26953125" bestFit="1" customWidth="1"/>
    <col min="15" max="15" width="5.7265625" style="124" bestFit="1" customWidth="1"/>
    <col min="16" max="16" width="9.81640625" bestFit="1" customWidth="1"/>
    <col min="17" max="17" width="17.453125" bestFit="1" customWidth="1"/>
    <col min="19" max="19" width="18.26953125" bestFit="1" customWidth="1"/>
  </cols>
  <sheetData>
    <row r="1" spans="1:19" x14ac:dyDescent="0.35">
      <c r="S1" s="89"/>
    </row>
    <row r="2" spans="1:19" x14ac:dyDescent="0.35">
      <c r="S2" s="89"/>
    </row>
    <row r="3" spans="1:19" x14ac:dyDescent="0.35">
      <c r="A3" s="134"/>
      <c r="B3" s="134"/>
      <c r="C3" s="134"/>
      <c r="D3" s="133" t="s">
        <v>296</v>
      </c>
      <c r="G3" s="51"/>
      <c r="H3" s="219"/>
      <c r="I3" s="132"/>
      <c r="J3" s="131" t="s">
        <v>223</v>
      </c>
      <c r="K3" s="130"/>
      <c r="S3" s="89"/>
    </row>
    <row r="4" spans="1:19" s="138" customFormat="1" ht="46.5" customHeight="1" x14ac:dyDescent="0.35">
      <c r="A4" s="137" t="s">
        <v>26</v>
      </c>
      <c r="B4" s="137" t="s">
        <v>139</v>
      </c>
      <c r="C4" s="137" t="s">
        <v>159</v>
      </c>
      <c r="D4" s="200" t="s">
        <v>222</v>
      </c>
      <c r="G4" s="225" t="s">
        <v>221</v>
      </c>
      <c r="H4" s="226" t="s">
        <v>227</v>
      </c>
      <c r="I4" s="227" t="s">
        <v>25</v>
      </c>
      <c r="J4" s="227" t="s">
        <v>48</v>
      </c>
      <c r="K4" s="227" t="s">
        <v>220</v>
      </c>
      <c r="O4" s="139"/>
      <c r="S4" s="140"/>
    </row>
    <row r="5" spans="1:19" x14ac:dyDescent="0.35">
      <c r="A5" s="104" t="s">
        <v>31</v>
      </c>
      <c r="B5" s="104" t="s">
        <v>140</v>
      </c>
      <c r="C5" s="66">
        <v>10</v>
      </c>
      <c r="D5" s="104" t="e">
        <f>VLOOKUP(A5,'1. ZODIAC NATAL'!$B$5:$L$17,11,FALSE)</f>
        <v>#N/A</v>
      </c>
      <c r="G5" s="222">
        <f>'2. PROFECTION YEARLY &amp; MONTHLY'!L47</f>
        <v>0</v>
      </c>
      <c r="H5" s="223" t="e">
        <f>VLOOKUP(G5,'2.DODECATEMORIA TABLE HOROSCOPE'!E:G,2,FALSE)</f>
        <v>#N/A</v>
      </c>
      <c r="I5" s="129" t="e">
        <f>VLOOKUP(G5,'2.DODECATEMORIA TABLE HOROSCOPE'!E4:G16,3,FALSE)</f>
        <v>#N/A</v>
      </c>
      <c r="J5" s="129" t="e">
        <f>'2.DODECATEMORIA TABLE HOROSCOPE'!I5</f>
        <v>#REF!</v>
      </c>
      <c r="K5" s="127" t="e">
        <f>VLOOKUP(J5,A:D,4,FALSE)</f>
        <v>#REF!</v>
      </c>
      <c r="O5" s="128"/>
      <c r="S5" s="89"/>
    </row>
    <row r="6" spans="1:19" x14ac:dyDescent="0.35">
      <c r="A6" s="104" t="s">
        <v>122</v>
      </c>
      <c r="B6" s="104" t="s">
        <v>141</v>
      </c>
      <c r="C6" s="66">
        <v>30</v>
      </c>
      <c r="D6" s="104" t="e">
        <f>VLOOKUP(A6,'1. ZODIAC NATAL'!$B$5:$L$17,11,FALSE)</f>
        <v>#N/A</v>
      </c>
      <c r="G6" s="193">
        <f>'2. PROFECTION YEARLY &amp; MONTHLY'!L48</f>
        <v>0</v>
      </c>
      <c r="H6" s="220" t="e">
        <f>VLOOKUP(G6,'2.DODECATEMORIA TABLE HOROSCOPE'!E:G,2,FALSE)</f>
        <v>#N/A</v>
      </c>
      <c r="I6" s="127" t="e">
        <f>VLOOKUP(G6,'2.DODECATEMORIA TABLE HOROSCOPE'!E5:G17,3,FALSE)</f>
        <v>#N/A</v>
      </c>
      <c r="J6" s="127" t="e">
        <f>'2.DODECATEMORIA TABLE HOROSCOPE'!I6</f>
        <v>#REF!</v>
      </c>
      <c r="K6" s="127" t="e">
        <f>VLOOKUP(J6,A:D,4,FALSE)</f>
        <v>#REF!</v>
      </c>
      <c r="S6" s="89"/>
    </row>
    <row r="7" spans="1:19" x14ac:dyDescent="0.35">
      <c r="A7" s="104" t="s">
        <v>103</v>
      </c>
      <c r="B7" s="104" t="s">
        <v>142</v>
      </c>
      <c r="C7" s="66">
        <v>20</v>
      </c>
      <c r="D7" s="104" t="e">
        <f>VLOOKUP(A7,'1. ZODIAC NATAL'!$B$5:$L$17,11,FALSE)</f>
        <v>#N/A</v>
      </c>
      <c r="G7" s="193">
        <f>'2. PROFECTION YEARLY &amp; MONTHLY'!L49</f>
        <v>0</v>
      </c>
      <c r="H7" s="220" t="e">
        <f>VLOOKUP(G7,'2.DODECATEMORIA TABLE HOROSCOPE'!E:G,2,FALSE)</f>
        <v>#N/A</v>
      </c>
      <c r="I7" s="127" t="e">
        <f>VLOOKUP(G7,'2.DODECATEMORIA TABLE HOROSCOPE'!E6:G18,3,FALSE)</f>
        <v>#N/A</v>
      </c>
      <c r="J7" s="127" t="e">
        <f>'2.DODECATEMORIA TABLE HOROSCOPE'!I7</f>
        <v>#REF!</v>
      </c>
      <c r="K7" s="127" t="e">
        <f t="shared" ref="K7:K16" si="0">VLOOKUP(J7,A:D,4,FALSE)</f>
        <v>#REF!</v>
      </c>
      <c r="O7" s="128"/>
      <c r="S7" s="89"/>
    </row>
    <row r="8" spans="1:19" x14ac:dyDescent="0.35">
      <c r="A8" s="104" t="s">
        <v>67</v>
      </c>
      <c r="B8" s="104" t="s">
        <v>140</v>
      </c>
      <c r="C8" s="66">
        <v>10</v>
      </c>
      <c r="D8" s="104" t="e">
        <f>VLOOKUP(A8,'1. ZODIAC NATAL'!$B$5:$L$17,11,FALSE)</f>
        <v>#N/A</v>
      </c>
      <c r="G8" s="193">
        <f>'2. PROFECTION YEARLY &amp; MONTHLY'!L50</f>
        <v>0</v>
      </c>
      <c r="H8" s="220" t="e">
        <f>VLOOKUP(G8,'2.DODECATEMORIA TABLE HOROSCOPE'!E:G,2,FALSE)</f>
        <v>#N/A</v>
      </c>
      <c r="I8" s="127" t="e">
        <f>VLOOKUP(G8,'2.DODECATEMORIA TABLE HOROSCOPE'!E7:G19,3,FALSE)</f>
        <v>#N/A</v>
      </c>
      <c r="J8" s="127" t="e">
        <f>'2.DODECATEMORIA TABLE HOROSCOPE'!I8</f>
        <v>#REF!</v>
      </c>
      <c r="K8" s="127" t="e">
        <f t="shared" si="0"/>
        <v>#REF!</v>
      </c>
      <c r="S8" s="89"/>
    </row>
    <row r="9" spans="1:19" x14ac:dyDescent="0.35">
      <c r="A9" s="104" t="s">
        <v>69</v>
      </c>
      <c r="B9" s="104" t="s">
        <v>141</v>
      </c>
      <c r="C9" s="66">
        <v>30</v>
      </c>
      <c r="D9" s="104" t="e">
        <f>VLOOKUP(A9,'1. ZODIAC NATAL'!$B$5:$L$17,11,FALSE)</f>
        <v>#N/A</v>
      </c>
      <c r="G9" s="193">
        <f>'2. PROFECTION YEARLY &amp; MONTHLY'!L51</f>
        <v>0</v>
      </c>
      <c r="H9" s="220" t="e">
        <f>VLOOKUP(G9,'2.DODECATEMORIA TABLE HOROSCOPE'!E:G,2,FALSE)</f>
        <v>#N/A</v>
      </c>
      <c r="I9" s="127" t="e">
        <f>VLOOKUP(G9,'2.DODECATEMORIA TABLE HOROSCOPE'!E8:G20,3,FALSE)</f>
        <v>#N/A</v>
      </c>
      <c r="J9" s="127" t="e">
        <f>'2.DODECATEMORIA TABLE HOROSCOPE'!I9</f>
        <v>#REF!</v>
      </c>
      <c r="K9" s="127" t="e">
        <f t="shared" si="0"/>
        <v>#REF!</v>
      </c>
      <c r="O9" s="128"/>
      <c r="S9" s="89"/>
    </row>
    <row r="10" spans="1:19" x14ac:dyDescent="0.35">
      <c r="A10" s="104" t="s">
        <v>77</v>
      </c>
      <c r="B10" s="104" t="s">
        <v>142</v>
      </c>
      <c r="C10" s="66">
        <v>20</v>
      </c>
      <c r="D10" s="104" t="e">
        <f>VLOOKUP(A10,'1. ZODIAC NATAL'!$B$5:$L$17,11,FALSE)</f>
        <v>#N/A</v>
      </c>
      <c r="G10" s="193">
        <f>'2. PROFECTION YEARLY &amp; MONTHLY'!L52</f>
        <v>0</v>
      </c>
      <c r="H10" s="220" t="e">
        <f>VLOOKUP(G10,'2.DODECATEMORIA TABLE HOROSCOPE'!E:G,2,FALSE)</f>
        <v>#N/A</v>
      </c>
      <c r="I10" s="127" t="e">
        <f>VLOOKUP(G10,'2.DODECATEMORIA TABLE HOROSCOPE'!E9:G21,3,FALSE)</f>
        <v>#N/A</v>
      </c>
      <c r="J10" s="127" t="e">
        <f>'2.DODECATEMORIA TABLE HOROSCOPE'!I10</f>
        <v>#REF!</v>
      </c>
      <c r="K10" s="127" t="e">
        <f t="shared" si="0"/>
        <v>#REF!</v>
      </c>
      <c r="S10" s="89"/>
    </row>
    <row r="11" spans="1:19" x14ac:dyDescent="0.35">
      <c r="A11" s="104" t="s">
        <v>84</v>
      </c>
      <c r="B11" s="104" t="s">
        <v>140</v>
      </c>
      <c r="C11" s="66">
        <v>10</v>
      </c>
      <c r="D11" s="104" t="e">
        <f>VLOOKUP(A11,'1. ZODIAC NATAL'!$B$5:$L$17,11,FALSE)</f>
        <v>#N/A</v>
      </c>
      <c r="G11" s="193">
        <f>'2. PROFECTION YEARLY &amp; MONTHLY'!L53</f>
        <v>0</v>
      </c>
      <c r="H11" s="220" t="e">
        <f>VLOOKUP(G11,'2.DODECATEMORIA TABLE HOROSCOPE'!E:G,2,FALSE)</f>
        <v>#N/A</v>
      </c>
      <c r="I11" s="127" t="e">
        <f>VLOOKUP(G11,'2.DODECATEMORIA TABLE HOROSCOPE'!E10:G22,3,FALSE)</f>
        <v>#N/A</v>
      </c>
      <c r="J11" s="127" t="e">
        <f>'2.DODECATEMORIA TABLE HOROSCOPE'!I11</f>
        <v>#REF!</v>
      </c>
      <c r="K11" s="127" t="e">
        <f t="shared" si="0"/>
        <v>#REF!</v>
      </c>
      <c r="S11" s="89"/>
    </row>
    <row r="12" spans="1:19" x14ac:dyDescent="0.35">
      <c r="A12" s="104" t="s">
        <v>123</v>
      </c>
      <c r="B12" s="104" t="s">
        <v>141</v>
      </c>
      <c r="C12" s="66">
        <v>30</v>
      </c>
      <c r="D12" s="104" t="e">
        <f>VLOOKUP(A12,'1. ZODIAC NATAL'!$B$5:$L$17,11,FALSE)</f>
        <v>#N/A</v>
      </c>
      <c r="G12" s="193">
        <f>'2. PROFECTION YEARLY &amp; MONTHLY'!L54</f>
        <v>0</v>
      </c>
      <c r="H12" s="220" t="e">
        <f>VLOOKUP(G12,'2.DODECATEMORIA TABLE HOROSCOPE'!E:G,2,FALSE)</f>
        <v>#N/A</v>
      </c>
      <c r="I12" s="127" t="e">
        <f>VLOOKUP(G12,'2.DODECATEMORIA TABLE HOROSCOPE'!E11:G23,3,FALSE)</f>
        <v>#N/A</v>
      </c>
      <c r="J12" s="127" t="e">
        <f>'2.DODECATEMORIA TABLE HOROSCOPE'!I12</f>
        <v>#REF!</v>
      </c>
      <c r="K12" s="127" t="e">
        <f t="shared" si="0"/>
        <v>#REF!</v>
      </c>
      <c r="S12" s="89"/>
    </row>
    <row r="13" spans="1:19" x14ac:dyDescent="0.35">
      <c r="A13" s="104" t="s">
        <v>82</v>
      </c>
      <c r="B13" s="104" t="s">
        <v>142</v>
      </c>
      <c r="C13" s="66">
        <v>20</v>
      </c>
      <c r="D13" s="104" t="e">
        <f>VLOOKUP(A13,'1. ZODIAC NATAL'!$B$5:$L$17,11,FALSE)</f>
        <v>#N/A</v>
      </c>
      <c r="G13" s="193">
        <f>'2. PROFECTION YEARLY &amp; MONTHLY'!L55</f>
        <v>0</v>
      </c>
      <c r="H13" s="220" t="e">
        <f>VLOOKUP(G13,'2.DODECATEMORIA TABLE HOROSCOPE'!E:G,2,FALSE)</f>
        <v>#N/A</v>
      </c>
      <c r="I13" s="127" t="e">
        <f>VLOOKUP(G13,'2.DODECATEMORIA TABLE HOROSCOPE'!E12:G24,3,FALSE)</f>
        <v>#N/A</v>
      </c>
      <c r="J13" s="127" t="e">
        <f>'2.DODECATEMORIA TABLE HOROSCOPE'!I13</f>
        <v>#REF!</v>
      </c>
      <c r="K13" s="127" t="e">
        <f t="shared" si="0"/>
        <v>#REF!</v>
      </c>
    </row>
    <row r="14" spans="1:19" x14ac:dyDescent="0.35">
      <c r="A14" s="104" t="s">
        <v>143</v>
      </c>
      <c r="B14" s="104" t="s">
        <v>140</v>
      </c>
      <c r="C14" s="66">
        <v>10</v>
      </c>
      <c r="D14" s="104" t="e">
        <f>VLOOKUP(A14,'1. ZODIAC NATAL'!$B$5:$L$17,11,FALSE)</f>
        <v>#N/A</v>
      </c>
      <c r="G14" s="193">
        <f>'2. PROFECTION YEARLY &amp; MONTHLY'!L56</f>
        <v>0</v>
      </c>
      <c r="H14" s="220" t="e">
        <f>VLOOKUP(G14,'2.DODECATEMORIA TABLE HOROSCOPE'!E:G,2,FALSE)</f>
        <v>#N/A</v>
      </c>
      <c r="I14" s="127" t="e">
        <f>VLOOKUP(G14,'2.DODECATEMORIA TABLE HOROSCOPE'!E13:G25,3,FALSE)</f>
        <v>#N/A</v>
      </c>
      <c r="J14" s="127" t="e">
        <f>'2.DODECATEMORIA TABLE HOROSCOPE'!I14</f>
        <v>#REF!</v>
      </c>
      <c r="K14" s="127" t="e">
        <f t="shared" si="0"/>
        <v>#REF!</v>
      </c>
    </row>
    <row r="15" spans="1:19" x14ac:dyDescent="0.35">
      <c r="A15" s="104" t="s">
        <v>79</v>
      </c>
      <c r="B15" s="104" t="s">
        <v>141</v>
      </c>
      <c r="C15" s="66">
        <v>30</v>
      </c>
      <c r="D15" s="104" t="e">
        <f>VLOOKUP(A15,'1. ZODIAC NATAL'!$B$5:$L$17,11,FALSE)</f>
        <v>#N/A</v>
      </c>
      <c r="G15" s="193">
        <f>'2. PROFECTION YEARLY &amp; MONTHLY'!L57</f>
        <v>0</v>
      </c>
      <c r="H15" s="220" t="e">
        <f>VLOOKUP(G15,'2.DODECATEMORIA TABLE HOROSCOPE'!E:G,2,FALSE)</f>
        <v>#N/A</v>
      </c>
      <c r="I15" s="127" t="e">
        <f>VLOOKUP(G15,'2.DODECATEMORIA TABLE HOROSCOPE'!E14:G26,3,FALSE)</f>
        <v>#N/A</v>
      </c>
      <c r="J15" s="127" t="e">
        <f>'2.DODECATEMORIA TABLE HOROSCOPE'!I15</f>
        <v>#REF!</v>
      </c>
      <c r="K15" s="127" t="e">
        <f t="shared" si="0"/>
        <v>#REF!</v>
      </c>
    </row>
    <row r="16" spans="1:19" x14ac:dyDescent="0.35">
      <c r="A16" s="104" t="s">
        <v>125</v>
      </c>
      <c r="B16" s="104" t="s">
        <v>142</v>
      </c>
      <c r="C16" s="66">
        <v>20</v>
      </c>
      <c r="D16" s="104" t="e">
        <f>VLOOKUP(A16,'1. ZODIAC NATAL'!$B$5:$L$17,11,FALSE)</f>
        <v>#N/A</v>
      </c>
      <c r="G16" s="194">
        <f>'2. PROFECTION YEARLY &amp; MONTHLY'!L58</f>
        <v>0</v>
      </c>
      <c r="H16" s="221" t="e">
        <f>VLOOKUP(G16,'2.DODECATEMORIA TABLE HOROSCOPE'!E:G,2,FALSE)</f>
        <v>#N/A</v>
      </c>
      <c r="I16" s="125" t="e">
        <f>VLOOKUP(G16,'2.DODECATEMORIA TABLE HOROSCOPE'!E15:G27,3,FALSE)</f>
        <v>#N/A</v>
      </c>
      <c r="J16" s="125" t="e">
        <f>'2.DODECATEMORIA TABLE HOROSCOPE'!I16</f>
        <v>#REF!</v>
      </c>
      <c r="K16" s="125" t="e">
        <f t="shared" si="0"/>
        <v>#REF!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991F-B475-4A4E-AD30-2FEA41066ED7}">
  <sheetPr codeName="Sheet27">
    <tabColor theme="1"/>
  </sheetPr>
  <dimension ref="A2:M16"/>
  <sheetViews>
    <sheetView zoomScale="115" zoomScaleNormal="115" workbookViewId="0">
      <pane ySplit="2" topLeftCell="A3" activePane="bottomLeft" state="frozen"/>
      <selection activeCell="I38" sqref="I38"/>
      <selection pane="bottomLeft" activeCell="H14" sqref="H14"/>
    </sheetView>
  </sheetViews>
  <sheetFormatPr defaultColWidth="16.1796875" defaultRowHeight="14.5" x14ac:dyDescent="0.35"/>
  <cols>
    <col min="1" max="1" width="11.1796875" style="71" hidden="1" customWidth="1"/>
    <col min="2" max="2" width="9.1796875" style="71" hidden="1" customWidth="1"/>
    <col min="3" max="5" width="10.81640625" style="71" hidden="1" customWidth="1"/>
    <col min="6" max="6" width="25.1796875" style="71" bestFit="1" customWidth="1"/>
    <col min="7" max="7" width="8.81640625" style="71" bestFit="1" customWidth="1"/>
    <col min="8" max="9" width="16.1796875" style="71"/>
    <col min="10" max="12" width="11.453125" style="71" bestFit="1" customWidth="1"/>
    <col min="13" max="16384" width="16.1796875" style="71"/>
  </cols>
  <sheetData>
    <row r="2" spans="1:13" x14ac:dyDescent="0.35">
      <c r="F2" s="171" t="s">
        <v>293</v>
      </c>
      <c r="G2" s="171" t="s">
        <v>26</v>
      </c>
      <c r="H2" s="171" t="s">
        <v>289</v>
      </c>
      <c r="I2" s="171" t="s">
        <v>285</v>
      </c>
      <c r="J2" s="171" t="s">
        <v>286</v>
      </c>
      <c r="K2" s="171" t="s">
        <v>287</v>
      </c>
      <c r="L2" s="171" t="s">
        <v>288</v>
      </c>
    </row>
    <row r="3" spans="1:13" x14ac:dyDescent="0.35">
      <c r="F3" s="73" t="s">
        <v>294</v>
      </c>
      <c r="G3" s="73">
        <f>'1. ANNUAL REVOLUTION'!D2</f>
        <v>0</v>
      </c>
      <c r="H3" s="73">
        <f>'1. ANNUAL REVOLUTION'!D3</f>
        <v>0</v>
      </c>
      <c r="I3" s="73" t="str">
        <f>IFERROR(VLOOKUP(G3,'ZODIAC LORD and ATRIBUTES'!A:B,2,FALSE),"")</f>
        <v/>
      </c>
      <c r="J3" s="73" t="e" cm="1">
        <f t="array" ref="J3">INDEX($C$8:$C$16, MATCH(1, ($A$8:$A$16=H3)*($B$8:$B$16=I3), 0))</f>
        <v>#N/A</v>
      </c>
      <c r="K3" s="73" t="e" cm="1">
        <f t="array" ref="K3">INDEX($D$8:$D$16, MATCH(1, ($A$8:$A$16=H3)*($B$8:$B$16=I3), 0))</f>
        <v>#N/A</v>
      </c>
      <c r="L3" s="73" t="e" cm="1">
        <f t="array" ref="L3">INDEX($E$8:$E$16, MATCH(1, ($A$8:$A$16=H3)*($B$8:$B$16=I3), 0))</f>
        <v>#N/A</v>
      </c>
    </row>
    <row r="4" spans="1:13" x14ac:dyDescent="0.35">
      <c r="F4" s="276" t="s">
        <v>337</v>
      </c>
      <c r="G4" s="73" t="e">
        <f>'1. ANNUAL REVOLUTION'!B29</f>
        <v>#N/A</v>
      </c>
      <c r="H4" s="276">
        <f>'1. ANNUAL REVOLUTION'!D3</f>
        <v>0</v>
      </c>
      <c r="I4" s="73" t="str">
        <f>IFERROR(VLOOKUP(G4,'ZODIAC LORD and ATRIBUTES'!A:B,2,FALSE),"")</f>
        <v/>
      </c>
      <c r="J4" s="73" t="e" cm="1">
        <f t="array" ref="J4">INDEX($C$8:$C$16, MATCH(1, ($A$8:$A$16=H4)*($B$8:$B$16=I4), 0))</f>
        <v>#N/A</v>
      </c>
      <c r="K4" s="73" t="e" cm="1">
        <f t="array" ref="K4">INDEX($D$8:$D$16, MATCH(1, ($A$8:$A$16=H4)*($B$8:$B$16=I4), 0))</f>
        <v>#N/A</v>
      </c>
      <c r="L4" s="73" t="e" cm="1">
        <f t="array" ref="L4">INDEX($E$8:$E$16, MATCH(1, ($A$8:$A$16=H4)*($B$8:$B$16=I4), 0))</f>
        <v>#N/A</v>
      </c>
      <c r="M4" s="284" t="e">
        <f>IF(OR(J4="MOON",K4="MOON",L4="MOON"),"TRIPLICITY","NO TRIPLICITY")</f>
        <v>#N/A</v>
      </c>
    </row>
    <row r="5" spans="1:13" x14ac:dyDescent="0.35">
      <c r="F5" s="305" t="s">
        <v>356</v>
      </c>
      <c r="G5" s="284" t="e">
        <f>'1. ZODIAC NATAL'!B26</f>
        <v>#N/A</v>
      </c>
      <c r="H5" s="305">
        <f>'1. ZODIAC NATAL'!B3</f>
        <v>0</v>
      </c>
      <c r="I5" s="73" t="str">
        <f>IFERROR(VLOOKUP(G5,'ZODIAC LORD and ATRIBUTES'!A:B,2,FALSE),"")</f>
        <v/>
      </c>
      <c r="J5" s="73" t="e" cm="1">
        <f t="array" ref="J5">INDEX($C$8:$C$16, MATCH(1, ($A$8:$A$16=H5)*($B$8:$B$16=I5), 0))</f>
        <v>#N/A</v>
      </c>
      <c r="K5" s="73" t="e" cm="1">
        <f t="array" ref="K5">INDEX($D$8:$D$16, MATCH(1, ($A$8:$A$16=H5)*($B$8:$B$16=I5), 0))</f>
        <v>#N/A</v>
      </c>
      <c r="L5" s="73" t="e" cm="1">
        <f t="array" ref="L5">INDEX($E$8:$E$16, MATCH(1, ($A$8:$A$16=H5)*($B$8:$B$16=I5), 0))</f>
        <v>#N/A</v>
      </c>
      <c r="M5" s="284"/>
    </row>
    <row r="8" spans="1:13" x14ac:dyDescent="0.35">
      <c r="A8" s="72" t="s">
        <v>289</v>
      </c>
      <c r="B8" s="72" t="s">
        <v>292</v>
      </c>
      <c r="C8" s="72" t="s">
        <v>286</v>
      </c>
      <c r="D8" s="72" t="s">
        <v>287</v>
      </c>
      <c r="E8" s="72" t="s">
        <v>288</v>
      </c>
    </row>
    <row r="9" spans="1:13" x14ac:dyDescent="0.35">
      <c r="A9" s="202" t="s">
        <v>290</v>
      </c>
      <c r="B9" s="72" t="s">
        <v>281</v>
      </c>
      <c r="C9" s="72" t="s">
        <v>13</v>
      </c>
      <c r="D9" s="72" t="s">
        <v>59</v>
      </c>
      <c r="E9" s="72" t="s">
        <v>10</v>
      </c>
    </row>
    <row r="10" spans="1:13" x14ac:dyDescent="0.35">
      <c r="A10" s="202" t="s">
        <v>290</v>
      </c>
      <c r="B10" s="72" t="s">
        <v>282</v>
      </c>
      <c r="C10" s="72" t="s">
        <v>35</v>
      </c>
      <c r="D10" s="72" t="s">
        <v>118</v>
      </c>
      <c r="E10" s="72" t="s">
        <v>121</v>
      </c>
    </row>
    <row r="11" spans="1:13" x14ac:dyDescent="0.35">
      <c r="A11" s="202" t="s">
        <v>290</v>
      </c>
      <c r="B11" s="72" t="s">
        <v>283</v>
      </c>
      <c r="C11" s="72" t="s">
        <v>56</v>
      </c>
      <c r="D11" s="72" t="s">
        <v>10</v>
      </c>
      <c r="E11" s="72" t="s">
        <v>13</v>
      </c>
    </row>
    <row r="12" spans="1:13" x14ac:dyDescent="0.35">
      <c r="A12" s="202" t="s">
        <v>290</v>
      </c>
      <c r="B12" s="72" t="s">
        <v>284</v>
      </c>
      <c r="C12" s="72" t="s">
        <v>121</v>
      </c>
      <c r="D12" s="72" t="s">
        <v>118</v>
      </c>
      <c r="E12" s="72" t="s">
        <v>35</v>
      </c>
    </row>
    <row r="13" spans="1:13" x14ac:dyDescent="0.35">
      <c r="A13" s="202" t="s">
        <v>291</v>
      </c>
      <c r="B13" s="72" t="s">
        <v>281</v>
      </c>
      <c r="C13" s="72" t="s">
        <v>59</v>
      </c>
      <c r="D13" s="72" t="s">
        <v>13</v>
      </c>
      <c r="E13" s="72" t="s">
        <v>10</v>
      </c>
    </row>
    <row r="14" spans="1:13" x14ac:dyDescent="0.35">
      <c r="A14" s="202" t="s">
        <v>291</v>
      </c>
      <c r="B14" s="72" t="s">
        <v>282</v>
      </c>
      <c r="C14" s="72" t="s">
        <v>118</v>
      </c>
      <c r="D14" s="72" t="s">
        <v>35</v>
      </c>
      <c r="E14" s="72" t="s">
        <v>121</v>
      </c>
    </row>
    <row r="15" spans="1:13" x14ac:dyDescent="0.35">
      <c r="A15" s="202" t="s">
        <v>291</v>
      </c>
      <c r="B15" s="72" t="s">
        <v>283</v>
      </c>
      <c r="C15" s="72" t="s">
        <v>10</v>
      </c>
      <c r="D15" s="72" t="s">
        <v>56</v>
      </c>
      <c r="E15" s="72" t="s">
        <v>13</v>
      </c>
    </row>
    <row r="16" spans="1:13" x14ac:dyDescent="0.35">
      <c r="A16" s="202" t="s">
        <v>291</v>
      </c>
      <c r="B16" s="72" t="s">
        <v>284</v>
      </c>
      <c r="C16" s="72" t="s">
        <v>118</v>
      </c>
      <c r="D16" s="72" t="s">
        <v>121</v>
      </c>
      <c r="E16" s="72" t="s">
        <v>35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A7AD-465F-495A-B043-AE440CDE078B}">
  <sheetPr codeName="Sheet25">
    <tabColor theme="2" tint="-0.249977111117893"/>
  </sheetPr>
  <dimension ref="A21:A1000"/>
  <sheetViews>
    <sheetView tabSelected="1" zoomScale="55" zoomScaleNormal="55" workbookViewId="0">
      <selection activeCell="G10" sqref="G10:H11"/>
    </sheetView>
  </sheetViews>
  <sheetFormatPr defaultColWidth="14.453125" defaultRowHeight="15" customHeight="1" x14ac:dyDescent="0.35"/>
  <cols>
    <col min="1" max="29" width="8.72656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5318-ACDE-40DD-85B8-901BDEF10553}">
  <sheetPr>
    <tabColor theme="1"/>
  </sheetPr>
  <dimension ref="A1:C7"/>
  <sheetViews>
    <sheetView workbookViewId="0">
      <selection activeCell="C12" sqref="C12"/>
    </sheetView>
  </sheetViews>
  <sheetFormatPr defaultRowHeight="14.5" x14ac:dyDescent="0.35"/>
  <cols>
    <col min="2" max="2" width="11.7265625" bestFit="1" customWidth="1"/>
    <col min="3" max="3" width="19.54296875" bestFit="1" customWidth="1"/>
  </cols>
  <sheetData>
    <row r="1" spans="1:3" x14ac:dyDescent="0.35">
      <c r="A1" s="114" t="s">
        <v>388</v>
      </c>
      <c r="B1" s="114" t="s">
        <v>387</v>
      </c>
      <c r="C1" s="114" t="s">
        <v>405</v>
      </c>
    </row>
    <row r="2" spans="1:3" x14ac:dyDescent="0.35">
      <c r="A2" t="s">
        <v>305</v>
      </c>
      <c r="B2" t="s">
        <v>411</v>
      </c>
      <c r="C2" s="421" t="s">
        <v>290</v>
      </c>
    </row>
    <row r="3" spans="1:3" x14ac:dyDescent="0.35">
      <c r="A3" t="s">
        <v>330</v>
      </c>
      <c r="B3" t="s">
        <v>383</v>
      </c>
      <c r="C3" s="421" t="s">
        <v>291</v>
      </c>
    </row>
    <row r="4" spans="1:3" x14ac:dyDescent="0.35">
      <c r="B4" t="s">
        <v>269</v>
      </c>
    </row>
    <row r="5" spans="1:3" x14ac:dyDescent="0.35">
      <c r="B5" t="s">
        <v>384</v>
      </c>
    </row>
    <row r="6" spans="1:3" x14ac:dyDescent="0.35">
      <c r="B6" t="s">
        <v>385</v>
      </c>
    </row>
    <row r="7" spans="1:3" x14ac:dyDescent="0.35">
      <c r="B7" t="s">
        <v>386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2A8C-0298-4C4A-816C-6D814FF2655E}">
  <sheetPr>
    <tabColor theme="1"/>
  </sheetPr>
  <dimension ref="A1:I20"/>
  <sheetViews>
    <sheetView workbookViewId="0">
      <selection activeCell="H22" sqref="H22"/>
    </sheetView>
  </sheetViews>
  <sheetFormatPr defaultRowHeight="14.5" x14ac:dyDescent="0.35"/>
  <cols>
    <col min="1" max="1" width="3.81640625" bestFit="1" customWidth="1"/>
    <col min="2" max="2" width="11.26953125" bestFit="1" customWidth="1"/>
    <col min="3" max="3" width="12.54296875" customWidth="1"/>
    <col min="5" max="5" width="24.7265625" bestFit="1" customWidth="1"/>
    <col min="6" max="6" width="11.453125" bestFit="1" customWidth="1"/>
    <col min="7" max="7" width="17.1796875" bestFit="1" customWidth="1"/>
    <col min="8" max="8" width="17" bestFit="1" customWidth="1"/>
    <col min="9" max="9" width="11.26953125" bestFit="1" customWidth="1"/>
  </cols>
  <sheetData>
    <row r="1" spans="1:9" ht="23.5" x14ac:dyDescent="0.5">
      <c r="E1" s="279" t="s">
        <v>351</v>
      </c>
      <c r="F1" s="201"/>
      <c r="G1" s="280" t="s">
        <v>350</v>
      </c>
      <c r="H1" s="281" t="s">
        <v>3</v>
      </c>
    </row>
    <row r="2" spans="1:9" s="41" customFormat="1" ht="30" customHeight="1" x14ac:dyDescent="0.35">
      <c r="E2" s="265" t="s">
        <v>293</v>
      </c>
      <c r="F2" s="265" t="s">
        <v>26</v>
      </c>
      <c r="G2" s="265" t="s">
        <v>26</v>
      </c>
      <c r="H2" s="203" t="s">
        <v>345</v>
      </c>
    </row>
    <row r="3" spans="1:9" x14ac:dyDescent="0.35">
      <c r="E3" s="66" t="s">
        <v>341</v>
      </c>
      <c r="F3" s="66">
        <f>'1. ANNUAL REVOLUTION'!B43</f>
        <v>0</v>
      </c>
      <c r="G3" s="73">
        <f>'1. ANNUAL REVOLUTION'!B46</f>
        <v>0</v>
      </c>
      <c r="H3" s="66" t="e">
        <f>IF(
    INDEX($A$9:$A$20, MATCH(G3, $C$9:$C$20, 0)) &gt;= INDEX($A$9:$A$20, MATCH(F3, $C$9:$C$20, 0)),
    INDEX($A$9:$A$20, MATCH(G3, $C$9:$C$20, 0)) - INDEX($A$9:$A$20, MATCH(F3, $C$9:$C$20, 0)) + 1,
    (12 - INDEX($A$9:$A$20, MATCH(F3, $C$9:$C$20, 0)) + 1) + INDEX($A$9:$A$20, MATCH(G3, $C$9:$C$20, 0))
)</f>
        <v>#N/A</v>
      </c>
    </row>
    <row r="4" spans="1:9" x14ac:dyDescent="0.35">
      <c r="E4" s="66" t="s">
        <v>342</v>
      </c>
      <c r="F4" s="66" t="e">
        <f>'1. ANNUAL REVOLUTION'!B47</f>
        <v>#N/A</v>
      </c>
      <c r="G4" s="73">
        <f>'1. ANNUAL REVOLUTION'!B46</f>
        <v>0</v>
      </c>
      <c r="H4" s="285" t="e">
        <f>IF(
    INDEX($A$9:$A$20, MATCH(G4, $C$9:$C$20, 0)) &gt;= INDEX($A$9:$A$20, MATCH(F4, $C$9:$C$20, 0)),
    INDEX($A$9:$A$20, MATCH(G4, $C$9:$C$20, 0)) - INDEX($A$9:$A$20, MATCH(F4, $C$9:$C$20, 0)) + 1,
    (12 - INDEX($A$9:$A$20, MATCH(F4, $C$9:$C$20, 0)) + 1) + INDEX($A$9:$A$20, MATCH(G4, $C$9:$C$20, 0))
)</f>
        <v>#N/A</v>
      </c>
    </row>
    <row r="5" spans="1:9" x14ac:dyDescent="0.35">
      <c r="E5" s="66" t="s">
        <v>346</v>
      </c>
      <c r="F5" s="66" t="e">
        <f>'1. ANNUAL REVOLUTION'!B47</f>
        <v>#N/A</v>
      </c>
      <c r="G5" s="73" t="e">
        <f>'1. ANNUAL REVOLUTION'!B29</f>
        <v>#N/A</v>
      </c>
      <c r="H5" s="66" t="e">
        <f>IF(
    INDEX($A$9:$A$20, MATCH(G5, $C$9:$C$20, 0)) &gt;= INDEX($A$9:$A$20, MATCH(F5, $C$9:$C$20, 0)),
    INDEX($A$9:$A$20, MATCH(G5, $C$9:$C$20, 0)) - INDEX($A$9:$A$20, MATCH(F5, $C$9:$C$20, 0)) + 1,
    (12 - INDEX($A$9:$A$20, MATCH(F5, $C$9:$C$20, 0)) + 1) + INDEX($A$9:$A$20, MATCH(G5, $C$9:$C$20, 0))
)</f>
        <v>#N/A</v>
      </c>
      <c r="I5" s="66" t="e">
        <f t="shared" ref="I5" si="0">INDEX($B$8:$B$20, MATCH(H5, $A$8:$A$20, 0))</f>
        <v>#N/A</v>
      </c>
    </row>
    <row r="6" spans="1:9" x14ac:dyDescent="0.35">
      <c r="E6" s="66" t="s">
        <v>349</v>
      </c>
      <c r="F6" s="66" t="e">
        <f>'1. ANNUAL REVOLUTION'!B47</f>
        <v>#N/A</v>
      </c>
      <c r="G6" s="66">
        <f>'1. ANNUAL REVOLUTION'!B45</f>
        <v>0</v>
      </c>
      <c r="H6" s="66" t="e">
        <f>IF(
    INDEX($A$9:$A$20, MATCH(G6, $C$9:$C$20, 0)) &gt;= INDEX($A$9:$A$20, MATCH(F6, $C$9:$C$20, 0)),
    INDEX($A$9:$A$20, MATCH(G6, $C$9:$C$20, 0)) - INDEX($A$9:$A$20, MATCH(F6, $C$9:$C$20, 0)) + 1,
    (12 - INDEX($A$9:$A$20, MATCH(F6, $C$9:$C$20, 0)) + 1) + INDEX($A$9:$A$20, MATCH(G6, $C$9:$C$20, 0))
)</f>
        <v>#N/A</v>
      </c>
    </row>
    <row r="8" spans="1:9" x14ac:dyDescent="0.35">
      <c r="A8" s="9" t="s">
        <v>344</v>
      </c>
      <c r="B8" s="9" t="s">
        <v>246</v>
      </c>
      <c r="C8" s="9" t="s">
        <v>343</v>
      </c>
    </row>
    <row r="9" spans="1:9" x14ac:dyDescent="0.35">
      <c r="A9" s="9">
        <v>1</v>
      </c>
      <c r="B9" s="9" t="s">
        <v>347</v>
      </c>
      <c r="C9" s="72" t="s">
        <v>31</v>
      </c>
    </row>
    <row r="10" spans="1:9" x14ac:dyDescent="0.35">
      <c r="A10" s="9">
        <v>2</v>
      </c>
      <c r="B10" s="9" t="s">
        <v>348</v>
      </c>
      <c r="C10" s="72" t="s">
        <v>122</v>
      </c>
    </row>
    <row r="11" spans="1:9" x14ac:dyDescent="0.35">
      <c r="A11" s="9">
        <v>3</v>
      </c>
      <c r="B11" s="9" t="s">
        <v>248</v>
      </c>
      <c r="C11" s="72" t="s">
        <v>103</v>
      </c>
    </row>
    <row r="12" spans="1:9" x14ac:dyDescent="0.35">
      <c r="A12" s="9">
        <v>4</v>
      </c>
      <c r="B12" s="9" t="s">
        <v>347</v>
      </c>
      <c r="C12" s="72" t="s">
        <v>67</v>
      </c>
    </row>
    <row r="13" spans="1:9" x14ac:dyDescent="0.35">
      <c r="A13" s="9">
        <v>5</v>
      </c>
      <c r="B13" s="9" t="s">
        <v>348</v>
      </c>
      <c r="C13" s="72" t="s">
        <v>69</v>
      </c>
    </row>
    <row r="14" spans="1:9" x14ac:dyDescent="0.35">
      <c r="A14" s="9">
        <v>6</v>
      </c>
      <c r="B14" s="9" t="s">
        <v>248</v>
      </c>
      <c r="C14" s="72" t="s">
        <v>77</v>
      </c>
    </row>
    <row r="15" spans="1:9" x14ac:dyDescent="0.35">
      <c r="A15" s="9">
        <v>7</v>
      </c>
      <c r="B15" s="9" t="s">
        <v>347</v>
      </c>
      <c r="C15" s="72" t="s">
        <v>84</v>
      </c>
    </row>
    <row r="16" spans="1:9" x14ac:dyDescent="0.35">
      <c r="A16" s="9">
        <v>8</v>
      </c>
      <c r="B16" s="9" t="s">
        <v>348</v>
      </c>
      <c r="C16" s="72" t="s">
        <v>123</v>
      </c>
    </row>
    <row r="17" spans="1:3" x14ac:dyDescent="0.35">
      <c r="A17" s="9">
        <v>9</v>
      </c>
      <c r="B17" s="9" t="s">
        <v>248</v>
      </c>
      <c r="C17" s="72" t="s">
        <v>82</v>
      </c>
    </row>
    <row r="18" spans="1:3" x14ac:dyDescent="0.35">
      <c r="A18" s="9">
        <v>10</v>
      </c>
      <c r="B18" s="9" t="s">
        <v>347</v>
      </c>
      <c r="C18" s="72" t="s">
        <v>143</v>
      </c>
    </row>
    <row r="19" spans="1:3" x14ac:dyDescent="0.35">
      <c r="A19" s="9">
        <v>11</v>
      </c>
      <c r="B19" s="9" t="s">
        <v>348</v>
      </c>
      <c r="C19" s="72" t="s">
        <v>79</v>
      </c>
    </row>
    <row r="20" spans="1:3" x14ac:dyDescent="0.35">
      <c r="A20" s="9">
        <v>12</v>
      </c>
      <c r="B20" s="9" t="s">
        <v>248</v>
      </c>
      <c r="C20" s="72" t="s">
        <v>125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DE76-AFD2-41CE-B3B8-CA1901357B91}">
  <sheetPr>
    <tabColor theme="1"/>
  </sheetPr>
  <dimension ref="A1:G22"/>
  <sheetViews>
    <sheetView topLeftCell="D1" zoomScaleNormal="100" workbookViewId="0">
      <selection activeCell="F5" sqref="F5"/>
    </sheetView>
  </sheetViews>
  <sheetFormatPr defaultRowHeight="14.5" x14ac:dyDescent="0.35"/>
  <cols>
    <col min="1" max="1" width="4.26953125" hidden="1" customWidth="1"/>
    <col min="2" max="2" width="10.7265625" hidden="1" customWidth="1"/>
    <col min="3" max="3" width="6.54296875" hidden="1" customWidth="1"/>
    <col min="5" max="5" width="17.453125" bestFit="1" customWidth="1"/>
    <col min="6" max="6" width="11.453125" bestFit="1" customWidth="1"/>
    <col min="7" max="7" width="19" bestFit="1" customWidth="1"/>
    <col min="11" max="11" width="13.81640625" bestFit="1" customWidth="1"/>
  </cols>
  <sheetData>
    <row r="1" spans="1:7" x14ac:dyDescent="0.35">
      <c r="A1" t="s">
        <v>394</v>
      </c>
      <c r="B1">
        <f>'1. FIRDARIA CALCULATOR'!B5</f>
        <v>-1900</v>
      </c>
    </row>
    <row r="2" spans="1:7" x14ac:dyDescent="0.35">
      <c r="E2" s="114" t="s">
        <v>410</v>
      </c>
      <c r="F2" s="114" t="s">
        <v>26</v>
      </c>
      <c r="G2" s="114" t="s">
        <v>409</v>
      </c>
    </row>
    <row r="3" spans="1:7" x14ac:dyDescent="0.35">
      <c r="E3" s="429" t="s">
        <v>102</v>
      </c>
      <c r="F3" s="66" t="e">
        <f>IF('1. ZODIAC NATAL'!B3="DIURNAL",'1. ZODIAC NATAL'!B23,'1. ZODIAC NATAL'!B26)</f>
        <v>#N/A</v>
      </c>
      <c r="G3" s="66" t="e" cm="1">
        <f t="array" ref="G3">INDEX($B$11:$B$22, MOD(MATCH(F3,$B$11:$B$22,0) + $B$1 - 1, 12) + 1)</f>
        <v>#N/A</v>
      </c>
    </row>
    <row r="4" spans="1:7" x14ac:dyDescent="0.35">
      <c r="E4" s="430" t="s">
        <v>104</v>
      </c>
      <c r="F4" s="66">
        <f>'1. ZODIAC NATAL'!B2</f>
        <v>0</v>
      </c>
      <c r="G4" s="66" t="e" cm="1">
        <f t="array" ref="G4">INDEX($B$11:$B$22, MOD(MATCH(F4,$B$11:$B$22,0) + $B$1 - 1, 12) + 1)</f>
        <v>#N/A</v>
      </c>
    </row>
    <row r="5" spans="1:7" x14ac:dyDescent="0.35">
      <c r="E5" s="431" t="s">
        <v>105</v>
      </c>
      <c r="F5" s="247">
        <f>'1. ZODIAC NATAL'!B33</f>
        <v>0</v>
      </c>
      <c r="G5" s="66" t="e" cm="1">
        <f t="array" ref="G5">INDEX($B$11:$B$22, MOD(MATCH(F5,$B$11:$B$22,0) + $B$1 - 1, 12) + 1)</f>
        <v>#N/A</v>
      </c>
    </row>
    <row r="6" spans="1:7" ht="15" thickBot="1" x14ac:dyDescent="0.4">
      <c r="E6" s="20" t="s">
        <v>106</v>
      </c>
      <c r="F6" s="66" t="e">
        <f>'1. ZODIAC NATAL'!B27</f>
        <v>#N/A</v>
      </c>
      <c r="G6" s="66" t="e" cm="1">
        <f t="array" ref="G6">INDEX($B$11:$B$22, MOD(MATCH(F6,$B$11:$B$22,0) + $B$1 - 1, 12) + 1)</f>
        <v>#N/A</v>
      </c>
    </row>
    <row r="7" spans="1:7" ht="15" thickTop="1" x14ac:dyDescent="0.35"/>
    <row r="10" spans="1:7" x14ac:dyDescent="0.35">
      <c r="A10" s="9" t="s">
        <v>344</v>
      </c>
      <c r="B10" s="9" t="s">
        <v>343</v>
      </c>
    </row>
    <row r="11" spans="1:7" x14ac:dyDescent="0.35">
      <c r="A11" s="9">
        <v>1</v>
      </c>
      <c r="B11" s="72" t="s">
        <v>31</v>
      </c>
    </row>
    <row r="12" spans="1:7" x14ac:dyDescent="0.35">
      <c r="A12" s="9">
        <v>2</v>
      </c>
      <c r="B12" s="72" t="s">
        <v>122</v>
      </c>
    </row>
    <row r="13" spans="1:7" x14ac:dyDescent="0.35">
      <c r="A13" s="9">
        <v>3</v>
      </c>
      <c r="B13" s="72" t="s">
        <v>103</v>
      </c>
    </row>
    <row r="14" spans="1:7" x14ac:dyDescent="0.35">
      <c r="A14" s="9">
        <v>4</v>
      </c>
      <c r="B14" s="72" t="s">
        <v>67</v>
      </c>
    </row>
    <row r="15" spans="1:7" x14ac:dyDescent="0.35">
      <c r="A15" s="9">
        <v>5</v>
      </c>
      <c r="B15" s="72" t="s">
        <v>69</v>
      </c>
    </row>
    <row r="16" spans="1:7" x14ac:dyDescent="0.35">
      <c r="A16" s="9">
        <v>6</v>
      </c>
      <c r="B16" s="72" t="s">
        <v>77</v>
      </c>
    </row>
    <row r="17" spans="1:2" x14ac:dyDescent="0.35">
      <c r="A17" s="9">
        <v>7</v>
      </c>
      <c r="B17" s="72" t="s">
        <v>84</v>
      </c>
    </row>
    <row r="18" spans="1:2" x14ac:dyDescent="0.35">
      <c r="A18" s="9">
        <v>8</v>
      </c>
      <c r="B18" s="72" t="s">
        <v>123</v>
      </c>
    </row>
    <row r="19" spans="1:2" x14ac:dyDescent="0.35">
      <c r="A19" s="9">
        <v>9</v>
      </c>
      <c r="B19" s="72" t="s">
        <v>82</v>
      </c>
    </row>
    <row r="20" spans="1:2" x14ac:dyDescent="0.35">
      <c r="A20" s="9">
        <v>10</v>
      </c>
      <c r="B20" s="72" t="s">
        <v>143</v>
      </c>
    </row>
    <row r="21" spans="1:2" x14ac:dyDescent="0.35">
      <c r="A21" s="9">
        <v>11</v>
      </c>
      <c r="B21" s="72" t="s">
        <v>79</v>
      </c>
    </row>
    <row r="22" spans="1:2" x14ac:dyDescent="0.35">
      <c r="A22" s="9">
        <v>12</v>
      </c>
      <c r="B22" s="72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READ FIRST </vt:lpstr>
      <vt:lpstr>GENERAL HOROSCOPE READING</vt:lpstr>
      <vt:lpstr>PERSONAL CALENDAR READING</vt:lpstr>
      <vt:lpstr>1. ZODIAC NATAL</vt:lpstr>
      <vt:lpstr>1. ANNUAL REVOLUTION</vt:lpstr>
      <vt:lpstr>1. FIRDARIA CALCULATOR</vt:lpstr>
      <vt:lpstr>1. LORD OF THE TURN</vt:lpstr>
      <vt:lpstr>2. PROFECTION YEARLY &amp; MONTHLY</vt:lpstr>
      <vt:lpstr>2. SATURN JUPITER CONJ</vt:lpstr>
      <vt:lpstr>2. SOLAR REVOLUTION</vt:lpstr>
      <vt:lpstr>2.DODECATEMORIA TABLE HOROSCOPE</vt:lpstr>
      <vt:lpstr>2. YEAR OF USURPATION(ECLIPSE)</vt:lpstr>
      <vt:lpstr>3. ILLNESS AND PERILOUS YEAR</vt:lpstr>
      <vt:lpstr>AT MONTH</vt:lpstr>
      <vt:lpstr>AGES OF PTOLEMY</vt:lpstr>
      <vt:lpstr>CHALDEAN ORDER</vt:lpstr>
      <vt:lpstr>9th Part  helper</vt:lpstr>
      <vt:lpstr>LUNAR MANSION</vt:lpstr>
      <vt:lpstr>CNT PROGRESSION HLPR-SENSITIVE</vt:lpstr>
      <vt:lpstr>DODECATEMORIA TABLE</vt:lpstr>
      <vt:lpstr>CONTINOUS ZODIAC TABLE</vt:lpstr>
      <vt:lpstr>ZODIAC LORD and ATRIBUTES</vt:lpstr>
      <vt:lpstr>ZODIAC HELPER</vt:lpstr>
      <vt:lpstr>TRIPLICITY TABEL </vt:lpstr>
      <vt:lpstr>HOUSE DEFINITION</vt:lpstr>
      <vt:lpstr>MSLC TABEL </vt:lpstr>
      <vt:lpstr>ZODIAC CALCULATION </vt:lpstr>
      <vt:lpstr>PROFECTION CALCULATION </vt:lpstr>
      <vt:lpstr>'1. FIRDARIA CALCULATOR'!Print_Area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</dc:creator>
  <cp:keywords/>
  <dc:description/>
  <cp:lastModifiedBy>avi anto</cp:lastModifiedBy>
  <cp:revision/>
  <dcterms:created xsi:type="dcterms:W3CDTF">2011-01-24T22:03:50Z</dcterms:created>
  <dcterms:modified xsi:type="dcterms:W3CDTF">2025-06-07T09:28:30Z</dcterms:modified>
  <cp:category/>
  <cp:contentStatus/>
</cp:coreProperties>
</file>