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<sst xmlns="http://schemas.openxmlformats.org/spreadsheetml/2006/main" count="6" uniqueCount="6">
  <si>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 xml:space="preserve">Date</t>
  </si>
  <si>
    <t xml:space="preserve">Time</t>
  </si>
  <si>
    <t xml:space="preserve">Open</t>
  </si>
  <si>
    <t xml:space="preserve">High Price</t>
  </si>
  <si>
    <t xml:space="preserve">Low Price</t>
  </si>
  <si>
    <t xml:space="preserve">Prev Close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</si>
</sst>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HH:MM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F1"/>
    </sheetView>
  </sheetViews>
  <sheetFormatPr defaultRowHeight="15" zeroHeight="false" outlineLevelRow="0" outlineLevelCol="0"/>
  <cols>
    <col collapsed="false" customWidth="true" hidden="false" outlineLevel="0" max="1" min="1" style="0" width="10.43"/>
    <col collapsed="false" customWidth="true" hidden="false" outlineLevel="0" max="1025" min="2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2" t="n">
        <f aca="false">rtd("esrtd",,"*H","$NIFTY-NSE","Intraday_Date","I15 [09:15-15:30 L]",,"399")</f>
        <v>43770.7291666667</v>
      </c>
      <c r="B2" s="3" t="n">
        <f aca="false">rtd("esrtd",,"*H","$NIFTY-NSE","BarTime","I15 [09:15-15:30 L]",,"399")</f>
        <v>43770.5416666667</v>
      </c>
      <c r="C2" s="4" t="n">
        <f aca="false">rtd("esrtd",,"*H","$NIFTY-NSE","Open","I15 [09:15-15:30 L]",,"399")</f>
        <v>11874.8</v>
      </c>
      <c r="D2" s="4" t="n">
        <f aca="false">rtd("esrtd",,"*H","$NIFTY-NSE","High","I15 [09:15-15:30 L]",,"399")</f>
        <v>11877.2</v>
      </c>
      <c r="E2" s="4" t="n">
        <f aca="false">rtd("esrtd",,"*H","$NIFTY-NSE","Low","I15 [09:15-15:30 L]",,"399")</f>
        <v>11857.5</v>
      </c>
      <c r="F2" s="4" t="n">
        <f aca="false">rtd("esrtd",,"*H","$NIFTY-NSE","Last","I15 [09:15-15:30 L]",,"399")</f>
        <v>11868.8</v>
      </c>
    </row>
    <row r="3" customFormat="false" ht="15" hidden="false" customHeight="false" outlineLevel="0" collapsed="false">
      <c r="A3" s="2" t="n">
        <f aca="false">rtd("esrtd",,"*H","$NIFTY-NSE","Intraday_Date","I15 [09:15-15:30 L]",,"398")</f>
        <v>43770.7291666667</v>
      </c>
      <c r="B3" s="3" t="n">
        <f aca="false">rtd("esrtd",,"*H","$NIFTY-NSE","BarTime","I15 [09:15-15:30 L]",,"398")</f>
        <v>43770.5520833333</v>
      </c>
      <c r="C3" s="4" t="n">
        <f aca="false">rtd("esrtd",,"*H","$NIFTY-NSE","Open","I15 [09:15-15:30 L]",,"398")</f>
        <v>11869.1</v>
      </c>
      <c r="D3" s="4" t="n">
        <f aca="false">rtd("esrtd",,"*H","$NIFTY-NSE","High","I15 [09:15-15:30 L]",,"398")</f>
        <v>11879.9</v>
      </c>
      <c r="E3" s="4" t="n">
        <f aca="false">rtd("esrtd",,"*H","$NIFTY-NSE","Low","I15 [09:15-15:30 L]",,"398")</f>
        <v>11860.9</v>
      </c>
      <c r="F3" s="4" t="n">
        <f aca="false">rtd("esrtd",,"*H","$NIFTY-NSE","Last","I15 [09:15-15:30 L]",,"398")</f>
        <v>11877.35</v>
      </c>
    </row>
    <row r="4" customFormat="false" ht="15" hidden="false" customHeight="false" outlineLevel="0" collapsed="false">
      <c r="A4" s="2" t="n">
        <f aca="false">rtd("esrtd",,"*H","$NIFTY-NSE","Intraday_Date","I15 [09:15-15:30 L]",,"397")</f>
        <v>43770.7291666667</v>
      </c>
      <c r="B4" s="3" t="n">
        <f aca="false">rtd("esrtd",,"*H","$NIFTY-NSE","BarTime","I15 [09:15-15:30 L]",,"397")</f>
        <v>43770.5625</v>
      </c>
      <c r="C4" s="4" t="n">
        <f aca="false">rtd("esrtd",,"*H","$NIFTY-NSE","Open","I15 [09:15-15:30 L]",,"397")</f>
        <v>11877.4</v>
      </c>
      <c r="D4" s="4" t="n">
        <f aca="false">rtd("esrtd",,"*H","$NIFTY-NSE","High","I15 [09:15-15:30 L]",,"397")</f>
        <v>11883.8</v>
      </c>
      <c r="E4" s="4" t="n">
        <f aca="false">rtd("esrtd",,"*H","$NIFTY-NSE","Low","I15 [09:15-15:30 L]",,"397")</f>
        <v>11871</v>
      </c>
      <c r="F4" s="4" t="n">
        <f aca="false">rtd("esrtd",,"*H","$NIFTY-NSE","Last","I15 [09:15-15:30 L]",,"397")</f>
        <v>11874.05</v>
      </c>
    </row>
    <row r="5" customFormat="false" ht="15" hidden="false" customHeight="false" outlineLevel="0" collapsed="false">
      <c r="A5" s="2" t="n">
        <f aca="false">rtd("esrtd",,"*H","$NIFTY-NSE","Intraday_Date","I15 [09:15-15:30 L]",,"396")</f>
        <v>43770.7291666667</v>
      </c>
      <c r="B5" s="3" t="n">
        <f aca="false">rtd("esrtd",,"*H","$NIFTY-NSE","BarTime","I15 [09:15-15:30 L]",,"396")</f>
        <v>43770.5729166667</v>
      </c>
      <c r="C5" s="4" t="n">
        <f aca="false">rtd("esrtd",,"*H","$NIFTY-NSE","Open","I15 [09:15-15:30 L]",,"396")</f>
        <v>11873.7</v>
      </c>
      <c r="D5" s="4" t="n">
        <f aca="false">rtd("esrtd",,"*H","$NIFTY-NSE","High","I15 [09:15-15:30 L]",,"396")</f>
        <v>11882.25</v>
      </c>
      <c r="E5" s="4" t="n">
        <f aca="false">rtd("esrtd",,"*H","$NIFTY-NSE","Low","I15 [09:15-15:30 L]",,"396")</f>
        <v>11867.35</v>
      </c>
      <c r="F5" s="4" t="n">
        <f aca="false">rtd("esrtd",,"*H","$NIFTY-NSE","Last","I15 [09:15-15:30 L]",,"396")</f>
        <v>11876.9</v>
      </c>
    </row>
    <row r="6" customFormat="false" ht="15" hidden="false" customHeight="false" outlineLevel="0" collapsed="false">
      <c r="A6" s="2" t="n">
        <f aca="false">rtd("esrtd",,"*H","$NIFTY-NSE","Intraday_Date","I15 [09:15-15:30 L]",,"395")</f>
        <v>43770.7291666667</v>
      </c>
      <c r="B6" s="3" t="n">
        <f aca="false">rtd("esrtd",,"*H","$NIFTY-NSE","BarTime","I15 [09:15-15:30 L]",,"395")</f>
        <v>43770.5833333333</v>
      </c>
      <c r="C6" s="4" t="n">
        <f aca="false">rtd("esrtd",,"*H","$NIFTY-NSE","Open","I15 [09:15-15:30 L]",,"395")</f>
        <v>11877.55</v>
      </c>
      <c r="D6" s="4" t="n">
        <f aca="false">rtd("esrtd",,"*H","$NIFTY-NSE","High","I15 [09:15-15:30 L]",,"395")</f>
        <v>11899.1</v>
      </c>
      <c r="E6" s="4" t="n">
        <f aca="false">rtd("esrtd",,"*H","$NIFTY-NSE","Low","I15 [09:15-15:30 L]",,"395")</f>
        <v>11874.5</v>
      </c>
      <c r="F6" s="4" t="n">
        <f aca="false">rtd("esrtd",,"*H","$NIFTY-NSE","Last","I15 [09:15-15:30 L]",,"395")</f>
        <v>11893.35</v>
      </c>
    </row>
    <row r="7" customFormat="false" ht="15" hidden="false" customHeight="false" outlineLevel="0" collapsed="false">
      <c r="A7" s="2" t="n">
        <f aca="false">rtd("esrtd",,"*H","$NIFTY-NSE","Intraday_Date","I15 [09:15-15:30 L]",,"394")</f>
        <v>43770.7291666667</v>
      </c>
      <c r="B7" s="3" t="n">
        <f aca="false">rtd("esrtd",,"*H","$NIFTY-NSE","BarTime","I15 [09:15-15:30 L]",,"394")</f>
        <v>43770.59375</v>
      </c>
      <c r="C7" s="4" t="n">
        <f aca="false">rtd("esrtd",,"*H","$NIFTY-NSE","Open","I15 [09:15-15:30 L]",,"394")</f>
        <v>11893.6</v>
      </c>
      <c r="D7" s="4" t="n">
        <f aca="false">rtd("esrtd",,"*H","$NIFTY-NSE","High","I15 [09:15-15:30 L]",,"394")</f>
        <v>11897.75</v>
      </c>
      <c r="E7" s="4" t="n">
        <f aca="false">rtd("esrtd",,"*H","$NIFTY-NSE","Low","I15 [09:15-15:30 L]",,"394")</f>
        <v>11872.65</v>
      </c>
      <c r="F7" s="4" t="n">
        <f aca="false">rtd("esrtd",,"*H","$NIFTY-NSE","Last","I15 [09:15-15:30 L]",,"394")</f>
        <v>11873.45</v>
      </c>
    </row>
    <row r="8" customFormat="false" ht="15" hidden="false" customHeight="false" outlineLevel="0" collapsed="false">
      <c r="A8" s="2" t="n">
        <f aca="false">rtd("esrtd",,"*H","$NIFTY-NSE","Intraday_Date","I15 [09:15-15:30 L]",,"393")</f>
        <v>43770.7291666667</v>
      </c>
      <c r="B8" s="3" t="n">
        <f aca="false">rtd("esrtd",,"*H","$NIFTY-NSE","BarTime","I15 [09:15-15:30 L]",,"393")</f>
        <v>43770.6041666667</v>
      </c>
      <c r="C8" s="4" t="n">
        <f aca="false">rtd("esrtd",,"*H","$NIFTY-NSE","Open","I15 [09:15-15:30 L]",,"393")</f>
        <v>11874.25</v>
      </c>
      <c r="D8" s="4" t="n">
        <f aca="false">rtd("esrtd",,"*H","$NIFTY-NSE","High","I15 [09:15-15:30 L]",,"393")</f>
        <v>11909.55</v>
      </c>
      <c r="E8" s="4" t="n">
        <f aca="false">rtd("esrtd",,"*H","$NIFTY-NSE","Low","I15 [09:15-15:30 L]",,"393")</f>
        <v>11869.55</v>
      </c>
      <c r="F8" s="4" t="n">
        <f aca="false">rtd("esrtd",,"*H","$NIFTY-NSE","Last","I15 [09:15-15:30 L]",,"393")</f>
        <v>11906.3</v>
      </c>
    </row>
    <row r="9" customFormat="false" ht="15" hidden="false" customHeight="false" outlineLevel="0" collapsed="false">
      <c r="A9" s="2" t="n">
        <f aca="false">rtd("esrtd",,"*H","$NIFTY-NSE","Intraday_Date","I15 [09:15-15:30 L]",,"392")</f>
        <v>43770.7291666667</v>
      </c>
      <c r="B9" s="3" t="n">
        <f aca="false">rtd("esrtd",,"*H","$NIFTY-NSE","BarTime","I15 [09:15-15:30 L]",,"392")</f>
        <v>43770.6145833333</v>
      </c>
      <c r="C9" s="4" t="n">
        <f aca="false">rtd("esrtd",,"*H","$NIFTY-NSE","Open","I15 [09:15-15:30 L]",,"392")</f>
        <v>11906.65</v>
      </c>
      <c r="D9" s="4" t="n">
        <f aca="false">rtd("esrtd",,"*H","$NIFTY-NSE","High","I15 [09:15-15:30 L]",,"392")</f>
        <v>11911.7</v>
      </c>
      <c r="E9" s="4" t="n">
        <f aca="false">rtd("esrtd",,"*H","$NIFTY-NSE","Low","I15 [09:15-15:30 L]",,"392")</f>
        <v>11887.5</v>
      </c>
      <c r="F9" s="4" t="n">
        <f aca="false">rtd("esrtd",,"*H","$NIFTY-NSE","Last","I15 [09:15-15:30 L]",,"392")</f>
        <v>11896.5</v>
      </c>
    </row>
    <row r="10" customFormat="false" ht="15" hidden="false" customHeight="false" outlineLevel="0" collapsed="false">
      <c r="A10" s="2" t="n">
        <f aca="false">rtd("esrtd",,"*H","$NIFTY-NSE","Intraday_Date","I15 [09:15-15:30 L]",,"391")</f>
        <v>43770.7291666667</v>
      </c>
      <c r="B10" s="3" t="n">
        <f aca="false">rtd("esrtd",,"*H","$NIFTY-NSE","BarTime","I15 [09:15-15:30 L]",,"391")</f>
        <v>43770.625</v>
      </c>
      <c r="C10" s="4" t="n">
        <f aca="false">rtd("esrtd",,"*H","$NIFTY-NSE","Open","I15 [09:15-15:30 L]",,"391")</f>
        <v>11897.05</v>
      </c>
      <c r="D10" s="4" t="n">
        <f aca="false">rtd("esrtd",,"*H","$NIFTY-NSE","High","I15 [09:15-15:30 L]",,"391")</f>
        <v>11902.95</v>
      </c>
      <c r="E10" s="4" t="n">
        <f aca="false">rtd("esrtd",,"*H","$NIFTY-NSE","Low","I15 [09:15-15:30 L]",,"391")</f>
        <v>11882.85</v>
      </c>
      <c r="F10" s="4" t="n">
        <f aca="false">rtd("esrtd",,"*H","$NIFTY-NSE","Last","I15 [09:15-15:30 L]",,"391")</f>
        <v>11888.1</v>
      </c>
    </row>
    <row r="11" customFormat="false" ht="15" hidden="false" customHeight="false" outlineLevel="0" collapsed="false">
      <c r="A11" s="2" t="n">
        <f aca="false">rtd("esrtd",,"*H","$NIFTY-NSE","Intraday_Date","I15 [09:15-15:30 L]",,"390")</f>
        <v>43770.7291666667</v>
      </c>
      <c r="B11" s="3" t="n">
        <f aca="false">rtd("esrtd",,"*H","$NIFTY-NSE","BarTime","I15 [09:15-15:30 L]",,"390")</f>
        <v>43770.6354166667</v>
      </c>
      <c r="C11" s="4" t="n">
        <f aca="false">rtd("esrtd",,"*H","$NIFTY-NSE","Open","I15 [09:15-15:30 L]",,"390")</f>
        <v>11888.6</v>
      </c>
      <c r="D11" s="4" t="n">
        <f aca="false">rtd("esrtd",,"*H","$NIFTY-NSE","High","I15 [09:15-15:30 L]",,"390")</f>
        <v>11899.6</v>
      </c>
      <c r="E11" s="4" t="n">
        <f aca="false">rtd("esrtd",,"*H","$NIFTY-NSE","Low","I15 [09:15-15:30 L]",,"390")</f>
        <v>11885.2</v>
      </c>
      <c r="F11" s="4" t="n">
        <f aca="false">rtd("esrtd",,"*H","$NIFTY-NSE","Last","I15 [09:15-15:30 L]",,"390")</f>
        <v>11899.45</v>
      </c>
    </row>
    <row r="12" customFormat="false" ht="15" hidden="false" customHeight="false" outlineLevel="0" collapsed="false">
      <c r="A12" s="2" t="n">
        <f aca="false">rtd("esrtd",,"*H","$NIFTY-NSE","Intraday_Date","I15 [09:15-15:30 L]",,"389")</f>
        <v>43773.7291666667</v>
      </c>
      <c r="B12" s="3" t="n">
        <f aca="false">rtd("esrtd",,"*H","$NIFTY-NSE","BarTime","I15 [09:15-15:30 L]",,"389")</f>
        <v>43773.3854166667</v>
      </c>
      <c r="C12" s="4" t="n">
        <f aca="false">rtd("esrtd",,"*H","$NIFTY-NSE","Open","I15 [09:15-15:30 L]",,"389")</f>
        <v>11936.65</v>
      </c>
      <c r="D12" s="4" t="n">
        <f aca="false">rtd("esrtd",,"*H","$NIFTY-NSE","High","I15 [09:15-15:30 L]",,"389")</f>
        <v>11974.8</v>
      </c>
      <c r="E12" s="4" t="n">
        <f aca="false">rtd("esrtd",,"*H","$NIFTY-NSE","Low","I15 [09:15-15:30 L]",,"389")</f>
        <v>11927.6</v>
      </c>
      <c r="F12" s="4" t="n">
        <f aca="false">rtd("esrtd",,"*H","$NIFTY-NSE","Last","I15 [09:15-15:30 L]",,"389")</f>
        <v>11965.8</v>
      </c>
    </row>
    <row r="13" customFormat="false" ht="15" hidden="false" customHeight="false" outlineLevel="0" collapsed="false">
      <c r="A13" s="2" t="n">
        <f aca="false">rtd("esrtd",,"*H","$NIFTY-NSE","Intraday_Date","I15 [09:15-15:30 L]",,"388")</f>
        <v>43773.7291666667</v>
      </c>
      <c r="B13" s="3" t="n">
        <f aca="false">rtd("esrtd",,"*H","$NIFTY-NSE","BarTime","I15 [09:15-15:30 L]",,"388")</f>
        <v>43773.3958333333</v>
      </c>
      <c r="C13" s="4" t="n">
        <f aca="false">rtd("esrtd",,"*H","$NIFTY-NSE","Open","I15 [09:15-15:30 L]",,"388")</f>
        <v>11966.25</v>
      </c>
      <c r="D13" s="4" t="n">
        <f aca="false">rtd("esrtd",,"*H","$NIFTY-NSE","High","I15 [09:15-15:30 L]",,"388")</f>
        <v>11973.25</v>
      </c>
      <c r="E13" s="4" t="n">
        <f aca="false">rtd("esrtd",,"*H","$NIFTY-NSE","Low","I15 [09:15-15:30 L]",,"388")</f>
        <v>11950.95</v>
      </c>
      <c r="F13" s="4" t="n">
        <f aca="false">rtd("esrtd",,"*H","$NIFTY-NSE","Last","I15 [09:15-15:30 L]",,"388")</f>
        <v>11963.6</v>
      </c>
    </row>
    <row r="14" customFormat="false" ht="15" hidden="false" customHeight="false" outlineLevel="0" collapsed="false">
      <c r="A14" s="2" t="n">
        <f aca="false">rtd("esrtd",,"*H","$NIFTY-NSE","Intraday_Date","I15 [09:15-15:30 L]",,"387")</f>
        <v>43773.7291666667</v>
      </c>
      <c r="B14" s="3" t="n">
        <f aca="false">rtd("esrtd",,"*H","$NIFTY-NSE","BarTime","I15 [09:15-15:30 L]",,"387")</f>
        <v>43773.40625</v>
      </c>
      <c r="C14" s="4" t="n">
        <f aca="false">rtd("esrtd",,"*H","$NIFTY-NSE","Open","I15 [09:15-15:30 L]",,"387")</f>
        <v>11963.55</v>
      </c>
      <c r="D14" s="4" t="n">
        <f aca="false">rtd("esrtd",,"*H","$NIFTY-NSE","High","I15 [09:15-15:30 L]",,"387")</f>
        <v>11964.65</v>
      </c>
      <c r="E14" s="4" t="n">
        <f aca="false">rtd("esrtd",,"*H","$NIFTY-NSE","Low","I15 [09:15-15:30 L]",,"387")</f>
        <v>11941.15</v>
      </c>
      <c r="F14" s="4" t="n">
        <f aca="false">rtd("esrtd",,"*H","$NIFTY-NSE","Last","I15 [09:15-15:30 L]",,"387")</f>
        <v>11945.1</v>
      </c>
    </row>
    <row r="15" customFormat="false" ht="15" hidden="false" customHeight="false" outlineLevel="0" collapsed="false">
      <c r="A15" s="2" t="n">
        <f aca="false">rtd("esrtd",,"*H","$NIFTY-NSE","Intraday_Date","I15 [09:15-15:30 L]",,"386")</f>
        <v>43773.7291666667</v>
      </c>
      <c r="B15" s="3" t="n">
        <f aca="false">rtd("esrtd",,"*H","$NIFTY-NSE","BarTime","I15 [09:15-15:30 L]",,"386")</f>
        <v>43773.4166666667</v>
      </c>
      <c r="C15" s="4" t="n">
        <f aca="false">rtd("esrtd",,"*H","$NIFTY-NSE","Open","I15 [09:15-15:30 L]",,"386")</f>
        <v>11944.65</v>
      </c>
      <c r="D15" s="4" t="n">
        <f aca="false">rtd("esrtd",,"*H","$NIFTY-NSE","High","I15 [09:15-15:30 L]",,"386")</f>
        <v>11960.4</v>
      </c>
      <c r="E15" s="4" t="n">
        <f aca="false">rtd("esrtd",,"*H","$NIFTY-NSE","Low","I15 [09:15-15:30 L]",,"386")</f>
        <v>11940.5</v>
      </c>
      <c r="F15" s="4" t="n">
        <f aca="false">rtd("esrtd",,"*H","$NIFTY-NSE","Last","I15 [09:15-15:30 L]",,"386")</f>
        <v>11957.55</v>
      </c>
    </row>
    <row r="16" customFormat="false" ht="15" hidden="false" customHeight="false" outlineLevel="0" collapsed="false">
      <c r="A16" s="2" t="n">
        <f aca="false">rtd("esrtd",,"*H","$NIFTY-NSE","Intraday_Date","I15 [09:15-15:30 L]",,"385")</f>
        <v>43773.7291666667</v>
      </c>
      <c r="B16" s="3" t="n">
        <f aca="false">rtd("esrtd",,"*H","$NIFTY-NSE","BarTime","I15 [09:15-15:30 L]",,"385")</f>
        <v>43773.4270833333</v>
      </c>
      <c r="C16" s="4" t="n">
        <f aca="false">rtd("esrtd",,"*H","$NIFTY-NSE","Open","I15 [09:15-15:30 L]",,"385")</f>
        <v>11957.4</v>
      </c>
      <c r="D16" s="4" t="n">
        <f aca="false">rtd("esrtd",,"*H","$NIFTY-NSE","High","I15 [09:15-15:30 L]",,"385")</f>
        <v>11962.45</v>
      </c>
      <c r="E16" s="4" t="n">
        <f aca="false">rtd("esrtd",,"*H","$NIFTY-NSE","Low","I15 [09:15-15:30 L]",,"385")</f>
        <v>11951.1</v>
      </c>
      <c r="F16" s="4" t="n">
        <f aca="false">rtd("esrtd",,"*H","$NIFTY-NSE","Last","I15 [09:15-15:30 L]",,"385")</f>
        <v>11954.55</v>
      </c>
    </row>
    <row r="17" customFormat="false" ht="15" hidden="false" customHeight="false" outlineLevel="0" collapsed="false">
      <c r="A17" s="2" t="n">
        <f aca="false">rtd("esrtd",,"*H","$NIFTY-NSE","Intraday_Date","I15 [09:15-15:30 L]",,"384")</f>
        <v>43773.7291666667</v>
      </c>
      <c r="B17" s="3" t="n">
        <f aca="false">rtd("esrtd",,"*H","$NIFTY-NSE","BarTime","I15 [09:15-15:30 L]",,"384")</f>
        <v>43773.4375</v>
      </c>
      <c r="C17" s="4" t="n">
        <f aca="false">rtd("esrtd",,"*H","$NIFTY-NSE","Open","I15 [09:15-15:30 L]",,"384")</f>
        <v>11954.95</v>
      </c>
      <c r="D17" s="4" t="n">
        <f aca="false">rtd("esrtd",,"*H","$NIFTY-NSE","High","I15 [09:15-15:30 L]",,"384")</f>
        <v>11961.75</v>
      </c>
      <c r="E17" s="4" t="n">
        <f aca="false">rtd("esrtd",,"*H","$NIFTY-NSE","Low","I15 [09:15-15:30 L]",,"384")</f>
        <v>11952.1</v>
      </c>
      <c r="F17" s="4" t="n">
        <f aca="false">rtd("esrtd",,"*H","$NIFTY-NSE","Last","I15 [09:15-15:30 L]",,"384")</f>
        <v>11959</v>
      </c>
    </row>
    <row r="18" customFormat="false" ht="15" hidden="false" customHeight="false" outlineLevel="0" collapsed="false">
      <c r="A18" s="2" t="n">
        <f aca="false">rtd("esrtd",,"*H","$NIFTY-NSE","Intraday_Date","I15 [09:15-15:30 L]",,"383")</f>
        <v>43773.7291666667</v>
      </c>
      <c r="B18" s="3" t="n">
        <f aca="false">rtd("esrtd",,"*H","$NIFTY-NSE","BarTime","I15 [09:15-15:30 L]",,"383")</f>
        <v>43773.4479166667</v>
      </c>
      <c r="C18" s="4" t="n">
        <f aca="false">rtd("esrtd",,"*H","$NIFTY-NSE","Open","I15 [09:15-15:30 L]",,"383")</f>
        <v>11958.75</v>
      </c>
      <c r="D18" s="4" t="n">
        <f aca="false">rtd("esrtd",,"*H","$NIFTY-NSE","High","I15 [09:15-15:30 L]",,"383")</f>
        <v>11960.6</v>
      </c>
      <c r="E18" s="4" t="n">
        <f aca="false">rtd("esrtd",,"*H","$NIFTY-NSE","Low","I15 [09:15-15:30 L]",,"383")</f>
        <v>11951.1</v>
      </c>
      <c r="F18" s="4" t="n">
        <f aca="false">rtd("esrtd",,"*H","$NIFTY-NSE","Last","I15 [09:15-15:30 L]",,"383")</f>
        <v>11953.65</v>
      </c>
    </row>
    <row r="19" customFormat="false" ht="15" hidden="false" customHeight="false" outlineLevel="0" collapsed="false">
      <c r="A19" s="2" t="n">
        <f aca="false">rtd("esrtd",,"*H","$NIFTY-NSE","Intraday_Date","I15 [09:15-15:30 L]",,"382")</f>
        <v>43773.7291666667</v>
      </c>
      <c r="B19" s="3" t="n">
        <f aca="false">rtd("esrtd",,"*H","$NIFTY-NSE","BarTime","I15 [09:15-15:30 L]",,"382")</f>
        <v>43773.4583333333</v>
      </c>
      <c r="C19" s="4" t="n">
        <f aca="false">rtd("esrtd",,"*H","$NIFTY-NSE","Open","I15 [09:15-15:30 L]",,"382")</f>
        <v>11953.6</v>
      </c>
      <c r="D19" s="4" t="n">
        <f aca="false">rtd("esrtd",,"*H","$NIFTY-NSE","High","I15 [09:15-15:30 L]",,"382")</f>
        <v>11984.95</v>
      </c>
      <c r="E19" s="4" t="n">
        <f aca="false">rtd("esrtd",,"*H","$NIFTY-NSE","Low","I15 [09:15-15:30 L]",,"382")</f>
        <v>11951.45</v>
      </c>
      <c r="F19" s="4" t="n">
        <f aca="false">rtd("esrtd",,"*H","$NIFTY-NSE","Last","I15 [09:15-15:30 L]",,"382")</f>
        <v>11981.75</v>
      </c>
    </row>
    <row r="20" customFormat="false" ht="15" hidden="false" customHeight="false" outlineLevel="0" collapsed="false">
      <c r="A20" s="2" t="n">
        <f aca="false">rtd("esrtd",,"*H","$NIFTY-NSE","Intraday_Date","I15 [09:15-15:30 L]",,"381")</f>
        <v>43773.7291666667</v>
      </c>
      <c r="B20" s="3" t="n">
        <f aca="false">rtd("esrtd",,"*H","$NIFTY-NSE","BarTime","I15 [09:15-15:30 L]",,"381")</f>
        <v>43773.46875</v>
      </c>
      <c r="C20" s="4" t="n">
        <f aca="false">rtd("esrtd",,"*H","$NIFTY-NSE","Open","I15 [09:15-15:30 L]",,"381")</f>
        <v>11981.7</v>
      </c>
      <c r="D20" s="4" t="n">
        <f aca="false">rtd("esrtd",,"*H","$NIFTY-NSE","High","I15 [09:15-15:30 L]",,"381")</f>
        <v>11989.15</v>
      </c>
      <c r="E20" s="4" t="n">
        <f aca="false">rtd("esrtd",,"*H","$NIFTY-NSE","Low","I15 [09:15-15:30 L]",,"381")</f>
        <v>11966.25</v>
      </c>
      <c r="F20" s="4" t="n">
        <f aca="false">rtd("esrtd",,"*H","$NIFTY-NSE","Last","I15 [09:15-15:30 L]",,"381")</f>
        <v>11967.65</v>
      </c>
    </row>
    <row r="21" customFormat="false" ht="15" hidden="false" customHeight="false" outlineLevel="0" collapsed="false">
      <c r="A21" s="2" t="n">
        <f aca="false">rtd("esrtd",,"*H","$NIFTY-NSE","Intraday_Date","I15 [09:15-15:30 L]",,"380")</f>
        <v>43773.7291666667</v>
      </c>
      <c r="B21" s="3" t="n">
        <f aca="false">rtd("esrtd",,"*H","$NIFTY-NSE","BarTime","I15 [09:15-15:30 L]",,"380")</f>
        <v>43773.4791666667</v>
      </c>
      <c r="C21" s="4" t="n">
        <f aca="false">rtd("esrtd",,"*H","$NIFTY-NSE","Open","I15 [09:15-15:30 L]",,"380")</f>
        <v>11967.45</v>
      </c>
      <c r="D21" s="4" t="n">
        <f aca="false">rtd("esrtd",,"*H","$NIFTY-NSE","High","I15 [09:15-15:30 L]",,"380")</f>
        <v>11968.8</v>
      </c>
      <c r="E21" s="4" t="n">
        <f aca="false">rtd("esrtd",,"*H","$NIFTY-NSE","Low","I15 [09:15-15:30 L]",,"380")</f>
        <v>11940</v>
      </c>
      <c r="F21" s="4" t="n">
        <f aca="false">rtd("esrtd",,"*H","$NIFTY-NSE","Last","I15 [09:15-15:30 L]",,"380")</f>
        <v>11943.45</v>
      </c>
    </row>
    <row r="22" customFormat="false" ht="15" hidden="false" customHeight="false" outlineLevel="0" collapsed="false">
      <c r="A22" s="2" t="n">
        <f aca="false">rtd("esrtd",,"*H","$NIFTY-NSE","Intraday_Date","I15 [09:15-15:30 L]",,"379")</f>
        <v>43773.7291666667</v>
      </c>
      <c r="B22" s="3" t="n">
        <f aca="false">rtd("esrtd",,"*H","$NIFTY-NSE","BarTime","I15 [09:15-15:30 L]",,"379")</f>
        <v>43773.4895833333</v>
      </c>
      <c r="C22" s="4" t="n">
        <f aca="false">rtd("esrtd",,"*H","$NIFTY-NSE","Open","I15 [09:15-15:30 L]",,"379")</f>
        <v>11942.95</v>
      </c>
      <c r="D22" s="4" t="n">
        <f aca="false">rtd("esrtd",,"*H","$NIFTY-NSE","High","I15 [09:15-15:30 L]",,"379")</f>
        <v>11950</v>
      </c>
      <c r="E22" s="4" t="n">
        <f aca="false">rtd("esrtd",,"*H","$NIFTY-NSE","Low","I15 [09:15-15:30 L]",,"379")</f>
        <v>11915.2</v>
      </c>
      <c r="F22" s="4" t="n">
        <f aca="false">rtd("esrtd",,"*H","$NIFTY-NSE","Last","I15 [09:15-15:30 L]",,"379")</f>
        <v>11927.1</v>
      </c>
    </row>
    <row r="23" customFormat="false" ht="15" hidden="false" customHeight="false" outlineLevel="0" collapsed="false">
      <c r="A23" s="2" t="n">
        <f aca="false">rtd("esrtd",,"*H","$NIFTY-NSE","Intraday_Date","I15 [09:15-15:30 L]",,"378")</f>
        <v>43773.7291666667</v>
      </c>
      <c r="B23" s="3" t="n">
        <f aca="false">rtd("esrtd",,"*H","$NIFTY-NSE","BarTime","I15 [09:15-15:30 L]",,"378")</f>
        <v>43773.5</v>
      </c>
      <c r="C23" s="4" t="n">
        <f aca="false">rtd("esrtd",,"*H","$NIFTY-NSE","Open","I15 [09:15-15:30 L]",,"378")</f>
        <v>11926.95</v>
      </c>
      <c r="D23" s="4" t="n">
        <f aca="false">rtd("esrtd",,"*H","$NIFTY-NSE","High","I15 [09:15-15:30 L]",,"378")</f>
        <v>11926.95</v>
      </c>
      <c r="E23" s="4" t="n">
        <f aca="false">rtd("esrtd",,"*H","$NIFTY-NSE","Low","I15 [09:15-15:30 L]",,"378")</f>
        <v>11906.55</v>
      </c>
      <c r="F23" s="4" t="n">
        <f aca="false">rtd("esrtd",,"*H","$NIFTY-NSE","Last","I15 [09:15-15:30 L]",,"378")</f>
        <v>11922.95</v>
      </c>
    </row>
    <row r="24" customFormat="false" ht="15" hidden="false" customHeight="false" outlineLevel="0" collapsed="false">
      <c r="A24" s="2" t="n">
        <f aca="false">rtd("esrtd",,"*H","$NIFTY-NSE","Intraday_Date","I15 [09:15-15:30 L]",,"377")</f>
        <v>43773.7291666667</v>
      </c>
      <c r="B24" s="3" t="n">
        <f aca="false">rtd("esrtd",,"*H","$NIFTY-NSE","BarTime","I15 [09:15-15:30 L]",,"377")</f>
        <v>43773.5104166667</v>
      </c>
      <c r="C24" s="4" t="n">
        <f aca="false">rtd("esrtd",,"*H","$NIFTY-NSE","Open","I15 [09:15-15:30 L]",,"377")</f>
        <v>11923.3</v>
      </c>
      <c r="D24" s="4" t="n">
        <f aca="false">rtd("esrtd",,"*H","$NIFTY-NSE","High","I15 [09:15-15:30 L]",,"377")</f>
        <v>11923.3</v>
      </c>
      <c r="E24" s="4" t="n">
        <f aca="false">rtd("esrtd",,"*H","$NIFTY-NSE","Low","I15 [09:15-15:30 L]",,"377")</f>
        <v>11907.15</v>
      </c>
      <c r="F24" s="4" t="n">
        <f aca="false">rtd("esrtd",,"*H","$NIFTY-NSE","Last","I15 [09:15-15:30 L]",,"377")</f>
        <v>11912.9</v>
      </c>
    </row>
    <row r="25" customFormat="false" ht="15" hidden="false" customHeight="false" outlineLevel="0" collapsed="false">
      <c r="A25" s="2" t="n">
        <f aca="false">rtd("esrtd",,"*H","$NIFTY-NSE","Intraday_Date","I15 [09:15-15:30 L]",,"376")</f>
        <v>43773.7291666667</v>
      </c>
      <c r="B25" s="3" t="n">
        <f aca="false">rtd("esrtd",,"*H","$NIFTY-NSE","BarTime","I15 [09:15-15:30 L]",,"376")</f>
        <v>43773.5208333333</v>
      </c>
      <c r="C25" s="4" t="n">
        <f aca="false">rtd("esrtd",,"*H","$NIFTY-NSE","Open","I15 [09:15-15:30 L]",,"376")</f>
        <v>11912.8</v>
      </c>
      <c r="D25" s="4" t="n">
        <f aca="false">rtd("esrtd",,"*H","$NIFTY-NSE","High","I15 [09:15-15:30 L]",,"376")</f>
        <v>11924.9</v>
      </c>
      <c r="E25" s="4" t="n">
        <f aca="false">rtd("esrtd",,"*H","$NIFTY-NSE","Low","I15 [09:15-15:30 L]",,"376")</f>
        <v>11905.9</v>
      </c>
      <c r="F25" s="4" t="n">
        <f aca="false">rtd("esrtd",,"*H","$NIFTY-NSE","Last","I15 [09:15-15:30 L]",,"376")</f>
        <v>11922.65</v>
      </c>
    </row>
    <row r="26" customFormat="false" ht="15" hidden="false" customHeight="false" outlineLevel="0" collapsed="false">
      <c r="A26" s="2" t="n">
        <f aca="false">rtd("esrtd",,"*H","$NIFTY-NSE","Intraday_Date","I15 [09:15-15:30 L]",,"375")</f>
        <v>43773.7291666667</v>
      </c>
      <c r="B26" s="3" t="n">
        <f aca="false">rtd("esrtd",,"*H","$NIFTY-NSE","BarTime","I15 [09:15-15:30 L]",,"375")</f>
        <v>43773.53125</v>
      </c>
      <c r="C26" s="4" t="n">
        <f aca="false">rtd("esrtd",,"*H","$NIFTY-NSE","Open","I15 [09:15-15:30 L]",,"375")</f>
        <v>11922.2</v>
      </c>
      <c r="D26" s="4" t="n">
        <f aca="false">rtd("esrtd",,"*H","$NIFTY-NSE","High","I15 [09:15-15:30 L]",,"375")</f>
        <v>11923.95</v>
      </c>
      <c r="E26" s="4" t="n">
        <f aca="false">rtd("esrtd",,"*H","$NIFTY-NSE","Low","I15 [09:15-15:30 L]",,"375")</f>
        <v>11909.45</v>
      </c>
      <c r="F26" s="4" t="n">
        <f aca="false">rtd("esrtd",,"*H","$NIFTY-NSE","Last","I15 [09:15-15:30 L]",,"375")</f>
        <v>11921.15</v>
      </c>
    </row>
    <row r="27" customFormat="false" ht="15" hidden="false" customHeight="false" outlineLevel="0" collapsed="false">
      <c r="A27" s="2" t="n">
        <f aca="false">rtd("esrtd",,"*H","$NIFTY-NSE","Intraday_Date","I15 [09:15-15:30 L]",,"374")</f>
        <v>43773.7291666667</v>
      </c>
      <c r="B27" s="3" t="n">
        <f aca="false">rtd("esrtd",,"*H","$NIFTY-NSE","BarTime","I15 [09:15-15:30 L]",,"374")</f>
        <v>43773.5416666667</v>
      </c>
      <c r="C27" s="4" t="n">
        <f aca="false">rtd("esrtd",,"*H","$NIFTY-NSE","Open","I15 [09:15-15:30 L]",,"374")</f>
        <v>11921</v>
      </c>
      <c r="D27" s="4" t="n">
        <f aca="false">rtd("esrtd",,"*H","$NIFTY-NSE","High","I15 [09:15-15:30 L]",,"374")</f>
        <v>11934.35</v>
      </c>
      <c r="E27" s="4" t="n">
        <f aca="false">rtd("esrtd",,"*H","$NIFTY-NSE","Low","I15 [09:15-15:30 L]",,"374")</f>
        <v>11918.05</v>
      </c>
      <c r="F27" s="4" t="n">
        <f aca="false">rtd("esrtd",,"*H","$NIFTY-NSE","Last","I15 [09:15-15:30 L]",,"374")</f>
        <v>11922</v>
      </c>
    </row>
    <row r="28" customFormat="false" ht="15" hidden="false" customHeight="false" outlineLevel="0" collapsed="false">
      <c r="A28" s="2" t="n">
        <f aca="false">rtd("esrtd",,"*H","$NIFTY-NSE","Intraday_Date","I15 [09:15-15:30 L]",,"373")</f>
        <v>43773.7291666667</v>
      </c>
      <c r="B28" s="3" t="n">
        <f aca="false">rtd("esrtd",,"*H","$NIFTY-NSE","BarTime","I15 [09:15-15:30 L]",,"373")</f>
        <v>43773.5520833333</v>
      </c>
      <c r="C28" s="4" t="n">
        <f aca="false">rtd("esrtd",,"*H","$NIFTY-NSE","Open","I15 [09:15-15:30 L]",,"373")</f>
        <v>11921.15</v>
      </c>
      <c r="D28" s="4" t="n">
        <f aca="false">rtd("esrtd",,"*H","$NIFTY-NSE","High","I15 [09:15-15:30 L]",,"373")</f>
        <v>11926.9</v>
      </c>
      <c r="E28" s="4" t="n">
        <f aca="false">rtd("esrtd",,"*H","$NIFTY-NSE","Low","I15 [09:15-15:30 L]",,"373")</f>
        <v>11905.35</v>
      </c>
      <c r="F28" s="4" t="n">
        <f aca="false">rtd("esrtd",,"*H","$NIFTY-NSE","Last","I15 [09:15-15:30 L]",,"373")</f>
        <v>11916.05</v>
      </c>
    </row>
    <row r="29" customFormat="false" ht="15" hidden="false" customHeight="false" outlineLevel="0" collapsed="false">
      <c r="A29" s="2" t="n">
        <f aca="false">rtd("esrtd",,"*H","$NIFTY-NSE","Intraday_Date","I15 [09:15-15:30 L]",,"372")</f>
        <v>43773.7291666667</v>
      </c>
      <c r="B29" s="3" t="n">
        <f aca="false">rtd("esrtd",,"*H","$NIFTY-NSE","BarTime","I15 [09:15-15:30 L]",,"372")</f>
        <v>43773.5625</v>
      </c>
      <c r="C29" s="4" t="n">
        <f aca="false">rtd("esrtd",,"*H","$NIFTY-NSE","Open","I15 [09:15-15:30 L]",,"372")</f>
        <v>11916.4</v>
      </c>
      <c r="D29" s="4" t="n">
        <f aca="false">rtd("esrtd",,"*H","$NIFTY-NSE","High","I15 [09:15-15:30 L]",,"372")</f>
        <v>11930.25</v>
      </c>
      <c r="E29" s="4" t="n">
        <f aca="false">rtd("esrtd",,"*H","$NIFTY-NSE","Low","I15 [09:15-15:30 L]",,"372")</f>
        <v>11914.3</v>
      </c>
      <c r="F29" s="4" t="n">
        <f aca="false">rtd("esrtd",,"*H","$NIFTY-NSE","Last","I15 [09:15-15:30 L]",,"372")</f>
        <v>11928</v>
      </c>
    </row>
    <row r="30" customFormat="false" ht="15" hidden="false" customHeight="false" outlineLevel="0" collapsed="false">
      <c r="A30" s="2" t="n">
        <f aca="false">rtd("esrtd",,"*H","$NIFTY-NSE","Intraday_Date","I15 [09:15-15:30 L]",,"371")</f>
        <v>43773.7291666667</v>
      </c>
      <c r="B30" s="3" t="n">
        <f aca="false">rtd("esrtd",,"*H","$NIFTY-NSE","BarTime","I15 [09:15-15:30 L]",,"371")</f>
        <v>43773.5729166667</v>
      </c>
      <c r="C30" s="4" t="n">
        <f aca="false">rtd("esrtd",,"*H","$NIFTY-NSE","Open","I15 [09:15-15:30 L]",,"371")</f>
        <v>11927.85</v>
      </c>
      <c r="D30" s="4" t="n">
        <f aca="false">rtd("esrtd",,"*H","$NIFTY-NSE","High","I15 [09:15-15:30 L]",,"371")</f>
        <v>11933.45</v>
      </c>
      <c r="E30" s="4" t="n">
        <f aca="false">rtd("esrtd",,"*H","$NIFTY-NSE","Low","I15 [09:15-15:30 L]",,"371")</f>
        <v>11917.5</v>
      </c>
      <c r="F30" s="4" t="n">
        <f aca="false">rtd("esrtd",,"*H","$NIFTY-NSE","Last","I15 [09:15-15:30 L]",,"371")</f>
        <v>11927.05</v>
      </c>
    </row>
    <row r="31" customFormat="false" ht="15" hidden="false" customHeight="false" outlineLevel="0" collapsed="false">
      <c r="A31" s="2" t="n">
        <f aca="false">rtd("esrtd",,"*H","$NIFTY-NSE","Intraday_Date","I15 [09:15-15:30 L]",,"370")</f>
        <v>43773.7291666667</v>
      </c>
      <c r="B31" s="3" t="n">
        <f aca="false">rtd("esrtd",,"*H","$NIFTY-NSE","BarTime","I15 [09:15-15:30 L]",,"370")</f>
        <v>43773.5833333333</v>
      </c>
      <c r="C31" s="4" t="n">
        <f aca="false">rtd("esrtd",,"*H","$NIFTY-NSE","Open","I15 [09:15-15:30 L]",,"370")</f>
        <v>11927.2</v>
      </c>
      <c r="D31" s="4" t="n">
        <f aca="false">rtd("esrtd",,"*H","$NIFTY-NSE","High","I15 [09:15-15:30 L]",,"370")</f>
        <v>11934.15</v>
      </c>
      <c r="E31" s="4" t="n">
        <f aca="false">rtd("esrtd",,"*H","$NIFTY-NSE","Low","I15 [09:15-15:30 L]",,"370")</f>
        <v>11925.7</v>
      </c>
      <c r="F31" s="4" t="n">
        <f aca="false">rtd("esrtd",,"*H","$NIFTY-NSE","Last","I15 [09:15-15:30 L]",,"370")</f>
        <v>11933.4</v>
      </c>
    </row>
    <row r="32" customFormat="false" ht="15" hidden="false" customHeight="false" outlineLevel="0" collapsed="false">
      <c r="A32" s="2" t="n">
        <f aca="false">rtd("esrtd",,"*H","$NIFTY-NSE","Intraday_Date","I15 [09:15-15:30 L]",,"369")</f>
        <v>43773.7291666667</v>
      </c>
      <c r="B32" s="3" t="n">
        <f aca="false">rtd("esrtd",,"*H","$NIFTY-NSE","BarTime","I15 [09:15-15:30 L]",,"369")</f>
        <v>43773.59375</v>
      </c>
      <c r="C32" s="4" t="n">
        <f aca="false">rtd("esrtd",,"*H","$NIFTY-NSE","Open","I15 [09:15-15:30 L]",,"369")</f>
        <v>11932.75</v>
      </c>
      <c r="D32" s="4" t="n">
        <f aca="false">rtd("esrtd",,"*H","$NIFTY-NSE","High","I15 [09:15-15:30 L]",,"369")</f>
        <v>11951.8</v>
      </c>
      <c r="E32" s="4" t="n">
        <f aca="false">rtd("esrtd",,"*H","$NIFTY-NSE","Low","I15 [09:15-15:30 L]",,"369")</f>
        <v>11923.7</v>
      </c>
      <c r="F32" s="4" t="n">
        <f aca="false">rtd("esrtd",,"*H","$NIFTY-NSE","Last","I15 [09:15-15:30 L]",,"369")</f>
        <v>11942.8</v>
      </c>
    </row>
    <row r="33" customFormat="false" ht="15" hidden="false" customHeight="false" outlineLevel="0" collapsed="false">
      <c r="A33" s="2" t="n">
        <f aca="false">rtd("esrtd",,"*H","$NIFTY-NSE","Intraday_Date","I15 [09:15-15:30 L]",,"368")</f>
        <v>43773.7291666667</v>
      </c>
      <c r="B33" s="3" t="n">
        <f aca="false">rtd("esrtd",,"*H","$NIFTY-NSE","BarTime","I15 [09:15-15:30 L]",,"368")</f>
        <v>43773.6041666667</v>
      </c>
      <c r="C33" s="4" t="n">
        <f aca="false">rtd("esrtd",,"*H","$NIFTY-NSE","Open","I15 [09:15-15:30 L]",,"368")</f>
        <v>11943.2</v>
      </c>
      <c r="D33" s="4" t="n">
        <f aca="false">rtd("esrtd",,"*H","$NIFTY-NSE","High","I15 [09:15-15:30 L]",,"368")</f>
        <v>11954.5</v>
      </c>
      <c r="E33" s="4" t="n">
        <f aca="false">rtd("esrtd",,"*H","$NIFTY-NSE","Low","I15 [09:15-15:30 L]",,"368")</f>
        <v>11939</v>
      </c>
      <c r="F33" s="4" t="n">
        <f aca="false">rtd("esrtd",,"*H","$NIFTY-NSE","Last","I15 [09:15-15:30 L]",,"368")</f>
        <v>11947.2</v>
      </c>
    </row>
    <row r="34" customFormat="false" ht="15" hidden="false" customHeight="false" outlineLevel="0" collapsed="false">
      <c r="A34" s="2" t="n">
        <f aca="false">rtd("esrtd",,"*H","$NIFTY-NSE","Intraday_Date","I15 [09:15-15:30 L]",,"367")</f>
        <v>43773.7291666667</v>
      </c>
      <c r="B34" s="3" t="n">
        <f aca="false">rtd("esrtd",,"*H","$NIFTY-NSE","BarTime","I15 [09:15-15:30 L]",,"367")</f>
        <v>43773.6145833333</v>
      </c>
      <c r="C34" s="4" t="n">
        <f aca="false">rtd("esrtd",,"*H","$NIFTY-NSE","Open","I15 [09:15-15:30 L]",,"367")</f>
        <v>11947.05</v>
      </c>
      <c r="D34" s="4" t="n">
        <f aca="false">rtd("esrtd",,"*H","$NIFTY-NSE","High","I15 [09:15-15:30 L]",,"367")</f>
        <v>11957.35</v>
      </c>
      <c r="E34" s="4" t="n">
        <f aca="false">rtd("esrtd",,"*H","$NIFTY-NSE","Low","I15 [09:15-15:30 L]",,"367")</f>
        <v>11942.7</v>
      </c>
      <c r="F34" s="4" t="n">
        <f aca="false">rtd("esrtd",,"*H","$NIFTY-NSE","Last","I15 [09:15-15:30 L]",,"367")</f>
        <v>11952.05</v>
      </c>
    </row>
    <row r="35" customFormat="false" ht="15" hidden="false" customHeight="false" outlineLevel="0" collapsed="false">
      <c r="A35" s="2" t="n">
        <f aca="false">rtd("esrtd",,"*H","$NIFTY-NSE","Intraday_Date","I15 [09:15-15:30 L]",,"366")</f>
        <v>43773.7291666667</v>
      </c>
      <c r="B35" s="3" t="n">
        <f aca="false">rtd("esrtd",,"*H","$NIFTY-NSE","BarTime","I15 [09:15-15:30 L]",,"366")</f>
        <v>43773.625</v>
      </c>
      <c r="C35" s="4" t="n">
        <f aca="false">rtd("esrtd",,"*H","$NIFTY-NSE","Open","I15 [09:15-15:30 L]",,"366")</f>
        <v>11952.55</v>
      </c>
      <c r="D35" s="4" t="n">
        <f aca="false">rtd("esrtd",,"*H","$NIFTY-NSE","High","I15 [09:15-15:30 L]",,"366")</f>
        <v>11956.1</v>
      </c>
      <c r="E35" s="4" t="n">
        <f aca="false">rtd("esrtd",,"*H","$NIFTY-NSE","Low","I15 [09:15-15:30 L]",,"366")</f>
        <v>11933.1</v>
      </c>
      <c r="F35" s="4" t="n">
        <f aca="false">rtd("esrtd",,"*H","$NIFTY-NSE","Last","I15 [09:15-15:30 L]",,"366")</f>
        <v>11936.6</v>
      </c>
    </row>
    <row r="36" customFormat="false" ht="15" hidden="false" customHeight="false" outlineLevel="0" collapsed="false">
      <c r="A36" s="2" t="n">
        <f aca="false">rtd("esrtd",,"*H","$NIFTY-NSE","Intraday_Date","I15 [09:15-15:30 L]",,"365")</f>
        <v>43773.7291666667</v>
      </c>
      <c r="B36" s="3" t="n">
        <f aca="false">rtd("esrtd",,"*H","$NIFTY-NSE","BarTime","I15 [09:15-15:30 L]",,"365")</f>
        <v>43773.6354166667</v>
      </c>
      <c r="C36" s="4" t="n">
        <f aca="false">rtd("esrtd",,"*H","$NIFTY-NSE","Open","I15 [09:15-15:30 L]",,"365")</f>
        <v>11936.4</v>
      </c>
      <c r="D36" s="4" t="n">
        <f aca="false">rtd("esrtd",,"*H","$NIFTY-NSE","High","I15 [09:15-15:30 L]",,"365")</f>
        <v>11947.45</v>
      </c>
      <c r="E36" s="4" t="n">
        <f aca="false">rtd("esrtd",,"*H","$NIFTY-NSE","Low","I15 [09:15-15:30 L]",,"365")</f>
        <v>11933.15</v>
      </c>
      <c r="F36" s="4" t="n">
        <f aca="false">rtd("esrtd",,"*H","$NIFTY-NSE","Last","I15 [09:15-15:30 L]",,"365")</f>
        <v>11944.85</v>
      </c>
    </row>
    <row r="37" customFormat="false" ht="15" hidden="false" customHeight="false" outlineLevel="0" collapsed="false">
      <c r="A37" s="2" t="n">
        <f aca="false">rtd("esrtd",,"*H","$NIFTY-NSE","Intraday_Date","I15 [09:15-15:30 L]",,"364")</f>
        <v>43774.7291666667</v>
      </c>
      <c r="B37" s="3" t="n">
        <f aca="false">rtd("esrtd",,"*H","$NIFTY-NSE","BarTime","I15 [09:15-15:30 L]",,"364")</f>
        <v>43774.3854166667</v>
      </c>
      <c r="C37" s="4" t="n">
        <f aca="false">rtd("esrtd",,"*H","$NIFTY-NSE","Open","I15 [09:15-15:30 L]",,"364")</f>
        <v>11977.7</v>
      </c>
      <c r="D37" s="4" t="n">
        <f aca="false">rtd("esrtd",,"*H","$NIFTY-NSE","High","I15 [09:15-15:30 L]",,"364")</f>
        <v>11978.95</v>
      </c>
      <c r="E37" s="4" t="n">
        <f aca="false">rtd("esrtd",,"*H","$NIFTY-NSE","Low","I15 [09:15-15:30 L]",,"364")</f>
        <v>11923.7</v>
      </c>
      <c r="F37" s="4" t="n">
        <f aca="false">rtd("esrtd",,"*H","$NIFTY-NSE","Last","I15 [09:15-15:30 L]",,"364")</f>
        <v>11935.5</v>
      </c>
    </row>
    <row r="38" customFormat="false" ht="15" hidden="false" customHeight="false" outlineLevel="0" collapsed="false">
      <c r="A38" s="2" t="n">
        <f aca="false">rtd("esrtd",,"*H","$NIFTY-NSE","Intraday_Date","I15 [09:15-15:30 L]",,"363")</f>
        <v>43774.7291666667</v>
      </c>
      <c r="B38" s="3" t="n">
        <f aca="false">rtd("esrtd",,"*H","$NIFTY-NSE","BarTime","I15 [09:15-15:30 L]",,"363")</f>
        <v>43774.3958333333</v>
      </c>
      <c r="C38" s="4" t="n">
        <f aca="false">rtd("esrtd",,"*H","$NIFTY-NSE","Open","I15 [09:15-15:30 L]",,"363")</f>
        <v>11934.9</v>
      </c>
      <c r="D38" s="4" t="n">
        <f aca="false">rtd("esrtd",,"*H","$NIFTY-NSE","High","I15 [09:15-15:30 L]",,"363")</f>
        <v>11951.9</v>
      </c>
      <c r="E38" s="4" t="n">
        <f aca="false">rtd("esrtd",,"*H","$NIFTY-NSE","Low","I15 [09:15-15:30 L]",,"363")</f>
        <v>11917.95</v>
      </c>
      <c r="F38" s="4" t="n">
        <f aca="false">rtd("esrtd",,"*H","$NIFTY-NSE","Last","I15 [09:15-15:30 L]",,"363")</f>
        <v>11946.3</v>
      </c>
    </row>
    <row r="39" customFormat="false" ht="15" hidden="false" customHeight="false" outlineLevel="0" collapsed="false">
      <c r="A39" s="2" t="n">
        <f aca="false">rtd("esrtd",,"*H","$NIFTY-NSE","Intraday_Date","I15 [09:15-15:30 L]",,"362")</f>
        <v>43774.7291666667</v>
      </c>
      <c r="B39" s="3" t="n">
        <f aca="false">rtd("esrtd",,"*H","$NIFTY-NSE","BarTime","I15 [09:15-15:30 L]",,"362")</f>
        <v>43774.40625</v>
      </c>
      <c r="C39" s="4" t="n">
        <f aca="false">rtd("esrtd",,"*H","$NIFTY-NSE","Open","I15 [09:15-15:30 L]",,"362")</f>
        <v>11945.6</v>
      </c>
      <c r="D39" s="4" t="n">
        <f aca="false">rtd("esrtd",,"*H","$NIFTY-NSE","High","I15 [09:15-15:30 L]",,"362")</f>
        <v>11955.15</v>
      </c>
      <c r="E39" s="4" t="n">
        <f aca="false">rtd("esrtd",,"*H","$NIFTY-NSE","Low","I15 [09:15-15:30 L]",,"362")</f>
        <v>11934.15</v>
      </c>
      <c r="F39" s="4" t="n">
        <f aca="false">rtd("esrtd",,"*H","$NIFTY-NSE","Last","I15 [09:15-15:30 L]",,"362")</f>
        <v>11938.7</v>
      </c>
    </row>
    <row r="40" customFormat="false" ht="15" hidden="false" customHeight="false" outlineLevel="0" collapsed="false">
      <c r="A40" s="2" t="n">
        <f aca="false">rtd("esrtd",,"*H","$NIFTY-NSE","Intraday_Date","I15 [09:15-15:30 L]",,"361")</f>
        <v>43774.7291666667</v>
      </c>
      <c r="B40" s="3" t="n">
        <f aca="false">rtd("esrtd",,"*H","$NIFTY-NSE","BarTime","I15 [09:15-15:30 L]",,"361")</f>
        <v>43774.4166666667</v>
      </c>
      <c r="C40" s="4" t="n">
        <f aca="false">rtd("esrtd",,"*H","$NIFTY-NSE","Open","I15 [09:15-15:30 L]",,"361")</f>
        <v>11938.95</v>
      </c>
      <c r="D40" s="4" t="n">
        <f aca="false">rtd("esrtd",,"*H","$NIFTY-NSE","High","I15 [09:15-15:30 L]",,"361")</f>
        <v>11948.15</v>
      </c>
      <c r="E40" s="4" t="n">
        <f aca="false">rtd("esrtd",,"*H","$NIFTY-NSE","Low","I15 [09:15-15:30 L]",,"361")</f>
        <v>11930.55</v>
      </c>
      <c r="F40" s="4" t="n">
        <f aca="false">rtd("esrtd",,"*H","$NIFTY-NSE","Last","I15 [09:15-15:30 L]",,"361")</f>
        <v>11944.9</v>
      </c>
    </row>
    <row r="41" customFormat="false" ht="15" hidden="false" customHeight="false" outlineLevel="0" collapsed="false">
      <c r="A41" s="2" t="n">
        <f aca="false">rtd("esrtd",,"*H","$NIFTY-NSE","Intraday_Date","I15 [09:15-15:30 L]",,"360")</f>
        <v>43774.7291666667</v>
      </c>
      <c r="B41" s="3" t="n">
        <f aca="false">rtd("esrtd",,"*H","$NIFTY-NSE","BarTime","I15 [09:15-15:30 L]",,"360")</f>
        <v>43774.4270833333</v>
      </c>
      <c r="C41" s="4" t="n">
        <f aca="false">rtd("esrtd",,"*H","$NIFTY-NSE","Open","I15 [09:15-15:30 L]",,"360")</f>
        <v>11945.25</v>
      </c>
      <c r="D41" s="4" t="n">
        <f aca="false">rtd("esrtd",,"*H","$NIFTY-NSE","High","I15 [09:15-15:30 L]",,"360")</f>
        <v>11953.5</v>
      </c>
      <c r="E41" s="4" t="n">
        <f aca="false">rtd("esrtd",,"*H","$NIFTY-NSE","Low","I15 [09:15-15:30 L]",,"360")</f>
        <v>11943.75</v>
      </c>
      <c r="F41" s="4" t="n">
        <f aca="false">rtd("esrtd",,"*H","$NIFTY-NSE","Last","I15 [09:15-15:30 L]",,"360")</f>
        <v>11949.25</v>
      </c>
    </row>
    <row r="42" customFormat="false" ht="15" hidden="false" customHeight="false" outlineLevel="0" collapsed="false">
      <c r="A42" s="2" t="n">
        <f aca="false">rtd("esrtd",,"*H","$NIFTY-NSE","Intraday_Date","I15 [09:15-15:30 L]",,"359")</f>
        <v>43774.7291666667</v>
      </c>
      <c r="B42" s="3" t="n">
        <f aca="false">rtd("esrtd",,"*H","$NIFTY-NSE","BarTime","I15 [09:15-15:30 L]",,"359")</f>
        <v>43774.4375</v>
      </c>
      <c r="C42" s="4" t="n">
        <f aca="false">rtd("esrtd",,"*H","$NIFTY-NSE","Open","I15 [09:15-15:30 L]",,"359")</f>
        <v>11949.35</v>
      </c>
      <c r="D42" s="4" t="n">
        <f aca="false">rtd("esrtd",,"*H","$NIFTY-NSE","High","I15 [09:15-15:30 L]",,"359")</f>
        <v>11949.35</v>
      </c>
      <c r="E42" s="4" t="n">
        <f aca="false">rtd("esrtd",,"*H","$NIFTY-NSE","Low","I15 [09:15-15:30 L]",,"359")</f>
        <v>11938.25</v>
      </c>
      <c r="F42" s="4" t="n">
        <f aca="false">rtd("esrtd",,"*H","$NIFTY-NSE","Last","I15 [09:15-15:30 L]",,"359")</f>
        <v>11945.55</v>
      </c>
    </row>
    <row r="43" customFormat="false" ht="15" hidden="false" customHeight="false" outlineLevel="0" collapsed="false">
      <c r="A43" s="2" t="n">
        <f aca="false">rtd("esrtd",,"*H","$NIFTY-NSE","Intraday_Date","I15 [09:15-15:30 L]",,"358")</f>
        <v>43774.7291666667</v>
      </c>
      <c r="B43" s="3" t="n">
        <f aca="false">rtd("esrtd",,"*H","$NIFTY-NSE","BarTime","I15 [09:15-15:30 L]",,"358")</f>
        <v>43774.4479166667</v>
      </c>
      <c r="C43" s="4" t="n">
        <f aca="false">rtd("esrtd",,"*H","$NIFTY-NSE","Open","I15 [09:15-15:30 L]",,"358")</f>
        <v>11945.5</v>
      </c>
      <c r="D43" s="4" t="n">
        <f aca="false">rtd("esrtd",,"*H","$NIFTY-NSE","High","I15 [09:15-15:30 L]",,"358")</f>
        <v>11954.25</v>
      </c>
      <c r="E43" s="4" t="n">
        <f aca="false">rtd("esrtd",,"*H","$NIFTY-NSE","Low","I15 [09:15-15:30 L]",,"358")</f>
        <v>11933.8</v>
      </c>
      <c r="F43" s="4" t="n">
        <f aca="false">rtd("esrtd",,"*H","$NIFTY-NSE","Last","I15 [09:15-15:30 L]",,"358")</f>
        <v>11936.9</v>
      </c>
    </row>
    <row r="44" customFormat="false" ht="15" hidden="false" customHeight="false" outlineLevel="0" collapsed="false">
      <c r="A44" s="2" t="n">
        <f aca="false">rtd("esrtd",,"*H","$NIFTY-NSE","Intraday_Date","I15 [09:15-15:30 L]",,"357")</f>
        <v>43774.7291666667</v>
      </c>
      <c r="B44" s="3" t="n">
        <f aca="false">rtd("esrtd",,"*H","$NIFTY-NSE","BarTime","I15 [09:15-15:30 L]",,"357")</f>
        <v>43774.4583333333</v>
      </c>
      <c r="C44" s="4" t="n">
        <f aca="false">rtd("esrtd",,"*H","$NIFTY-NSE","Open","I15 [09:15-15:30 L]",,"357")</f>
        <v>11936.55</v>
      </c>
      <c r="D44" s="4" t="n">
        <f aca="false">rtd("esrtd",,"*H","$NIFTY-NSE","High","I15 [09:15-15:30 L]",,"357")</f>
        <v>11945.2</v>
      </c>
      <c r="E44" s="4" t="n">
        <f aca="false">rtd("esrtd",,"*H","$NIFTY-NSE","Low","I15 [09:15-15:30 L]",,"357")</f>
        <v>11932.85</v>
      </c>
      <c r="F44" s="4" t="n">
        <f aca="false">rtd("esrtd",,"*H","$NIFTY-NSE","Last","I15 [09:15-15:30 L]",,"357")</f>
        <v>11941.8</v>
      </c>
    </row>
    <row r="45" customFormat="false" ht="15" hidden="false" customHeight="false" outlineLevel="0" collapsed="false">
      <c r="A45" s="2" t="n">
        <f aca="false">rtd("esrtd",,"*H","$NIFTY-NSE","Intraday_Date","I15 [09:15-15:30 L]",,"356")</f>
        <v>43774.7291666667</v>
      </c>
      <c r="B45" s="3" t="n">
        <f aca="false">rtd("esrtd",,"*H","$NIFTY-NSE","BarTime","I15 [09:15-15:30 L]",,"356")</f>
        <v>43774.46875</v>
      </c>
      <c r="C45" s="4" t="n">
        <f aca="false">rtd("esrtd",,"*H","$NIFTY-NSE","Open","I15 [09:15-15:30 L]",,"356")</f>
        <v>11941.7</v>
      </c>
      <c r="D45" s="4" t="n">
        <f aca="false">rtd("esrtd",,"*H","$NIFTY-NSE","High","I15 [09:15-15:30 L]",,"356")</f>
        <v>11941.7</v>
      </c>
      <c r="E45" s="4" t="n">
        <f aca="false">rtd("esrtd",,"*H","$NIFTY-NSE","Low","I15 [09:15-15:30 L]",,"356")</f>
        <v>11935.8</v>
      </c>
      <c r="F45" s="4" t="n">
        <f aca="false">rtd("esrtd",,"*H","$NIFTY-NSE","Last","I15 [09:15-15:30 L]",,"356")</f>
        <v>11939.5</v>
      </c>
    </row>
    <row r="46" customFormat="false" ht="15" hidden="false" customHeight="false" outlineLevel="0" collapsed="false">
      <c r="A46" s="2" t="n">
        <f aca="false">rtd("esrtd",,"*H","$NIFTY-NSE","Intraday_Date","I15 [09:15-15:30 L]",,"355")</f>
        <v>43774.7291666667</v>
      </c>
      <c r="B46" s="3" t="n">
        <f aca="false">rtd("esrtd",,"*H","$NIFTY-NSE","BarTime","I15 [09:15-15:30 L]",,"355")</f>
        <v>43774.4791666667</v>
      </c>
      <c r="C46" s="4" t="n">
        <f aca="false">rtd("esrtd",,"*H","$NIFTY-NSE","Open","I15 [09:15-15:30 L]",,"355")</f>
        <v>11939</v>
      </c>
      <c r="D46" s="4" t="n">
        <f aca="false">rtd("esrtd",,"*H","$NIFTY-NSE","High","I15 [09:15-15:30 L]",,"355")</f>
        <v>11939.7</v>
      </c>
      <c r="E46" s="4" t="n">
        <f aca="false">rtd("esrtd",,"*H","$NIFTY-NSE","Low","I15 [09:15-15:30 L]",,"355")</f>
        <v>11917</v>
      </c>
      <c r="F46" s="4" t="n">
        <f aca="false">rtd("esrtd",,"*H","$NIFTY-NSE","Last","I15 [09:15-15:30 L]",,"355")</f>
        <v>11920.75</v>
      </c>
    </row>
    <row r="47" customFormat="false" ht="15" hidden="false" customHeight="false" outlineLevel="0" collapsed="false">
      <c r="A47" s="2" t="n">
        <f aca="false">rtd("esrtd",,"*H","$NIFTY-NSE","Intraday_Date","I15 [09:15-15:30 L]",,"354")</f>
        <v>43774.7291666667</v>
      </c>
      <c r="B47" s="3" t="n">
        <f aca="false">rtd("esrtd",,"*H","$NIFTY-NSE","BarTime","I15 [09:15-15:30 L]",,"354")</f>
        <v>43774.4895833333</v>
      </c>
      <c r="C47" s="4" t="n">
        <f aca="false">rtd("esrtd",,"*H","$NIFTY-NSE","Open","I15 [09:15-15:30 L]",,"354")</f>
        <v>11921</v>
      </c>
      <c r="D47" s="4" t="n">
        <f aca="false">rtd("esrtd",,"*H","$NIFTY-NSE","High","I15 [09:15-15:30 L]",,"354")</f>
        <v>11926.65</v>
      </c>
      <c r="E47" s="4" t="n">
        <f aca="false">rtd("esrtd",,"*H","$NIFTY-NSE","Low","I15 [09:15-15:30 L]",,"354")</f>
        <v>11906.95</v>
      </c>
      <c r="F47" s="4" t="n">
        <f aca="false">rtd("esrtd",,"*H","$NIFTY-NSE","Last","I15 [09:15-15:30 L]",,"354")</f>
        <v>11908.2</v>
      </c>
    </row>
    <row r="48" customFormat="false" ht="15" hidden="false" customHeight="false" outlineLevel="0" collapsed="false">
      <c r="A48" s="2" t="n">
        <f aca="false">rtd("esrtd",,"*H","$NIFTY-NSE","Intraday_Date","I15 [09:15-15:30 L]",,"353")</f>
        <v>43774.7291666667</v>
      </c>
      <c r="B48" s="3" t="n">
        <f aca="false">rtd("esrtd",,"*H","$NIFTY-NSE","BarTime","I15 [09:15-15:30 L]",,"353")</f>
        <v>43774.5</v>
      </c>
      <c r="C48" s="4" t="n">
        <f aca="false">rtd("esrtd",,"*H","$NIFTY-NSE","Open","I15 [09:15-15:30 L]",,"353")</f>
        <v>11908.05</v>
      </c>
      <c r="D48" s="4" t="n">
        <f aca="false">rtd("esrtd",,"*H","$NIFTY-NSE","High","I15 [09:15-15:30 L]",,"353")</f>
        <v>11912.4</v>
      </c>
      <c r="E48" s="4" t="n">
        <f aca="false">rtd("esrtd",,"*H","$NIFTY-NSE","Low","I15 [09:15-15:30 L]",,"353")</f>
        <v>11887.75</v>
      </c>
      <c r="F48" s="4" t="n">
        <f aca="false">rtd("esrtd",,"*H","$NIFTY-NSE","Last","I15 [09:15-15:30 L]",,"353")</f>
        <v>11896.15</v>
      </c>
    </row>
    <row r="49" customFormat="false" ht="15" hidden="false" customHeight="false" outlineLevel="0" collapsed="false">
      <c r="A49" s="2" t="n">
        <f aca="false">rtd("esrtd",,"*H","$NIFTY-NSE","Intraday_Date","I15 [09:15-15:30 L]",,"352")</f>
        <v>43774.7291666667</v>
      </c>
      <c r="B49" s="3" t="n">
        <f aca="false">rtd("esrtd",,"*H","$NIFTY-NSE","BarTime","I15 [09:15-15:30 L]",,"352")</f>
        <v>43774.5104166667</v>
      </c>
      <c r="C49" s="4" t="n">
        <f aca="false">rtd("esrtd",,"*H","$NIFTY-NSE","Open","I15 [09:15-15:30 L]",,"352")</f>
        <v>11895.7</v>
      </c>
      <c r="D49" s="4" t="n">
        <f aca="false">rtd("esrtd",,"*H","$NIFTY-NSE","High","I15 [09:15-15:30 L]",,"352")</f>
        <v>11910.05</v>
      </c>
      <c r="E49" s="4" t="n">
        <f aca="false">rtd("esrtd",,"*H","$NIFTY-NSE","Low","I15 [09:15-15:30 L]",,"352")</f>
        <v>11894.1</v>
      </c>
      <c r="F49" s="4" t="n">
        <f aca="false">rtd("esrtd",,"*H","$NIFTY-NSE","Last","I15 [09:15-15:30 L]",,"352")</f>
        <v>11908.9</v>
      </c>
    </row>
    <row r="50" customFormat="false" ht="15" hidden="false" customHeight="false" outlineLevel="0" collapsed="false">
      <c r="A50" s="2" t="n">
        <f aca="false">rtd("esrtd",,"*H","$NIFTY-NSE","Intraday_Date","I15 [09:15-15:30 L]",,"351")</f>
        <v>43774.7291666667</v>
      </c>
      <c r="B50" s="3" t="n">
        <f aca="false">rtd("esrtd",,"*H","$NIFTY-NSE","BarTime","I15 [09:15-15:30 L]",,"351")</f>
        <v>43774.5208333333</v>
      </c>
      <c r="C50" s="4" t="n">
        <f aca="false">rtd("esrtd",,"*H","$NIFTY-NSE","Open","I15 [09:15-15:30 L]",,"351")</f>
        <v>11908.85</v>
      </c>
      <c r="D50" s="4" t="n">
        <f aca="false">rtd("esrtd",,"*H","$NIFTY-NSE","High","I15 [09:15-15:30 L]",,"351")</f>
        <v>11909.05</v>
      </c>
      <c r="E50" s="4" t="n">
        <f aca="false">rtd("esrtd",,"*H","$NIFTY-NSE","Low","I15 [09:15-15:30 L]",,"351")</f>
        <v>11891.05</v>
      </c>
      <c r="F50" s="4" t="n">
        <f aca="false">rtd("esrtd",,"*H","$NIFTY-NSE","Last","I15 [09:15-15:30 L]",,"351")</f>
        <v>11891.25</v>
      </c>
    </row>
    <row r="51" customFormat="false" ht="15" hidden="false" customHeight="false" outlineLevel="0" collapsed="false">
      <c r="A51" s="2" t="n">
        <f aca="false">rtd("esrtd",,"*H","$NIFTY-NSE","Intraday_Date","I15 [09:15-15:30 L]",,"350")</f>
        <v>43774.7291666667</v>
      </c>
      <c r="B51" s="3" t="n">
        <f aca="false">rtd("esrtd",,"*H","$NIFTY-NSE","BarTime","I15 [09:15-15:30 L]",,"350")</f>
        <v>43774.53125</v>
      </c>
      <c r="C51" s="4" t="n">
        <f aca="false">rtd("esrtd",,"*H","$NIFTY-NSE","Open","I15 [09:15-15:30 L]",,"350")</f>
        <v>11891.1</v>
      </c>
      <c r="D51" s="4" t="n">
        <f aca="false">rtd("esrtd",,"*H","$NIFTY-NSE","High","I15 [09:15-15:30 L]",,"350")</f>
        <v>11893.1</v>
      </c>
      <c r="E51" s="4" t="n">
        <f aca="false">rtd("esrtd",,"*H","$NIFTY-NSE","Low","I15 [09:15-15:30 L]",,"350")</f>
        <v>11878.75</v>
      </c>
      <c r="F51" s="4" t="n">
        <f aca="false">rtd("esrtd",,"*H","$NIFTY-NSE","Last","I15 [09:15-15:30 L]",,"350")</f>
        <v>11889.2</v>
      </c>
    </row>
    <row r="52" customFormat="false" ht="15" hidden="false" customHeight="false" outlineLevel="0" collapsed="false">
      <c r="A52" s="2" t="n">
        <f aca="false">rtd("esrtd",,"*H","$NIFTY-NSE","Intraday_Date","I15 [09:15-15:30 L]",,"349")</f>
        <v>43774.7291666667</v>
      </c>
      <c r="B52" s="3" t="n">
        <f aca="false">rtd("esrtd",,"*H","$NIFTY-NSE","BarTime","I15 [09:15-15:30 L]",,"349")</f>
        <v>43774.5416666667</v>
      </c>
      <c r="C52" s="4" t="n">
        <f aca="false">rtd("esrtd",,"*H","$NIFTY-NSE","Open","I15 [09:15-15:30 L]",,"349")</f>
        <v>11889.4</v>
      </c>
      <c r="D52" s="4" t="n">
        <f aca="false">rtd("esrtd",,"*H","$NIFTY-NSE","High","I15 [09:15-15:30 L]",,"349")</f>
        <v>11891.3</v>
      </c>
      <c r="E52" s="4" t="n">
        <f aca="false">rtd("esrtd",,"*H","$NIFTY-NSE","Low","I15 [09:15-15:30 L]",,"349")</f>
        <v>11871.65</v>
      </c>
      <c r="F52" s="4" t="n">
        <f aca="false">rtd("esrtd",,"*H","$NIFTY-NSE","Last","I15 [09:15-15:30 L]",,"349")</f>
        <v>11875.4</v>
      </c>
    </row>
    <row r="53" customFormat="false" ht="15" hidden="false" customHeight="false" outlineLevel="0" collapsed="false">
      <c r="A53" s="2" t="n">
        <f aca="false">rtd("esrtd",,"*H","$NIFTY-NSE","Intraday_Date","I15 [09:15-15:30 L]",,"348")</f>
        <v>43774.7291666667</v>
      </c>
      <c r="B53" s="3" t="n">
        <f aca="false">rtd("esrtd",,"*H","$NIFTY-NSE","BarTime","I15 [09:15-15:30 L]",,"348")</f>
        <v>43774.5520833333</v>
      </c>
      <c r="C53" s="4" t="n">
        <f aca="false">rtd("esrtd",,"*H","$NIFTY-NSE","Open","I15 [09:15-15:30 L]",,"348")</f>
        <v>11875.2</v>
      </c>
      <c r="D53" s="4" t="n">
        <f aca="false">rtd("esrtd",,"*H","$NIFTY-NSE","High","I15 [09:15-15:30 L]",,"348")</f>
        <v>11881.05</v>
      </c>
      <c r="E53" s="4" t="n">
        <f aca="false">rtd("esrtd",,"*H","$NIFTY-NSE","Low","I15 [09:15-15:30 L]",,"348")</f>
        <v>11861.9</v>
      </c>
      <c r="F53" s="4" t="n">
        <f aca="false">rtd("esrtd",,"*H","$NIFTY-NSE","Last","I15 [09:15-15:30 L]",,"348")</f>
        <v>11874.2</v>
      </c>
    </row>
    <row r="54" customFormat="false" ht="15" hidden="false" customHeight="false" outlineLevel="0" collapsed="false">
      <c r="A54" s="2" t="n">
        <f aca="false">rtd("esrtd",,"*H","$NIFTY-NSE","Intraday_Date","I15 [09:15-15:30 L]",,"347")</f>
        <v>43774.7291666667</v>
      </c>
      <c r="B54" s="3" t="n">
        <f aca="false">rtd("esrtd",,"*H","$NIFTY-NSE","BarTime","I15 [09:15-15:30 L]",,"347")</f>
        <v>43774.5625</v>
      </c>
      <c r="C54" s="4" t="n">
        <f aca="false">rtd("esrtd",,"*H","$NIFTY-NSE","Open","I15 [09:15-15:30 L]",,"347")</f>
        <v>11874</v>
      </c>
      <c r="D54" s="4" t="n">
        <f aca="false">rtd("esrtd",,"*H","$NIFTY-NSE","High","I15 [09:15-15:30 L]",,"347")</f>
        <v>11901.1</v>
      </c>
      <c r="E54" s="4" t="n">
        <f aca="false">rtd("esrtd",,"*H","$NIFTY-NSE","Low","I15 [09:15-15:30 L]",,"347")</f>
        <v>11874</v>
      </c>
      <c r="F54" s="4" t="n">
        <f aca="false">rtd("esrtd",,"*H","$NIFTY-NSE","Last","I15 [09:15-15:30 L]",,"347")</f>
        <v>11895.8</v>
      </c>
    </row>
    <row r="55" customFormat="false" ht="15" hidden="false" customHeight="false" outlineLevel="0" collapsed="false">
      <c r="A55" s="2" t="n">
        <f aca="false">rtd("esrtd",,"*H","$NIFTY-NSE","Intraday_Date","I15 [09:15-15:30 L]",,"346")</f>
        <v>43774.7291666667</v>
      </c>
      <c r="B55" s="3" t="n">
        <f aca="false">rtd("esrtd",,"*H","$NIFTY-NSE","BarTime","I15 [09:15-15:30 L]",,"346")</f>
        <v>43774.5729166667</v>
      </c>
      <c r="C55" s="4" t="n">
        <f aca="false">rtd("esrtd",,"*H","$NIFTY-NSE","Open","I15 [09:15-15:30 L]",,"346")</f>
        <v>11895.95</v>
      </c>
      <c r="D55" s="4" t="n">
        <f aca="false">rtd("esrtd",,"*H","$NIFTY-NSE","High","I15 [09:15-15:30 L]",,"346")</f>
        <v>11900.7</v>
      </c>
      <c r="E55" s="4" t="n">
        <f aca="false">rtd("esrtd",,"*H","$NIFTY-NSE","Low","I15 [09:15-15:30 L]",,"346")</f>
        <v>11882.6</v>
      </c>
      <c r="F55" s="4" t="n">
        <f aca="false">rtd("esrtd",,"*H","$NIFTY-NSE","Last","I15 [09:15-15:30 L]",,"346")</f>
        <v>11898.4</v>
      </c>
    </row>
    <row r="56" customFormat="false" ht="15" hidden="false" customHeight="false" outlineLevel="0" collapsed="false">
      <c r="A56" s="2" t="n">
        <f aca="false">rtd("esrtd",,"*H","$NIFTY-NSE","Intraday_Date","I15 [09:15-15:30 L]",,"345")</f>
        <v>43774.7291666667</v>
      </c>
      <c r="B56" s="3" t="n">
        <f aca="false">rtd("esrtd",,"*H","$NIFTY-NSE","BarTime","I15 [09:15-15:30 L]",,"345")</f>
        <v>43774.5833333333</v>
      </c>
      <c r="C56" s="4" t="n">
        <f aca="false">rtd("esrtd",,"*H","$NIFTY-NSE","Open","I15 [09:15-15:30 L]",,"345")</f>
        <v>11898.45</v>
      </c>
      <c r="D56" s="4" t="n">
        <f aca="false">rtd("esrtd",,"*H","$NIFTY-NSE","High","I15 [09:15-15:30 L]",,"345")</f>
        <v>11911.55</v>
      </c>
      <c r="E56" s="4" t="n">
        <f aca="false">rtd("esrtd",,"*H","$NIFTY-NSE","Low","I15 [09:15-15:30 L]",,"345")</f>
        <v>11888.35</v>
      </c>
      <c r="F56" s="4" t="n">
        <f aca="false">rtd("esrtd",,"*H","$NIFTY-NSE","Last","I15 [09:15-15:30 L]",,"345")</f>
        <v>11908.95</v>
      </c>
    </row>
    <row r="57" customFormat="false" ht="15" hidden="false" customHeight="false" outlineLevel="0" collapsed="false">
      <c r="A57" s="2" t="n">
        <f aca="false">rtd("esrtd",,"*H","$NIFTY-NSE","Intraday_Date","I15 [09:15-15:30 L]",,"344")</f>
        <v>43774.7291666667</v>
      </c>
      <c r="B57" s="3" t="n">
        <f aca="false">rtd("esrtd",,"*H","$NIFTY-NSE","BarTime","I15 [09:15-15:30 L]",,"344")</f>
        <v>43774.59375</v>
      </c>
      <c r="C57" s="4" t="n">
        <f aca="false">rtd("esrtd",,"*H","$NIFTY-NSE","Open","I15 [09:15-15:30 L]",,"344")</f>
        <v>11908.75</v>
      </c>
      <c r="D57" s="4" t="n">
        <f aca="false">rtd("esrtd",,"*H","$NIFTY-NSE","High","I15 [09:15-15:30 L]",,"344")</f>
        <v>11909.75</v>
      </c>
      <c r="E57" s="4" t="n">
        <f aca="false">rtd("esrtd",,"*H","$NIFTY-NSE","Low","I15 [09:15-15:30 L]",,"344")</f>
        <v>11894.9</v>
      </c>
      <c r="F57" s="4" t="n">
        <f aca="false">rtd("esrtd",,"*H","$NIFTY-NSE","Last","I15 [09:15-15:30 L]",,"344")</f>
        <v>11896.6</v>
      </c>
    </row>
    <row r="58" customFormat="false" ht="15" hidden="false" customHeight="false" outlineLevel="0" collapsed="false">
      <c r="A58" s="2" t="n">
        <f aca="false">rtd("esrtd",,"*H","$NIFTY-NSE","Intraday_Date","I15 [09:15-15:30 L]",,"343")</f>
        <v>43774.7291666667</v>
      </c>
      <c r="B58" s="3" t="n">
        <f aca="false">rtd("esrtd",,"*H","$NIFTY-NSE","BarTime","I15 [09:15-15:30 L]",,"343")</f>
        <v>43774.6041666667</v>
      </c>
      <c r="C58" s="4" t="n">
        <f aca="false">rtd("esrtd",,"*H","$NIFTY-NSE","Open","I15 [09:15-15:30 L]",,"343")</f>
        <v>11896</v>
      </c>
      <c r="D58" s="4" t="n">
        <f aca="false">rtd("esrtd",,"*H","$NIFTY-NSE","High","I15 [09:15-15:30 L]",,"343")</f>
        <v>11923.95</v>
      </c>
      <c r="E58" s="4" t="n">
        <f aca="false">rtd("esrtd",,"*H","$NIFTY-NSE","Low","I15 [09:15-15:30 L]",,"343")</f>
        <v>11895.55</v>
      </c>
      <c r="F58" s="4" t="n">
        <f aca="false">rtd("esrtd",,"*H","$NIFTY-NSE","Last","I15 [09:15-15:30 L]",,"343")</f>
        <v>11911.9</v>
      </c>
    </row>
    <row r="59" customFormat="false" ht="15" hidden="false" customHeight="false" outlineLevel="0" collapsed="false">
      <c r="A59" s="2" t="n">
        <f aca="false">rtd("esrtd",,"*H","$NIFTY-NSE","Intraday_Date","I15 [09:15-15:30 L]",,"342")</f>
        <v>43774.7291666667</v>
      </c>
      <c r="B59" s="3" t="n">
        <f aca="false">rtd("esrtd",,"*H","$NIFTY-NSE","BarTime","I15 [09:15-15:30 L]",,"342")</f>
        <v>43774.6145833333</v>
      </c>
      <c r="C59" s="4" t="n">
        <f aca="false">rtd("esrtd",,"*H","$NIFTY-NSE","Open","I15 [09:15-15:30 L]",,"342")</f>
        <v>11911.85</v>
      </c>
      <c r="D59" s="4" t="n">
        <f aca="false">rtd("esrtd",,"*H","$NIFTY-NSE","High","I15 [09:15-15:30 L]",,"342")</f>
        <v>11912.8</v>
      </c>
      <c r="E59" s="4" t="n">
        <f aca="false">rtd("esrtd",,"*H","$NIFTY-NSE","Low","I15 [09:15-15:30 L]",,"342")</f>
        <v>11896.35</v>
      </c>
      <c r="F59" s="4" t="n">
        <f aca="false">rtd("esrtd",,"*H","$NIFTY-NSE","Last","I15 [09:15-15:30 L]",,"342")</f>
        <v>11901.05</v>
      </c>
    </row>
    <row r="60" customFormat="false" ht="15" hidden="false" customHeight="false" outlineLevel="0" collapsed="false">
      <c r="A60" s="2" t="n">
        <f aca="false">rtd("esrtd",,"*H","$NIFTY-NSE","Intraday_Date","I15 [09:15-15:30 L]",,"341")</f>
        <v>43774.7291666667</v>
      </c>
      <c r="B60" s="3" t="n">
        <f aca="false">rtd("esrtd",,"*H","$NIFTY-NSE","BarTime","I15 [09:15-15:30 L]",,"341")</f>
        <v>43774.625</v>
      </c>
      <c r="C60" s="4" t="n">
        <f aca="false">rtd("esrtd",,"*H","$NIFTY-NSE","Open","I15 [09:15-15:30 L]",,"341")</f>
        <v>11900.8</v>
      </c>
      <c r="D60" s="4" t="n">
        <f aca="false">rtd("esrtd",,"*H","$NIFTY-NSE","High","I15 [09:15-15:30 L]",,"341")</f>
        <v>11922.3</v>
      </c>
      <c r="E60" s="4" t="n">
        <f aca="false">rtd("esrtd",,"*H","$NIFTY-NSE","Low","I15 [09:15-15:30 L]",,"341")</f>
        <v>11900.8</v>
      </c>
      <c r="F60" s="4" t="n">
        <f aca="false">rtd("esrtd",,"*H","$NIFTY-NSE","Last","I15 [09:15-15:30 L]",,"341")</f>
        <v>11919.8</v>
      </c>
    </row>
    <row r="61" customFormat="false" ht="15" hidden="false" customHeight="false" outlineLevel="0" collapsed="false">
      <c r="A61" s="2" t="n">
        <f aca="false">rtd("esrtd",,"*H","$NIFTY-NSE","Intraday_Date","I15 [09:15-15:30 L]",,"340")</f>
        <v>43774.7291666667</v>
      </c>
      <c r="B61" s="3" t="n">
        <f aca="false">rtd("esrtd",,"*H","$NIFTY-NSE","BarTime","I15 [09:15-15:30 L]",,"340")</f>
        <v>43774.6354166667</v>
      </c>
      <c r="C61" s="4" t="n">
        <f aca="false">rtd("esrtd",,"*H","$NIFTY-NSE","Open","I15 [09:15-15:30 L]",,"340")</f>
        <v>11918.6</v>
      </c>
      <c r="D61" s="4" t="n">
        <f aca="false">rtd("esrtd",,"*H","$NIFTY-NSE","High","I15 [09:15-15:30 L]",,"340")</f>
        <v>11925.9</v>
      </c>
      <c r="E61" s="4" t="n">
        <f aca="false">rtd("esrtd",,"*H","$NIFTY-NSE","Low","I15 [09:15-15:30 L]",,"340")</f>
        <v>11912.65</v>
      </c>
      <c r="F61" s="4" t="n">
        <f aca="false">rtd("esrtd",,"*H","$NIFTY-NSE","Last","I15 [09:15-15:30 L]",,"340")</f>
        <v>11918.05</v>
      </c>
    </row>
    <row r="62" customFormat="false" ht="15" hidden="false" customHeight="false" outlineLevel="0" collapsed="false">
      <c r="A62" s="2" t="n">
        <f aca="false">rtd("esrtd",,"*H","$NIFTY-NSE","Intraday_Date","I15 [09:15-15:30 L]",,"339")</f>
        <v>43775.7291666667</v>
      </c>
      <c r="B62" s="3" t="n">
        <f aca="false">rtd("esrtd",,"*H","$NIFTY-NSE","BarTime","I15 [09:15-15:30 L]",,"339")</f>
        <v>43775.3854166667</v>
      </c>
      <c r="C62" s="4" t="n">
        <f aca="false">rtd("esrtd",,"*H","$NIFTY-NSE","Open","I15 [09:15-15:30 L]",,"339")</f>
        <v>11912.2</v>
      </c>
      <c r="D62" s="4" t="n">
        <f aca="false">rtd("esrtd",,"*H","$NIFTY-NSE","High","I15 [09:15-15:30 L]",,"339")</f>
        <v>11912.2</v>
      </c>
      <c r="E62" s="4" t="n">
        <f aca="false">rtd("esrtd",,"*H","$NIFTY-NSE","Low","I15 [09:15-15:30 L]",,"339")</f>
        <v>11878.55</v>
      </c>
      <c r="F62" s="4" t="n">
        <f aca="false">rtd("esrtd",,"*H","$NIFTY-NSE","Last","I15 [09:15-15:30 L]",,"339")</f>
        <v>11893.1</v>
      </c>
    </row>
    <row r="63" customFormat="false" ht="15" hidden="false" customHeight="false" outlineLevel="0" collapsed="false">
      <c r="A63" s="2" t="n">
        <f aca="false">rtd("esrtd",,"*H","$NIFTY-NSE","Intraday_Date","I15 [09:15-15:30 L]",,"338")</f>
        <v>43775.7291666667</v>
      </c>
      <c r="B63" s="3" t="n">
        <f aca="false">rtd("esrtd",,"*H","$NIFTY-NSE","BarTime","I15 [09:15-15:30 L]",,"338")</f>
        <v>43775.3958333333</v>
      </c>
      <c r="C63" s="4" t="n">
        <f aca="false">rtd("esrtd",,"*H","$NIFTY-NSE","Open","I15 [09:15-15:30 L]",,"338")</f>
        <v>11893.05</v>
      </c>
      <c r="D63" s="4" t="n">
        <f aca="false">rtd("esrtd",,"*H","$NIFTY-NSE","High","I15 [09:15-15:30 L]",,"338")</f>
        <v>11897.3</v>
      </c>
      <c r="E63" s="4" t="n">
        <f aca="false">rtd("esrtd",,"*H","$NIFTY-NSE","Low","I15 [09:15-15:30 L]",,"338")</f>
        <v>11868</v>
      </c>
      <c r="F63" s="4" t="n">
        <f aca="false">rtd("esrtd",,"*H","$NIFTY-NSE","Last","I15 [09:15-15:30 L]",,"338")</f>
        <v>11868.6</v>
      </c>
    </row>
    <row r="64" customFormat="false" ht="15" hidden="false" customHeight="false" outlineLevel="0" collapsed="false">
      <c r="A64" s="2" t="n">
        <f aca="false">rtd("esrtd",,"*H","$NIFTY-NSE","Intraday_Date","I15 [09:15-15:30 L]",,"337")</f>
        <v>43775.7291666667</v>
      </c>
      <c r="B64" s="3" t="n">
        <f aca="false">rtd("esrtd",,"*H","$NIFTY-NSE","BarTime","I15 [09:15-15:30 L]",,"337")</f>
        <v>43775.40625</v>
      </c>
      <c r="C64" s="4" t="n">
        <f aca="false">rtd("esrtd",,"*H","$NIFTY-NSE","Open","I15 [09:15-15:30 L]",,"337")</f>
        <v>11868.95</v>
      </c>
      <c r="D64" s="4" t="n">
        <f aca="false">rtd("esrtd",,"*H","$NIFTY-NSE","High","I15 [09:15-15:30 L]",,"337")</f>
        <v>11875</v>
      </c>
      <c r="E64" s="4" t="n">
        <f aca="false">rtd("esrtd",,"*H","$NIFTY-NSE","Low","I15 [09:15-15:30 L]",,"337")</f>
        <v>11857.9</v>
      </c>
      <c r="F64" s="4" t="n">
        <f aca="false">rtd("esrtd",,"*H","$NIFTY-NSE","Last","I15 [09:15-15:30 L]",,"337")</f>
        <v>11871.85</v>
      </c>
    </row>
    <row r="65" customFormat="false" ht="15" hidden="false" customHeight="false" outlineLevel="0" collapsed="false">
      <c r="A65" s="2" t="n">
        <f aca="false">rtd("esrtd",,"*H","$NIFTY-NSE","Intraday_Date","I15 [09:15-15:30 L]",,"336")</f>
        <v>43775.7291666667</v>
      </c>
      <c r="B65" s="3" t="n">
        <f aca="false">rtd("esrtd",,"*H","$NIFTY-NSE","BarTime","I15 [09:15-15:30 L]",,"336")</f>
        <v>43775.4166666667</v>
      </c>
      <c r="C65" s="4" t="n">
        <f aca="false">rtd("esrtd",,"*H","$NIFTY-NSE","Open","I15 [09:15-15:30 L]",,"336")</f>
        <v>11872.3</v>
      </c>
      <c r="D65" s="4" t="n">
        <f aca="false">rtd("esrtd",,"*H","$NIFTY-NSE","High","I15 [09:15-15:30 L]",,"336")</f>
        <v>11873</v>
      </c>
      <c r="E65" s="4" t="n">
        <f aca="false">rtd("esrtd",,"*H","$NIFTY-NSE","Low","I15 [09:15-15:30 L]",,"336")</f>
        <v>11854.95</v>
      </c>
      <c r="F65" s="4" t="n">
        <f aca="false">rtd("esrtd",,"*H","$NIFTY-NSE","Last","I15 [09:15-15:30 L]",,"336")</f>
        <v>11862.3</v>
      </c>
    </row>
    <row r="66" customFormat="false" ht="15" hidden="false" customHeight="false" outlineLevel="0" collapsed="false">
      <c r="A66" s="2" t="n">
        <f aca="false">rtd("esrtd",,"*H","$NIFTY-NSE","Intraday_Date","I15 [09:15-15:30 L]",,"335")</f>
        <v>43775.7291666667</v>
      </c>
      <c r="B66" s="3" t="n">
        <f aca="false">rtd("esrtd",,"*H","$NIFTY-NSE","BarTime","I15 [09:15-15:30 L]",,"335")</f>
        <v>43775.4270833333</v>
      </c>
      <c r="C66" s="4" t="n">
        <f aca="false">rtd("esrtd",,"*H","$NIFTY-NSE","Open","I15 [09:15-15:30 L]",,"335")</f>
        <v>11862.5</v>
      </c>
      <c r="D66" s="4" t="n">
        <f aca="false">rtd("esrtd",,"*H","$NIFTY-NSE","High","I15 [09:15-15:30 L]",,"335")</f>
        <v>11873.05</v>
      </c>
      <c r="E66" s="4" t="n">
        <f aca="false">rtd("esrtd",,"*H","$NIFTY-NSE","Low","I15 [09:15-15:30 L]",,"335")</f>
        <v>11862.25</v>
      </c>
      <c r="F66" s="4" t="n">
        <f aca="false">rtd("esrtd",,"*H","$NIFTY-NSE","Last","I15 [09:15-15:30 L]",,"335")</f>
        <v>11869.35</v>
      </c>
    </row>
    <row r="67" customFormat="false" ht="15" hidden="false" customHeight="false" outlineLevel="0" collapsed="false">
      <c r="A67" s="2" t="n">
        <f aca="false">rtd("esrtd",,"*H","$NIFTY-NSE","Intraday_Date","I15 [09:15-15:30 L]",,"334")</f>
        <v>43775.7291666667</v>
      </c>
      <c r="B67" s="3" t="n">
        <f aca="false">rtd("esrtd",,"*H","$NIFTY-NSE","BarTime","I15 [09:15-15:30 L]",,"334")</f>
        <v>43775.4375</v>
      </c>
      <c r="C67" s="4" t="n">
        <f aca="false">rtd("esrtd",,"*H","$NIFTY-NSE","Open","I15 [09:15-15:30 L]",,"334")</f>
        <v>11870.15</v>
      </c>
      <c r="D67" s="4" t="n">
        <f aca="false">rtd("esrtd",,"*H","$NIFTY-NSE","High","I15 [09:15-15:30 L]",,"334")</f>
        <v>11874.25</v>
      </c>
      <c r="E67" s="4" t="n">
        <f aca="false">rtd("esrtd",,"*H","$NIFTY-NSE","Low","I15 [09:15-15:30 L]",,"334")</f>
        <v>11861.6</v>
      </c>
      <c r="F67" s="4" t="n">
        <f aca="false">rtd("esrtd",,"*H","$NIFTY-NSE","Last","I15 [09:15-15:30 L]",,"334")</f>
        <v>11867.15</v>
      </c>
    </row>
    <row r="68" customFormat="false" ht="15" hidden="false" customHeight="false" outlineLevel="0" collapsed="false">
      <c r="A68" s="2" t="n">
        <f aca="false">rtd("esrtd",,"*H","$NIFTY-NSE","Intraday_Date","I15 [09:15-15:30 L]",,"333")</f>
        <v>43775.7291666667</v>
      </c>
      <c r="B68" s="3" t="n">
        <f aca="false">rtd("esrtd",,"*H","$NIFTY-NSE","BarTime","I15 [09:15-15:30 L]",,"333")</f>
        <v>43775.4479166667</v>
      </c>
      <c r="C68" s="4" t="n">
        <f aca="false">rtd("esrtd",,"*H","$NIFTY-NSE","Open","I15 [09:15-15:30 L]",,"333")</f>
        <v>11866.7</v>
      </c>
      <c r="D68" s="4" t="n">
        <f aca="false">rtd("esrtd",,"*H","$NIFTY-NSE","High","I15 [09:15-15:30 L]",,"333")</f>
        <v>11867.25</v>
      </c>
      <c r="E68" s="4" t="n">
        <f aca="false">rtd("esrtd",,"*H","$NIFTY-NSE","Low","I15 [09:15-15:30 L]",,"333")</f>
        <v>11850.25</v>
      </c>
      <c r="F68" s="4" t="n">
        <f aca="false">rtd("esrtd",,"*H","$NIFTY-NSE","Last","I15 [09:15-15:30 L]",,"333")</f>
        <v>11863.65</v>
      </c>
    </row>
    <row r="69" customFormat="false" ht="15" hidden="false" customHeight="false" outlineLevel="0" collapsed="false">
      <c r="A69" s="2" t="n">
        <f aca="false">rtd("esrtd",,"*H","$NIFTY-NSE","Intraday_Date","I15 [09:15-15:30 L]",,"332")</f>
        <v>43775.7291666667</v>
      </c>
      <c r="B69" s="3" t="n">
        <f aca="false">rtd("esrtd",,"*H","$NIFTY-NSE","BarTime","I15 [09:15-15:30 L]",,"332")</f>
        <v>43775.4583333333</v>
      </c>
      <c r="C69" s="4" t="n">
        <f aca="false">rtd("esrtd",,"*H","$NIFTY-NSE","Open","I15 [09:15-15:30 L]",,"332")</f>
        <v>11863.75</v>
      </c>
      <c r="D69" s="4" t="n">
        <f aca="false">rtd("esrtd",,"*H","$NIFTY-NSE","High","I15 [09:15-15:30 L]",,"332")</f>
        <v>11872.55</v>
      </c>
      <c r="E69" s="4" t="n">
        <f aca="false">rtd("esrtd",,"*H","$NIFTY-NSE","Low","I15 [09:15-15:30 L]",,"332")</f>
        <v>11863</v>
      </c>
      <c r="F69" s="4" t="n">
        <f aca="false">rtd("esrtd",,"*H","$NIFTY-NSE","Last","I15 [09:15-15:30 L]",,"332")</f>
        <v>11865.6</v>
      </c>
    </row>
    <row r="70" customFormat="false" ht="15" hidden="false" customHeight="false" outlineLevel="0" collapsed="false">
      <c r="A70" s="2" t="n">
        <f aca="false">rtd("esrtd",,"*H","$NIFTY-NSE","Intraday_Date","I15 [09:15-15:30 L]",,"331")</f>
        <v>43775.7291666667</v>
      </c>
      <c r="B70" s="3" t="n">
        <f aca="false">rtd("esrtd",,"*H","$NIFTY-NSE","BarTime","I15 [09:15-15:30 L]",,"331")</f>
        <v>43775.46875</v>
      </c>
      <c r="C70" s="4" t="n">
        <f aca="false">rtd("esrtd",,"*H","$NIFTY-NSE","Open","I15 [09:15-15:30 L]",,"331")</f>
        <v>11865.65</v>
      </c>
      <c r="D70" s="4" t="n">
        <f aca="false">rtd("esrtd",,"*H","$NIFTY-NSE","High","I15 [09:15-15:30 L]",,"331")</f>
        <v>11887.1</v>
      </c>
      <c r="E70" s="4" t="n">
        <f aca="false">rtd("esrtd",,"*H","$NIFTY-NSE","Low","I15 [09:15-15:30 L]",,"331")</f>
        <v>11865.45</v>
      </c>
      <c r="F70" s="4" t="n">
        <f aca="false">rtd("esrtd",,"*H","$NIFTY-NSE","Last","I15 [09:15-15:30 L]",,"331")</f>
        <v>11879.8</v>
      </c>
    </row>
    <row r="71" customFormat="false" ht="15" hidden="false" customHeight="false" outlineLevel="0" collapsed="false">
      <c r="A71" s="2" t="n">
        <f aca="false">rtd("esrtd",,"*H","$NIFTY-NSE","Intraday_Date","I15 [09:15-15:30 L]",,"330")</f>
        <v>43775.7291666667</v>
      </c>
      <c r="B71" s="3" t="n">
        <f aca="false">rtd("esrtd",,"*H","$NIFTY-NSE","BarTime","I15 [09:15-15:30 L]",,"330")</f>
        <v>43775.4791666667</v>
      </c>
      <c r="C71" s="4" t="n">
        <f aca="false">rtd("esrtd",,"*H","$NIFTY-NSE","Open","I15 [09:15-15:30 L]",,"330")</f>
        <v>11879.9</v>
      </c>
      <c r="D71" s="4" t="n">
        <f aca="false">rtd("esrtd",,"*H","$NIFTY-NSE","High","I15 [09:15-15:30 L]",,"330")</f>
        <v>11950.15</v>
      </c>
      <c r="E71" s="4" t="n">
        <f aca="false">rtd("esrtd",,"*H","$NIFTY-NSE","Low","I15 [09:15-15:30 L]",,"330")</f>
        <v>11879.25</v>
      </c>
      <c r="F71" s="4" t="n">
        <f aca="false">rtd("esrtd",,"*H","$NIFTY-NSE","Last","I15 [09:15-15:30 L]",,"330")</f>
        <v>11944.65</v>
      </c>
    </row>
    <row r="72" customFormat="false" ht="15" hidden="false" customHeight="false" outlineLevel="0" collapsed="false">
      <c r="A72" s="2" t="n">
        <f aca="false">rtd("esrtd",,"*H","$NIFTY-NSE","Intraday_Date","I15 [09:15-15:30 L]",,"329")</f>
        <v>43775.7291666667</v>
      </c>
      <c r="B72" s="3" t="n">
        <f aca="false">rtd("esrtd",,"*H","$NIFTY-NSE","BarTime","I15 [09:15-15:30 L]",,"329")</f>
        <v>43775.4895833333</v>
      </c>
      <c r="C72" s="4" t="n">
        <f aca="false">rtd("esrtd",,"*H","$NIFTY-NSE","Open","I15 [09:15-15:30 L]",,"329")</f>
        <v>11945.1</v>
      </c>
      <c r="D72" s="4" t="n">
        <f aca="false">rtd("esrtd",,"*H","$NIFTY-NSE","High","I15 [09:15-15:30 L]",,"329")</f>
        <v>11945.25</v>
      </c>
      <c r="E72" s="4" t="n">
        <f aca="false">rtd("esrtd",,"*H","$NIFTY-NSE","Low","I15 [09:15-15:30 L]",,"329")</f>
        <v>11926.9</v>
      </c>
      <c r="F72" s="4" t="n">
        <f aca="false">rtd("esrtd",,"*H","$NIFTY-NSE","Last","I15 [09:15-15:30 L]",,"329")</f>
        <v>11934.2</v>
      </c>
    </row>
    <row r="73" customFormat="false" ht="15" hidden="false" customHeight="false" outlineLevel="0" collapsed="false">
      <c r="A73" s="2" t="n">
        <f aca="false">rtd("esrtd",,"*H","$NIFTY-NSE","Intraday_Date","I15 [09:15-15:30 L]",,"328")</f>
        <v>43775.7291666667</v>
      </c>
      <c r="B73" s="3" t="n">
        <f aca="false">rtd("esrtd",,"*H","$NIFTY-NSE","BarTime","I15 [09:15-15:30 L]",,"328")</f>
        <v>43775.5</v>
      </c>
      <c r="C73" s="4" t="n">
        <f aca="false">rtd("esrtd",,"*H","$NIFTY-NSE","Open","I15 [09:15-15:30 L]",,"328")</f>
        <v>11933.55</v>
      </c>
      <c r="D73" s="4" t="n">
        <f aca="false">rtd("esrtd",,"*H","$NIFTY-NSE","High","I15 [09:15-15:30 L]",,"328")</f>
        <v>11974.5</v>
      </c>
      <c r="E73" s="4" t="n">
        <f aca="false">rtd("esrtd",,"*H","$NIFTY-NSE","Low","I15 [09:15-15:30 L]",,"328")</f>
        <v>11933.55</v>
      </c>
      <c r="F73" s="4" t="n">
        <f aca="false">rtd("esrtd",,"*H","$NIFTY-NSE","Last","I15 [09:15-15:30 L]",,"328")</f>
        <v>11959.85</v>
      </c>
    </row>
    <row r="74" customFormat="false" ht="15" hidden="false" customHeight="false" outlineLevel="0" collapsed="false">
      <c r="A74" s="2" t="n">
        <f aca="false">rtd("esrtd",,"*H","$NIFTY-NSE","Intraday_Date","I15 [09:15-15:30 L]",,"327")</f>
        <v>43775.7291666667</v>
      </c>
      <c r="B74" s="3" t="n">
        <f aca="false">rtd("esrtd",,"*H","$NIFTY-NSE","BarTime","I15 [09:15-15:30 L]",,"327")</f>
        <v>43775.5104166667</v>
      </c>
      <c r="C74" s="4" t="n">
        <f aca="false">rtd("esrtd",,"*H","$NIFTY-NSE","Open","I15 [09:15-15:30 L]",,"327")</f>
        <v>11959.9</v>
      </c>
      <c r="D74" s="4" t="n">
        <f aca="false">rtd("esrtd",,"*H","$NIFTY-NSE","High","I15 [09:15-15:30 L]",,"327")</f>
        <v>11972.8</v>
      </c>
      <c r="E74" s="4" t="n">
        <f aca="false">rtd("esrtd",,"*H","$NIFTY-NSE","Low","I15 [09:15-15:30 L]",,"327")</f>
        <v>11957.4</v>
      </c>
      <c r="F74" s="4" t="n">
        <f aca="false">rtd("esrtd",,"*H","$NIFTY-NSE","Last","I15 [09:15-15:30 L]",,"327")</f>
        <v>11965.5</v>
      </c>
    </row>
    <row r="75" customFormat="false" ht="15" hidden="false" customHeight="false" outlineLevel="0" collapsed="false">
      <c r="A75" s="2" t="n">
        <f aca="false">rtd("esrtd",,"*H","$NIFTY-NSE","Intraday_Date","I15 [09:15-15:30 L]",,"326")</f>
        <v>43775.7291666667</v>
      </c>
      <c r="B75" s="3" t="n">
        <f aca="false">rtd("esrtd",,"*H","$NIFTY-NSE","BarTime","I15 [09:15-15:30 L]",,"326")</f>
        <v>43775.5208333333</v>
      </c>
      <c r="C75" s="4" t="n">
        <f aca="false">rtd("esrtd",,"*H","$NIFTY-NSE","Open","I15 [09:15-15:30 L]",,"326")</f>
        <v>11965.6</v>
      </c>
      <c r="D75" s="4" t="n">
        <f aca="false">rtd("esrtd",,"*H","$NIFTY-NSE","High","I15 [09:15-15:30 L]",,"326")</f>
        <v>11969.45</v>
      </c>
      <c r="E75" s="4" t="n">
        <f aca="false">rtd("esrtd",,"*H","$NIFTY-NSE","Low","I15 [09:15-15:30 L]",,"326")</f>
        <v>11943.9</v>
      </c>
      <c r="F75" s="4" t="n">
        <f aca="false">rtd("esrtd",,"*H","$NIFTY-NSE","Last","I15 [09:15-15:30 L]",,"326")</f>
        <v>11951.55</v>
      </c>
    </row>
    <row r="76" customFormat="false" ht="15" hidden="false" customHeight="false" outlineLevel="0" collapsed="false">
      <c r="A76" s="2" t="n">
        <f aca="false">rtd("esrtd",,"*H","$NIFTY-NSE","Intraday_Date","I15 [09:15-15:30 L]",,"325")</f>
        <v>43775.7291666667</v>
      </c>
      <c r="B76" s="3" t="n">
        <f aca="false">rtd("esrtd",,"*H","$NIFTY-NSE","BarTime","I15 [09:15-15:30 L]",,"325")</f>
        <v>43775.53125</v>
      </c>
      <c r="C76" s="4" t="n">
        <f aca="false">rtd("esrtd",,"*H","$NIFTY-NSE","Open","I15 [09:15-15:30 L]",,"325")</f>
        <v>11951.35</v>
      </c>
      <c r="D76" s="4" t="n">
        <f aca="false">rtd("esrtd",,"*H","$NIFTY-NSE","High","I15 [09:15-15:30 L]",,"325")</f>
        <v>11966</v>
      </c>
      <c r="E76" s="4" t="n">
        <f aca="false">rtd("esrtd",,"*H","$NIFTY-NSE","Low","I15 [09:15-15:30 L]",,"325")</f>
        <v>11948.9</v>
      </c>
      <c r="F76" s="4" t="n">
        <f aca="false">rtd("esrtd",,"*H","$NIFTY-NSE","Last","I15 [09:15-15:30 L]",,"325")</f>
        <v>11960.15</v>
      </c>
    </row>
    <row r="77" customFormat="false" ht="15" hidden="false" customHeight="false" outlineLevel="0" collapsed="false">
      <c r="A77" s="2" t="n">
        <f aca="false">rtd("esrtd",,"*H","$NIFTY-NSE","Intraday_Date","I15 [09:15-15:30 L]",,"324")</f>
        <v>43775.7291666667</v>
      </c>
      <c r="B77" s="3" t="n">
        <f aca="false">rtd("esrtd",,"*H","$NIFTY-NSE","BarTime","I15 [09:15-15:30 L]",,"324")</f>
        <v>43775.5416666667</v>
      </c>
      <c r="C77" s="4" t="n">
        <f aca="false">rtd("esrtd",,"*H","$NIFTY-NSE","Open","I15 [09:15-15:30 L]",,"324")</f>
        <v>11960.1</v>
      </c>
      <c r="D77" s="4" t="n">
        <f aca="false">rtd("esrtd",,"*H","$NIFTY-NSE","High","I15 [09:15-15:30 L]",,"324")</f>
        <v>11969.15</v>
      </c>
      <c r="E77" s="4" t="n">
        <f aca="false">rtd("esrtd",,"*H","$NIFTY-NSE","Low","I15 [09:15-15:30 L]",,"324")</f>
        <v>11956</v>
      </c>
      <c r="F77" s="4" t="n">
        <f aca="false">rtd("esrtd",,"*H","$NIFTY-NSE","Last","I15 [09:15-15:30 L]",,"324")</f>
        <v>11964.75</v>
      </c>
    </row>
    <row r="78" customFormat="false" ht="15" hidden="false" customHeight="false" outlineLevel="0" collapsed="false">
      <c r="A78" s="2" t="n">
        <f aca="false">rtd("esrtd",,"*H","$NIFTY-NSE","Intraday_Date","I15 [09:15-15:30 L]",,"323")</f>
        <v>43775.7291666667</v>
      </c>
      <c r="B78" s="3" t="n">
        <f aca="false">rtd("esrtd",,"*H","$NIFTY-NSE","BarTime","I15 [09:15-15:30 L]",,"323")</f>
        <v>43775.5520833333</v>
      </c>
      <c r="C78" s="4" t="n">
        <f aca="false">rtd("esrtd",,"*H","$NIFTY-NSE","Open","I15 [09:15-15:30 L]",,"323")</f>
        <v>11963.9</v>
      </c>
      <c r="D78" s="4" t="n">
        <f aca="false">rtd("esrtd",,"*H","$NIFTY-NSE","High","I15 [09:15-15:30 L]",,"323")</f>
        <v>11969.35</v>
      </c>
      <c r="E78" s="4" t="n">
        <f aca="false">rtd("esrtd",,"*H","$NIFTY-NSE","Low","I15 [09:15-15:30 L]",,"323")</f>
        <v>11961.5</v>
      </c>
      <c r="F78" s="4" t="n">
        <f aca="false">rtd("esrtd",,"*H","$NIFTY-NSE","Last","I15 [09:15-15:30 L]",,"323")</f>
        <v>11968.5</v>
      </c>
    </row>
    <row r="79" customFormat="false" ht="15" hidden="false" customHeight="false" outlineLevel="0" collapsed="false">
      <c r="A79" s="2" t="n">
        <f aca="false">rtd("esrtd",,"*H","$NIFTY-NSE","Intraday_Date","I15 [09:15-15:30 L]",,"322")</f>
        <v>43775.7291666667</v>
      </c>
      <c r="B79" s="3" t="n">
        <f aca="false">rtd("esrtd",,"*H","$NIFTY-NSE","BarTime","I15 [09:15-15:30 L]",,"322")</f>
        <v>43775.5625</v>
      </c>
      <c r="C79" s="4" t="n">
        <f aca="false">rtd("esrtd",,"*H","$NIFTY-NSE","Open","I15 [09:15-15:30 L]",,"322")</f>
        <v>11968.65</v>
      </c>
      <c r="D79" s="4" t="n">
        <f aca="false">rtd("esrtd",,"*H","$NIFTY-NSE","High","I15 [09:15-15:30 L]",,"322")</f>
        <v>11989.8</v>
      </c>
      <c r="E79" s="4" t="n">
        <f aca="false">rtd("esrtd",,"*H","$NIFTY-NSE","Low","I15 [09:15-15:30 L]",,"322")</f>
        <v>11967.95</v>
      </c>
      <c r="F79" s="4" t="n">
        <f aca="false">rtd("esrtd",,"*H","$NIFTY-NSE","Last","I15 [09:15-15:30 L]",,"322")</f>
        <v>11986.35</v>
      </c>
    </row>
    <row r="80" customFormat="false" ht="15" hidden="false" customHeight="false" outlineLevel="0" collapsed="false">
      <c r="A80" s="2" t="n">
        <f aca="false">rtd("esrtd",,"*H","$NIFTY-NSE","Intraday_Date","I15 [09:15-15:30 L]",,"321")</f>
        <v>43775.7291666667</v>
      </c>
      <c r="B80" s="3" t="n">
        <f aca="false">rtd("esrtd",,"*H","$NIFTY-NSE","BarTime","I15 [09:15-15:30 L]",,"321")</f>
        <v>43775.5729166667</v>
      </c>
      <c r="C80" s="4" t="n">
        <f aca="false">rtd("esrtd",,"*H","$NIFTY-NSE","Open","I15 [09:15-15:30 L]",,"321")</f>
        <v>11986.55</v>
      </c>
      <c r="D80" s="4" t="n">
        <f aca="false">rtd("esrtd",,"*H","$NIFTY-NSE","High","I15 [09:15-15:30 L]",,"321")</f>
        <v>11989.95</v>
      </c>
      <c r="E80" s="4" t="n">
        <f aca="false">rtd("esrtd",,"*H","$NIFTY-NSE","Low","I15 [09:15-15:30 L]",,"321")</f>
        <v>11976.95</v>
      </c>
      <c r="F80" s="4" t="n">
        <f aca="false">rtd("esrtd",,"*H","$NIFTY-NSE","Last","I15 [09:15-15:30 L]",,"321")</f>
        <v>11982.85</v>
      </c>
    </row>
    <row r="81" customFormat="false" ht="15" hidden="false" customHeight="false" outlineLevel="0" collapsed="false">
      <c r="A81" s="2" t="n">
        <f aca="false">rtd("esrtd",,"*H","$NIFTY-NSE","Intraday_Date","I15 [09:15-15:30 L]",,"320")</f>
        <v>43775.7291666667</v>
      </c>
      <c r="B81" s="3" t="n">
        <f aca="false">rtd("esrtd",,"*H","$NIFTY-NSE","BarTime","I15 [09:15-15:30 L]",,"320")</f>
        <v>43775.5833333333</v>
      </c>
      <c r="C81" s="4" t="n">
        <f aca="false">rtd("esrtd",,"*H","$NIFTY-NSE","Open","I15 [09:15-15:30 L]",,"320")</f>
        <v>11982.65</v>
      </c>
      <c r="D81" s="4" t="n">
        <f aca="false">rtd("esrtd",,"*H","$NIFTY-NSE","High","I15 [09:15-15:30 L]",,"320")</f>
        <v>12002.75</v>
      </c>
      <c r="E81" s="4" t="n">
        <f aca="false">rtd("esrtd",,"*H","$NIFTY-NSE","Low","I15 [09:15-15:30 L]",,"320")</f>
        <v>11981.35</v>
      </c>
      <c r="F81" s="4" t="n">
        <f aca="false">rtd("esrtd",,"*H","$NIFTY-NSE","Last","I15 [09:15-15:30 L]",,"320")</f>
        <v>11987.85</v>
      </c>
    </row>
    <row r="82" customFormat="false" ht="15" hidden="false" customHeight="false" outlineLevel="0" collapsed="false">
      <c r="A82" s="2" t="n">
        <f aca="false">rtd("esrtd",,"*H","$NIFTY-NSE","Intraday_Date","I15 [09:15-15:30 L]",,"319")</f>
        <v>43775.7291666667</v>
      </c>
      <c r="B82" s="3" t="n">
        <f aca="false">rtd("esrtd",,"*H","$NIFTY-NSE","BarTime","I15 [09:15-15:30 L]",,"319")</f>
        <v>43775.59375</v>
      </c>
      <c r="C82" s="4" t="n">
        <f aca="false">rtd("esrtd",,"*H","$NIFTY-NSE","Open","I15 [09:15-15:30 L]",,"319")</f>
        <v>11987.8</v>
      </c>
      <c r="D82" s="4" t="n">
        <f aca="false">rtd("esrtd",,"*H","$NIFTY-NSE","High","I15 [09:15-15:30 L]",,"319")</f>
        <v>12002.9</v>
      </c>
      <c r="E82" s="4" t="n">
        <f aca="false">rtd("esrtd",,"*H","$NIFTY-NSE","Low","I15 [09:15-15:30 L]",,"319")</f>
        <v>11985.8</v>
      </c>
      <c r="F82" s="4" t="n">
        <f aca="false">rtd("esrtd",,"*H","$NIFTY-NSE","Last","I15 [09:15-15:30 L]",,"319")</f>
        <v>11992.3</v>
      </c>
    </row>
    <row r="83" customFormat="false" ht="15" hidden="false" customHeight="false" outlineLevel="0" collapsed="false">
      <c r="A83" s="2" t="n">
        <f aca="false">rtd("esrtd",,"*H","$NIFTY-NSE","Intraday_Date","I15 [09:15-15:30 L]",,"318")</f>
        <v>43775.7291666667</v>
      </c>
      <c r="B83" s="3" t="n">
        <f aca="false">rtd("esrtd",,"*H","$NIFTY-NSE","BarTime","I15 [09:15-15:30 L]",,"318")</f>
        <v>43775.6041666667</v>
      </c>
      <c r="C83" s="4" t="n">
        <f aca="false">rtd("esrtd",,"*H","$NIFTY-NSE","Open","I15 [09:15-15:30 L]",,"318")</f>
        <v>11992</v>
      </c>
      <c r="D83" s="4" t="n">
        <f aca="false">rtd("esrtd",,"*H","$NIFTY-NSE","High","I15 [09:15-15:30 L]",,"318")</f>
        <v>12000.2</v>
      </c>
      <c r="E83" s="4" t="n">
        <f aca="false">rtd("esrtd",,"*H","$NIFTY-NSE","Low","I15 [09:15-15:30 L]",,"318")</f>
        <v>11984.35</v>
      </c>
      <c r="F83" s="4" t="n">
        <f aca="false">rtd("esrtd",,"*H","$NIFTY-NSE","Last","I15 [09:15-15:30 L]",,"318")</f>
        <v>11990.25</v>
      </c>
    </row>
    <row r="84" customFormat="false" ht="15" hidden="false" customHeight="false" outlineLevel="0" collapsed="false">
      <c r="A84" s="2" t="n">
        <f aca="false">rtd("esrtd",,"*H","$NIFTY-NSE","Intraday_Date","I15 [09:15-15:30 L]",,"317")</f>
        <v>43775.7291666667</v>
      </c>
      <c r="B84" s="3" t="n">
        <f aca="false">rtd("esrtd",,"*H","$NIFTY-NSE","BarTime","I15 [09:15-15:30 L]",,"317")</f>
        <v>43775.6145833333</v>
      </c>
      <c r="C84" s="4" t="n">
        <f aca="false">rtd("esrtd",,"*H","$NIFTY-NSE","Open","I15 [09:15-15:30 L]",,"317")</f>
        <v>11990.4</v>
      </c>
      <c r="D84" s="4" t="n">
        <f aca="false">rtd("esrtd",,"*H","$NIFTY-NSE","High","I15 [09:15-15:30 L]",,"317")</f>
        <v>11995.3</v>
      </c>
      <c r="E84" s="4" t="n">
        <f aca="false">rtd("esrtd",,"*H","$NIFTY-NSE","Low","I15 [09:15-15:30 L]",,"317")</f>
        <v>11981.9</v>
      </c>
      <c r="F84" s="4" t="n">
        <f aca="false">rtd("esrtd",,"*H","$NIFTY-NSE","Last","I15 [09:15-15:30 L]",,"317")</f>
        <v>11989.5</v>
      </c>
    </row>
    <row r="85" customFormat="false" ht="15" hidden="false" customHeight="false" outlineLevel="0" collapsed="false">
      <c r="A85" s="2" t="n">
        <f aca="false">rtd("esrtd",,"*H","$NIFTY-NSE","Intraday_Date","I15 [09:15-15:30 L]",,"316")</f>
        <v>43775.7291666667</v>
      </c>
      <c r="B85" s="3" t="n">
        <f aca="false">rtd("esrtd",,"*H","$NIFTY-NSE","BarTime","I15 [09:15-15:30 L]",,"316")</f>
        <v>43775.625</v>
      </c>
      <c r="C85" s="4" t="n">
        <f aca="false">rtd("esrtd",,"*H","$NIFTY-NSE","Open","I15 [09:15-15:30 L]",,"316")</f>
        <v>11989.8</v>
      </c>
      <c r="D85" s="4" t="n">
        <f aca="false">rtd("esrtd",,"*H","$NIFTY-NSE","High","I15 [09:15-15:30 L]",,"316")</f>
        <v>11989.8</v>
      </c>
      <c r="E85" s="4" t="n">
        <f aca="false">rtd("esrtd",,"*H","$NIFTY-NSE","Low","I15 [09:15-15:30 L]",,"316")</f>
        <v>11960.85</v>
      </c>
      <c r="F85" s="4" t="n">
        <f aca="false">rtd("esrtd",,"*H","$NIFTY-NSE","Last","I15 [09:15-15:30 L]",,"316")</f>
        <v>11965.4</v>
      </c>
    </row>
    <row r="86" customFormat="false" ht="15" hidden="false" customHeight="false" outlineLevel="0" collapsed="false">
      <c r="A86" s="2" t="n">
        <f aca="false">rtd("esrtd",,"*H","$NIFTY-NSE","Intraday_Date","I15 [09:15-15:30 L]",,"315")</f>
        <v>43775.7291666667</v>
      </c>
      <c r="B86" s="3" t="n">
        <f aca="false">rtd("esrtd",,"*H","$NIFTY-NSE","BarTime","I15 [09:15-15:30 L]",,"315")</f>
        <v>43775.6354166667</v>
      </c>
      <c r="C86" s="4" t="n">
        <f aca="false">rtd("esrtd",,"*H","$NIFTY-NSE","Open","I15 [09:15-15:30 L]",,"315")</f>
        <v>11965.3</v>
      </c>
      <c r="D86" s="4" t="n">
        <f aca="false">rtd("esrtd",,"*H","$NIFTY-NSE","High","I15 [09:15-15:30 L]",,"315")</f>
        <v>11969.15</v>
      </c>
      <c r="E86" s="4" t="n">
        <f aca="false">rtd("esrtd",,"*H","$NIFTY-NSE","Low","I15 [09:15-15:30 L]",,"315")</f>
        <v>11956.7</v>
      </c>
      <c r="F86" s="4" t="n">
        <f aca="false">rtd("esrtd",,"*H","$NIFTY-NSE","Last","I15 [09:15-15:30 L]",,"315")</f>
        <v>11960.25</v>
      </c>
    </row>
    <row r="87" customFormat="false" ht="15" hidden="false" customHeight="false" outlineLevel="0" collapsed="false">
      <c r="A87" s="2" t="n">
        <f aca="false">rtd("esrtd",,"*H","$NIFTY-NSE","Intraday_Date","I15 [09:15-15:30 L]",,"314")</f>
        <v>43776.7291666667</v>
      </c>
      <c r="B87" s="3" t="n">
        <f aca="false">rtd("esrtd",,"*H","$NIFTY-NSE","BarTime","I15 [09:15-15:30 L]",,"314")</f>
        <v>43776.3854166667</v>
      </c>
      <c r="C87" s="4" t="n">
        <f aca="false">rtd("esrtd",,"*H","$NIFTY-NSE","Open","I15 [09:15-15:30 L]",,"314")</f>
        <v>12021.4</v>
      </c>
      <c r="D87" s="4" t="n">
        <f aca="false">rtd("esrtd",,"*H","$NIFTY-NSE","High","I15 [09:15-15:30 L]",,"314")</f>
        <v>12021.4</v>
      </c>
      <c r="E87" s="4" t="n">
        <f aca="false">rtd("esrtd",,"*H","$NIFTY-NSE","Low","I15 [09:15-15:30 L]",,"314")</f>
        <v>11994.25</v>
      </c>
      <c r="F87" s="4" t="n">
        <f aca="false">rtd("esrtd",,"*H","$NIFTY-NSE","Last","I15 [09:15-15:30 L]",,"314")</f>
        <v>12006.85</v>
      </c>
    </row>
    <row r="88" customFormat="false" ht="15" hidden="false" customHeight="false" outlineLevel="0" collapsed="false">
      <c r="A88" s="2" t="n">
        <f aca="false">rtd("esrtd",,"*H","$NIFTY-NSE","Intraday_Date","I15 [09:15-15:30 L]",,"313")</f>
        <v>43776.7291666667</v>
      </c>
      <c r="B88" s="3" t="n">
        <f aca="false">rtd("esrtd",,"*H","$NIFTY-NSE","BarTime","I15 [09:15-15:30 L]",,"313")</f>
        <v>43776.3958333333</v>
      </c>
      <c r="C88" s="4" t="n">
        <f aca="false">rtd("esrtd",,"*H","$NIFTY-NSE","Open","I15 [09:15-15:30 L]",,"313")</f>
        <v>12007.15</v>
      </c>
      <c r="D88" s="4" t="n">
        <f aca="false">rtd("esrtd",,"*H","$NIFTY-NSE","High","I15 [09:15-15:30 L]",,"313")</f>
        <v>12020.15</v>
      </c>
      <c r="E88" s="4" t="n">
        <f aca="false">rtd("esrtd",,"*H","$NIFTY-NSE","Low","I15 [09:15-15:30 L]",,"313")</f>
        <v>12004.9</v>
      </c>
      <c r="F88" s="4" t="n">
        <f aca="false">rtd("esrtd",,"*H","$NIFTY-NSE","Last","I15 [09:15-15:30 L]",,"313")</f>
        <v>12012.8</v>
      </c>
    </row>
    <row r="89" customFormat="false" ht="15" hidden="false" customHeight="false" outlineLevel="0" collapsed="false">
      <c r="A89" s="2" t="n">
        <f aca="false">rtd("esrtd",,"*H","$NIFTY-NSE","Intraday_Date","I15 [09:15-15:30 L]",,"312")</f>
        <v>43776.7291666667</v>
      </c>
      <c r="B89" s="3" t="n">
        <f aca="false">rtd("esrtd",,"*H","$NIFTY-NSE","BarTime","I15 [09:15-15:30 L]",,"312")</f>
        <v>43776.40625</v>
      </c>
      <c r="C89" s="4" t="n">
        <f aca="false">rtd("esrtd",,"*H","$NIFTY-NSE","Open","I15 [09:15-15:30 L]",,"312")</f>
        <v>12012.55</v>
      </c>
      <c r="D89" s="4" t="n">
        <f aca="false">rtd("esrtd",,"*H","$NIFTY-NSE","High","I15 [09:15-15:30 L]",,"312")</f>
        <v>12013.9</v>
      </c>
      <c r="E89" s="4" t="n">
        <f aca="false">rtd("esrtd",,"*H","$NIFTY-NSE","Low","I15 [09:15-15:30 L]",,"312")</f>
        <v>11983.75</v>
      </c>
      <c r="F89" s="4" t="n">
        <f aca="false">rtd("esrtd",,"*H","$NIFTY-NSE","Last","I15 [09:15-15:30 L]",,"312")</f>
        <v>11990.55</v>
      </c>
    </row>
    <row r="90" customFormat="false" ht="15" hidden="false" customHeight="false" outlineLevel="0" collapsed="false">
      <c r="A90" s="2" t="n">
        <f aca="false">rtd("esrtd",,"*H","$NIFTY-NSE","Intraday_Date","I15 [09:15-15:30 L]",,"311")</f>
        <v>43776.7291666667</v>
      </c>
      <c r="B90" s="3" t="n">
        <f aca="false">rtd("esrtd",,"*H","$NIFTY-NSE","BarTime","I15 [09:15-15:30 L]",,"311")</f>
        <v>43776.4166666667</v>
      </c>
      <c r="C90" s="4" t="n">
        <f aca="false">rtd("esrtd",,"*H","$NIFTY-NSE","Open","I15 [09:15-15:30 L]",,"311")</f>
        <v>11990.35</v>
      </c>
      <c r="D90" s="4" t="n">
        <f aca="false">rtd("esrtd",,"*H","$NIFTY-NSE","High","I15 [09:15-15:30 L]",,"311")</f>
        <v>12001.25</v>
      </c>
      <c r="E90" s="4" t="n">
        <f aca="false">rtd("esrtd",,"*H","$NIFTY-NSE","Low","I15 [09:15-15:30 L]",,"311")</f>
        <v>11979.7</v>
      </c>
      <c r="F90" s="4" t="n">
        <f aca="false">rtd("esrtd",,"*H","$NIFTY-NSE","Last","I15 [09:15-15:30 L]",,"311")</f>
        <v>11981.95</v>
      </c>
    </row>
    <row r="91" customFormat="false" ht="15" hidden="false" customHeight="false" outlineLevel="0" collapsed="false">
      <c r="A91" s="2" t="n">
        <f aca="false">rtd("esrtd",,"*H","$NIFTY-NSE","Intraday_Date","I15 [09:15-15:30 L]",,"310")</f>
        <v>43776.7291666667</v>
      </c>
      <c r="B91" s="3" t="n">
        <f aca="false">rtd("esrtd",,"*H","$NIFTY-NSE","BarTime","I15 [09:15-15:30 L]",,"310")</f>
        <v>43776.4270833333</v>
      </c>
      <c r="C91" s="4" t="n">
        <f aca="false">rtd("esrtd",,"*H","$NIFTY-NSE","Open","I15 [09:15-15:30 L]",,"310")</f>
        <v>11982.45</v>
      </c>
      <c r="D91" s="4" t="n">
        <f aca="false">rtd("esrtd",,"*H","$NIFTY-NSE","High","I15 [09:15-15:30 L]",,"310")</f>
        <v>11986.55</v>
      </c>
      <c r="E91" s="4" t="n">
        <f aca="false">rtd("esrtd",,"*H","$NIFTY-NSE","Low","I15 [09:15-15:30 L]",,"310")</f>
        <v>11960.75</v>
      </c>
      <c r="F91" s="4" t="n">
        <f aca="false">rtd("esrtd",,"*H","$NIFTY-NSE","Last","I15 [09:15-15:30 L]",,"310")</f>
        <v>11983</v>
      </c>
    </row>
    <row r="92" customFormat="false" ht="15" hidden="false" customHeight="false" outlineLevel="0" collapsed="false">
      <c r="A92" s="2" t="n">
        <f aca="false">rtd("esrtd",,"*H","$NIFTY-NSE","Intraday_Date","I15 [09:15-15:30 L]",,"309")</f>
        <v>43776.7291666667</v>
      </c>
      <c r="B92" s="3" t="n">
        <f aca="false">rtd("esrtd",,"*H","$NIFTY-NSE","BarTime","I15 [09:15-15:30 L]",,"309")</f>
        <v>43776.4375</v>
      </c>
      <c r="C92" s="4" t="n">
        <f aca="false">rtd("esrtd",,"*H","$NIFTY-NSE","Open","I15 [09:15-15:30 L]",,"309")</f>
        <v>11984</v>
      </c>
      <c r="D92" s="4" t="n">
        <f aca="false">rtd("esrtd",,"*H","$NIFTY-NSE","High","I15 [09:15-15:30 L]",,"309")</f>
        <v>11989.1</v>
      </c>
      <c r="E92" s="4" t="n">
        <f aca="false">rtd("esrtd",,"*H","$NIFTY-NSE","Low","I15 [09:15-15:30 L]",,"309")</f>
        <v>11978.25</v>
      </c>
      <c r="F92" s="4" t="n">
        <f aca="false">rtd("esrtd",,"*H","$NIFTY-NSE","Last","I15 [09:15-15:30 L]",,"309")</f>
        <v>11983</v>
      </c>
    </row>
    <row r="93" customFormat="false" ht="15" hidden="false" customHeight="false" outlineLevel="0" collapsed="false">
      <c r="A93" s="2" t="n">
        <f aca="false">rtd("esrtd",,"*H","$NIFTY-NSE","Intraday_Date","I15 [09:15-15:30 L]",,"308")</f>
        <v>43776.7291666667</v>
      </c>
      <c r="B93" s="3" t="n">
        <f aca="false">rtd("esrtd",,"*H","$NIFTY-NSE","BarTime","I15 [09:15-15:30 L]",,"308")</f>
        <v>43776.4479166667</v>
      </c>
      <c r="C93" s="4" t="n">
        <f aca="false">rtd("esrtd",,"*H","$NIFTY-NSE","Open","I15 [09:15-15:30 L]",,"308")</f>
        <v>11982.45</v>
      </c>
      <c r="D93" s="4" t="n">
        <f aca="false">rtd("esrtd",,"*H","$NIFTY-NSE","High","I15 [09:15-15:30 L]",,"308")</f>
        <v>11987.65</v>
      </c>
      <c r="E93" s="4" t="n">
        <f aca="false">rtd("esrtd",,"*H","$NIFTY-NSE","Low","I15 [09:15-15:30 L]",,"308")</f>
        <v>11971.75</v>
      </c>
      <c r="F93" s="4" t="n">
        <f aca="false">rtd("esrtd",,"*H","$NIFTY-NSE","Last","I15 [09:15-15:30 L]",,"308")</f>
        <v>11987.2</v>
      </c>
    </row>
    <row r="94" customFormat="false" ht="15" hidden="false" customHeight="false" outlineLevel="0" collapsed="false">
      <c r="A94" s="2" t="n">
        <f aca="false">rtd("esrtd",,"*H","$NIFTY-NSE","Intraday_Date","I15 [09:15-15:30 L]",,"307")</f>
        <v>43776.7291666667</v>
      </c>
      <c r="B94" s="3" t="n">
        <f aca="false">rtd("esrtd",,"*H","$NIFTY-NSE","BarTime","I15 [09:15-15:30 L]",,"307")</f>
        <v>43776.4583333333</v>
      </c>
      <c r="C94" s="4" t="n">
        <f aca="false">rtd("esrtd",,"*H","$NIFTY-NSE","Open","I15 [09:15-15:30 L]",,"307")</f>
        <v>11987.3</v>
      </c>
      <c r="D94" s="4" t="n">
        <f aca="false">rtd("esrtd",,"*H","$NIFTY-NSE","High","I15 [09:15-15:30 L]",,"307")</f>
        <v>11989.95</v>
      </c>
      <c r="E94" s="4" t="n">
        <f aca="false">rtd("esrtd",,"*H","$NIFTY-NSE","Low","I15 [09:15-15:30 L]",,"307")</f>
        <v>11974.45</v>
      </c>
      <c r="F94" s="4" t="n">
        <f aca="false">rtd("esrtd",,"*H","$NIFTY-NSE","Last","I15 [09:15-15:30 L]",,"307")</f>
        <v>11981.55</v>
      </c>
    </row>
    <row r="95" customFormat="false" ht="15" hidden="false" customHeight="false" outlineLevel="0" collapsed="false">
      <c r="A95" s="2" t="n">
        <f aca="false">rtd("esrtd",,"*H","$NIFTY-NSE","Intraday_Date","I15 [09:15-15:30 L]",,"306")</f>
        <v>43776.7291666667</v>
      </c>
      <c r="B95" s="3" t="n">
        <f aca="false">rtd("esrtd",,"*H","$NIFTY-NSE","BarTime","I15 [09:15-15:30 L]",,"306")</f>
        <v>43776.46875</v>
      </c>
      <c r="C95" s="4" t="n">
        <f aca="false">rtd("esrtd",,"*H","$NIFTY-NSE","Open","I15 [09:15-15:30 L]",,"306")</f>
        <v>11981.35</v>
      </c>
      <c r="D95" s="4" t="n">
        <f aca="false">rtd("esrtd",,"*H","$NIFTY-NSE","High","I15 [09:15-15:30 L]",,"306")</f>
        <v>11982.1</v>
      </c>
      <c r="E95" s="4" t="n">
        <f aca="false">rtd("esrtd",,"*H","$NIFTY-NSE","Low","I15 [09:15-15:30 L]",,"306")</f>
        <v>11966.55</v>
      </c>
      <c r="F95" s="4" t="n">
        <f aca="false">rtd("esrtd",,"*H","$NIFTY-NSE","Last","I15 [09:15-15:30 L]",,"306")</f>
        <v>11979.45</v>
      </c>
    </row>
    <row r="96" customFormat="false" ht="15" hidden="false" customHeight="false" outlineLevel="0" collapsed="false">
      <c r="A96" s="2" t="n">
        <f aca="false">rtd("esrtd",,"*H","$NIFTY-NSE","Intraday_Date","I15 [09:15-15:30 L]",,"305")</f>
        <v>43776.7291666667</v>
      </c>
      <c r="B96" s="3" t="n">
        <f aca="false">rtd("esrtd",,"*H","$NIFTY-NSE","BarTime","I15 [09:15-15:30 L]",,"305")</f>
        <v>43776.4791666667</v>
      </c>
      <c r="C96" s="4" t="n">
        <f aca="false">rtd("esrtd",,"*H","$NIFTY-NSE","Open","I15 [09:15-15:30 L]",,"305")</f>
        <v>11979.6</v>
      </c>
      <c r="D96" s="4" t="n">
        <f aca="false">rtd("esrtd",,"*H","$NIFTY-NSE","High","I15 [09:15-15:30 L]",,"305")</f>
        <v>11985.75</v>
      </c>
      <c r="E96" s="4" t="n">
        <f aca="false">rtd("esrtd",,"*H","$NIFTY-NSE","Low","I15 [09:15-15:30 L]",,"305")</f>
        <v>11973.5</v>
      </c>
      <c r="F96" s="4" t="n">
        <f aca="false">rtd("esrtd",,"*H","$NIFTY-NSE","Last","I15 [09:15-15:30 L]",,"305")</f>
        <v>11973.85</v>
      </c>
    </row>
    <row r="97" customFormat="false" ht="15" hidden="false" customHeight="false" outlineLevel="0" collapsed="false">
      <c r="A97" s="2" t="n">
        <f aca="false">rtd("esrtd",,"*H","$NIFTY-NSE","Intraday_Date","I15 [09:15-15:30 L]",,"304")</f>
        <v>43776.7291666667</v>
      </c>
      <c r="B97" s="3" t="n">
        <f aca="false">rtd("esrtd",,"*H","$NIFTY-NSE","BarTime","I15 [09:15-15:30 L]",,"304")</f>
        <v>43776.4895833333</v>
      </c>
      <c r="C97" s="4" t="n">
        <f aca="false">rtd("esrtd",,"*H","$NIFTY-NSE","Open","I15 [09:15-15:30 L]",,"304")</f>
        <v>11974.05</v>
      </c>
      <c r="D97" s="4" t="n">
        <f aca="false">rtd("esrtd",,"*H","$NIFTY-NSE","High","I15 [09:15-15:30 L]",,"304")</f>
        <v>11982.6</v>
      </c>
      <c r="E97" s="4" t="n">
        <f aca="false">rtd("esrtd",,"*H","$NIFTY-NSE","Low","I15 [09:15-15:30 L]",,"304")</f>
        <v>11973.75</v>
      </c>
      <c r="F97" s="4" t="n">
        <f aca="false">rtd("esrtd",,"*H","$NIFTY-NSE","Last","I15 [09:15-15:30 L]",,"304")</f>
        <v>11978.3</v>
      </c>
    </row>
    <row r="98" customFormat="false" ht="15" hidden="false" customHeight="false" outlineLevel="0" collapsed="false">
      <c r="A98" s="2" t="n">
        <f aca="false">rtd("esrtd",,"*H","$NIFTY-NSE","Intraday_Date","I15 [09:15-15:30 L]",,"303")</f>
        <v>43776.7291666667</v>
      </c>
      <c r="B98" s="3" t="n">
        <f aca="false">rtd("esrtd",,"*H","$NIFTY-NSE","BarTime","I15 [09:15-15:30 L]",,"303")</f>
        <v>43776.5</v>
      </c>
      <c r="C98" s="4" t="n">
        <f aca="false">rtd("esrtd",,"*H","$NIFTY-NSE","Open","I15 [09:15-15:30 L]",,"303")</f>
        <v>11978.2</v>
      </c>
      <c r="D98" s="4" t="n">
        <f aca="false">rtd("esrtd",,"*H","$NIFTY-NSE","High","I15 [09:15-15:30 L]",,"303")</f>
        <v>11986.15</v>
      </c>
      <c r="E98" s="4" t="n">
        <f aca="false">rtd("esrtd",,"*H","$NIFTY-NSE","Low","I15 [09:15-15:30 L]",,"303")</f>
        <v>11969.05</v>
      </c>
      <c r="F98" s="4" t="n">
        <f aca="false">rtd("esrtd",,"*H","$NIFTY-NSE","Last","I15 [09:15-15:30 L]",,"303")</f>
        <v>11983.2</v>
      </c>
    </row>
    <row r="99" customFormat="false" ht="15" hidden="false" customHeight="false" outlineLevel="0" collapsed="false">
      <c r="A99" s="2" t="n">
        <f aca="false">rtd("esrtd",,"*H","$NIFTY-NSE","Intraday_Date","I15 [09:15-15:30 L]",,"302")</f>
        <v>43776.7291666667</v>
      </c>
      <c r="B99" s="3" t="n">
        <f aca="false">rtd("esrtd",,"*H","$NIFTY-NSE","BarTime","I15 [09:15-15:30 L]",,"302")</f>
        <v>43776.5104166667</v>
      </c>
      <c r="C99" s="4" t="n">
        <f aca="false">rtd("esrtd",,"*H","$NIFTY-NSE","Open","I15 [09:15-15:30 L]",,"302")</f>
        <v>11982.75</v>
      </c>
      <c r="D99" s="4" t="n">
        <f aca="false">rtd("esrtd",,"*H","$NIFTY-NSE","High","I15 [09:15-15:30 L]",,"302")</f>
        <v>11982.8</v>
      </c>
      <c r="E99" s="4" t="n">
        <f aca="false">rtd("esrtd",,"*H","$NIFTY-NSE","Low","I15 [09:15-15:30 L]",,"302")</f>
        <v>11969.15</v>
      </c>
      <c r="F99" s="4" t="n">
        <f aca="false">rtd("esrtd",,"*H","$NIFTY-NSE","Last","I15 [09:15-15:30 L]",,"302")</f>
        <v>11969.15</v>
      </c>
    </row>
    <row r="100" customFormat="false" ht="15" hidden="false" customHeight="false" outlineLevel="0" collapsed="false">
      <c r="A100" s="2" t="n">
        <f aca="false">rtd("esrtd",,"*H","$NIFTY-NSE","Intraday_Date","I15 [09:15-15:30 L]",,"301")</f>
        <v>43776.7291666667</v>
      </c>
      <c r="B100" s="3" t="n">
        <f aca="false">rtd("esrtd",,"*H","$NIFTY-NSE","BarTime","I15 [09:15-15:30 L]",,"301")</f>
        <v>43776.5208333333</v>
      </c>
      <c r="C100" s="4" t="n">
        <f aca="false">rtd("esrtd",,"*H","$NIFTY-NSE","Open","I15 [09:15-15:30 L]",,"301")</f>
        <v>11969.7</v>
      </c>
      <c r="D100" s="4" t="n">
        <f aca="false">rtd("esrtd",,"*H","$NIFTY-NSE","High","I15 [09:15-15:30 L]",,"301")</f>
        <v>11970.45</v>
      </c>
      <c r="E100" s="4" t="n">
        <f aca="false">rtd("esrtd",,"*H","$NIFTY-NSE","Low","I15 [09:15-15:30 L]",,"301")</f>
        <v>11946.85</v>
      </c>
      <c r="F100" s="4" t="n">
        <f aca="false">rtd("esrtd",,"*H","$NIFTY-NSE","Last","I15 [09:15-15:30 L]",,"301")</f>
        <v>11951.45</v>
      </c>
    </row>
    <row r="101" customFormat="false" ht="15" hidden="false" customHeight="false" outlineLevel="0" collapsed="false">
      <c r="A101" s="2" t="n">
        <f aca="false">rtd("esrtd",,"*H","$NIFTY-NSE","Intraday_Date","I15 [09:15-15:30 L]",,"300")</f>
        <v>43776.7291666667</v>
      </c>
      <c r="B101" s="3" t="n">
        <f aca="false">rtd("esrtd",,"*H","$NIFTY-NSE","BarTime","I15 [09:15-15:30 L]",,"300")</f>
        <v>43776.53125</v>
      </c>
      <c r="C101" s="4" t="n">
        <f aca="false">rtd("esrtd",,"*H","$NIFTY-NSE","Open","I15 [09:15-15:30 L]",,"300")</f>
        <v>11951.2</v>
      </c>
      <c r="D101" s="4" t="n">
        <f aca="false">rtd("esrtd",,"*H","$NIFTY-NSE","High","I15 [09:15-15:30 L]",,"300")</f>
        <v>12007.4</v>
      </c>
      <c r="E101" s="4" t="n">
        <f aca="false">rtd("esrtd",,"*H","$NIFTY-NSE","Low","I15 [09:15-15:30 L]",,"300")</f>
        <v>11947.5</v>
      </c>
      <c r="F101" s="4" t="n">
        <f aca="false">rtd("esrtd",,"*H","$NIFTY-NSE","Last","I15 [09:15-15:30 L]",,"300")</f>
        <v>12003.2</v>
      </c>
    </row>
    <row r="102" customFormat="false" ht="15" hidden="false" customHeight="false" outlineLevel="0" collapsed="false">
      <c r="A102" s="2" t="n">
        <f aca="false">rtd("esrtd",,"*H","$NIFTY-NSE","Intraday_Date","I15 [09:15-15:30 L]",,"299")</f>
        <v>43776.7291666667</v>
      </c>
      <c r="B102" s="3" t="n">
        <f aca="false">rtd("esrtd",,"*H","$NIFTY-NSE","BarTime","I15 [09:15-15:30 L]",,"299")</f>
        <v>43776.5416666667</v>
      </c>
      <c r="C102" s="4" t="n">
        <f aca="false">rtd("esrtd",,"*H","$NIFTY-NSE","Open","I15 [09:15-15:30 L]",,"299")</f>
        <v>12004.8</v>
      </c>
      <c r="D102" s="4" t="n">
        <f aca="false">rtd("esrtd",,"*H","$NIFTY-NSE","High","I15 [09:15-15:30 L]",,"299")</f>
        <v>12007.75</v>
      </c>
      <c r="E102" s="4" t="n">
        <f aca="false">rtd("esrtd",,"*H","$NIFTY-NSE","Low","I15 [09:15-15:30 L]",,"299")</f>
        <v>11990.65</v>
      </c>
      <c r="F102" s="4" t="n">
        <f aca="false">rtd("esrtd",,"*H","$NIFTY-NSE","Last","I15 [09:15-15:30 L]",,"299")</f>
        <v>11991.9</v>
      </c>
    </row>
    <row r="103" customFormat="false" ht="15" hidden="false" customHeight="false" outlineLevel="0" collapsed="false">
      <c r="A103" s="2" t="n">
        <f aca="false">rtd("esrtd",,"*H","$NIFTY-NSE","Intraday_Date","I15 [09:15-15:30 L]",,"298")</f>
        <v>43776.7291666667</v>
      </c>
      <c r="B103" s="3" t="n">
        <f aca="false">rtd("esrtd",,"*H","$NIFTY-NSE","BarTime","I15 [09:15-15:30 L]",,"298")</f>
        <v>43776.5520833333</v>
      </c>
      <c r="C103" s="4" t="n">
        <f aca="false">rtd("esrtd",,"*H","$NIFTY-NSE","Open","I15 [09:15-15:30 L]",,"298")</f>
        <v>11991.75</v>
      </c>
      <c r="D103" s="4" t="n">
        <f aca="false">rtd("esrtd",,"*H","$NIFTY-NSE","High","I15 [09:15-15:30 L]",,"298")</f>
        <v>12002.7</v>
      </c>
      <c r="E103" s="4" t="n">
        <f aca="false">rtd("esrtd",,"*H","$NIFTY-NSE","Low","I15 [09:15-15:30 L]",,"298")</f>
        <v>11984.25</v>
      </c>
      <c r="F103" s="4" t="n">
        <f aca="false">rtd("esrtd",,"*H","$NIFTY-NSE","Last","I15 [09:15-15:30 L]",,"298")</f>
        <v>11991.65</v>
      </c>
    </row>
    <row r="104" customFormat="false" ht="15" hidden="false" customHeight="false" outlineLevel="0" collapsed="false">
      <c r="A104" s="2" t="n">
        <f aca="false">rtd("esrtd",,"*H","$NIFTY-NSE","Intraday_Date","I15 [09:15-15:30 L]",,"297")</f>
        <v>43776.7291666667</v>
      </c>
      <c r="B104" s="3" t="n">
        <f aca="false">rtd("esrtd",,"*H","$NIFTY-NSE","BarTime","I15 [09:15-15:30 L]",,"297")</f>
        <v>43776.5625</v>
      </c>
      <c r="C104" s="4" t="n">
        <f aca="false">rtd("esrtd",,"*H","$NIFTY-NSE","Open","I15 [09:15-15:30 L]",,"297")</f>
        <v>11991.6</v>
      </c>
      <c r="D104" s="4" t="n">
        <f aca="false">rtd("esrtd",,"*H","$NIFTY-NSE","High","I15 [09:15-15:30 L]",,"297")</f>
        <v>12004.35</v>
      </c>
      <c r="E104" s="4" t="n">
        <f aca="false">rtd("esrtd",,"*H","$NIFTY-NSE","Low","I15 [09:15-15:30 L]",,"297")</f>
        <v>11989.75</v>
      </c>
      <c r="F104" s="4" t="n">
        <f aca="false">rtd("esrtd",,"*H","$NIFTY-NSE","Last","I15 [09:15-15:30 L]",,"297")</f>
        <v>11998.95</v>
      </c>
    </row>
    <row r="105" customFormat="false" ht="15" hidden="false" customHeight="false" outlineLevel="0" collapsed="false">
      <c r="A105" s="2" t="n">
        <f aca="false">rtd("esrtd",,"*H","$NIFTY-NSE","Intraday_Date","I15 [09:15-15:30 L]",,"296")</f>
        <v>43776.7291666667</v>
      </c>
      <c r="B105" s="3" t="n">
        <f aca="false">rtd("esrtd",,"*H","$NIFTY-NSE","BarTime","I15 [09:15-15:30 L]",,"296")</f>
        <v>43776.5729166667</v>
      </c>
      <c r="C105" s="4" t="n">
        <f aca="false">rtd("esrtd",,"*H","$NIFTY-NSE","Open","I15 [09:15-15:30 L]",,"296")</f>
        <v>11999.05</v>
      </c>
      <c r="D105" s="4" t="n">
        <f aca="false">rtd("esrtd",,"*H","$NIFTY-NSE","High","I15 [09:15-15:30 L]",,"296")</f>
        <v>12001.5</v>
      </c>
      <c r="E105" s="4" t="n">
        <f aca="false">rtd("esrtd",,"*H","$NIFTY-NSE","Low","I15 [09:15-15:30 L]",,"296")</f>
        <v>11986.45</v>
      </c>
      <c r="F105" s="4" t="n">
        <f aca="false">rtd("esrtd",,"*H","$NIFTY-NSE","Last","I15 [09:15-15:30 L]",,"296")</f>
        <v>11998.55</v>
      </c>
    </row>
    <row r="106" customFormat="false" ht="15" hidden="false" customHeight="false" outlineLevel="0" collapsed="false">
      <c r="A106" s="2" t="n">
        <f aca="false">rtd("esrtd",,"*H","$NIFTY-NSE","Intraday_Date","I15 [09:15-15:30 L]",,"295")</f>
        <v>43776.7291666667</v>
      </c>
      <c r="B106" s="3" t="n">
        <f aca="false">rtd("esrtd",,"*H","$NIFTY-NSE","BarTime","I15 [09:15-15:30 L]",,"295")</f>
        <v>43776.5833333333</v>
      </c>
      <c r="C106" s="4" t="n">
        <f aca="false">rtd("esrtd",,"*H","$NIFTY-NSE","Open","I15 [09:15-15:30 L]",,"295")</f>
        <v>11999.3</v>
      </c>
      <c r="D106" s="4" t="n">
        <f aca="false">rtd("esrtd",,"*H","$NIFTY-NSE","High","I15 [09:15-15:30 L]",,"295")</f>
        <v>12014.9</v>
      </c>
      <c r="E106" s="4" t="n">
        <f aca="false">rtd("esrtd",,"*H","$NIFTY-NSE","Low","I15 [09:15-15:30 L]",,"295")</f>
        <v>11998.6</v>
      </c>
      <c r="F106" s="4" t="n">
        <f aca="false">rtd("esrtd",,"*H","$NIFTY-NSE","Last","I15 [09:15-15:30 L]",,"295")</f>
        <v>12006.15</v>
      </c>
    </row>
    <row r="107" customFormat="false" ht="15" hidden="false" customHeight="false" outlineLevel="0" collapsed="false">
      <c r="A107" s="2" t="n">
        <f aca="false">rtd("esrtd",,"*H","$NIFTY-NSE","Intraday_Date","I15 [09:15-15:30 L]",,"294")</f>
        <v>43776.7291666667</v>
      </c>
      <c r="B107" s="3" t="n">
        <f aca="false">rtd("esrtd",,"*H","$NIFTY-NSE","BarTime","I15 [09:15-15:30 L]",,"294")</f>
        <v>43776.59375</v>
      </c>
      <c r="C107" s="4" t="n">
        <f aca="false">rtd("esrtd",,"*H","$NIFTY-NSE","Open","I15 [09:15-15:30 L]",,"294")</f>
        <v>12005.7</v>
      </c>
      <c r="D107" s="4" t="n">
        <f aca="false">rtd("esrtd",,"*H","$NIFTY-NSE","High","I15 [09:15-15:30 L]",,"294")</f>
        <v>12010.3</v>
      </c>
      <c r="E107" s="4" t="n">
        <f aca="false">rtd("esrtd",,"*H","$NIFTY-NSE","Low","I15 [09:15-15:30 L]",,"294")</f>
        <v>11995.3</v>
      </c>
      <c r="F107" s="4" t="n">
        <f aca="false">rtd("esrtd",,"*H","$NIFTY-NSE","Last","I15 [09:15-15:30 L]",,"294")</f>
        <v>12008.1</v>
      </c>
    </row>
    <row r="108" customFormat="false" ht="15" hidden="false" customHeight="false" outlineLevel="0" collapsed="false">
      <c r="A108" s="2" t="n">
        <f aca="false">rtd("esrtd",,"*H","$NIFTY-NSE","Intraday_Date","I15 [09:15-15:30 L]",,"293")</f>
        <v>43776.7291666667</v>
      </c>
      <c r="B108" s="3" t="n">
        <f aca="false">rtd("esrtd",,"*H","$NIFTY-NSE","BarTime","I15 [09:15-15:30 L]",,"293")</f>
        <v>43776.6041666667</v>
      </c>
      <c r="C108" s="4" t="n">
        <f aca="false">rtd("esrtd",,"*H","$NIFTY-NSE","Open","I15 [09:15-15:30 L]",,"293")</f>
        <v>12007.85</v>
      </c>
      <c r="D108" s="4" t="n">
        <f aca="false">rtd("esrtd",,"*H","$NIFTY-NSE","High","I15 [09:15-15:30 L]",,"293")</f>
        <v>12012.5</v>
      </c>
      <c r="E108" s="4" t="n">
        <f aca="false">rtd("esrtd",,"*H","$NIFTY-NSE","Low","I15 [09:15-15:30 L]",,"293")</f>
        <v>11983.95</v>
      </c>
      <c r="F108" s="4" t="n">
        <f aca="false">rtd("esrtd",,"*H","$NIFTY-NSE","Last","I15 [09:15-15:30 L]",,"293")</f>
        <v>11997.5</v>
      </c>
    </row>
    <row r="109" customFormat="false" ht="15" hidden="false" customHeight="false" outlineLevel="0" collapsed="false">
      <c r="A109" s="2" t="n">
        <f aca="false">rtd("esrtd",,"*H","$NIFTY-NSE","Intraday_Date","I15 [09:15-15:30 L]",,"292")</f>
        <v>43776.7291666667</v>
      </c>
      <c r="B109" s="3" t="n">
        <f aca="false">rtd("esrtd",,"*H","$NIFTY-NSE","BarTime","I15 [09:15-15:30 L]",,"292")</f>
        <v>43776.6145833333</v>
      </c>
      <c r="C109" s="4" t="n">
        <f aca="false">rtd("esrtd",,"*H","$NIFTY-NSE","Open","I15 [09:15-15:30 L]",,"292")</f>
        <v>11997.2</v>
      </c>
      <c r="D109" s="4" t="n">
        <f aca="false">rtd("esrtd",,"*H","$NIFTY-NSE","High","I15 [09:15-15:30 L]",,"292")</f>
        <v>12005.8</v>
      </c>
      <c r="E109" s="4" t="n">
        <f aca="false">rtd("esrtd",,"*H","$NIFTY-NSE","Low","I15 [09:15-15:30 L]",,"292")</f>
        <v>11991.55</v>
      </c>
      <c r="F109" s="4" t="n">
        <f aca="false">rtd("esrtd",,"*H","$NIFTY-NSE","Last","I15 [09:15-15:30 L]",,"292")</f>
        <v>12000.9</v>
      </c>
    </row>
    <row r="110" customFormat="false" ht="15" hidden="false" customHeight="false" outlineLevel="0" collapsed="false">
      <c r="A110" s="2" t="n">
        <f aca="false">rtd("esrtd",,"*H","$NIFTY-NSE","Intraday_Date","I15 [09:15-15:30 L]",,"291")</f>
        <v>43776.7291666667</v>
      </c>
      <c r="B110" s="3" t="n">
        <f aca="false">rtd("esrtd",,"*H","$NIFTY-NSE","BarTime","I15 [09:15-15:30 L]",,"291")</f>
        <v>43776.625</v>
      </c>
      <c r="C110" s="4" t="n">
        <f aca="false">rtd("esrtd",,"*H","$NIFTY-NSE","Open","I15 [09:15-15:30 L]",,"291")</f>
        <v>12001.05</v>
      </c>
      <c r="D110" s="4" t="n">
        <f aca="false">rtd("esrtd",,"*H","$NIFTY-NSE","High","I15 [09:15-15:30 L]",,"291")</f>
        <v>12016.75</v>
      </c>
      <c r="E110" s="4" t="n">
        <f aca="false">rtd("esrtd",,"*H","$NIFTY-NSE","Low","I15 [09:15-15:30 L]",,"291")</f>
        <v>12000.3</v>
      </c>
      <c r="F110" s="4" t="n">
        <f aca="false">rtd("esrtd",,"*H","$NIFTY-NSE","Last","I15 [09:15-15:30 L]",,"291")</f>
        <v>12013.05</v>
      </c>
    </row>
    <row r="111" customFormat="false" ht="15" hidden="false" customHeight="false" outlineLevel="0" collapsed="false">
      <c r="A111" s="2" t="n">
        <f aca="false">rtd("esrtd",,"*H","$NIFTY-NSE","Intraday_Date","I15 [09:15-15:30 L]",,"290")</f>
        <v>43776.7291666667</v>
      </c>
      <c r="B111" s="3" t="n">
        <f aca="false">rtd("esrtd",,"*H","$NIFTY-NSE","BarTime","I15 [09:15-15:30 L]",,"290")</f>
        <v>43776.6354166667</v>
      </c>
      <c r="C111" s="4" t="n">
        <f aca="false">rtd("esrtd",,"*H","$NIFTY-NSE","Open","I15 [09:15-15:30 L]",,"290")</f>
        <v>12013</v>
      </c>
      <c r="D111" s="4" t="n">
        <f aca="false">rtd("esrtd",,"*H","$NIFTY-NSE","High","I15 [09:15-15:30 L]",,"290")</f>
        <v>12019.9</v>
      </c>
      <c r="E111" s="4" t="n">
        <f aca="false">rtd("esrtd",,"*H","$NIFTY-NSE","Low","I15 [09:15-15:30 L]",,"290")</f>
        <v>12009.4</v>
      </c>
      <c r="F111" s="4" t="n">
        <f aca="false">rtd("esrtd",,"*H","$NIFTY-NSE","Last","I15 [09:15-15:30 L]",,"290")</f>
        <v>12016.85</v>
      </c>
    </row>
    <row r="112" customFormat="false" ht="15" hidden="false" customHeight="false" outlineLevel="0" collapsed="false">
      <c r="A112" s="2" t="n">
        <f aca="false">rtd("esrtd",,"*H","$NIFTY-NSE","Intraday_Date","I15 [09:15-15:30 L]",,"289")</f>
        <v>43777.7291666667</v>
      </c>
      <c r="B112" s="3" t="n">
        <f aca="false">rtd("esrtd",,"*H","$NIFTY-NSE","BarTime","I15 [09:15-15:30 L]",,"289")</f>
        <v>43777.3854166667</v>
      </c>
      <c r="C112" s="4" t="n">
        <f aca="false">rtd("esrtd",,"*H","$NIFTY-NSE","Open","I15 [09:15-15:30 L]",,"289")</f>
        <v>11987.45</v>
      </c>
      <c r="D112" s="4" t="n">
        <f aca="false">rtd("esrtd",,"*H","$NIFTY-NSE","High","I15 [09:15-15:30 L]",,"289")</f>
        <v>11991.55</v>
      </c>
      <c r="E112" s="4" t="n">
        <f aca="false">rtd("esrtd",,"*H","$NIFTY-NSE","Low","I15 [09:15-15:30 L]",,"289")</f>
        <v>11966.5</v>
      </c>
      <c r="F112" s="4" t="n">
        <f aca="false">rtd("esrtd",,"*H","$NIFTY-NSE","Last","I15 [09:15-15:30 L]",,"289")</f>
        <v>11987.4</v>
      </c>
    </row>
    <row r="113" customFormat="false" ht="15" hidden="false" customHeight="false" outlineLevel="0" collapsed="false">
      <c r="A113" s="2" t="n">
        <f aca="false">rtd("esrtd",,"*H","$NIFTY-NSE","Intraday_Date","I15 [09:15-15:30 L]",,"288")</f>
        <v>43777.7291666667</v>
      </c>
      <c r="B113" s="3" t="n">
        <f aca="false">rtd("esrtd",,"*H","$NIFTY-NSE","BarTime","I15 [09:15-15:30 L]",,"288")</f>
        <v>43777.3958333333</v>
      </c>
      <c r="C113" s="4" t="n">
        <f aca="false">rtd("esrtd",,"*H","$NIFTY-NSE","Open","I15 [09:15-15:30 L]",,"288")</f>
        <v>11987.25</v>
      </c>
      <c r="D113" s="4" t="n">
        <f aca="false">rtd("esrtd",,"*H","$NIFTY-NSE","High","I15 [09:15-15:30 L]",,"288")</f>
        <v>11992.15</v>
      </c>
      <c r="E113" s="4" t="n">
        <f aca="false">rtd("esrtd",,"*H","$NIFTY-NSE","Low","I15 [09:15-15:30 L]",,"288")</f>
        <v>11973.6</v>
      </c>
      <c r="F113" s="4" t="n">
        <f aca="false">rtd("esrtd",,"*H","$NIFTY-NSE","Last","I15 [09:15-15:30 L]",,"288")</f>
        <v>11984.8</v>
      </c>
    </row>
    <row r="114" customFormat="false" ht="15" hidden="false" customHeight="false" outlineLevel="0" collapsed="false">
      <c r="A114" s="2" t="n">
        <f aca="false">rtd("esrtd",,"*H","$NIFTY-NSE","Intraday_Date","I15 [09:15-15:30 L]",,"287")</f>
        <v>43777.7291666667</v>
      </c>
      <c r="B114" s="3" t="n">
        <f aca="false">rtd("esrtd",,"*H","$NIFTY-NSE","BarTime","I15 [09:15-15:30 L]",,"287")</f>
        <v>43777.40625</v>
      </c>
      <c r="C114" s="4" t="n">
        <f aca="false">rtd("esrtd",,"*H","$NIFTY-NSE","Open","I15 [09:15-15:30 L]",,"287")</f>
        <v>11985.05</v>
      </c>
      <c r="D114" s="4" t="n">
        <f aca="false">rtd("esrtd",,"*H","$NIFTY-NSE","High","I15 [09:15-15:30 L]",,"287")</f>
        <v>11990.25</v>
      </c>
      <c r="E114" s="4" t="n">
        <f aca="false">rtd("esrtd",,"*H","$NIFTY-NSE","Low","I15 [09:15-15:30 L]",,"287")</f>
        <v>11974.85</v>
      </c>
      <c r="F114" s="4" t="n">
        <f aca="false">rtd("esrtd",,"*H","$NIFTY-NSE","Last","I15 [09:15-15:30 L]",,"287")</f>
        <v>11985.45</v>
      </c>
    </row>
    <row r="115" customFormat="false" ht="15" hidden="false" customHeight="false" outlineLevel="0" collapsed="false">
      <c r="A115" s="2" t="n">
        <f aca="false">rtd("esrtd",,"*H","$NIFTY-NSE","Intraday_Date","I15 [09:15-15:30 L]",,"286")</f>
        <v>43777.7291666667</v>
      </c>
      <c r="B115" s="3" t="n">
        <f aca="false">rtd("esrtd",,"*H","$NIFTY-NSE","BarTime","I15 [09:15-15:30 L]",,"286")</f>
        <v>43777.4166666667</v>
      </c>
      <c r="C115" s="4" t="n">
        <f aca="false">rtd("esrtd",,"*H","$NIFTY-NSE","Open","I15 [09:15-15:30 L]",,"286")</f>
        <v>11986</v>
      </c>
      <c r="D115" s="4" t="n">
        <f aca="false">rtd("esrtd",,"*H","$NIFTY-NSE","High","I15 [09:15-15:30 L]",,"286")</f>
        <v>11996.55</v>
      </c>
      <c r="E115" s="4" t="n">
        <f aca="false">rtd("esrtd",,"*H","$NIFTY-NSE","Low","I15 [09:15-15:30 L]",,"286")</f>
        <v>11980.65</v>
      </c>
      <c r="F115" s="4" t="n">
        <f aca="false">rtd("esrtd",,"*H","$NIFTY-NSE","Last","I15 [09:15-15:30 L]",,"286")</f>
        <v>11985.6</v>
      </c>
    </row>
    <row r="116" customFormat="false" ht="15" hidden="false" customHeight="false" outlineLevel="0" collapsed="false">
      <c r="A116" s="2" t="n">
        <f aca="false">rtd("esrtd",,"*H","$NIFTY-NSE","Intraday_Date","I15 [09:15-15:30 L]",,"285")</f>
        <v>43777.7291666667</v>
      </c>
      <c r="B116" s="3" t="n">
        <f aca="false">rtd("esrtd",,"*H","$NIFTY-NSE","BarTime","I15 [09:15-15:30 L]",,"285")</f>
        <v>43777.4270833333</v>
      </c>
      <c r="C116" s="4" t="n">
        <f aca="false">rtd("esrtd",,"*H","$NIFTY-NSE","Open","I15 [09:15-15:30 L]",,"285")</f>
        <v>11986.05</v>
      </c>
      <c r="D116" s="4" t="n">
        <f aca="false">rtd("esrtd",,"*H","$NIFTY-NSE","High","I15 [09:15-15:30 L]",,"285")</f>
        <v>11996.3</v>
      </c>
      <c r="E116" s="4" t="n">
        <f aca="false">rtd("esrtd",,"*H","$NIFTY-NSE","Low","I15 [09:15-15:30 L]",,"285")</f>
        <v>11978.05</v>
      </c>
      <c r="F116" s="4" t="n">
        <f aca="false">rtd("esrtd",,"*H","$NIFTY-NSE","Last","I15 [09:15-15:30 L]",,"285")</f>
        <v>11980.9</v>
      </c>
    </row>
    <row r="117" customFormat="false" ht="15" hidden="false" customHeight="false" outlineLevel="0" collapsed="false">
      <c r="A117" s="2" t="n">
        <f aca="false">rtd("esrtd",,"*H","$NIFTY-NSE","Intraday_Date","I15 [09:15-15:30 L]",,"284")</f>
        <v>43777.7291666667</v>
      </c>
      <c r="B117" s="3" t="n">
        <f aca="false">rtd("esrtd",,"*H","$NIFTY-NSE","BarTime","I15 [09:15-15:30 L]",,"284")</f>
        <v>43777.4375</v>
      </c>
      <c r="C117" s="4" t="n">
        <f aca="false">rtd("esrtd",,"*H","$NIFTY-NSE","Open","I15 [09:15-15:30 L]",,"284")</f>
        <v>11980.3</v>
      </c>
      <c r="D117" s="4" t="n">
        <f aca="false">rtd("esrtd",,"*H","$NIFTY-NSE","High","I15 [09:15-15:30 L]",,"284")</f>
        <v>11981.45</v>
      </c>
      <c r="E117" s="4" t="n">
        <f aca="false">rtd("esrtd",,"*H","$NIFTY-NSE","Low","I15 [09:15-15:30 L]",,"284")</f>
        <v>11948.5</v>
      </c>
      <c r="F117" s="4" t="n">
        <f aca="false">rtd("esrtd",,"*H","$NIFTY-NSE","Last","I15 [09:15-15:30 L]",,"284")</f>
        <v>11960.15</v>
      </c>
    </row>
    <row r="118" customFormat="false" ht="15" hidden="false" customHeight="false" outlineLevel="0" collapsed="false">
      <c r="A118" s="2" t="n">
        <f aca="false">rtd("esrtd",,"*H","$NIFTY-NSE","Intraday_Date","I15 [09:15-15:30 L]",,"283")</f>
        <v>43777.7291666667</v>
      </c>
      <c r="B118" s="3" t="n">
        <f aca="false">rtd("esrtd",,"*H","$NIFTY-NSE","BarTime","I15 [09:15-15:30 L]",,"283")</f>
        <v>43777.4479166667</v>
      </c>
      <c r="C118" s="4" t="n">
        <f aca="false">rtd("esrtd",,"*H","$NIFTY-NSE","Open","I15 [09:15-15:30 L]",,"283")</f>
        <v>11959.95</v>
      </c>
      <c r="D118" s="4" t="n">
        <f aca="false">rtd("esrtd",,"*H","$NIFTY-NSE","High","I15 [09:15-15:30 L]",,"283")</f>
        <v>11965.5</v>
      </c>
      <c r="E118" s="4" t="n">
        <f aca="false">rtd("esrtd",,"*H","$NIFTY-NSE","Low","I15 [09:15-15:30 L]",,"283")</f>
        <v>11955.2</v>
      </c>
      <c r="F118" s="4" t="n">
        <f aca="false">rtd("esrtd",,"*H","$NIFTY-NSE","Last","I15 [09:15-15:30 L]",,"283")</f>
        <v>11960.3</v>
      </c>
    </row>
    <row r="119" customFormat="false" ht="15" hidden="false" customHeight="false" outlineLevel="0" collapsed="false">
      <c r="A119" s="2" t="n">
        <f aca="false">rtd("esrtd",,"*H","$NIFTY-NSE","Intraday_Date","I15 [09:15-15:30 L]",,"282")</f>
        <v>43777.7291666667</v>
      </c>
      <c r="B119" s="3" t="n">
        <f aca="false">rtd("esrtd",,"*H","$NIFTY-NSE","BarTime","I15 [09:15-15:30 L]",,"282")</f>
        <v>43777.4583333333</v>
      </c>
      <c r="C119" s="4" t="n">
        <f aca="false">rtd("esrtd",,"*H","$NIFTY-NSE","Open","I15 [09:15-15:30 L]",,"282")</f>
        <v>11961.15</v>
      </c>
      <c r="D119" s="4" t="n">
        <f aca="false">rtd("esrtd",,"*H","$NIFTY-NSE","High","I15 [09:15-15:30 L]",,"282")</f>
        <v>11968.6</v>
      </c>
      <c r="E119" s="4" t="n">
        <f aca="false">rtd("esrtd",,"*H","$NIFTY-NSE","Low","I15 [09:15-15:30 L]",,"282")</f>
        <v>11956.4</v>
      </c>
      <c r="F119" s="4" t="n">
        <f aca="false">rtd("esrtd",,"*H","$NIFTY-NSE","Last","I15 [09:15-15:30 L]",,"282")</f>
        <v>11956.9</v>
      </c>
    </row>
    <row r="120" customFormat="false" ht="15" hidden="false" customHeight="false" outlineLevel="0" collapsed="false">
      <c r="A120" s="2" t="n">
        <f aca="false">rtd("esrtd",,"*H","$NIFTY-NSE","Intraday_Date","I15 [09:15-15:30 L]",,"281")</f>
        <v>43777.7291666667</v>
      </c>
      <c r="B120" s="3" t="n">
        <f aca="false">rtd("esrtd",,"*H","$NIFTY-NSE","BarTime","I15 [09:15-15:30 L]",,"281")</f>
        <v>43777.46875</v>
      </c>
      <c r="C120" s="4" t="n">
        <f aca="false">rtd("esrtd",,"*H","$NIFTY-NSE","Open","I15 [09:15-15:30 L]",,"281")</f>
        <v>11956.95</v>
      </c>
      <c r="D120" s="4" t="n">
        <f aca="false">rtd("esrtd",,"*H","$NIFTY-NSE","High","I15 [09:15-15:30 L]",,"281")</f>
        <v>11965.75</v>
      </c>
      <c r="E120" s="4" t="n">
        <f aca="false">rtd("esrtd",,"*H","$NIFTY-NSE","Low","I15 [09:15-15:30 L]",,"281")</f>
        <v>11955.65</v>
      </c>
      <c r="F120" s="4" t="n">
        <f aca="false">rtd("esrtd",,"*H","$NIFTY-NSE","Last","I15 [09:15-15:30 L]",,"281")</f>
        <v>11958.5</v>
      </c>
    </row>
    <row r="121" customFormat="false" ht="15" hidden="false" customHeight="false" outlineLevel="0" collapsed="false">
      <c r="A121" s="2" t="n">
        <f aca="false">rtd("esrtd",,"*H","$NIFTY-NSE","Intraday_Date","I15 [09:15-15:30 L]",,"280")</f>
        <v>43777.7291666667</v>
      </c>
      <c r="B121" s="3" t="n">
        <f aca="false">rtd("esrtd",,"*H","$NIFTY-NSE","BarTime","I15 [09:15-15:30 L]",,"280")</f>
        <v>43777.4791666667</v>
      </c>
      <c r="C121" s="4" t="n">
        <f aca="false">rtd("esrtd",,"*H","$NIFTY-NSE","Open","I15 [09:15-15:30 L]",,"280")</f>
        <v>11958.45</v>
      </c>
      <c r="D121" s="4" t="n">
        <f aca="false">rtd("esrtd",,"*H","$NIFTY-NSE","High","I15 [09:15-15:30 L]",,"280")</f>
        <v>11969.6</v>
      </c>
      <c r="E121" s="4" t="n">
        <f aca="false">rtd("esrtd",,"*H","$NIFTY-NSE","Low","I15 [09:15-15:30 L]",,"280")</f>
        <v>11957.2</v>
      </c>
      <c r="F121" s="4" t="n">
        <f aca="false">rtd("esrtd",,"*H","$NIFTY-NSE","Last","I15 [09:15-15:30 L]",,"280")</f>
        <v>11963.15</v>
      </c>
    </row>
    <row r="122" customFormat="false" ht="15" hidden="false" customHeight="false" outlineLevel="0" collapsed="false">
      <c r="A122" s="2" t="n">
        <f aca="false">rtd("esrtd",,"*H","$NIFTY-NSE","Intraday_Date","I15 [09:15-15:30 L]",,"279")</f>
        <v>43777.7291666667</v>
      </c>
      <c r="B122" s="3" t="n">
        <f aca="false">rtd("esrtd",,"*H","$NIFTY-NSE","BarTime","I15 [09:15-15:30 L]",,"279")</f>
        <v>43777.4895833333</v>
      </c>
      <c r="C122" s="4" t="n">
        <f aca="false">rtd("esrtd",,"*H","$NIFTY-NSE","Open","I15 [09:15-15:30 L]",,"279")</f>
        <v>11963.1</v>
      </c>
      <c r="D122" s="4" t="n">
        <f aca="false">rtd("esrtd",,"*H","$NIFTY-NSE","High","I15 [09:15-15:30 L]",,"279")</f>
        <v>11964.65</v>
      </c>
      <c r="E122" s="4" t="n">
        <f aca="false">rtd("esrtd",,"*H","$NIFTY-NSE","Low","I15 [09:15-15:30 L]",,"279")</f>
        <v>11959.05</v>
      </c>
      <c r="F122" s="4" t="n">
        <f aca="false">rtd("esrtd",,"*H","$NIFTY-NSE","Last","I15 [09:15-15:30 L]",,"279")</f>
        <v>11960.95</v>
      </c>
    </row>
    <row r="123" customFormat="false" ht="15" hidden="false" customHeight="false" outlineLevel="0" collapsed="false">
      <c r="A123" s="2" t="n">
        <f aca="false">rtd("esrtd",,"*H","$NIFTY-NSE","Intraday_Date","I15 [09:15-15:30 L]",,"278")</f>
        <v>43777.7291666667</v>
      </c>
      <c r="B123" s="3" t="n">
        <f aca="false">rtd("esrtd",,"*H","$NIFTY-NSE","BarTime","I15 [09:15-15:30 L]",,"278")</f>
        <v>43777.5</v>
      </c>
      <c r="C123" s="4" t="n">
        <f aca="false">rtd("esrtd",,"*H","$NIFTY-NSE","Open","I15 [09:15-15:30 L]",,"278")</f>
        <v>11961.1</v>
      </c>
      <c r="D123" s="4" t="n">
        <f aca="false">rtd("esrtd",,"*H","$NIFTY-NSE","High","I15 [09:15-15:30 L]",,"278")</f>
        <v>11994</v>
      </c>
      <c r="E123" s="4" t="n">
        <f aca="false">rtd("esrtd",,"*H","$NIFTY-NSE","Low","I15 [09:15-15:30 L]",,"278")</f>
        <v>11960.3</v>
      </c>
      <c r="F123" s="4" t="n">
        <f aca="false">rtd("esrtd",,"*H","$NIFTY-NSE","Last","I15 [09:15-15:30 L]",,"278")</f>
        <v>11983.25</v>
      </c>
    </row>
    <row r="124" customFormat="false" ht="15" hidden="false" customHeight="false" outlineLevel="0" collapsed="false">
      <c r="A124" s="2" t="n">
        <f aca="false">rtd("esrtd",,"*H","$NIFTY-NSE","Intraday_Date","I15 [09:15-15:30 L]",,"277")</f>
        <v>43777.7291666667</v>
      </c>
      <c r="B124" s="3" t="n">
        <f aca="false">rtd("esrtd",,"*H","$NIFTY-NSE","BarTime","I15 [09:15-15:30 L]",,"277")</f>
        <v>43777.5104166667</v>
      </c>
      <c r="C124" s="4" t="n">
        <f aca="false">rtd("esrtd",,"*H","$NIFTY-NSE","Open","I15 [09:15-15:30 L]",,"277")</f>
        <v>11983.65</v>
      </c>
      <c r="D124" s="4" t="n">
        <f aca="false">rtd("esrtd",,"*H","$NIFTY-NSE","High","I15 [09:15-15:30 L]",,"277")</f>
        <v>11998.45</v>
      </c>
      <c r="E124" s="4" t="n">
        <f aca="false">rtd("esrtd",,"*H","$NIFTY-NSE","Low","I15 [09:15-15:30 L]",,"277")</f>
        <v>11982.8</v>
      </c>
      <c r="F124" s="4" t="n">
        <f aca="false">rtd("esrtd",,"*H","$NIFTY-NSE","Last","I15 [09:15-15:30 L]",,"277")</f>
        <v>11995.75</v>
      </c>
    </row>
    <row r="125" customFormat="false" ht="15" hidden="false" customHeight="false" outlineLevel="0" collapsed="false">
      <c r="A125" s="2" t="n">
        <f aca="false">rtd("esrtd",,"*H","$NIFTY-NSE","Intraday_Date","I15 [09:15-15:30 L]",,"276")</f>
        <v>43777.7291666667</v>
      </c>
      <c r="B125" s="3" t="n">
        <f aca="false">rtd("esrtd",,"*H","$NIFTY-NSE","BarTime","I15 [09:15-15:30 L]",,"276")</f>
        <v>43777.5208333333</v>
      </c>
      <c r="C125" s="4" t="n">
        <f aca="false">rtd("esrtd",,"*H","$NIFTY-NSE","Open","I15 [09:15-15:30 L]",,"276")</f>
        <v>11996</v>
      </c>
      <c r="D125" s="4" t="n">
        <f aca="false">rtd("esrtd",,"*H","$NIFTY-NSE","High","I15 [09:15-15:30 L]",,"276")</f>
        <v>12005.5</v>
      </c>
      <c r="E125" s="4" t="n">
        <f aca="false">rtd("esrtd",,"*H","$NIFTY-NSE","Low","I15 [09:15-15:30 L]",,"276")</f>
        <v>11987.55</v>
      </c>
      <c r="F125" s="4" t="n">
        <f aca="false">rtd("esrtd",,"*H","$NIFTY-NSE","Last","I15 [09:15-15:30 L]",,"276")</f>
        <v>12002.95</v>
      </c>
    </row>
    <row r="126" customFormat="false" ht="15" hidden="false" customHeight="false" outlineLevel="0" collapsed="false">
      <c r="A126" s="2" t="n">
        <f aca="false">rtd("esrtd",,"*H","$NIFTY-NSE","Intraday_Date","I15 [09:15-15:30 L]",,"275")</f>
        <v>43777.7291666667</v>
      </c>
      <c r="B126" s="3" t="n">
        <f aca="false">rtd("esrtd",,"*H","$NIFTY-NSE","BarTime","I15 [09:15-15:30 L]",,"275")</f>
        <v>43777.53125</v>
      </c>
      <c r="C126" s="4" t="n">
        <f aca="false">rtd("esrtd",,"*H","$NIFTY-NSE","Open","I15 [09:15-15:30 L]",,"275")</f>
        <v>12002.5</v>
      </c>
      <c r="D126" s="4" t="n">
        <f aca="false">rtd("esrtd",,"*H","$NIFTY-NSE","High","I15 [09:15-15:30 L]",,"275")</f>
        <v>12012.2</v>
      </c>
      <c r="E126" s="4" t="n">
        <f aca="false">rtd("esrtd",,"*H","$NIFTY-NSE","Low","I15 [09:15-15:30 L]",,"275")</f>
        <v>11995.85</v>
      </c>
      <c r="F126" s="4" t="n">
        <f aca="false">rtd("esrtd",,"*H","$NIFTY-NSE","Last","I15 [09:15-15:30 L]",,"275")</f>
        <v>12000.8</v>
      </c>
    </row>
    <row r="127" customFormat="false" ht="15" hidden="false" customHeight="false" outlineLevel="0" collapsed="false">
      <c r="A127" s="2" t="n">
        <f aca="false">rtd("esrtd",,"*H","$NIFTY-NSE","Intraday_Date","I15 [09:15-15:30 L]",,"274")</f>
        <v>43777.7291666667</v>
      </c>
      <c r="B127" s="3" t="n">
        <f aca="false">rtd("esrtd",,"*H","$NIFTY-NSE","BarTime","I15 [09:15-15:30 L]",,"274")</f>
        <v>43777.5416666667</v>
      </c>
      <c r="C127" s="4" t="n">
        <f aca="false">rtd("esrtd",,"*H","$NIFTY-NSE","Open","I15 [09:15-15:30 L]",,"274")</f>
        <v>12001.2</v>
      </c>
      <c r="D127" s="4" t="n">
        <f aca="false">rtd("esrtd",,"*H","$NIFTY-NSE","High","I15 [09:15-15:30 L]",,"274")</f>
        <v>12032.1</v>
      </c>
      <c r="E127" s="4" t="n">
        <f aca="false">rtd("esrtd",,"*H","$NIFTY-NSE","Low","I15 [09:15-15:30 L]",,"274")</f>
        <v>12001.15</v>
      </c>
      <c r="F127" s="4" t="n">
        <f aca="false">rtd("esrtd",,"*H","$NIFTY-NSE","Last","I15 [09:15-15:30 L]",,"274")</f>
        <v>12023.65</v>
      </c>
    </row>
    <row r="128" customFormat="false" ht="15" hidden="false" customHeight="false" outlineLevel="0" collapsed="false">
      <c r="A128" s="2" t="n">
        <f aca="false">rtd("esrtd",,"*H","$NIFTY-NSE","Intraday_Date","I15 [09:15-15:30 L]",,"273")</f>
        <v>43777.7291666667</v>
      </c>
      <c r="B128" s="3" t="n">
        <f aca="false">rtd("esrtd",,"*H","$NIFTY-NSE","BarTime","I15 [09:15-15:30 L]",,"273")</f>
        <v>43777.5520833333</v>
      </c>
      <c r="C128" s="4" t="n">
        <f aca="false">rtd("esrtd",,"*H","$NIFTY-NSE","Open","I15 [09:15-15:30 L]",,"273")</f>
        <v>12023.8</v>
      </c>
      <c r="D128" s="4" t="n">
        <f aca="false">rtd("esrtd",,"*H","$NIFTY-NSE","High","I15 [09:15-15:30 L]",,"273")</f>
        <v>12034.15</v>
      </c>
      <c r="E128" s="4" t="n">
        <f aca="false">rtd("esrtd",,"*H","$NIFTY-NSE","Low","I15 [09:15-15:30 L]",,"273")</f>
        <v>12013.75</v>
      </c>
      <c r="F128" s="4" t="n">
        <f aca="false">rtd("esrtd",,"*H","$NIFTY-NSE","Last","I15 [09:15-15:30 L]",,"273")</f>
        <v>12015</v>
      </c>
    </row>
    <row r="129" customFormat="false" ht="15" hidden="false" customHeight="false" outlineLevel="0" collapsed="false">
      <c r="A129" s="2" t="n">
        <f aca="false">rtd("esrtd",,"*H","$NIFTY-NSE","Intraday_Date","I15 [09:15-15:30 L]",,"272")</f>
        <v>43777.7291666667</v>
      </c>
      <c r="B129" s="3" t="n">
        <f aca="false">rtd("esrtd",,"*H","$NIFTY-NSE","BarTime","I15 [09:15-15:30 L]",,"272")</f>
        <v>43777.5625</v>
      </c>
      <c r="C129" s="4" t="n">
        <f aca="false">rtd("esrtd",,"*H","$NIFTY-NSE","Open","I15 [09:15-15:30 L]",,"272")</f>
        <v>12014.65</v>
      </c>
      <c r="D129" s="4" t="n">
        <f aca="false">rtd("esrtd",,"*H","$NIFTY-NSE","High","I15 [09:15-15:30 L]",,"272")</f>
        <v>12015.45</v>
      </c>
      <c r="E129" s="4" t="n">
        <f aca="false">rtd("esrtd",,"*H","$NIFTY-NSE","Low","I15 [09:15-15:30 L]",,"272")</f>
        <v>11959.3</v>
      </c>
      <c r="F129" s="4" t="n">
        <f aca="false">rtd("esrtd",,"*H","$NIFTY-NSE","Last","I15 [09:15-15:30 L]",,"272")</f>
        <v>11973.6</v>
      </c>
    </row>
    <row r="130" customFormat="false" ht="15" hidden="false" customHeight="false" outlineLevel="0" collapsed="false">
      <c r="A130" s="2" t="n">
        <f aca="false">rtd("esrtd",,"*H","$NIFTY-NSE","Intraday_Date","I15 [09:15-15:30 L]",,"271")</f>
        <v>43777.7291666667</v>
      </c>
      <c r="B130" s="3" t="n">
        <f aca="false">rtd("esrtd",,"*H","$NIFTY-NSE","BarTime","I15 [09:15-15:30 L]",,"271")</f>
        <v>43777.5729166667</v>
      </c>
      <c r="C130" s="4" t="n">
        <f aca="false">rtd("esrtd",,"*H","$NIFTY-NSE","Open","I15 [09:15-15:30 L]",,"271")</f>
        <v>11973.4</v>
      </c>
      <c r="D130" s="4" t="n">
        <f aca="false">rtd("esrtd",,"*H","$NIFTY-NSE","High","I15 [09:15-15:30 L]",,"271")</f>
        <v>11988.35</v>
      </c>
      <c r="E130" s="4" t="n">
        <f aca="false">rtd("esrtd",,"*H","$NIFTY-NSE","Low","I15 [09:15-15:30 L]",,"271")</f>
        <v>11964.5</v>
      </c>
      <c r="F130" s="4" t="n">
        <f aca="false">rtd("esrtd",,"*H","$NIFTY-NSE","Last","I15 [09:15-15:30 L]",,"271")</f>
        <v>11983.35</v>
      </c>
    </row>
    <row r="131" customFormat="false" ht="15" hidden="false" customHeight="false" outlineLevel="0" collapsed="false">
      <c r="A131" s="2" t="n">
        <f aca="false">rtd("esrtd",,"*H","$NIFTY-NSE","Intraday_Date","I15 [09:15-15:30 L]",,"270")</f>
        <v>43777.7291666667</v>
      </c>
      <c r="B131" s="3" t="n">
        <f aca="false">rtd("esrtd",,"*H","$NIFTY-NSE","BarTime","I15 [09:15-15:30 L]",,"270")</f>
        <v>43777.5833333333</v>
      </c>
      <c r="C131" s="4" t="n">
        <f aca="false">rtd("esrtd",,"*H","$NIFTY-NSE","Open","I15 [09:15-15:30 L]",,"270")</f>
        <v>11983.05</v>
      </c>
      <c r="D131" s="4" t="n">
        <f aca="false">rtd("esrtd",,"*H","$NIFTY-NSE","High","I15 [09:15-15:30 L]",,"270")</f>
        <v>11989.6</v>
      </c>
      <c r="E131" s="4" t="n">
        <f aca="false">rtd("esrtd",,"*H","$NIFTY-NSE","Low","I15 [09:15-15:30 L]",,"270")</f>
        <v>11976.7</v>
      </c>
      <c r="F131" s="4" t="n">
        <f aca="false">rtd("esrtd",,"*H","$NIFTY-NSE","Last","I15 [09:15-15:30 L]",,"270")</f>
        <v>11978.45</v>
      </c>
    </row>
    <row r="132" customFormat="false" ht="15" hidden="false" customHeight="false" outlineLevel="0" collapsed="false">
      <c r="A132" s="2" t="n">
        <f aca="false">rtd("esrtd",,"*H","$NIFTY-NSE","Intraday_Date","I15 [09:15-15:30 L]",,"269")</f>
        <v>43777.7291666667</v>
      </c>
      <c r="B132" s="3" t="n">
        <f aca="false">rtd("esrtd",,"*H","$NIFTY-NSE","BarTime","I15 [09:15-15:30 L]",,"269")</f>
        <v>43777.59375</v>
      </c>
      <c r="C132" s="4" t="n">
        <f aca="false">rtd("esrtd",,"*H","$NIFTY-NSE","Open","I15 [09:15-15:30 L]",,"269")</f>
        <v>11978.3</v>
      </c>
      <c r="D132" s="4" t="n">
        <f aca="false">rtd("esrtd",,"*H","$NIFTY-NSE","High","I15 [09:15-15:30 L]",,"269")</f>
        <v>11980.05</v>
      </c>
      <c r="E132" s="4" t="n">
        <f aca="false">rtd("esrtd",,"*H","$NIFTY-NSE","Low","I15 [09:15-15:30 L]",,"269")</f>
        <v>11961.55</v>
      </c>
      <c r="F132" s="4" t="n">
        <f aca="false">rtd("esrtd",,"*H","$NIFTY-NSE","Last","I15 [09:15-15:30 L]",,"269")</f>
        <v>11965.05</v>
      </c>
    </row>
    <row r="133" customFormat="false" ht="15" hidden="false" customHeight="false" outlineLevel="0" collapsed="false">
      <c r="A133" s="2" t="n">
        <f aca="false">rtd("esrtd",,"*H","$NIFTY-NSE","Intraday_Date","I15 [09:15-15:30 L]",,"268")</f>
        <v>43777.7291666667</v>
      </c>
      <c r="B133" s="3" t="n">
        <f aca="false">rtd("esrtd",,"*H","$NIFTY-NSE","BarTime","I15 [09:15-15:30 L]",,"268")</f>
        <v>43777.6041666667</v>
      </c>
      <c r="C133" s="4" t="n">
        <f aca="false">rtd("esrtd",,"*H","$NIFTY-NSE","Open","I15 [09:15-15:30 L]",,"268")</f>
        <v>11964.6</v>
      </c>
      <c r="D133" s="4" t="n">
        <f aca="false">rtd("esrtd",,"*H","$NIFTY-NSE","High","I15 [09:15-15:30 L]",,"268")</f>
        <v>11986.75</v>
      </c>
      <c r="E133" s="4" t="n">
        <f aca="false">rtd("esrtd",,"*H","$NIFTY-NSE","Low","I15 [09:15-15:30 L]",,"268")</f>
        <v>11959.5</v>
      </c>
      <c r="F133" s="4" t="n">
        <f aca="false">rtd("esrtd",,"*H","$NIFTY-NSE","Last","I15 [09:15-15:30 L]",,"268")</f>
        <v>11966.2</v>
      </c>
    </row>
    <row r="134" customFormat="false" ht="15" hidden="false" customHeight="false" outlineLevel="0" collapsed="false">
      <c r="A134" s="2" t="n">
        <f aca="false">rtd("esrtd",,"*H","$NIFTY-NSE","Intraday_Date","I15 [09:15-15:30 L]",,"267")</f>
        <v>43777.7291666667</v>
      </c>
      <c r="B134" s="3" t="n">
        <f aca="false">rtd("esrtd",,"*H","$NIFTY-NSE","BarTime","I15 [09:15-15:30 L]",,"267")</f>
        <v>43777.6145833333</v>
      </c>
      <c r="C134" s="4" t="n">
        <f aca="false">rtd("esrtd",,"*H","$NIFTY-NSE","Open","I15 [09:15-15:30 L]",,"267")</f>
        <v>11966.6</v>
      </c>
      <c r="D134" s="4" t="n">
        <f aca="false">rtd("esrtd",,"*H","$NIFTY-NSE","High","I15 [09:15-15:30 L]",,"267")</f>
        <v>11969.35</v>
      </c>
      <c r="E134" s="4" t="n">
        <f aca="false">rtd("esrtd",,"*H","$NIFTY-NSE","Low","I15 [09:15-15:30 L]",,"267")</f>
        <v>11928.4</v>
      </c>
      <c r="F134" s="4" t="n">
        <f aca="false">rtd("esrtd",,"*H","$NIFTY-NSE","Last","I15 [09:15-15:30 L]",,"267")</f>
        <v>11932.05</v>
      </c>
    </row>
    <row r="135" customFormat="false" ht="15" hidden="false" customHeight="false" outlineLevel="0" collapsed="false">
      <c r="A135" s="2" t="n">
        <f aca="false">rtd("esrtd",,"*H","$NIFTY-NSE","Intraday_Date","I15 [09:15-15:30 L]",,"266")</f>
        <v>43777.7291666667</v>
      </c>
      <c r="B135" s="3" t="n">
        <f aca="false">rtd("esrtd",,"*H","$NIFTY-NSE","BarTime","I15 [09:15-15:30 L]",,"266")</f>
        <v>43777.625</v>
      </c>
      <c r="C135" s="4" t="n">
        <f aca="false">rtd("esrtd",,"*H","$NIFTY-NSE","Open","I15 [09:15-15:30 L]",,"266")</f>
        <v>11931.95</v>
      </c>
      <c r="D135" s="4" t="n">
        <f aca="false">rtd("esrtd",,"*H","$NIFTY-NSE","High","I15 [09:15-15:30 L]",,"266")</f>
        <v>11939.35</v>
      </c>
      <c r="E135" s="4" t="n">
        <f aca="false">rtd("esrtd",,"*H","$NIFTY-NSE","Low","I15 [09:15-15:30 L]",,"266")</f>
        <v>11907.05</v>
      </c>
      <c r="F135" s="4" t="n">
        <f aca="false">rtd("esrtd",,"*H","$NIFTY-NSE","Last","I15 [09:15-15:30 L]",,"266")</f>
        <v>11909.15</v>
      </c>
    </row>
    <row r="136" customFormat="false" ht="15" hidden="false" customHeight="false" outlineLevel="0" collapsed="false">
      <c r="A136" s="2" t="n">
        <f aca="false">rtd("esrtd",,"*H","$NIFTY-NSE","Intraday_Date","I15 [09:15-15:30 L]",,"265")</f>
        <v>43777.7291666667</v>
      </c>
      <c r="B136" s="3" t="n">
        <f aca="false">rtd("esrtd",,"*H","$NIFTY-NSE","BarTime","I15 [09:15-15:30 L]",,"265")</f>
        <v>43777.6354166667</v>
      </c>
      <c r="C136" s="4" t="n">
        <f aca="false">rtd("esrtd",,"*H","$NIFTY-NSE","Open","I15 [09:15-15:30 L]",,"265")</f>
        <v>11909.4</v>
      </c>
      <c r="D136" s="4" t="n">
        <f aca="false">rtd("esrtd",,"*H","$NIFTY-NSE","High","I15 [09:15-15:30 L]",,"265")</f>
        <v>11910.05</v>
      </c>
      <c r="E136" s="4" t="n">
        <f aca="false">rtd("esrtd",,"*H","$NIFTY-NSE","Low","I15 [09:15-15:30 L]",,"265")</f>
        <v>11888.75</v>
      </c>
      <c r="F136" s="4" t="n">
        <f aca="false">rtd("esrtd",,"*H","$NIFTY-NSE","Last","I15 [09:15-15:30 L]",,"265")</f>
        <v>11903.95</v>
      </c>
    </row>
    <row r="137" customFormat="false" ht="15" hidden="false" customHeight="false" outlineLevel="0" collapsed="false">
      <c r="A137" s="2" t="n">
        <f aca="false">rtd("esrtd",,"*H","$NIFTY-NSE","Intraday_Date","I15 [09:15-15:30 L]",,"264")</f>
        <v>43780.7291666667</v>
      </c>
      <c r="B137" s="3" t="n">
        <f aca="false">rtd("esrtd",,"*H","$NIFTY-NSE","BarTime","I15 [09:15-15:30 L]",,"264")</f>
        <v>43780.3854166667</v>
      </c>
      <c r="C137" s="4" t="n">
        <f aca="false">rtd("esrtd",,"*H","$NIFTY-NSE","Open","I15 [09:15-15:30 L]",,"264")</f>
        <v>11880.35</v>
      </c>
      <c r="D137" s="4" t="n">
        <f aca="false">rtd("esrtd",,"*H","$NIFTY-NSE","High","I15 [09:15-15:30 L]",,"264")</f>
        <v>11920.3</v>
      </c>
      <c r="E137" s="4" t="n">
        <f aca="false">rtd("esrtd",,"*H","$NIFTY-NSE","Low","I15 [09:15-15:30 L]",,"264")</f>
        <v>11864.5</v>
      </c>
      <c r="F137" s="4" t="n">
        <f aca="false">rtd("esrtd",,"*H","$NIFTY-NSE","Last","I15 [09:15-15:30 L]",,"264")</f>
        <v>11913.1</v>
      </c>
    </row>
    <row r="138" customFormat="false" ht="15" hidden="false" customHeight="false" outlineLevel="0" collapsed="false">
      <c r="A138" s="2" t="n">
        <f aca="false">rtd("esrtd",,"*H","$NIFTY-NSE","Intraday_Date","I15 [09:15-15:30 L]",,"263")</f>
        <v>43780.7291666667</v>
      </c>
      <c r="B138" s="3" t="n">
        <f aca="false">rtd("esrtd",,"*H","$NIFTY-NSE","BarTime","I15 [09:15-15:30 L]",,"263")</f>
        <v>43780.3958333333</v>
      </c>
      <c r="C138" s="4" t="n">
        <f aca="false">rtd("esrtd",,"*H","$NIFTY-NSE","Open","I15 [09:15-15:30 L]",,"263")</f>
        <v>11913.85</v>
      </c>
      <c r="D138" s="4" t="n">
        <f aca="false">rtd("esrtd",,"*H","$NIFTY-NSE","High","I15 [09:15-15:30 L]",,"263")</f>
        <v>11915.15</v>
      </c>
      <c r="E138" s="4" t="n">
        <f aca="false">rtd("esrtd",,"*H","$NIFTY-NSE","Low","I15 [09:15-15:30 L]",,"263")</f>
        <v>11880.6</v>
      </c>
      <c r="F138" s="4" t="n">
        <f aca="false">rtd("esrtd",,"*H","$NIFTY-NSE","Last","I15 [09:15-15:30 L]",,"263")</f>
        <v>11903.9</v>
      </c>
    </row>
    <row r="139" customFormat="false" ht="15" hidden="false" customHeight="false" outlineLevel="0" collapsed="false">
      <c r="A139" s="2" t="n">
        <f aca="false">rtd("esrtd",,"*H","$NIFTY-NSE","Intraday_Date","I15 [09:15-15:30 L]",,"262")</f>
        <v>43780.7291666667</v>
      </c>
      <c r="B139" s="3" t="n">
        <f aca="false">rtd("esrtd",,"*H","$NIFTY-NSE","BarTime","I15 [09:15-15:30 L]",,"262")</f>
        <v>43780.40625</v>
      </c>
      <c r="C139" s="4" t="n">
        <f aca="false">rtd("esrtd",,"*H","$NIFTY-NSE","Open","I15 [09:15-15:30 L]",,"262")</f>
        <v>11904.7</v>
      </c>
      <c r="D139" s="4" t="n">
        <f aca="false">rtd("esrtd",,"*H","$NIFTY-NSE","High","I15 [09:15-15:30 L]",,"262")</f>
        <v>11912.6</v>
      </c>
      <c r="E139" s="4" t="n">
        <f aca="false">rtd("esrtd",,"*H","$NIFTY-NSE","Low","I15 [09:15-15:30 L]",,"262")</f>
        <v>11895.1</v>
      </c>
      <c r="F139" s="4" t="n">
        <f aca="false">rtd("esrtd",,"*H","$NIFTY-NSE","Last","I15 [09:15-15:30 L]",,"262")</f>
        <v>11906.5</v>
      </c>
    </row>
    <row r="140" customFormat="false" ht="15" hidden="false" customHeight="false" outlineLevel="0" collapsed="false">
      <c r="A140" s="2" t="n">
        <f aca="false">rtd("esrtd",,"*H","$NIFTY-NSE","Intraday_Date","I15 [09:15-15:30 L]",,"261")</f>
        <v>43780.7291666667</v>
      </c>
      <c r="B140" s="3" t="n">
        <f aca="false">rtd("esrtd",,"*H","$NIFTY-NSE","BarTime","I15 [09:15-15:30 L]",,"261")</f>
        <v>43780.4166666667</v>
      </c>
      <c r="C140" s="4" t="n">
        <f aca="false">rtd("esrtd",,"*H","$NIFTY-NSE","Open","I15 [09:15-15:30 L]",,"261")</f>
        <v>11906.45</v>
      </c>
      <c r="D140" s="4" t="n">
        <f aca="false">rtd("esrtd",,"*H","$NIFTY-NSE","High","I15 [09:15-15:30 L]",,"261")</f>
        <v>11911.6</v>
      </c>
      <c r="E140" s="4" t="n">
        <f aca="false">rtd("esrtd",,"*H","$NIFTY-NSE","Low","I15 [09:15-15:30 L]",,"261")</f>
        <v>11898.45</v>
      </c>
      <c r="F140" s="4" t="n">
        <f aca="false">rtd("esrtd",,"*H","$NIFTY-NSE","Last","I15 [09:15-15:30 L]",,"261")</f>
        <v>11907.9</v>
      </c>
    </row>
    <row r="141" customFormat="false" ht="15" hidden="false" customHeight="false" outlineLevel="0" collapsed="false">
      <c r="A141" s="2" t="n">
        <f aca="false">rtd("esrtd",,"*H","$NIFTY-NSE","Intraday_Date","I15 [09:15-15:30 L]",,"260")</f>
        <v>43780.7291666667</v>
      </c>
      <c r="B141" s="3" t="n">
        <f aca="false">rtd("esrtd",,"*H","$NIFTY-NSE","BarTime","I15 [09:15-15:30 L]",,"260")</f>
        <v>43780.4270833333</v>
      </c>
      <c r="C141" s="4" t="n">
        <f aca="false">rtd("esrtd",,"*H","$NIFTY-NSE","Open","I15 [09:15-15:30 L]",,"260")</f>
        <v>11908.05</v>
      </c>
      <c r="D141" s="4" t="n">
        <f aca="false">rtd("esrtd",,"*H","$NIFTY-NSE","High","I15 [09:15-15:30 L]",,"260")</f>
        <v>11909.05</v>
      </c>
      <c r="E141" s="4" t="n">
        <f aca="false">rtd("esrtd",,"*H","$NIFTY-NSE","Low","I15 [09:15-15:30 L]",,"260")</f>
        <v>11887.7</v>
      </c>
      <c r="F141" s="4" t="n">
        <f aca="false">rtd("esrtd",,"*H","$NIFTY-NSE","Last","I15 [09:15-15:30 L]",,"260")</f>
        <v>11890.6</v>
      </c>
    </row>
    <row r="142" customFormat="false" ht="15" hidden="false" customHeight="false" outlineLevel="0" collapsed="false">
      <c r="A142" s="2" t="n">
        <f aca="false">rtd("esrtd",,"*H","$NIFTY-NSE","Intraday_Date","I15 [09:15-15:30 L]",,"259")</f>
        <v>43780.7291666667</v>
      </c>
      <c r="B142" s="3" t="n">
        <f aca="false">rtd("esrtd",,"*H","$NIFTY-NSE","BarTime","I15 [09:15-15:30 L]",,"259")</f>
        <v>43780.4375</v>
      </c>
      <c r="C142" s="4" t="n">
        <f aca="false">rtd("esrtd",,"*H","$NIFTY-NSE","Open","I15 [09:15-15:30 L]",,"259")</f>
        <v>11890.3</v>
      </c>
      <c r="D142" s="4" t="n">
        <f aca="false">rtd("esrtd",,"*H","$NIFTY-NSE","High","I15 [09:15-15:30 L]",,"259")</f>
        <v>11897.25</v>
      </c>
      <c r="E142" s="4" t="n">
        <f aca="false">rtd("esrtd",,"*H","$NIFTY-NSE","Low","I15 [09:15-15:30 L]",,"259")</f>
        <v>11881</v>
      </c>
      <c r="F142" s="4" t="n">
        <f aca="false">rtd("esrtd",,"*H","$NIFTY-NSE","Last","I15 [09:15-15:30 L]",,"259")</f>
        <v>11884.6</v>
      </c>
    </row>
    <row r="143" customFormat="false" ht="15" hidden="false" customHeight="false" outlineLevel="0" collapsed="false">
      <c r="A143" s="2" t="n">
        <f aca="false">rtd("esrtd",,"*H","$NIFTY-NSE","Intraday_Date","I15 [09:15-15:30 L]",,"258")</f>
        <v>43780.7291666667</v>
      </c>
      <c r="B143" s="3" t="n">
        <f aca="false">rtd("esrtd",,"*H","$NIFTY-NSE","BarTime","I15 [09:15-15:30 L]",,"258")</f>
        <v>43780.4479166667</v>
      </c>
      <c r="C143" s="4" t="n">
        <f aca="false">rtd("esrtd",,"*H","$NIFTY-NSE","Open","I15 [09:15-15:30 L]",,"258")</f>
        <v>11884.35</v>
      </c>
      <c r="D143" s="4" t="n">
        <f aca="false">rtd("esrtd",,"*H","$NIFTY-NSE","High","I15 [09:15-15:30 L]",,"258")</f>
        <v>11895.2</v>
      </c>
      <c r="E143" s="4" t="n">
        <f aca="false">rtd("esrtd",,"*H","$NIFTY-NSE","Low","I15 [09:15-15:30 L]",,"258")</f>
        <v>11879.2</v>
      </c>
      <c r="F143" s="4" t="n">
        <f aca="false">rtd("esrtd",,"*H","$NIFTY-NSE","Last","I15 [09:15-15:30 L]",,"258")</f>
        <v>11890.35</v>
      </c>
    </row>
    <row r="144" customFormat="false" ht="15" hidden="false" customHeight="false" outlineLevel="0" collapsed="false">
      <c r="A144" s="2" t="n">
        <f aca="false">rtd("esrtd",,"*H","$NIFTY-NSE","Intraday_Date","I15 [09:15-15:30 L]",,"257")</f>
        <v>43780.7291666667</v>
      </c>
      <c r="B144" s="3" t="n">
        <f aca="false">rtd("esrtd",,"*H","$NIFTY-NSE","BarTime","I15 [09:15-15:30 L]",,"257")</f>
        <v>43780.4583333333</v>
      </c>
      <c r="C144" s="4" t="n">
        <f aca="false">rtd("esrtd",,"*H","$NIFTY-NSE","Open","I15 [09:15-15:30 L]",,"257")</f>
        <v>11890</v>
      </c>
      <c r="D144" s="4" t="n">
        <f aca="false">rtd("esrtd",,"*H","$NIFTY-NSE","High","I15 [09:15-15:30 L]",,"257")</f>
        <v>11893.65</v>
      </c>
      <c r="E144" s="4" t="n">
        <f aca="false">rtd("esrtd",,"*H","$NIFTY-NSE","Low","I15 [09:15-15:30 L]",,"257")</f>
        <v>11884.2</v>
      </c>
      <c r="F144" s="4" t="n">
        <f aca="false">rtd("esrtd",,"*H","$NIFTY-NSE","Last","I15 [09:15-15:30 L]",,"257")</f>
        <v>11888.4</v>
      </c>
    </row>
    <row r="145" customFormat="false" ht="15" hidden="false" customHeight="false" outlineLevel="0" collapsed="false">
      <c r="A145" s="2" t="n">
        <f aca="false">rtd("esrtd",,"*H","$NIFTY-NSE","Intraday_Date","I15 [09:15-15:30 L]",,"256")</f>
        <v>43780.7291666667</v>
      </c>
      <c r="B145" s="3" t="n">
        <f aca="false">rtd("esrtd",,"*H","$NIFTY-NSE","BarTime","I15 [09:15-15:30 L]",,"256")</f>
        <v>43780.46875</v>
      </c>
      <c r="C145" s="4" t="n">
        <f aca="false">rtd("esrtd",,"*H","$NIFTY-NSE","Open","I15 [09:15-15:30 L]",,"256")</f>
        <v>11888.45</v>
      </c>
      <c r="D145" s="4" t="n">
        <f aca="false">rtd("esrtd",,"*H","$NIFTY-NSE","High","I15 [09:15-15:30 L]",,"256")</f>
        <v>11888.45</v>
      </c>
      <c r="E145" s="4" t="n">
        <f aca="false">rtd("esrtd",,"*H","$NIFTY-NSE","Low","I15 [09:15-15:30 L]",,"256")</f>
        <v>11874.3</v>
      </c>
      <c r="F145" s="4" t="n">
        <f aca="false">rtd("esrtd",,"*H","$NIFTY-NSE","Last","I15 [09:15-15:30 L]",,"256")</f>
        <v>11879</v>
      </c>
    </row>
    <row r="146" customFormat="false" ht="15" hidden="false" customHeight="false" outlineLevel="0" collapsed="false">
      <c r="A146" s="2" t="n">
        <f aca="false">rtd("esrtd",,"*H","$NIFTY-NSE","Intraday_Date","I15 [09:15-15:30 L]",,"255")</f>
        <v>43780.7291666667</v>
      </c>
      <c r="B146" s="3" t="n">
        <f aca="false">rtd("esrtd",,"*H","$NIFTY-NSE","BarTime","I15 [09:15-15:30 L]",,"255")</f>
        <v>43780.4791666667</v>
      </c>
      <c r="C146" s="4" t="n">
        <f aca="false">rtd("esrtd",,"*H","$NIFTY-NSE","Open","I15 [09:15-15:30 L]",,"255")</f>
        <v>11878.6</v>
      </c>
      <c r="D146" s="4" t="n">
        <f aca="false">rtd("esrtd",,"*H","$NIFTY-NSE","High","I15 [09:15-15:30 L]",,"255")</f>
        <v>11900</v>
      </c>
      <c r="E146" s="4" t="n">
        <f aca="false">rtd("esrtd",,"*H","$NIFTY-NSE","Low","I15 [09:15-15:30 L]",,"255")</f>
        <v>11877.75</v>
      </c>
      <c r="F146" s="4" t="n">
        <f aca="false">rtd("esrtd",,"*H","$NIFTY-NSE","Last","I15 [09:15-15:30 L]",,"255")</f>
        <v>11881.05</v>
      </c>
    </row>
    <row r="147" customFormat="false" ht="15" hidden="false" customHeight="false" outlineLevel="0" collapsed="false">
      <c r="A147" s="2" t="n">
        <f aca="false">rtd("esrtd",,"*H","$NIFTY-NSE","Intraday_Date","I15 [09:15-15:30 L]",,"254")</f>
        <v>43780.7291666667</v>
      </c>
      <c r="B147" s="3" t="n">
        <f aca="false">rtd("esrtd",,"*H","$NIFTY-NSE","BarTime","I15 [09:15-15:30 L]",,"254")</f>
        <v>43780.4895833333</v>
      </c>
      <c r="C147" s="4" t="n">
        <f aca="false">rtd("esrtd",,"*H","$NIFTY-NSE","Open","I15 [09:15-15:30 L]",,"254")</f>
        <v>11881.3</v>
      </c>
      <c r="D147" s="4" t="n">
        <f aca="false">rtd("esrtd",,"*H","$NIFTY-NSE","High","I15 [09:15-15:30 L]",,"254")</f>
        <v>11881.3</v>
      </c>
      <c r="E147" s="4" t="n">
        <f aca="false">rtd("esrtd",,"*H","$NIFTY-NSE","Low","I15 [09:15-15:30 L]",,"254")</f>
        <v>11859.9</v>
      </c>
      <c r="F147" s="4" t="n">
        <f aca="false">rtd("esrtd",,"*H","$NIFTY-NSE","Last","I15 [09:15-15:30 L]",,"254")</f>
        <v>11864.55</v>
      </c>
    </row>
    <row r="148" customFormat="false" ht="15" hidden="false" customHeight="false" outlineLevel="0" collapsed="false">
      <c r="A148" s="2" t="n">
        <f aca="false">rtd("esrtd",,"*H","$NIFTY-NSE","Intraday_Date","I15 [09:15-15:30 L]",,"253")</f>
        <v>43780.7291666667</v>
      </c>
      <c r="B148" s="3" t="n">
        <f aca="false">rtd("esrtd",,"*H","$NIFTY-NSE","BarTime","I15 [09:15-15:30 L]",,"253")</f>
        <v>43780.5</v>
      </c>
      <c r="C148" s="4" t="n">
        <f aca="false">rtd("esrtd",,"*H","$NIFTY-NSE","Open","I15 [09:15-15:30 L]",,"253")</f>
        <v>11864.8</v>
      </c>
      <c r="D148" s="4" t="n">
        <f aca="false">rtd("esrtd",,"*H","$NIFTY-NSE","High","I15 [09:15-15:30 L]",,"253")</f>
        <v>11864.85</v>
      </c>
      <c r="E148" s="4" t="n">
        <f aca="false">rtd("esrtd",,"*H","$NIFTY-NSE","Low","I15 [09:15-15:30 L]",,"253")</f>
        <v>11853.95</v>
      </c>
      <c r="F148" s="4" t="n">
        <f aca="false">rtd("esrtd",,"*H","$NIFTY-NSE","Last","I15 [09:15-15:30 L]",,"253")</f>
        <v>11864.55</v>
      </c>
    </row>
    <row r="149" customFormat="false" ht="15" hidden="false" customHeight="false" outlineLevel="0" collapsed="false">
      <c r="A149" s="2" t="n">
        <f aca="false">rtd("esrtd",,"*H","$NIFTY-NSE","Intraday_Date","I15 [09:15-15:30 L]",,"252")</f>
        <v>43780.7291666667</v>
      </c>
      <c r="B149" s="3" t="n">
        <f aca="false">rtd("esrtd",,"*H","$NIFTY-NSE","BarTime","I15 [09:15-15:30 L]",,"252")</f>
        <v>43780.5104166667</v>
      </c>
      <c r="C149" s="4" t="n">
        <f aca="false">rtd("esrtd",,"*H","$NIFTY-NSE","Open","I15 [09:15-15:30 L]",,"252")</f>
        <v>11864.6</v>
      </c>
      <c r="D149" s="4" t="n">
        <f aca="false">rtd("esrtd",,"*H","$NIFTY-NSE","High","I15 [09:15-15:30 L]",,"252")</f>
        <v>11872.1</v>
      </c>
      <c r="E149" s="4" t="n">
        <f aca="false">rtd("esrtd",,"*H","$NIFTY-NSE","Low","I15 [09:15-15:30 L]",,"252")</f>
        <v>11858.15</v>
      </c>
      <c r="F149" s="4" t="n">
        <f aca="false">rtd("esrtd",,"*H","$NIFTY-NSE","Last","I15 [09:15-15:30 L]",,"252")</f>
        <v>11862.1</v>
      </c>
    </row>
    <row r="150" customFormat="false" ht="15" hidden="false" customHeight="false" outlineLevel="0" collapsed="false">
      <c r="A150" s="2" t="n">
        <f aca="false">rtd("esrtd",,"*H","$NIFTY-NSE","Intraday_Date","I15 [09:15-15:30 L]",,"251")</f>
        <v>43780.7291666667</v>
      </c>
      <c r="B150" s="3" t="n">
        <f aca="false">rtd("esrtd",,"*H","$NIFTY-NSE","BarTime","I15 [09:15-15:30 L]",,"251")</f>
        <v>43780.5208333333</v>
      </c>
      <c r="C150" s="4" t="n">
        <f aca="false">rtd("esrtd",,"*H","$NIFTY-NSE","Open","I15 [09:15-15:30 L]",,"251")</f>
        <v>11862.45</v>
      </c>
      <c r="D150" s="4" t="n">
        <f aca="false">rtd("esrtd",,"*H","$NIFTY-NSE","High","I15 [09:15-15:30 L]",,"251")</f>
        <v>11869.95</v>
      </c>
      <c r="E150" s="4" t="n">
        <f aca="false">rtd("esrtd",,"*H","$NIFTY-NSE","Low","I15 [09:15-15:30 L]",,"251")</f>
        <v>11856.4</v>
      </c>
      <c r="F150" s="4" t="n">
        <f aca="false">rtd("esrtd",,"*H","$NIFTY-NSE","Last","I15 [09:15-15:30 L]",,"251")</f>
        <v>11859.65</v>
      </c>
    </row>
    <row r="151" customFormat="false" ht="15" hidden="false" customHeight="false" outlineLevel="0" collapsed="false">
      <c r="A151" s="2" t="n">
        <f aca="false">rtd("esrtd",,"*H","$NIFTY-NSE","Intraday_Date","I15 [09:15-15:30 L]",,"250")</f>
        <v>43780.7291666667</v>
      </c>
      <c r="B151" s="3" t="n">
        <f aca="false">rtd("esrtd",,"*H","$NIFTY-NSE","BarTime","I15 [09:15-15:30 L]",,"250")</f>
        <v>43780.53125</v>
      </c>
      <c r="C151" s="4" t="n">
        <f aca="false">rtd("esrtd",,"*H","$NIFTY-NSE","Open","I15 [09:15-15:30 L]",,"250")</f>
        <v>11859.85</v>
      </c>
      <c r="D151" s="4" t="n">
        <f aca="false">rtd("esrtd",,"*H","$NIFTY-NSE","High","I15 [09:15-15:30 L]",,"250")</f>
        <v>11886</v>
      </c>
      <c r="E151" s="4" t="n">
        <f aca="false">rtd("esrtd",,"*H","$NIFTY-NSE","Low","I15 [09:15-15:30 L]",,"250")</f>
        <v>11859.65</v>
      </c>
      <c r="F151" s="4" t="n">
        <f aca="false">rtd("esrtd",,"*H","$NIFTY-NSE","Last","I15 [09:15-15:30 L]",,"250")</f>
        <v>11881</v>
      </c>
    </row>
    <row r="152" customFormat="false" ht="15" hidden="false" customHeight="false" outlineLevel="0" collapsed="false">
      <c r="A152" s="2" t="n">
        <f aca="false">rtd("esrtd",,"*H","$NIFTY-NSE","Intraday_Date","I15 [09:15-15:30 L]",,"249")</f>
        <v>43780.7291666667</v>
      </c>
      <c r="B152" s="3" t="n">
        <f aca="false">rtd("esrtd",,"*H","$NIFTY-NSE","BarTime","I15 [09:15-15:30 L]",,"249")</f>
        <v>43780.5416666667</v>
      </c>
      <c r="C152" s="4" t="n">
        <f aca="false">rtd("esrtd",,"*H","$NIFTY-NSE","Open","I15 [09:15-15:30 L]",,"249")</f>
        <v>11881.1</v>
      </c>
      <c r="D152" s="4" t="n">
        <f aca="false">rtd("esrtd",,"*H","$NIFTY-NSE","High","I15 [09:15-15:30 L]",,"249")</f>
        <v>11881.15</v>
      </c>
      <c r="E152" s="4" t="n">
        <f aca="false">rtd("esrtd",,"*H","$NIFTY-NSE","Low","I15 [09:15-15:30 L]",,"249")</f>
        <v>11869.75</v>
      </c>
      <c r="F152" s="4" t="n">
        <f aca="false">rtd("esrtd",,"*H","$NIFTY-NSE","Last","I15 [09:15-15:30 L]",,"249")</f>
        <v>11871.1</v>
      </c>
    </row>
    <row r="153" customFormat="false" ht="15" hidden="false" customHeight="false" outlineLevel="0" collapsed="false">
      <c r="A153" s="2" t="n">
        <f aca="false">rtd("esrtd",,"*H","$NIFTY-NSE","Intraday_Date","I15 [09:15-15:30 L]",,"248")</f>
        <v>43780.7291666667</v>
      </c>
      <c r="B153" s="3" t="n">
        <f aca="false">rtd("esrtd",,"*H","$NIFTY-NSE","BarTime","I15 [09:15-15:30 L]",,"248")</f>
        <v>43780.5520833333</v>
      </c>
      <c r="C153" s="4" t="n">
        <f aca="false">rtd("esrtd",,"*H","$NIFTY-NSE","Open","I15 [09:15-15:30 L]",,"248")</f>
        <v>11871.25</v>
      </c>
      <c r="D153" s="4" t="n">
        <f aca="false">rtd("esrtd",,"*H","$NIFTY-NSE","High","I15 [09:15-15:30 L]",,"248")</f>
        <v>11878.15</v>
      </c>
      <c r="E153" s="4" t="n">
        <f aca="false">rtd("esrtd",,"*H","$NIFTY-NSE","Low","I15 [09:15-15:30 L]",,"248")</f>
        <v>11861.6</v>
      </c>
      <c r="F153" s="4" t="n">
        <f aca="false">rtd("esrtd",,"*H","$NIFTY-NSE","Last","I15 [09:15-15:30 L]",,"248")</f>
        <v>11869</v>
      </c>
    </row>
    <row r="154" customFormat="false" ht="15" hidden="false" customHeight="false" outlineLevel="0" collapsed="false">
      <c r="A154" s="2" t="n">
        <f aca="false">rtd("esrtd",,"*H","$NIFTY-NSE","Intraday_Date","I15 [09:15-15:30 L]",,"247")</f>
        <v>43780.7291666667</v>
      </c>
      <c r="B154" s="3" t="n">
        <f aca="false">rtd("esrtd",,"*H","$NIFTY-NSE","BarTime","I15 [09:15-15:30 L]",,"247")</f>
        <v>43780.5625</v>
      </c>
      <c r="C154" s="4" t="n">
        <f aca="false">rtd("esrtd",,"*H","$NIFTY-NSE","Open","I15 [09:15-15:30 L]",,"247")</f>
        <v>11868.95</v>
      </c>
      <c r="D154" s="4" t="n">
        <f aca="false">rtd("esrtd",,"*H","$NIFTY-NSE","High","I15 [09:15-15:30 L]",,"247")</f>
        <v>11890.4</v>
      </c>
      <c r="E154" s="4" t="n">
        <f aca="false">rtd("esrtd",,"*H","$NIFTY-NSE","Low","I15 [09:15-15:30 L]",,"247")</f>
        <v>11868.95</v>
      </c>
      <c r="F154" s="4" t="n">
        <f aca="false">rtd("esrtd",,"*H","$NIFTY-NSE","Last","I15 [09:15-15:30 L]",,"247")</f>
        <v>11889.3</v>
      </c>
    </row>
    <row r="155" customFormat="false" ht="15" hidden="false" customHeight="false" outlineLevel="0" collapsed="false">
      <c r="A155" s="2" t="n">
        <f aca="false">rtd("esrtd",,"*H","$NIFTY-NSE","Intraday_Date","I15 [09:15-15:30 L]",,"246")</f>
        <v>43780.7291666667</v>
      </c>
      <c r="B155" s="3" t="n">
        <f aca="false">rtd("esrtd",,"*H","$NIFTY-NSE","BarTime","I15 [09:15-15:30 L]",,"246")</f>
        <v>43780.5729166667</v>
      </c>
      <c r="C155" s="4" t="n">
        <f aca="false">rtd("esrtd",,"*H","$NIFTY-NSE","Open","I15 [09:15-15:30 L]",,"246")</f>
        <v>11889.85</v>
      </c>
      <c r="D155" s="4" t="n">
        <f aca="false">rtd("esrtd",,"*H","$NIFTY-NSE","High","I15 [09:15-15:30 L]",,"246")</f>
        <v>11897.1</v>
      </c>
      <c r="E155" s="4" t="n">
        <f aca="false">rtd("esrtd",,"*H","$NIFTY-NSE","Low","I15 [09:15-15:30 L]",,"246")</f>
        <v>11876.4</v>
      </c>
      <c r="F155" s="4" t="n">
        <f aca="false">rtd("esrtd",,"*H","$NIFTY-NSE","Last","I15 [09:15-15:30 L]",,"246")</f>
        <v>11882.3</v>
      </c>
    </row>
    <row r="156" customFormat="false" ht="15" hidden="false" customHeight="false" outlineLevel="0" collapsed="false">
      <c r="A156" s="2" t="n">
        <f aca="false">rtd("esrtd",,"*H","$NIFTY-NSE","Intraday_Date","I15 [09:15-15:30 L]",,"245")</f>
        <v>43780.7291666667</v>
      </c>
      <c r="B156" s="3" t="n">
        <f aca="false">rtd("esrtd",,"*H","$NIFTY-NSE","BarTime","I15 [09:15-15:30 L]",,"245")</f>
        <v>43780.5833333333</v>
      </c>
      <c r="C156" s="4" t="n">
        <f aca="false">rtd("esrtd",,"*H","$NIFTY-NSE","Open","I15 [09:15-15:30 L]",,"245")</f>
        <v>11882.25</v>
      </c>
      <c r="D156" s="4" t="n">
        <f aca="false">rtd("esrtd",,"*H","$NIFTY-NSE","High","I15 [09:15-15:30 L]",,"245")</f>
        <v>11896.4</v>
      </c>
      <c r="E156" s="4" t="n">
        <f aca="false">rtd("esrtd",,"*H","$NIFTY-NSE","Low","I15 [09:15-15:30 L]",,"245")</f>
        <v>11882.05</v>
      </c>
      <c r="F156" s="4" t="n">
        <f aca="false">rtd("esrtd",,"*H","$NIFTY-NSE","Last","I15 [09:15-15:30 L]",,"245")</f>
        <v>11885.9</v>
      </c>
    </row>
    <row r="157" customFormat="false" ht="15" hidden="false" customHeight="false" outlineLevel="0" collapsed="false">
      <c r="A157" s="2" t="n">
        <f aca="false">rtd("esrtd",,"*H","$NIFTY-NSE","Intraday_Date","I15 [09:15-15:30 L]",,"244")</f>
        <v>43780.7291666667</v>
      </c>
      <c r="B157" s="3" t="n">
        <f aca="false">rtd("esrtd",,"*H","$NIFTY-NSE","BarTime","I15 [09:15-15:30 L]",,"244")</f>
        <v>43780.59375</v>
      </c>
      <c r="C157" s="4" t="n">
        <f aca="false">rtd("esrtd",,"*H","$NIFTY-NSE","Open","I15 [09:15-15:30 L]",,"244")</f>
        <v>11885.75</v>
      </c>
      <c r="D157" s="4" t="n">
        <f aca="false">rtd("esrtd",,"*H","$NIFTY-NSE","High","I15 [09:15-15:30 L]",,"244")</f>
        <v>11897</v>
      </c>
      <c r="E157" s="4" t="n">
        <f aca="false">rtd("esrtd",,"*H","$NIFTY-NSE","Low","I15 [09:15-15:30 L]",,"244")</f>
        <v>11884.8</v>
      </c>
      <c r="F157" s="4" t="n">
        <f aca="false">rtd("esrtd",,"*H","$NIFTY-NSE","Last","I15 [09:15-15:30 L]",,"244")</f>
        <v>11893.2</v>
      </c>
    </row>
    <row r="158" customFormat="false" ht="15" hidden="false" customHeight="false" outlineLevel="0" collapsed="false">
      <c r="A158" s="2" t="n">
        <f aca="false">rtd("esrtd",,"*H","$NIFTY-NSE","Intraday_Date","I15 [09:15-15:30 L]",,"243")</f>
        <v>43780.7291666667</v>
      </c>
      <c r="B158" s="3" t="n">
        <f aca="false">rtd("esrtd",,"*H","$NIFTY-NSE","BarTime","I15 [09:15-15:30 L]",,"243")</f>
        <v>43780.6041666667</v>
      </c>
      <c r="C158" s="4" t="n">
        <f aca="false">rtd("esrtd",,"*H","$NIFTY-NSE","Open","I15 [09:15-15:30 L]",,"243")</f>
        <v>11893.1</v>
      </c>
      <c r="D158" s="4" t="n">
        <f aca="false">rtd("esrtd",,"*H","$NIFTY-NSE","High","I15 [09:15-15:30 L]",,"243")</f>
        <v>11894.45</v>
      </c>
      <c r="E158" s="4" t="n">
        <f aca="false">rtd("esrtd",,"*H","$NIFTY-NSE","Low","I15 [09:15-15:30 L]",,"243")</f>
        <v>11869.6</v>
      </c>
      <c r="F158" s="4" t="n">
        <f aca="false">rtd("esrtd",,"*H","$NIFTY-NSE","Last","I15 [09:15-15:30 L]",,"243")</f>
        <v>11882.8</v>
      </c>
    </row>
    <row r="159" customFormat="false" ht="15" hidden="false" customHeight="false" outlineLevel="0" collapsed="false">
      <c r="A159" s="2" t="n">
        <f aca="false">rtd("esrtd",,"*H","$NIFTY-NSE","Intraday_Date","I15 [09:15-15:30 L]",,"242")</f>
        <v>43780.7291666667</v>
      </c>
      <c r="B159" s="3" t="n">
        <f aca="false">rtd("esrtd",,"*H","$NIFTY-NSE","BarTime","I15 [09:15-15:30 L]",,"242")</f>
        <v>43780.6145833333</v>
      </c>
      <c r="C159" s="4" t="n">
        <f aca="false">rtd("esrtd",,"*H","$NIFTY-NSE","Open","I15 [09:15-15:30 L]",,"242")</f>
        <v>11882.9</v>
      </c>
      <c r="D159" s="4" t="n">
        <f aca="false">rtd("esrtd",,"*H","$NIFTY-NSE","High","I15 [09:15-15:30 L]",,"242")</f>
        <v>11894.75</v>
      </c>
      <c r="E159" s="4" t="n">
        <f aca="false">rtd("esrtd",,"*H","$NIFTY-NSE","Low","I15 [09:15-15:30 L]",,"242")</f>
        <v>11882.15</v>
      </c>
      <c r="F159" s="4" t="n">
        <f aca="false">rtd("esrtd",,"*H","$NIFTY-NSE","Last","I15 [09:15-15:30 L]",,"242")</f>
        <v>11888.7</v>
      </c>
    </row>
    <row r="160" customFormat="false" ht="15" hidden="false" customHeight="false" outlineLevel="0" collapsed="false">
      <c r="A160" s="2" t="n">
        <f aca="false">rtd("esrtd",,"*H","$NIFTY-NSE","Intraday_Date","I15 [09:15-15:30 L]",,"241")</f>
        <v>43780.7291666667</v>
      </c>
      <c r="B160" s="3" t="n">
        <f aca="false">rtd("esrtd",,"*H","$NIFTY-NSE","BarTime","I15 [09:15-15:30 L]",,"241")</f>
        <v>43780.625</v>
      </c>
      <c r="C160" s="4" t="n">
        <f aca="false">rtd("esrtd",,"*H","$NIFTY-NSE","Open","I15 [09:15-15:30 L]",,"241")</f>
        <v>11887.5</v>
      </c>
      <c r="D160" s="4" t="n">
        <f aca="false">rtd("esrtd",,"*H","$NIFTY-NSE","High","I15 [09:15-15:30 L]",,"241")</f>
        <v>11918.8</v>
      </c>
      <c r="E160" s="4" t="n">
        <f aca="false">rtd("esrtd",,"*H","$NIFTY-NSE","Low","I15 [09:15-15:30 L]",,"241")</f>
        <v>11884.1</v>
      </c>
      <c r="F160" s="4" t="n">
        <f aca="false">rtd("esrtd",,"*H","$NIFTY-NSE","Last","I15 [09:15-15:30 L]",,"241")</f>
        <v>11918.5</v>
      </c>
    </row>
    <row r="161" customFormat="false" ht="15" hidden="false" customHeight="false" outlineLevel="0" collapsed="false">
      <c r="A161" s="2" t="n">
        <f aca="false">rtd("esrtd",,"*H","$NIFTY-NSE","Intraday_Date","I15 [09:15-15:30 L]",,"240")</f>
        <v>43780.7291666667</v>
      </c>
      <c r="B161" s="3" t="n">
        <f aca="false">rtd("esrtd",,"*H","$NIFTY-NSE","BarTime","I15 [09:15-15:30 L]",,"240")</f>
        <v>43780.6354166667</v>
      </c>
      <c r="C161" s="4" t="n">
        <f aca="false">rtd("esrtd",,"*H","$NIFTY-NSE","Open","I15 [09:15-15:30 L]",,"240")</f>
        <v>11919.05</v>
      </c>
      <c r="D161" s="4" t="n">
        <f aca="false">rtd("esrtd",,"*H","$NIFTY-NSE","High","I15 [09:15-15:30 L]",,"240")</f>
        <v>11932.65</v>
      </c>
      <c r="E161" s="4" t="n">
        <f aca="false">rtd("esrtd",,"*H","$NIFTY-NSE","Low","I15 [09:15-15:30 L]",,"240")</f>
        <v>11908.15</v>
      </c>
      <c r="F161" s="4" t="n">
        <f aca="false">rtd("esrtd",,"*H","$NIFTY-NSE","Last","I15 [09:15-15:30 L]",,"240")</f>
        <v>11912.75</v>
      </c>
    </row>
    <row r="162" customFormat="false" ht="15" hidden="false" customHeight="false" outlineLevel="0" collapsed="false">
      <c r="A162" s="2" t="n">
        <f aca="false">rtd("esrtd",,"*H","$NIFTY-NSE","Intraday_Date","I15 [09:15-15:30 L]",,"239")</f>
        <v>43782.7291666667</v>
      </c>
      <c r="B162" s="3" t="n">
        <f aca="false">rtd("esrtd",,"*H","$NIFTY-NSE","BarTime","I15 [09:15-15:30 L]",,"239")</f>
        <v>43782.3854166667</v>
      </c>
      <c r="C162" s="4" t="n">
        <f aca="false">rtd("esrtd",,"*H","$NIFTY-NSE","Open","I15 [09:15-15:30 L]",,"239")</f>
        <v>11909.85</v>
      </c>
      <c r="D162" s="4" t="n">
        <f aca="false">rtd("esrtd",,"*H","$NIFTY-NSE","High","I15 [09:15-15:30 L]",,"239")</f>
        <v>11932.4</v>
      </c>
      <c r="E162" s="4" t="n">
        <f aca="false">rtd("esrtd",,"*H","$NIFTY-NSE","Low","I15 [09:15-15:30 L]",,"239")</f>
        <v>11895.45</v>
      </c>
      <c r="F162" s="4" t="n">
        <f aca="false">rtd("esrtd",,"*H","$NIFTY-NSE","Last","I15 [09:15-15:30 L]",,"239")</f>
        <v>11924.25</v>
      </c>
    </row>
    <row r="163" customFormat="false" ht="15" hidden="false" customHeight="false" outlineLevel="0" collapsed="false">
      <c r="A163" s="2" t="n">
        <f aca="false">rtd("esrtd",,"*H","$NIFTY-NSE","Intraday_Date","I15 [09:15-15:30 L]",,"238")</f>
        <v>43782.7291666667</v>
      </c>
      <c r="B163" s="3" t="n">
        <f aca="false">rtd("esrtd",,"*H","$NIFTY-NSE","BarTime","I15 [09:15-15:30 L]",,"238")</f>
        <v>43782.3958333333</v>
      </c>
      <c r="C163" s="4" t="n">
        <f aca="false">rtd("esrtd",,"*H","$NIFTY-NSE","Open","I15 [09:15-15:30 L]",,"238")</f>
        <v>11924.1</v>
      </c>
      <c r="D163" s="4" t="n">
        <f aca="false">rtd("esrtd",,"*H","$NIFTY-NSE","High","I15 [09:15-15:30 L]",,"238")</f>
        <v>11946.8</v>
      </c>
      <c r="E163" s="4" t="n">
        <f aca="false">rtd("esrtd",,"*H","$NIFTY-NSE","Low","I15 [09:15-15:30 L]",,"238")</f>
        <v>11920.05</v>
      </c>
      <c r="F163" s="4" t="n">
        <f aca="false">rtd("esrtd",,"*H","$NIFTY-NSE","Last","I15 [09:15-15:30 L]",,"238")</f>
        <v>11928</v>
      </c>
    </row>
    <row r="164" customFormat="false" ht="15" hidden="false" customHeight="false" outlineLevel="0" collapsed="false">
      <c r="A164" s="2" t="n">
        <f aca="false">rtd("esrtd",,"*H","$NIFTY-NSE","Intraday_Date","I15 [09:15-15:30 L]",,"237")</f>
        <v>43782.7291666667</v>
      </c>
      <c r="B164" s="3" t="n">
        <f aca="false">rtd("esrtd",,"*H","$NIFTY-NSE","BarTime","I15 [09:15-15:30 L]",,"237")</f>
        <v>43782.40625</v>
      </c>
      <c r="C164" s="4" t="n">
        <f aca="false">rtd("esrtd",,"*H","$NIFTY-NSE","Open","I15 [09:15-15:30 L]",,"237")</f>
        <v>11928.2</v>
      </c>
      <c r="D164" s="4" t="n">
        <f aca="false">rtd("esrtd",,"*H","$NIFTY-NSE","High","I15 [09:15-15:30 L]",,"237")</f>
        <v>11930.15</v>
      </c>
      <c r="E164" s="4" t="n">
        <f aca="false">rtd("esrtd",,"*H","$NIFTY-NSE","Low","I15 [09:15-15:30 L]",,"237")</f>
        <v>11912.2</v>
      </c>
      <c r="F164" s="4" t="n">
        <f aca="false">rtd("esrtd",,"*H","$NIFTY-NSE","Last","I15 [09:15-15:30 L]",,"237")</f>
        <v>11927.05</v>
      </c>
    </row>
    <row r="165" customFormat="false" ht="15" hidden="false" customHeight="false" outlineLevel="0" collapsed="false">
      <c r="A165" s="2" t="n">
        <f aca="false">rtd("esrtd",,"*H","$NIFTY-NSE","Intraday_Date","I15 [09:15-15:30 L]",,"236")</f>
        <v>43782.7291666667</v>
      </c>
      <c r="B165" s="3" t="n">
        <f aca="false">rtd("esrtd",,"*H","$NIFTY-NSE","BarTime","I15 [09:15-15:30 L]",,"236")</f>
        <v>43782.4166666667</v>
      </c>
      <c r="C165" s="4" t="n">
        <f aca="false">rtd("esrtd",,"*H","$NIFTY-NSE","Open","I15 [09:15-15:30 L]",,"236")</f>
        <v>11927.55</v>
      </c>
      <c r="D165" s="4" t="n">
        <f aca="false">rtd("esrtd",,"*H","$NIFTY-NSE","High","I15 [09:15-15:30 L]",,"236")</f>
        <v>11933.1</v>
      </c>
      <c r="E165" s="4" t="n">
        <f aca="false">rtd("esrtd",,"*H","$NIFTY-NSE","Low","I15 [09:15-15:30 L]",,"236")</f>
        <v>11914.6</v>
      </c>
      <c r="F165" s="4" t="n">
        <f aca="false">rtd("esrtd",,"*H","$NIFTY-NSE","Last","I15 [09:15-15:30 L]",,"236")</f>
        <v>11926.6</v>
      </c>
    </row>
    <row r="166" customFormat="false" ht="15" hidden="false" customHeight="false" outlineLevel="0" collapsed="false">
      <c r="A166" s="2" t="n">
        <f aca="false">rtd("esrtd",,"*H","$NIFTY-NSE","Intraday_Date","I15 [09:15-15:30 L]",,"235")</f>
        <v>43782.7291666667</v>
      </c>
      <c r="B166" s="3" t="n">
        <f aca="false">rtd("esrtd",,"*H","$NIFTY-NSE","BarTime","I15 [09:15-15:30 L]",,"235")</f>
        <v>43782.4270833333</v>
      </c>
      <c r="C166" s="4" t="n">
        <f aca="false">rtd("esrtd",,"*H","$NIFTY-NSE","Open","I15 [09:15-15:30 L]",,"235")</f>
        <v>11926.25</v>
      </c>
      <c r="D166" s="4" t="n">
        <f aca="false">rtd("esrtd",,"*H","$NIFTY-NSE","High","I15 [09:15-15:30 L]",,"235")</f>
        <v>11934.6</v>
      </c>
      <c r="E166" s="4" t="n">
        <f aca="false">rtd("esrtd",,"*H","$NIFTY-NSE","Low","I15 [09:15-15:30 L]",,"235")</f>
        <v>11922.3</v>
      </c>
      <c r="F166" s="4" t="n">
        <f aca="false">rtd("esrtd",,"*H","$NIFTY-NSE","Last","I15 [09:15-15:30 L]",,"235")</f>
        <v>11930.2</v>
      </c>
    </row>
    <row r="167" customFormat="false" ht="15" hidden="false" customHeight="false" outlineLevel="0" collapsed="false">
      <c r="A167" s="2" t="n">
        <f aca="false">rtd("esrtd",,"*H","$NIFTY-NSE","Intraday_Date","I15 [09:15-15:30 L]",,"234")</f>
        <v>43782.7291666667</v>
      </c>
      <c r="B167" s="3" t="n">
        <f aca="false">rtd("esrtd",,"*H","$NIFTY-NSE","BarTime","I15 [09:15-15:30 L]",,"234")</f>
        <v>43782.4375</v>
      </c>
      <c r="C167" s="4" t="n">
        <f aca="false">rtd("esrtd",,"*H","$NIFTY-NSE","Open","I15 [09:15-15:30 L]",,"234")</f>
        <v>11929.8</v>
      </c>
      <c r="D167" s="4" t="n">
        <f aca="false">rtd("esrtd",,"*H","$NIFTY-NSE","High","I15 [09:15-15:30 L]",,"234")</f>
        <v>11929.8</v>
      </c>
      <c r="E167" s="4" t="n">
        <f aca="false">rtd("esrtd",,"*H","$NIFTY-NSE","Low","I15 [09:15-15:30 L]",,"234")</f>
        <v>11915.1</v>
      </c>
      <c r="F167" s="4" t="n">
        <f aca="false">rtd("esrtd",,"*H","$NIFTY-NSE","Last","I15 [09:15-15:30 L]",,"234")</f>
        <v>11921.85</v>
      </c>
    </row>
    <row r="168" customFormat="false" ht="15" hidden="false" customHeight="false" outlineLevel="0" collapsed="false">
      <c r="A168" s="2" t="n">
        <f aca="false">rtd("esrtd",,"*H","$NIFTY-NSE","Intraday_Date","I15 [09:15-15:30 L]",,"233")</f>
        <v>43782.7291666667</v>
      </c>
      <c r="B168" s="3" t="n">
        <f aca="false">rtd("esrtd",,"*H","$NIFTY-NSE","BarTime","I15 [09:15-15:30 L]",,"233")</f>
        <v>43782.4479166667</v>
      </c>
      <c r="C168" s="4" t="n">
        <f aca="false">rtd("esrtd",,"*H","$NIFTY-NSE","Open","I15 [09:15-15:30 L]",,"233")</f>
        <v>11922.05</v>
      </c>
      <c r="D168" s="4" t="n">
        <f aca="false">rtd("esrtd",,"*H","$NIFTY-NSE","High","I15 [09:15-15:30 L]",,"233")</f>
        <v>11923.1</v>
      </c>
      <c r="E168" s="4" t="n">
        <f aca="false">rtd("esrtd",,"*H","$NIFTY-NSE","Low","I15 [09:15-15:30 L]",,"233")</f>
        <v>11898</v>
      </c>
      <c r="F168" s="4" t="n">
        <f aca="false">rtd("esrtd",,"*H","$NIFTY-NSE","Last","I15 [09:15-15:30 L]",,"233")</f>
        <v>11900.85</v>
      </c>
    </row>
    <row r="169" customFormat="false" ht="15" hidden="false" customHeight="false" outlineLevel="0" collapsed="false">
      <c r="A169" s="2" t="n">
        <f aca="false">rtd("esrtd",,"*H","$NIFTY-NSE","Intraday_Date","I15 [09:15-15:30 L]",,"232")</f>
        <v>43782.7291666667</v>
      </c>
      <c r="B169" s="3" t="n">
        <f aca="false">rtd("esrtd",,"*H","$NIFTY-NSE","BarTime","I15 [09:15-15:30 L]",,"232")</f>
        <v>43782.4583333333</v>
      </c>
      <c r="C169" s="4" t="n">
        <f aca="false">rtd("esrtd",,"*H","$NIFTY-NSE","Open","I15 [09:15-15:30 L]",,"232")</f>
        <v>11900.65</v>
      </c>
      <c r="D169" s="4" t="n">
        <f aca="false">rtd("esrtd",,"*H","$NIFTY-NSE","High","I15 [09:15-15:30 L]",,"232")</f>
        <v>11913.95</v>
      </c>
      <c r="E169" s="4" t="n">
        <f aca="false">rtd("esrtd",,"*H","$NIFTY-NSE","Low","I15 [09:15-15:30 L]",,"232")</f>
        <v>11898.05</v>
      </c>
      <c r="F169" s="4" t="n">
        <f aca="false">rtd("esrtd",,"*H","$NIFTY-NSE","Last","I15 [09:15-15:30 L]",,"232")</f>
        <v>11907.5</v>
      </c>
    </row>
    <row r="170" customFormat="false" ht="15" hidden="false" customHeight="false" outlineLevel="0" collapsed="false">
      <c r="A170" s="2" t="n">
        <f aca="false">rtd("esrtd",,"*H","$NIFTY-NSE","Intraday_Date","I15 [09:15-15:30 L]",,"231")</f>
        <v>43782.7291666667</v>
      </c>
      <c r="B170" s="3" t="n">
        <f aca="false">rtd("esrtd",,"*H","$NIFTY-NSE","BarTime","I15 [09:15-15:30 L]",,"231")</f>
        <v>43782.46875</v>
      </c>
      <c r="C170" s="4" t="n">
        <f aca="false">rtd("esrtd",,"*H","$NIFTY-NSE","Open","I15 [09:15-15:30 L]",,"231")</f>
        <v>11908.15</v>
      </c>
      <c r="D170" s="4" t="n">
        <f aca="false">rtd("esrtd",,"*H","$NIFTY-NSE","High","I15 [09:15-15:30 L]",,"231")</f>
        <v>11922.2</v>
      </c>
      <c r="E170" s="4" t="n">
        <f aca="false">rtd("esrtd",,"*H","$NIFTY-NSE","Low","I15 [09:15-15:30 L]",,"231")</f>
        <v>11903.2</v>
      </c>
      <c r="F170" s="4" t="n">
        <f aca="false">rtd("esrtd",,"*H","$NIFTY-NSE","Last","I15 [09:15-15:30 L]",,"231")</f>
        <v>11910.3</v>
      </c>
    </row>
    <row r="171" customFormat="false" ht="15" hidden="false" customHeight="false" outlineLevel="0" collapsed="false">
      <c r="A171" s="2" t="n">
        <f aca="false">rtd("esrtd",,"*H","$NIFTY-NSE","Intraday_Date","I15 [09:15-15:30 L]",,"230")</f>
        <v>43782.7291666667</v>
      </c>
      <c r="B171" s="3" t="n">
        <f aca="false">rtd("esrtd",,"*H","$NIFTY-NSE","BarTime","I15 [09:15-15:30 L]",,"230")</f>
        <v>43782.4791666667</v>
      </c>
      <c r="C171" s="4" t="n">
        <f aca="false">rtd("esrtd",,"*H","$NIFTY-NSE","Open","I15 [09:15-15:30 L]",,"230")</f>
        <v>11910.35</v>
      </c>
      <c r="D171" s="4" t="n">
        <f aca="false">rtd("esrtd",,"*H","$NIFTY-NSE","High","I15 [09:15-15:30 L]",,"230")</f>
        <v>11915.9</v>
      </c>
      <c r="E171" s="4" t="n">
        <f aca="false">rtd("esrtd",,"*H","$NIFTY-NSE","Low","I15 [09:15-15:30 L]",,"230")</f>
        <v>11906.4</v>
      </c>
      <c r="F171" s="4" t="n">
        <f aca="false">rtd("esrtd",,"*H","$NIFTY-NSE","Last","I15 [09:15-15:30 L]",,"230")</f>
        <v>11907.35</v>
      </c>
    </row>
    <row r="172" customFormat="false" ht="15" hidden="false" customHeight="false" outlineLevel="0" collapsed="false">
      <c r="A172" s="2" t="n">
        <f aca="false">rtd("esrtd",,"*H","$NIFTY-NSE","Intraday_Date","I15 [09:15-15:30 L]",,"229")</f>
        <v>43782.7291666667</v>
      </c>
      <c r="B172" s="3" t="n">
        <f aca="false">rtd("esrtd",,"*H","$NIFTY-NSE","BarTime","I15 [09:15-15:30 L]",,"229")</f>
        <v>43782.4895833333</v>
      </c>
      <c r="C172" s="4" t="n">
        <f aca="false">rtd("esrtd",,"*H","$NIFTY-NSE","Open","I15 [09:15-15:30 L]",,"229")</f>
        <v>11907.55</v>
      </c>
      <c r="D172" s="4" t="n">
        <f aca="false">rtd("esrtd",,"*H","$NIFTY-NSE","High","I15 [09:15-15:30 L]",,"229")</f>
        <v>11911.9</v>
      </c>
      <c r="E172" s="4" t="n">
        <f aca="false">rtd("esrtd",,"*H","$NIFTY-NSE","Low","I15 [09:15-15:30 L]",,"229")</f>
        <v>11900.75</v>
      </c>
      <c r="F172" s="4" t="n">
        <f aca="false">rtd("esrtd",,"*H","$NIFTY-NSE","Last","I15 [09:15-15:30 L]",,"229")</f>
        <v>11901.85</v>
      </c>
    </row>
    <row r="173" customFormat="false" ht="15" hidden="false" customHeight="false" outlineLevel="0" collapsed="false">
      <c r="A173" s="2" t="n">
        <f aca="false">rtd("esrtd",,"*H","$NIFTY-NSE","Intraday_Date","I15 [09:15-15:30 L]",,"228")</f>
        <v>43782.7291666667</v>
      </c>
      <c r="B173" s="3" t="n">
        <f aca="false">rtd("esrtd",,"*H","$NIFTY-NSE","BarTime","I15 [09:15-15:30 L]",,"228")</f>
        <v>43782.5</v>
      </c>
      <c r="C173" s="4" t="n">
        <f aca="false">rtd("esrtd",,"*H","$NIFTY-NSE","Open","I15 [09:15-15:30 L]",,"228")</f>
        <v>11902.05</v>
      </c>
      <c r="D173" s="4" t="n">
        <f aca="false">rtd("esrtd",,"*H","$NIFTY-NSE","High","I15 [09:15-15:30 L]",,"228")</f>
        <v>11903.15</v>
      </c>
      <c r="E173" s="4" t="n">
        <f aca="false">rtd("esrtd",,"*H","$NIFTY-NSE","Low","I15 [09:15-15:30 L]",,"228")</f>
        <v>11890.4</v>
      </c>
      <c r="F173" s="4" t="n">
        <f aca="false">rtd("esrtd",,"*H","$NIFTY-NSE","Last","I15 [09:15-15:30 L]",,"228")</f>
        <v>11892.95</v>
      </c>
    </row>
    <row r="174" customFormat="false" ht="15" hidden="false" customHeight="false" outlineLevel="0" collapsed="false">
      <c r="A174" s="2" t="n">
        <f aca="false">rtd("esrtd",,"*H","$NIFTY-NSE","Intraday_Date","I15 [09:15-15:30 L]",,"227")</f>
        <v>43782.7291666667</v>
      </c>
      <c r="B174" s="3" t="n">
        <f aca="false">rtd("esrtd",,"*H","$NIFTY-NSE","BarTime","I15 [09:15-15:30 L]",,"227")</f>
        <v>43782.5104166667</v>
      </c>
      <c r="C174" s="4" t="n">
        <f aca="false">rtd("esrtd",,"*H","$NIFTY-NSE","Open","I15 [09:15-15:30 L]",,"227")</f>
        <v>11892.8</v>
      </c>
      <c r="D174" s="4" t="n">
        <f aca="false">rtd("esrtd",,"*H","$NIFTY-NSE","High","I15 [09:15-15:30 L]",,"227")</f>
        <v>11906.25</v>
      </c>
      <c r="E174" s="4" t="n">
        <f aca="false">rtd("esrtd",,"*H","$NIFTY-NSE","Low","I15 [09:15-15:30 L]",,"227")</f>
        <v>11892.1</v>
      </c>
      <c r="F174" s="4" t="n">
        <f aca="false">rtd("esrtd",,"*H","$NIFTY-NSE","Last","I15 [09:15-15:30 L]",,"227")</f>
        <v>11903.05</v>
      </c>
    </row>
    <row r="175" customFormat="false" ht="15" hidden="false" customHeight="false" outlineLevel="0" collapsed="false">
      <c r="A175" s="2" t="n">
        <f aca="false">rtd("esrtd",,"*H","$NIFTY-NSE","Intraday_Date","I15 [09:15-15:30 L]",,"226")</f>
        <v>43782.7291666667</v>
      </c>
      <c r="B175" s="3" t="n">
        <f aca="false">rtd("esrtd",,"*H","$NIFTY-NSE","BarTime","I15 [09:15-15:30 L]",,"226")</f>
        <v>43782.5208333333</v>
      </c>
      <c r="C175" s="4" t="n">
        <f aca="false">rtd("esrtd",,"*H","$NIFTY-NSE","Open","I15 [09:15-15:30 L]",,"226")</f>
        <v>11903.15</v>
      </c>
      <c r="D175" s="4" t="n">
        <f aca="false">rtd("esrtd",,"*H","$NIFTY-NSE","High","I15 [09:15-15:30 L]",,"226")</f>
        <v>11915.6</v>
      </c>
      <c r="E175" s="4" t="n">
        <f aca="false">rtd("esrtd",,"*H","$NIFTY-NSE","Low","I15 [09:15-15:30 L]",,"226")</f>
        <v>11901.8</v>
      </c>
      <c r="F175" s="4" t="n">
        <f aca="false">rtd("esrtd",,"*H","$NIFTY-NSE","Last","I15 [09:15-15:30 L]",,"226")</f>
        <v>11904.7</v>
      </c>
    </row>
    <row r="176" customFormat="false" ht="15" hidden="false" customHeight="false" outlineLevel="0" collapsed="false">
      <c r="A176" s="2" t="n">
        <f aca="false">rtd("esrtd",,"*H","$NIFTY-NSE","Intraday_Date","I15 [09:15-15:30 L]",,"225")</f>
        <v>43782.7291666667</v>
      </c>
      <c r="B176" s="3" t="n">
        <f aca="false">rtd("esrtd",,"*H","$NIFTY-NSE","BarTime","I15 [09:15-15:30 L]",,"225")</f>
        <v>43782.53125</v>
      </c>
      <c r="C176" s="4" t="n">
        <f aca="false">rtd("esrtd",,"*H","$NIFTY-NSE","Open","I15 [09:15-15:30 L]",,"225")</f>
        <v>11905</v>
      </c>
      <c r="D176" s="4" t="n">
        <f aca="false">rtd("esrtd",,"*H","$NIFTY-NSE","High","I15 [09:15-15:30 L]",,"225")</f>
        <v>11910.7</v>
      </c>
      <c r="E176" s="4" t="n">
        <f aca="false">rtd("esrtd",,"*H","$NIFTY-NSE","Low","I15 [09:15-15:30 L]",,"225")</f>
        <v>11897.05</v>
      </c>
      <c r="F176" s="4" t="n">
        <f aca="false">rtd("esrtd",,"*H","$NIFTY-NSE","Last","I15 [09:15-15:30 L]",,"225")</f>
        <v>11900.35</v>
      </c>
    </row>
    <row r="177" customFormat="false" ht="15" hidden="false" customHeight="false" outlineLevel="0" collapsed="false">
      <c r="A177" s="2" t="n">
        <f aca="false">rtd("esrtd",,"*H","$NIFTY-NSE","Intraday_Date","I15 [09:15-15:30 L]",,"224")</f>
        <v>43782.7291666667</v>
      </c>
      <c r="B177" s="3" t="n">
        <f aca="false">rtd("esrtd",,"*H","$NIFTY-NSE","BarTime","I15 [09:15-15:30 L]",,"224")</f>
        <v>43782.5416666667</v>
      </c>
      <c r="C177" s="4" t="n">
        <f aca="false">rtd("esrtd",,"*H","$NIFTY-NSE","Open","I15 [09:15-15:30 L]",,"224")</f>
        <v>11900.2</v>
      </c>
      <c r="D177" s="4" t="n">
        <f aca="false">rtd("esrtd",,"*H","$NIFTY-NSE","High","I15 [09:15-15:30 L]",,"224")</f>
        <v>11906.9</v>
      </c>
      <c r="E177" s="4" t="n">
        <f aca="false">rtd("esrtd",,"*H","$NIFTY-NSE","Low","I15 [09:15-15:30 L]",,"224")</f>
        <v>11895.9</v>
      </c>
      <c r="F177" s="4" t="n">
        <f aca="false">rtd("esrtd",,"*H","$NIFTY-NSE","Last","I15 [09:15-15:30 L]",,"224")</f>
        <v>11899.45</v>
      </c>
    </row>
    <row r="178" customFormat="false" ht="15" hidden="false" customHeight="false" outlineLevel="0" collapsed="false">
      <c r="A178" s="2" t="n">
        <f aca="false">rtd("esrtd",,"*H","$NIFTY-NSE","Intraday_Date","I15 [09:15-15:30 L]",,"223")</f>
        <v>43782.7291666667</v>
      </c>
      <c r="B178" s="3" t="n">
        <f aca="false">rtd("esrtd",,"*H","$NIFTY-NSE","BarTime","I15 [09:15-15:30 L]",,"223")</f>
        <v>43782.5520833333</v>
      </c>
      <c r="C178" s="4" t="n">
        <f aca="false">rtd("esrtd",,"*H","$NIFTY-NSE","Open","I15 [09:15-15:30 L]",,"223")</f>
        <v>11899.9</v>
      </c>
      <c r="D178" s="4" t="n">
        <f aca="false">rtd("esrtd",,"*H","$NIFTY-NSE","High","I15 [09:15-15:30 L]",,"223")</f>
        <v>11902.4</v>
      </c>
      <c r="E178" s="4" t="n">
        <f aca="false">rtd("esrtd",,"*H","$NIFTY-NSE","Low","I15 [09:15-15:30 L]",,"223")</f>
        <v>11876.6</v>
      </c>
      <c r="F178" s="4" t="n">
        <f aca="false">rtd("esrtd",,"*H","$NIFTY-NSE","Last","I15 [09:15-15:30 L]",,"223")</f>
        <v>11882.35</v>
      </c>
    </row>
    <row r="179" customFormat="false" ht="15" hidden="false" customHeight="false" outlineLevel="0" collapsed="false">
      <c r="A179" s="2" t="n">
        <f aca="false">rtd("esrtd",,"*H","$NIFTY-NSE","Intraday_Date","I15 [09:15-15:30 L]",,"222")</f>
        <v>43782.7291666667</v>
      </c>
      <c r="B179" s="3" t="n">
        <f aca="false">rtd("esrtd",,"*H","$NIFTY-NSE","BarTime","I15 [09:15-15:30 L]",,"222")</f>
        <v>43782.5625</v>
      </c>
      <c r="C179" s="4" t="n">
        <f aca="false">rtd("esrtd",,"*H","$NIFTY-NSE","Open","I15 [09:15-15:30 L]",,"222")</f>
        <v>11882.25</v>
      </c>
      <c r="D179" s="4" t="n">
        <f aca="false">rtd("esrtd",,"*H","$NIFTY-NSE","High","I15 [09:15-15:30 L]",,"222")</f>
        <v>11895.8</v>
      </c>
      <c r="E179" s="4" t="n">
        <f aca="false">rtd("esrtd",,"*H","$NIFTY-NSE","Low","I15 [09:15-15:30 L]",,"222")</f>
        <v>11878.45</v>
      </c>
      <c r="F179" s="4" t="n">
        <f aca="false">rtd("esrtd",,"*H","$NIFTY-NSE","Last","I15 [09:15-15:30 L]",,"222")</f>
        <v>11894.4</v>
      </c>
    </row>
    <row r="180" customFormat="false" ht="15" hidden="false" customHeight="false" outlineLevel="0" collapsed="false">
      <c r="A180" s="2" t="n">
        <f aca="false">rtd("esrtd",,"*H","$NIFTY-NSE","Intraday_Date","I15 [09:15-15:30 L]",,"221")</f>
        <v>43782.7291666667</v>
      </c>
      <c r="B180" s="3" t="n">
        <f aca="false">rtd("esrtd",,"*H","$NIFTY-NSE","BarTime","I15 [09:15-15:30 L]",,"221")</f>
        <v>43782.5729166667</v>
      </c>
      <c r="C180" s="4" t="n">
        <f aca="false">rtd("esrtd",,"*H","$NIFTY-NSE","Open","I15 [09:15-15:30 L]",,"221")</f>
        <v>11894.15</v>
      </c>
      <c r="D180" s="4" t="n">
        <f aca="false">rtd("esrtd",,"*H","$NIFTY-NSE","High","I15 [09:15-15:30 L]",,"221")</f>
        <v>11895.65</v>
      </c>
      <c r="E180" s="4" t="n">
        <f aca="false">rtd("esrtd",,"*H","$NIFTY-NSE","Low","I15 [09:15-15:30 L]",,"221")</f>
        <v>11881.15</v>
      </c>
      <c r="F180" s="4" t="n">
        <f aca="false">rtd("esrtd",,"*H","$NIFTY-NSE","Last","I15 [09:15-15:30 L]",,"221")</f>
        <v>11886.85</v>
      </c>
    </row>
    <row r="181" customFormat="false" ht="15" hidden="false" customHeight="false" outlineLevel="0" collapsed="false">
      <c r="A181" s="2" t="n">
        <f aca="false">rtd("esrtd",,"*H","$NIFTY-NSE","Intraday_Date","I15 [09:15-15:30 L]",,"220")</f>
        <v>43782.7291666667</v>
      </c>
      <c r="B181" s="3" t="n">
        <f aca="false">rtd("esrtd",,"*H","$NIFTY-NSE","BarTime","I15 [09:15-15:30 L]",,"220")</f>
        <v>43782.5833333333</v>
      </c>
      <c r="C181" s="4" t="n">
        <f aca="false">rtd("esrtd",,"*H","$NIFTY-NSE","Open","I15 [09:15-15:30 L]",,"220")</f>
        <v>11886.95</v>
      </c>
      <c r="D181" s="4" t="n">
        <f aca="false">rtd("esrtd",,"*H","$NIFTY-NSE","High","I15 [09:15-15:30 L]",,"220")</f>
        <v>11899.85</v>
      </c>
      <c r="E181" s="4" t="n">
        <f aca="false">rtd("esrtd",,"*H","$NIFTY-NSE","Low","I15 [09:15-15:30 L]",,"220")</f>
        <v>11886.45</v>
      </c>
      <c r="F181" s="4" t="n">
        <f aca="false">rtd("esrtd",,"*H","$NIFTY-NSE","Last","I15 [09:15-15:30 L]",,"220")</f>
        <v>11890.05</v>
      </c>
    </row>
    <row r="182" customFormat="false" ht="15" hidden="false" customHeight="false" outlineLevel="0" collapsed="false">
      <c r="A182" s="2" t="n">
        <f aca="false">rtd("esrtd",,"*H","$NIFTY-NSE","Intraday_Date","I15 [09:15-15:30 L]",,"219")</f>
        <v>43782.7291666667</v>
      </c>
      <c r="B182" s="3" t="n">
        <f aca="false">rtd("esrtd",,"*H","$NIFTY-NSE","BarTime","I15 [09:15-15:30 L]",,"219")</f>
        <v>43782.59375</v>
      </c>
      <c r="C182" s="4" t="n">
        <f aca="false">rtd("esrtd",,"*H","$NIFTY-NSE","Open","I15 [09:15-15:30 L]",,"219")</f>
        <v>11890.1</v>
      </c>
      <c r="D182" s="4" t="n">
        <f aca="false">rtd("esrtd",,"*H","$NIFTY-NSE","High","I15 [09:15-15:30 L]",,"219")</f>
        <v>11891.25</v>
      </c>
      <c r="E182" s="4" t="n">
        <f aca="false">rtd("esrtd",,"*H","$NIFTY-NSE","Low","I15 [09:15-15:30 L]",,"219")</f>
        <v>11873.45</v>
      </c>
      <c r="F182" s="4" t="n">
        <f aca="false">rtd("esrtd",,"*H","$NIFTY-NSE","Last","I15 [09:15-15:30 L]",,"219")</f>
        <v>11879.2</v>
      </c>
    </row>
    <row r="183" customFormat="false" ht="15" hidden="false" customHeight="false" outlineLevel="0" collapsed="false">
      <c r="A183" s="2" t="n">
        <f aca="false">rtd("esrtd",,"*H","$NIFTY-NSE","Intraday_Date","I15 [09:15-15:30 L]",,"218")</f>
        <v>43782.7291666667</v>
      </c>
      <c r="B183" s="3" t="n">
        <f aca="false">rtd("esrtd",,"*H","$NIFTY-NSE","BarTime","I15 [09:15-15:30 L]",,"218")</f>
        <v>43782.6041666667</v>
      </c>
      <c r="C183" s="4" t="n">
        <f aca="false">rtd("esrtd",,"*H","$NIFTY-NSE","Open","I15 [09:15-15:30 L]",,"218")</f>
        <v>11878.6</v>
      </c>
      <c r="D183" s="4" t="n">
        <f aca="false">rtd("esrtd",,"*H","$NIFTY-NSE","High","I15 [09:15-15:30 L]",,"218")</f>
        <v>11880.4</v>
      </c>
      <c r="E183" s="4" t="n">
        <f aca="false">rtd("esrtd",,"*H","$NIFTY-NSE","Low","I15 [09:15-15:30 L]",,"218")</f>
        <v>11853.05</v>
      </c>
      <c r="F183" s="4" t="n">
        <f aca="false">rtd("esrtd",,"*H","$NIFTY-NSE","Last","I15 [09:15-15:30 L]",,"218")</f>
        <v>11854.8</v>
      </c>
    </row>
    <row r="184" customFormat="false" ht="15" hidden="false" customHeight="false" outlineLevel="0" collapsed="false">
      <c r="A184" s="2" t="n">
        <f aca="false">rtd("esrtd",,"*H","$NIFTY-NSE","Intraday_Date","I15 [09:15-15:30 L]",,"217")</f>
        <v>43782.7291666667</v>
      </c>
      <c r="B184" s="3" t="n">
        <f aca="false">rtd("esrtd",,"*H","$NIFTY-NSE","BarTime","I15 [09:15-15:30 L]",,"217")</f>
        <v>43782.6145833333</v>
      </c>
      <c r="C184" s="4" t="n">
        <f aca="false">rtd("esrtd",,"*H","$NIFTY-NSE","Open","I15 [09:15-15:30 L]",,"217")</f>
        <v>11854.9</v>
      </c>
      <c r="D184" s="4" t="n">
        <f aca="false">rtd("esrtd",,"*H","$NIFTY-NSE","High","I15 [09:15-15:30 L]",,"217")</f>
        <v>11856.95</v>
      </c>
      <c r="E184" s="4" t="n">
        <f aca="false">rtd("esrtd",,"*H","$NIFTY-NSE","Low","I15 [09:15-15:30 L]",,"217")</f>
        <v>11823.2</v>
      </c>
      <c r="F184" s="4" t="n">
        <f aca="false">rtd("esrtd",,"*H","$NIFTY-NSE","Last","I15 [09:15-15:30 L]",,"217")</f>
        <v>11828.3</v>
      </c>
    </row>
    <row r="185" customFormat="false" ht="15" hidden="false" customHeight="false" outlineLevel="0" collapsed="false">
      <c r="A185" s="2" t="n">
        <f aca="false">rtd("esrtd",,"*H","$NIFTY-NSE","Intraday_Date","I15 [09:15-15:30 L]",,"216")</f>
        <v>43782.7291666667</v>
      </c>
      <c r="B185" s="3" t="n">
        <f aca="false">rtd("esrtd",,"*H","$NIFTY-NSE","BarTime","I15 [09:15-15:30 L]",,"216")</f>
        <v>43782.625</v>
      </c>
      <c r="C185" s="4" t="n">
        <f aca="false">rtd("esrtd",,"*H","$NIFTY-NSE","Open","I15 [09:15-15:30 L]",,"216")</f>
        <v>11828.35</v>
      </c>
      <c r="D185" s="4" t="n">
        <f aca="false">rtd("esrtd",,"*H","$NIFTY-NSE","High","I15 [09:15-15:30 L]",,"216")</f>
        <v>11855.55</v>
      </c>
      <c r="E185" s="4" t="n">
        <f aca="false">rtd("esrtd",,"*H","$NIFTY-NSE","Low","I15 [09:15-15:30 L]",,"216")</f>
        <v>11828.35</v>
      </c>
      <c r="F185" s="4" t="n">
        <f aca="false">rtd("esrtd",,"*H","$NIFTY-NSE","Last","I15 [09:15-15:30 L]",,"216")</f>
        <v>11840.85</v>
      </c>
    </row>
    <row r="186" customFormat="false" ht="15" hidden="false" customHeight="false" outlineLevel="0" collapsed="false">
      <c r="A186" s="2" t="n">
        <f aca="false">rtd("esrtd",,"*H","$NIFTY-NSE","Intraday_Date","I15 [09:15-15:30 L]",,"215")</f>
        <v>43782.7291666667</v>
      </c>
      <c r="B186" s="3" t="n">
        <f aca="false">rtd("esrtd",,"*H","$NIFTY-NSE","BarTime","I15 [09:15-15:30 L]",,"215")</f>
        <v>43782.6354166667</v>
      </c>
      <c r="C186" s="4" t="n">
        <f aca="false">rtd("esrtd",,"*H","$NIFTY-NSE","Open","I15 [09:15-15:30 L]",,"215")</f>
        <v>11841.8</v>
      </c>
      <c r="D186" s="4" t="n">
        <f aca="false">rtd("esrtd",,"*H","$NIFTY-NSE","High","I15 [09:15-15:30 L]",,"215")</f>
        <v>11846.35</v>
      </c>
      <c r="E186" s="4" t="n">
        <f aca="false">rtd("esrtd",,"*H","$NIFTY-NSE","Low","I15 [09:15-15:30 L]",,"215")</f>
        <v>11832.8</v>
      </c>
      <c r="F186" s="4" t="n">
        <f aca="false">rtd("esrtd",,"*H","$NIFTY-NSE","Last","I15 [09:15-15:30 L]",,"215")</f>
        <v>11834.2</v>
      </c>
    </row>
    <row r="187" customFormat="false" ht="15" hidden="false" customHeight="false" outlineLevel="0" collapsed="false">
      <c r="A187" s="2" t="n">
        <f aca="false">rtd("esrtd",,"*H","$NIFTY-NSE","Intraday_Date","I15 [09:15-15:30 L]",,"214")</f>
        <v>43783.7291666667</v>
      </c>
      <c r="B187" s="3" t="n">
        <f aca="false">rtd("esrtd",,"*H","$NIFTY-NSE","BarTime","I15 [09:15-15:30 L]",,"214")</f>
        <v>43783.3854166667</v>
      </c>
      <c r="C187" s="4" t="n">
        <f aca="false">rtd("esrtd",,"*H","$NIFTY-NSE","Open","I15 [09:15-15:30 L]",,"214")</f>
        <v>11862.3</v>
      </c>
      <c r="D187" s="4" t="n">
        <f aca="false">rtd("esrtd",,"*H","$NIFTY-NSE","High","I15 [09:15-15:30 L]",,"214")</f>
        <v>11862.3</v>
      </c>
      <c r="E187" s="4" t="n">
        <f aca="false">rtd("esrtd",,"*H","$NIFTY-NSE","Low","I15 [09:15-15:30 L]",,"214")</f>
        <v>11809.55</v>
      </c>
      <c r="F187" s="4" t="n">
        <f aca="false">rtd("esrtd",,"*H","$NIFTY-NSE","Last","I15 [09:15-15:30 L]",,"214")</f>
        <v>11814.8</v>
      </c>
    </row>
    <row r="188" customFormat="false" ht="15" hidden="false" customHeight="false" outlineLevel="0" collapsed="false">
      <c r="A188" s="2" t="n">
        <f aca="false">rtd("esrtd",,"*H","$NIFTY-NSE","Intraday_Date","I15 [09:15-15:30 L]",,"213")</f>
        <v>43783.7291666667</v>
      </c>
      <c r="B188" s="3" t="n">
        <f aca="false">rtd("esrtd",,"*H","$NIFTY-NSE","BarTime","I15 [09:15-15:30 L]",,"213")</f>
        <v>43783.3958333333</v>
      </c>
      <c r="C188" s="4" t="n">
        <f aca="false">rtd("esrtd",,"*H","$NIFTY-NSE","Open","I15 [09:15-15:30 L]",,"213")</f>
        <v>11815.2</v>
      </c>
      <c r="D188" s="4" t="n">
        <f aca="false">rtd("esrtd",,"*H","$NIFTY-NSE","High","I15 [09:15-15:30 L]",,"213")</f>
        <v>11831.4</v>
      </c>
      <c r="E188" s="4" t="n">
        <f aca="false">rtd("esrtd",,"*H","$NIFTY-NSE","Low","I15 [09:15-15:30 L]",,"213")</f>
        <v>11802.65</v>
      </c>
      <c r="F188" s="4" t="n">
        <f aca="false">rtd("esrtd",,"*H","$NIFTY-NSE","Last","I15 [09:15-15:30 L]",,"213")</f>
        <v>11803.85</v>
      </c>
    </row>
    <row r="189" customFormat="false" ht="15" hidden="false" customHeight="false" outlineLevel="0" collapsed="false">
      <c r="A189" s="2" t="n">
        <f aca="false">rtd("esrtd",,"*H","$NIFTY-NSE","Intraday_Date","I15 [09:15-15:30 L]",,"212")</f>
        <v>43783.7291666667</v>
      </c>
      <c r="B189" s="3" t="n">
        <f aca="false">rtd("esrtd",,"*H","$NIFTY-NSE","BarTime","I15 [09:15-15:30 L]",,"212")</f>
        <v>43783.40625</v>
      </c>
      <c r="C189" s="4" t="n">
        <f aca="false">rtd("esrtd",,"*H","$NIFTY-NSE","Open","I15 [09:15-15:30 L]",,"212")</f>
        <v>11803.75</v>
      </c>
      <c r="D189" s="4" t="n">
        <f aca="false">rtd("esrtd",,"*H","$NIFTY-NSE","High","I15 [09:15-15:30 L]",,"212")</f>
        <v>11825.05</v>
      </c>
      <c r="E189" s="4" t="n">
        <f aca="false">rtd("esrtd",,"*H","$NIFTY-NSE","Low","I15 [09:15-15:30 L]",,"212")</f>
        <v>11803.65</v>
      </c>
      <c r="F189" s="4" t="n">
        <f aca="false">rtd("esrtd",,"*H","$NIFTY-NSE","Last","I15 [09:15-15:30 L]",,"212")</f>
        <v>11811.8</v>
      </c>
    </row>
    <row r="190" customFormat="false" ht="15" hidden="false" customHeight="false" outlineLevel="0" collapsed="false">
      <c r="A190" s="2" t="n">
        <f aca="false">rtd("esrtd",,"*H","$NIFTY-NSE","Intraday_Date","I15 [09:15-15:30 L]",,"211")</f>
        <v>43783.7291666667</v>
      </c>
      <c r="B190" s="3" t="n">
        <f aca="false">rtd("esrtd",,"*H","$NIFTY-NSE","BarTime","I15 [09:15-15:30 L]",,"211")</f>
        <v>43783.4166666667</v>
      </c>
      <c r="C190" s="4" t="n">
        <f aca="false">rtd("esrtd",,"*H","$NIFTY-NSE","Open","I15 [09:15-15:30 L]",,"211")</f>
        <v>11811.4</v>
      </c>
      <c r="D190" s="4" t="n">
        <f aca="false">rtd("esrtd",,"*H","$NIFTY-NSE","High","I15 [09:15-15:30 L]",,"211")</f>
        <v>11832.85</v>
      </c>
      <c r="E190" s="4" t="n">
        <f aca="false">rtd("esrtd",,"*H","$NIFTY-NSE","Low","I15 [09:15-15:30 L]",,"211")</f>
        <v>11809.6</v>
      </c>
      <c r="F190" s="4" t="n">
        <f aca="false">rtd("esrtd",,"*H","$NIFTY-NSE","Last","I15 [09:15-15:30 L]",,"211")</f>
        <v>11820.75</v>
      </c>
    </row>
    <row r="191" customFormat="false" ht="15" hidden="false" customHeight="false" outlineLevel="0" collapsed="false">
      <c r="A191" s="2" t="n">
        <f aca="false">rtd("esrtd",,"*H","$NIFTY-NSE","Intraday_Date","I15 [09:15-15:30 L]",,"210")</f>
        <v>43783.7291666667</v>
      </c>
      <c r="B191" s="3" t="n">
        <f aca="false">rtd("esrtd",,"*H","$NIFTY-NSE","BarTime","I15 [09:15-15:30 L]",,"210")</f>
        <v>43783.4270833333</v>
      </c>
      <c r="C191" s="4" t="n">
        <f aca="false">rtd("esrtd",,"*H","$NIFTY-NSE","Open","I15 [09:15-15:30 L]",,"210")</f>
        <v>11820.2</v>
      </c>
      <c r="D191" s="4" t="n">
        <f aca="false">rtd("esrtd",,"*H","$NIFTY-NSE","High","I15 [09:15-15:30 L]",,"210")</f>
        <v>11824.3</v>
      </c>
      <c r="E191" s="4" t="n">
        <f aca="false">rtd("esrtd",,"*H","$NIFTY-NSE","Low","I15 [09:15-15:30 L]",,"210")</f>
        <v>11812.05</v>
      </c>
      <c r="F191" s="4" t="n">
        <f aca="false">rtd("esrtd",,"*H","$NIFTY-NSE","Last","I15 [09:15-15:30 L]",,"210")</f>
        <v>11822.5</v>
      </c>
    </row>
    <row r="192" customFormat="false" ht="15" hidden="false" customHeight="false" outlineLevel="0" collapsed="false">
      <c r="A192" s="2" t="n">
        <f aca="false">rtd("esrtd",,"*H","$NIFTY-NSE","Intraday_Date","I15 [09:15-15:30 L]",,"209")</f>
        <v>43783.7291666667</v>
      </c>
      <c r="B192" s="3" t="n">
        <f aca="false">rtd("esrtd",,"*H","$NIFTY-NSE","BarTime","I15 [09:15-15:30 L]",,"209")</f>
        <v>43783.4375</v>
      </c>
      <c r="C192" s="4" t="n">
        <f aca="false">rtd("esrtd",,"*H","$NIFTY-NSE","Open","I15 [09:15-15:30 L]",,"209")</f>
        <v>11822.75</v>
      </c>
      <c r="D192" s="4" t="n">
        <f aca="false">rtd("esrtd",,"*H","$NIFTY-NSE","High","I15 [09:15-15:30 L]",,"209")</f>
        <v>11856.15</v>
      </c>
      <c r="E192" s="4" t="n">
        <f aca="false">rtd("esrtd",,"*H","$NIFTY-NSE","Low","I15 [09:15-15:30 L]",,"209")</f>
        <v>11820.7</v>
      </c>
      <c r="F192" s="4" t="n">
        <f aca="false">rtd("esrtd",,"*H","$NIFTY-NSE","Last","I15 [09:15-15:30 L]",,"209")</f>
        <v>11849.95</v>
      </c>
    </row>
    <row r="193" customFormat="false" ht="15" hidden="false" customHeight="false" outlineLevel="0" collapsed="false">
      <c r="A193" s="2" t="n">
        <f aca="false">rtd("esrtd",,"*H","$NIFTY-NSE","Intraday_Date","I15 [09:15-15:30 L]",,"208")</f>
        <v>43783.7291666667</v>
      </c>
      <c r="B193" s="3" t="n">
        <f aca="false">rtd("esrtd",,"*H","$NIFTY-NSE","BarTime","I15 [09:15-15:30 L]",,"208")</f>
        <v>43783.4479166667</v>
      </c>
      <c r="C193" s="4" t="n">
        <f aca="false">rtd("esrtd",,"*H","$NIFTY-NSE","Open","I15 [09:15-15:30 L]",,"208")</f>
        <v>11849.75</v>
      </c>
      <c r="D193" s="4" t="n">
        <f aca="false">rtd("esrtd",,"*H","$NIFTY-NSE","High","I15 [09:15-15:30 L]",,"208")</f>
        <v>11861.4</v>
      </c>
      <c r="E193" s="4" t="n">
        <f aca="false">rtd("esrtd",,"*H","$NIFTY-NSE","Low","I15 [09:15-15:30 L]",,"208")</f>
        <v>11842.75</v>
      </c>
      <c r="F193" s="4" t="n">
        <f aca="false">rtd("esrtd",,"*H","$NIFTY-NSE","Last","I15 [09:15-15:30 L]",,"208")</f>
        <v>11855.9</v>
      </c>
    </row>
    <row r="194" customFormat="false" ht="15" hidden="false" customHeight="false" outlineLevel="0" collapsed="false">
      <c r="A194" s="2" t="n">
        <f aca="false">rtd("esrtd",,"*H","$NIFTY-NSE","Intraday_Date","I15 [09:15-15:30 L]",,"207")</f>
        <v>43783.7291666667</v>
      </c>
      <c r="B194" s="3" t="n">
        <f aca="false">rtd("esrtd",,"*H","$NIFTY-NSE","BarTime","I15 [09:15-15:30 L]",,"207")</f>
        <v>43783.4583333333</v>
      </c>
      <c r="C194" s="4" t="n">
        <f aca="false">rtd("esrtd",,"*H","$NIFTY-NSE","Open","I15 [09:15-15:30 L]",,"207")</f>
        <v>11855.7</v>
      </c>
      <c r="D194" s="4" t="n">
        <f aca="false">rtd("esrtd",,"*H","$NIFTY-NSE","High","I15 [09:15-15:30 L]",,"207")</f>
        <v>11895.65</v>
      </c>
      <c r="E194" s="4" t="n">
        <f aca="false">rtd("esrtd",,"*H","$NIFTY-NSE","Low","I15 [09:15-15:30 L]",,"207")</f>
        <v>11854.1</v>
      </c>
      <c r="F194" s="4" t="n">
        <f aca="false">rtd("esrtd",,"*H","$NIFTY-NSE","Last","I15 [09:15-15:30 L]",,"207")</f>
        <v>11874.15</v>
      </c>
    </row>
    <row r="195" customFormat="false" ht="15" hidden="false" customHeight="false" outlineLevel="0" collapsed="false">
      <c r="A195" s="2" t="n">
        <f aca="false">rtd("esrtd",,"*H","$NIFTY-NSE","Intraday_Date","I15 [09:15-15:30 L]",,"206")</f>
        <v>43783.7291666667</v>
      </c>
      <c r="B195" s="3" t="n">
        <f aca="false">rtd("esrtd",,"*H","$NIFTY-NSE","BarTime","I15 [09:15-15:30 L]",,"206")</f>
        <v>43783.46875</v>
      </c>
      <c r="C195" s="4" t="n">
        <f aca="false">rtd("esrtd",,"*H","$NIFTY-NSE","Open","I15 [09:15-15:30 L]",,"206")</f>
        <v>11873.95</v>
      </c>
      <c r="D195" s="4" t="n">
        <f aca="false">rtd("esrtd",,"*H","$NIFTY-NSE","High","I15 [09:15-15:30 L]",,"206")</f>
        <v>11879.5</v>
      </c>
      <c r="E195" s="4" t="n">
        <f aca="false">rtd("esrtd",,"*H","$NIFTY-NSE","Low","I15 [09:15-15:30 L]",,"206")</f>
        <v>11865.55</v>
      </c>
      <c r="F195" s="4" t="n">
        <f aca="false">rtd("esrtd",,"*H","$NIFTY-NSE","Last","I15 [09:15-15:30 L]",,"206")</f>
        <v>11871.1</v>
      </c>
    </row>
    <row r="196" customFormat="false" ht="15" hidden="false" customHeight="false" outlineLevel="0" collapsed="false">
      <c r="A196" s="2" t="n">
        <f aca="false">rtd("esrtd",,"*H","$NIFTY-NSE","Intraday_Date","I15 [09:15-15:30 L]",,"205")</f>
        <v>43783.7291666667</v>
      </c>
      <c r="B196" s="3" t="n">
        <f aca="false">rtd("esrtd",,"*H","$NIFTY-NSE","BarTime","I15 [09:15-15:30 L]",,"205")</f>
        <v>43783.4791666667</v>
      </c>
      <c r="C196" s="4" t="n">
        <f aca="false">rtd("esrtd",,"*H","$NIFTY-NSE","Open","I15 [09:15-15:30 L]",,"205")</f>
        <v>11871.35</v>
      </c>
      <c r="D196" s="4" t="n">
        <f aca="false">rtd("esrtd",,"*H","$NIFTY-NSE","High","I15 [09:15-15:30 L]",,"205")</f>
        <v>11875.55</v>
      </c>
      <c r="E196" s="4" t="n">
        <f aca="false">rtd("esrtd",,"*H","$NIFTY-NSE","Low","I15 [09:15-15:30 L]",,"205")</f>
        <v>11860.75</v>
      </c>
      <c r="F196" s="4" t="n">
        <f aca="false">rtd("esrtd",,"*H","$NIFTY-NSE","Last","I15 [09:15-15:30 L]",,"205")</f>
        <v>11860.75</v>
      </c>
    </row>
    <row r="197" customFormat="false" ht="15" hidden="false" customHeight="false" outlineLevel="0" collapsed="false">
      <c r="A197" s="2" t="n">
        <f aca="false">rtd("esrtd",,"*H","$NIFTY-NSE","Intraday_Date","I15 [09:15-15:30 L]",,"204")</f>
        <v>43783.7291666667</v>
      </c>
      <c r="B197" s="3" t="n">
        <f aca="false">rtd("esrtd",,"*H","$NIFTY-NSE","BarTime","I15 [09:15-15:30 L]",,"204")</f>
        <v>43783.4895833333</v>
      </c>
      <c r="C197" s="4" t="n">
        <f aca="false">rtd("esrtd",,"*H","$NIFTY-NSE","Open","I15 [09:15-15:30 L]",,"204")</f>
        <v>11861.4</v>
      </c>
      <c r="D197" s="4" t="n">
        <f aca="false">rtd("esrtd",,"*H","$NIFTY-NSE","High","I15 [09:15-15:30 L]",,"204")</f>
        <v>11866</v>
      </c>
      <c r="E197" s="4" t="n">
        <f aca="false">rtd("esrtd",,"*H","$NIFTY-NSE","Low","I15 [09:15-15:30 L]",,"204")</f>
        <v>11849.45</v>
      </c>
      <c r="F197" s="4" t="n">
        <f aca="false">rtd("esrtd",,"*H","$NIFTY-NSE","Last","I15 [09:15-15:30 L]",,"204")</f>
        <v>11851.2</v>
      </c>
    </row>
    <row r="198" customFormat="false" ht="15" hidden="false" customHeight="false" outlineLevel="0" collapsed="false">
      <c r="A198" s="2" t="n">
        <f aca="false">rtd("esrtd",,"*H","$NIFTY-NSE","Intraday_Date","I15 [09:15-15:30 L]",,"203")</f>
        <v>43783.7291666667</v>
      </c>
      <c r="B198" s="3" t="n">
        <f aca="false">rtd("esrtd",,"*H","$NIFTY-NSE","BarTime","I15 [09:15-15:30 L]",,"203")</f>
        <v>43783.5</v>
      </c>
      <c r="C198" s="4" t="n">
        <f aca="false">rtd("esrtd",,"*H","$NIFTY-NSE","Open","I15 [09:15-15:30 L]",,"203")</f>
        <v>11850.7</v>
      </c>
      <c r="D198" s="4" t="n">
        <f aca="false">rtd("esrtd",,"*H","$NIFTY-NSE","High","I15 [09:15-15:30 L]",,"203")</f>
        <v>11850.9</v>
      </c>
      <c r="E198" s="4" t="n">
        <f aca="false">rtd("esrtd",,"*H","$NIFTY-NSE","Low","I15 [09:15-15:30 L]",,"203")</f>
        <v>11820.1</v>
      </c>
      <c r="F198" s="4" t="n">
        <f aca="false">rtd("esrtd",,"*H","$NIFTY-NSE","Last","I15 [09:15-15:30 L]",,"203")</f>
        <v>11824.85</v>
      </c>
    </row>
    <row r="199" customFormat="false" ht="15" hidden="false" customHeight="false" outlineLevel="0" collapsed="false">
      <c r="A199" s="2" t="n">
        <f aca="false">rtd("esrtd",,"*H","$NIFTY-NSE","Intraday_Date","I15 [09:15-15:30 L]",,"202")</f>
        <v>43783.7291666667</v>
      </c>
      <c r="B199" s="3" t="n">
        <f aca="false">rtd("esrtd",,"*H","$NIFTY-NSE","BarTime","I15 [09:15-15:30 L]",,"202")</f>
        <v>43783.5104166667</v>
      </c>
      <c r="C199" s="4" t="n">
        <f aca="false">rtd("esrtd",,"*H","$NIFTY-NSE","Open","I15 [09:15-15:30 L]",,"202")</f>
        <v>11824.75</v>
      </c>
      <c r="D199" s="4" t="n">
        <f aca="false">rtd("esrtd",,"*H","$NIFTY-NSE","High","I15 [09:15-15:30 L]",,"202")</f>
        <v>11825.2</v>
      </c>
      <c r="E199" s="4" t="n">
        <f aca="false">rtd("esrtd",,"*H","$NIFTY-NSE","Low","I15 [09:15-15:30 L]",,"202")</f>
        <v>11811.2</v>
      </c>
      <c r="F199" s="4" t="n">
        <f aca="false">rtd("esrtd",,"*H","$NIFTY-NSE","Last","I15 [09:15-15:30 L]",,"202")</f>
        <v>11820</v>
      </c>
    </row>
    <row r="200" customFormat="false" ht="15" hidden="false" customHeight="false" outlineLevel="0" collapsed="false">
      <c r="A200" s="2" t="n">
        <f aca="false">rtd("esrtd",,"*H","$NIFTY-NSE","Intraday_Date","I15 [09:15-15:30 L]",,"201")</f>
        <v>43783.7291666667</v>
      </c>
      <c r="B200" s="3" t="n">
        <f aca="false">rtd("esrtd",,"*H","$NIFTY-NSE","BarTime","I15 [09:15-15:30 L]",,"201")</f>
        <v>43783.5208333333</v>
      </c>
      <c r="C200" s="4" t="n">
        <f aca="false">rtd("esrtd",,"*H","$NIFTY-NSE","Open","I15 [09:15-15:30 L]",,"201")</f>
        <v>11819.75</v>
      </c>
      <c r="D200" s="4" t="n">
        <f aca="false">rtd("esrtd",,"*H","$NIFTY-NSE","High","I15 [09:15-15:30 L]",,"201")</f>
        <v>11837.15</v>
      </c>
      <c r="E200" s="4" t="n">
        <f aca="false">rtd("esrtd",,"*H","$NIFTY-NSE","Low","I15 [09:15-15:30 L]",,"201")</f>
        <v>11819.75</v>
      </c>
      <c r="F200" s="4" t="n">
        <f aca="false">rtd("esrtd",,"*H","$NIFTY-NSE","Last","I15 [09:15-15:30 L]",,"201")</f>
        <v>11828.8</v>
      </c>
    </row>
    <row r="201" customFormat="false" ht="15" hidden="false" customHeight="false" outlineLevel="0" collapsed="false">
      <c r="A201" s="2" t="n">
        <f aca="false">rtd("esrtd",,"*H","$NIFTY-NSE","Intraday_Date","I15 [09:15-15:30 L]",,"200")</f>
        <v>43783.7291666667</v>
      </c>
      <c r="B201" s="3" t="n">
        <f aca="false">rtd("esrtd",,"*H","$NIFTY-NSE","BarTime","I15 [09:15-15:30 L]",,"200")</f>
        <v>43783.53125</v>
      </c>
      <c r="C201" s="4" t="n">
        <f aca="false">rtd("esrtd",,"*H","$NIFTY-NSE","Open","I15 [09:15-15:30 L]",,"200")</f>
        <v>11827.7</v>
      </c>
      <c r="D201" s="4" t="n">
        <f aca="false">rtd("esrtd",,"*H","$NIFTY-NSE","High","I15 [09:15-15:30 L]",,"200")</f>
        <v>11832.55</v>
      </c>
      <c r="E201" s="4" t="n">
        <f aca="false">rtd("esrtd",,"*H","$NIFTY-NSE","Low","I15 [09:15-15:30 L]",,"200")</f>
        <v>11817</v>
      </c>
      <c r="F201" s="4" t="n">
        <f aca="false">rtd("esrtd",,"*H","$NIFTY-NSE","Last","I15 [09:15-15:30 L]",,"200")</f>
        <v>11830.95</v>
      </c>
    </row>
    <row r="202" customFormat="false" ht="15" hidden="false" customHeight="false" outlineLevel="0" collapsed="false">
      <c r="A202" s="2" t="n">
        <f aca="false">rtd("esrtd",,"*H","$NIFTY-NSE","Intraday_Date","I15 [09:15-15:30 L]",,"199")</f>
        <v>43783.7291666667</v>
      </c>
      <c r="B202" s="3" t="n">
        <f aca="false">rtd("esrtd",,"*H","$NIFTY-NSE","BarTime","I15 [09:15-15:30 L]",,"199")</f>
        <v>43783.5416666667</v>
      </c>
      <c r="C202" s="4" t="n">
        <f aca="false">rtd("esrtd",,"*H","$NIFTY-NSE","Open","I15 [09:15-15:30 L]",,"199")</f>
        <v>11830.35</v>
      </c>
      <c r="D202" s="4" t="n">
        <f aca="false">rtd("esrtd",,"*H","$NIFTY-NSE","High","I15 [09:15-15:30 L]",,"199")</f>
        <v>11833.85</v>
      </c>
      <c r="E202" s="4" t="n">
        <f aca="false">rtd("esrtd",,"*H","$NIFTY-NSE","Low","I15 [09:15-15:30 L]",,"199")</f>
        <v>11822.7</v>
      </c>
      <c r="F202" s="4" t="n">
        <f aca="false">rtd("esrtd",,"*H","$NIFTY-NSE","Last","I15 [09:15-15:30 L]",,"199")</f>
        <v>11828.5</v>
      </c>
    </row>
    <row r="203" customFormat="false" ht="15" hidden="false" customHeight="false" outlineLevel="0" collapsed="false">
      <c r="A203" s="2" t="n">
        <f aca="false">rtd("esrtd",,"*H","$NIFTY-NSE","Intraday_Date","I15 [09:15-15:30 L]",,"198")</f>
        <v>43783.7291666667</v>
      </c>
      <c r="B203" s="3" t="n">
        <f aca="false">rtd("esrtd",,"*H","$NIFTY-NSE","BarTime","I15 [09:15-15:30 L]",,"198")</f>
        <v>43783.5520833333</v>
      </c>
      <c r="C203" s="4" t="n">
        <f aca="false">rtd("esrtd",,"*H","$NIFTY-NSE","Open","I15 [09:15-15:30 L]",,"198")</f>
        <v>11828.9</v>
      </c>
      <c r="D203" s="4" t="n">
        <f aca="false">rtd("esrtd",,"*H","$NIFTY-NSE","High","I15 [09:15-15:30 L]",,"198")</f>
        <v>11845.9</v>
      </c>
      <c r="E203" s="4" t="n">
        <f aca="false">rtd("esrtd",,"*H","$NIFTY-NSE","Low","I15 [09:15-15:30 L]",,"198")</f>
        <v>11822.85</v>
      </c>
      <c r="F203" s="4" t="n">
        <f aca="false">rtd("esrtd",,"*H","$NIFTY-NSE","Last","I15 [09:15-15:30 L]",,"198")</f>
        <v>11833.75</v>
      </c>
    </row>
    <row r="204" customFormat="false" ht="15" hidden="false" customHeight="false" outlineLevel="0" collapsed="false">
      <c r="A204" s="2" t="n">
        <f aca="false">rtd("esrtd",,"*H","$NIFTY-NSE","Intraday_Date","I15 [09:15-15:30 L]",,"197")</f>
        <v>43783.7291666667</v>
      </c>
      <c r="B204" s="3" t="n">
        <f aca="false">rtd("esrtd",,"*H","$NIFTY-NSE","BarTime","I15 [09:15-15:30 L]",,"197")</f>
        <v>43783.5625</v>
      </c>
      <c r="C204" s="4" t="n">
        <f aca="false">rtd("esrtd",,"*H","$NIFTY-NSE","Open","I15 [09:15-15:30 L]",,"197")</f>
        <v>11833.1</v>
      </c>
      <c r="D204" s="4" t="n">
        <f aca="false">rtd("esrtd",,"*H","$NIFTY-NSE","High","I15 [09:15-15:30 L]",,"197")</f>
        <v>11847.6</v>
      </c>
      <c r="E204" s="4" t="n">
        <f aca="false">rtd("esrtd",,"*H","$NIFTY-NSE","Low","I15 [09:15-15:30 L]",,"197")</f>
        <v>11829.65</v>
      </c>
      <c r="F204" s="4" t="n">
        <f aca="false">rtd("esrtd",,"*H","$NIFTY-NSE","Last","I15 [09:15-15:30 L]",,"197")</f>
        <v>11834.4</v>
      </c>
    </row>
    <row r="205" customFormat="false" ht="15" hidden="false" customHeight="false" outlineLevel="0" collapsed="false">
      <c r="A205" s="2" t="n">
        <f aca="false">rtd("esrtd",,"*H","$NIFTY-NSE","Intraday_Date","I15 [09:15-15:30 L]",,"196")</f>
        <v>43783.7291666667</v>
      </c>
      <c r="B205" s="3" t="n">
        <f aca="false">rtd("esrtd",,"*H","$NIFTY-NSE","BarTime","I15 [09:15-15:30 L]",,"196")</f>
        <v>43783.5729166667</v>
      </c>
      <c r="C205" s="4" t="n">
        <f aca="false">rtd("esrtd",,"*H","$NIFTY-NSE","Open","I15 [09:15-15:30 L]",,"196")</f>
        <v>11834.35</v>
      </c>
      <c r="D205" s="4" t="n">
        <f aca="false">rtd("esrtd",,"*H","$NIFTY-NSE","High","I15 [09:15-15:30 L]",,"196")</f>
        <v>11851.95</v>
      </c>
      <c r="E205" s="4" t="n">
        <f aca="false">rtd("esrtd",,"*H","$NIFTY-NSE","Low","I15 [09:15-15:30 L]",,"196")</f>
        <v>11831.7</v>
      </c>
      <c r="F205" s="4" t="n">
        <f aca="false">rtd("esrtd",,"*H","$NIFTY-NSE","Last","I15 [09:15-15:30 L]",,"196")</f>
        <v>11844.95</v>
      </c>
    </row>
    <row r="206" customFormat="false" ht="15" hidden="false" customHeight="false" outlineLevel="0" collapsed="false">
      <c r="A206" s="2" t="n">
        <f aca="false">rtd("esrtd",,"*H","$NIFTY-NSE","Intraday_Date","I15 [09:15-15:30 L]",,"195")</f>
        <v>43783.7291666667</v>
      </c>
      <c r="B206" s="3" t="n">
        <f aca="false">rtd("esrtd",,"*H","$NIFTY-NSE","BarTime","I15 [09:15-15:30 L]",,"195")</f>
        <v>43783.5833333333</v>
      </c>
      <c r="C206" s="4" t="n">
        <f aca="false">rtd("esrtd",,"*H","$NIFTY-NSE","Open","I15 [09:15-15:30 L]",,"195")</f>
        <v>11845.2</v>
      </c>
      <c r="D206" s="4" t="n">
        <f aca="false">rtd("esrtd",,"*H","$NIFTY-NSE","High","I15 [09:15-15:30 L]",,"195")</f>
        <v>11865.3</v>
      </c>
      <c r="E206" s="4" t="n">
        <f aca="false">rtd("esrtd",,"*H","$NIFTY-NSE","Low","I15 [09:15-15:30 L]",,"195")</f>
        <v>11845.2</v>
      </c>
      <c r="F206" s="4" t="n">
        <f aca="false">rtd("esrtd",,"*H","$NIFTY-NSE","Last","I15 [09:15-15:30 L]",,"195")</f>
        <v>11860.45</v>
      </c>
    </row>
    <row r="207" customFormat="false" ht="15" hidden="false" customHeight="false" outlineLevel="0" collapsed="false">
      <c r="A207" s="2" t="n">
        <f aca="false">rtd("esrtd",,"*H","$NIFTY-NSE","Intraday_Date","I15 [09:15-15:30 L]",,"194")</f>
        <v>43783.7291666667</v>
      </c>
      <c r="B207" s="3" t="n">
        <f aca="false">rtd("esrtd",,"*H","$NIFTY-NSE","BarTime","I15 [09:15-15:30 L]",,"194")</f>
        <v>43783.59375</v>
      </c>
      <c r="C207" s="4" t="n">
        <f aca="false">rtd("esrtd",,"*H","$NIFTY-NSE","Open","I15 [09:15-15:30 L]",,"194")</f>
        <v>11860.75</v>
      </c>
      <c r="D207" s="4" t="n">
        <f aca="false">rtd("esrtd",,"*H","$NIFTY-NSE","High","I15 [09:15-15:30 L]",,"194")</f>
        <v>11862.15</v>
      </c>
      <c r="E207" s="4" t="n">
        <f aca="false">rtd("esrtd",,"*H","$NIFTY-NSE","Low","I15 [09:15-15:30 L]",,"194")</f>
        <v>11831.5</v>
      </c>
      <c r="F207" s="4" t="n">
        <f aca="false">rtd("esrtd",,"*H","$NIFTY-NSE","Last","I15 [09:15-15:30 L]",,"194")</f>
        <v>11846.1</v>
      </c>
    </row>
    <row r="208" customFormat="false" ht="15" hidden="false" customHeight="false" outlineLevel="0" collapsed="false">
      <c r="A208" s="2" t="n">
        <f aca="false">rtd("esrtd",,"*H","$NIFTY-NSE","Intraday_Date","I15 [09:15-15:30 L]",,"193")</f>
        <v>43783.7291666667</v>
      </c>
      <c r="B208" s="3" t="n">
        <f aca="false">rtd("esrtd",,"*H","$NIFTY-NSE","BarTime","I15 [09:15-15:30 L]",,"193")</f>
        <v>43783.6041666667</v>
      </c>
      <c r="C208" s="4" t="n">
        <f aca="false">rtd("esrtd",,"*H","$NIFTY-NSE","Open","I15 [09:15-15:30 L]",,"193")</f>
        <v>11845.25</v>
      </c>
      <c r="D208" s="4" t="n">
        <f aca="false">rtd("esrtd",,"*H","$NIFTY-NSE","High","I15 [09:15-15:30 L]",,"193")</f>
        <v>11855.55</v>
      </c>
      <c r="E208" s="4" t="n">
        <f aca="false">rtd("esrtd",,"*H","$NIFTY-NSE","Low","I15 [09:15-15:30 L]",,"193")</f>
        <v>11840</v>
      </c>
      <c r="F208" s="4" t="n">
        <f aca="false">rtd("esrtd",,"*H","$NIFTY-NSE","Last","I15 [09:15-15:30 L]",,"193")</f>
        <v>11850.7</v>
      </c>
    </row>
    <row r="209" customFormat="false" ht="15" hidden="false" customHeight="false" outlineLevel="0" collapsed="false">
      <c r="A209" s="2" t="n">
        <f aca="false">rtd("esrtd",,"*H","$NIFTY-NSE","Intraday_Date","I15 [09:15-15:30 L]",,"192")</f>
        <v>43783.7291666667</v>
      </c>
      <c r="B209" s="3" t="n">
        <f aca="false">rtd("esrtd",,"*H","$NIFTY-NSE","BarTime","I15 [09:15-15:30 L]",,"192")</f>
        <v>43783.6145833333</v>
      </c>
      <c r="C209" s="4" t="n">
        <f aca="false">rtd("esrtd",,"*H","$NIFTY-NSE","Open","I15 [09:15-15:30 L]",,"192")</f>
        <v>11850.5</v>
      </c>
      <c r="D209" s="4" t="n">
        <f aca="false">rtd("esrtd",,"*H","$NIFTY-NSE","High","I15 [09:15-15:30 L]",,"192")</f>
        <v>11878.95</v>
      </c>
      <c r="E209" s="4" t="n">
        <f aca="false">rtd("esrtd",,"*H","$NIFTY-NSE","Low","I15 [09:15-15:30 L]",,"192")</f>
        <v>11847.05</v>
      </c>
      <c r="F209" s="4" t="n">
        <f aca="false">rtd("esrtd",,"*H","$NIFTY-NSE","Last","I15 [09:15-15:30 L]",,"192")</f>
        <v>11875.45</v>
      </c>
    </row>
    <row r="210" customFormat="false" ht="15" hidden="false" customHeight="false" outlineLevel="0" collapsed="false">
      <c r="A210" s="2" t="n">
        <f aca="false">rtd("esrtd",,"*H","$NIFTY-NSE","Intraday_Date","I15 [09:15-15:30 L]",,"191")</f>
        <v>43783.7291666667</v>
      </c>
      <c r="B210" s="3" t="n">
        <f aca="false">rtd("esrtd",,"*H","$NIFTY-NSE","BarTime","I15 [09:15-15:30 L]",,"191")</f>
        <v>43783.625</v>
      </c>
      <c r="C210" s="4" t="n">
        <f aca="false">rtd("esrtd",,"*H","$NIFTY-NSE","Open","I15 [09:15-15:30 L]",,"191")</f>
        <v>11875.35</v>
      </c>
      <c r="D210" s="4" t="n">
        <f aca="false">rtd("esrtd",,"*H","$NIFTY-NSE","High","I15 [09:15-15:30 L]",,"191")</f>
        <v>11883.6</v>
      </c>
      <c r="E210" s="4" t="n">
        <f aca="false">rtd("esrtd",,"*H","$NIFTY-NSE","Low","I15 [09:15-15:30 L]",,"191")</f>
        <v>11862.55</v>
      </c>
      <c r="F210" s="4" t="n">
        <f aca="false">rtd("esrtd",,"*H","$NIFTY-NSE","Last","I15 [09:15-15:30 L]",,"191")</f>
        <v>11874.3</v>
      </c>
    </row>
    <row r="211" customFormat="false" ht="15" hidden="false" customHeight="false" outlineLevel="0" collapsed="false">
      <c r="A211" s="2" t="n">
        <f aca="false">rtd("esrtd",,"*H","$NIFTY-NSE","Intraday_Date","I15 [09:15-15:30 L]",,"190")</f>
        <v>43783.7291666667</v>
      </c>
      <c r="B211" s="3" t="n">
        <f aca="false">rtd("esrtd",,"*H","$NIFTY-NSE","BarTime","I15 [09:15-15:30 L]",,"190")</f>
        <v>43783.6354166667</v>
      </c>
      <c r="C211" s="4" t="n">
        <f aca="false">rtd("esrtd",,"*H","$NIFTY-NSE","Open","I15 [09:15-15:30 L]",,"190")</f>
        <v>11874.4</v>
      </c>
      <c r="D211" s="4" t="n">
        <f aca="false">rtd("esrtd",,"*H","$NIFTY-NSE","High","I15 [09:15-15:30 L]",,"190")</f>
        <v>11878.55</v>
      </c>
      <c r="E211" s="4" t="n">
        <f aca="false">rtd("esrtd",,"*H","$NIFTY-NSE","Low","I15 [09:15-15:30 L]",,"190")</f>
        <v>11862.35</v>
      </c>
      <c r="F211" s="4" t="n">
        <f aca="false">rtd("esrtd",,"*H","$NIFTY-NSE","Last","I15 [09:15-15:30 L]",,"190")</f>
        <v>11869.2</v>
      </c>
    </row>
    <row r="212" customFormat="false" ht="15" hidden="false" customHeight="false" outlineLevel="0" collapsed="false">
      <c r="A212" s="2" t="n">
        <f aca="false">rtd("esrtd",,"*H","$NIFTY-NSE","Intraday_Date","I15 [09:15-15:30 L]",,"189")</f>
        <v>43784.7291666667</v>
      </c>
      <c r="B212" s="3" t="n">
        <f aca="false">rtd("esrtd",,"*H","$NIFTY-NSE","BarTime","I15 [09:15-15:30 L]",,"189")</f>
        <v>43784.3854166667</v>
      </c>
      <c r="C212" s="4" t="n">
        <f aca="false">rtd("esrtd",,"*H","$NIFTY-NSE","Open","I15 [09:15-15:30 L]",,"189")</f>
        <v>11905.9</v>
      </c>
      <c r="D212" s="4" t="n">
        <f aca="false">rtd("esrtd",,"*H","$NIFTY-NSE","High","I15 [09:15-15:30 L]",,"189")</f>
        <v>11937.55</v>
      </c>
      <c r="E212" s="4" t="n">
        <f aca="false">rtd("esrtd",,"*H","$NIFTY-NSE","Low","I15 [09:15-15:30 L]",,"189")</f>
        <v>11899.15</v>
      </c>
      <c r="F212" s="4" t="n">
        <f aca="false">rtd("esrtd",,"*H","$NIFTY-NSE","Last","I15 [09:15-15:30 L]",,"189")</f>
        <v>11933.65</v>
      </c>
    </row>
    <row r="213" customFormat="false" ht="15" hidden="false" customHeight="false" outlineLevel="0" collapsed="false">
      <c r="A213" s="2" t="n">
        <f aca="false">rtd("esrtd",,"*H","$NIFTY-NSE","Intraday_Date","I15 [09:15-15:30 L]",,"188")</f>
        <v>43784.7291666667</v>
      </c>
      <c r="B213" s="3" t="n">
        <f aca="false">rtd("esrtd",,"*H","$NIFTY-NSE","BarTime","I15 [09:15-15:30 L]",,"188")</f>
        <v>43784.3958333333</v>
      </c>
      <c r="C213" s="4" t="n">
        <f aca="false">rtd("esrtd",,"*H","$NIFTY-NSE","Open","I15 [09:15-15:30 L]",,"188")</f>
        <v>11933.75</v>
      </c>
      <c r="D213" s="4" t="n">
        <f aca="false">rtd("esrtd",,"*H","$NIFTY-NSE","High","I15 [09:15-15:30 L]",,"188")</f>
        <v>11943.3</v>
      </c>
      <c r="E213" s="4" t="n">
        <f aca="false">rtd("esrtd",,"*H","$NIFTY-NSE","Low","I15 [09:15-15:30 L]",,"188")</f>
        <v>11913.9</v>
      </c>
      <c r="F213" s="4" t="n">
        <f aca="false">rtd("esrtd",,"*H","$NIFTY-NSE","Last","I15 [09:15-15:30 L]",,"188")</f>
        <v>11926.8</v>
      </c>
    </row>
    <row r="214" customFormat="false" ht="15" hidden="false" customHeight="false" outlineLevel="0" collapsed="false">
      <c r="A214" s="2" t="n">
        <f aca="false">rtd("esrtd",,"*H","$NIFTY-NSE","Intraday_Date","I15 [09:15-15:30 L]",,"187")</f>
        <v>43784.7291666667</v>
      </c>
      <c r="B214" s="3" t="n">
        <f aca="false">rtd("esrtd",,"*H","$NIFTY-NSE","BarTime","I15 [09:15-15:30 L]",,"187")</f>
        <v>43784.40625</v>
      </c>
      <c r="C214" s="4" t="n">
        <f aca="false">rtd("esrtd",,"*H","$NIFTY-NSE","Open","I15 [09:15-15:30 L]",,"187")</f>
        <v>11927</v>
      </c>
      <c r="D214" s="4" t="n">
        <f aca="false">rtd("esrtd",,"*H","$NIFTY-NSE","High","I15 [09:15-15:30 L]",,"187")</f>
        <v>11929</v>
      </c>
      <c r="E214" s="4" t="n">
        <f aca="false">rtd("esrtd",,"*H","$NIFTY-NSE","Low","I15 [09:15-15:30 L]",,"187")</f>
        <v>11910</v>
      </c>
      <c r="F214" s="4" t="n">
        <f aca="false">rtd("esrtd",,"*H","$NIFTY-NSE","Last","I15 [09:15-15:30 L]",,"187")</f>
        <v>11924.2</v>
      </c>
    </row>
    <row r="215" customFormat="false" ht="15" hidden="false" customHeight="false" outlineLevel="0" collapsed="false">
      <c r="A215" s="2" t="n">
        <f aca="false">rtd("esrtd",,"*H","$NIFTY-NSE","Intraday_Date","I15 [09:15-15:30 L]",,"186")</f>
        <v>43784.7291666667</v>
      </c>
      <c r="B215" s="3" t="n">
        <f aca="false">rtd("esrtd",,"*H","$NIFTY-NSE","BarTime","I15 [09:15-15:30 L]",,"186")</f>
        <v>43784.4166666667</v>
      </c>
      <c r="C215" s="4" t="n">
        <f aca="false">rtd("esrtd",,"*H","$NIFTY-NSE","Open","I15 [09:15-15:30 L]",,"186")</f>
        <v>11924.65</v>
      </c>
      <c r="D215" s="4" t="n">
        <f aca="false">rtd("esrtd",,"*H","$NIFTY-NSE","High","I15 [09:15-15:30 L]",,"186")</f>
        <v>11935.95</v>
      </c>
      <c r="E215" s="4" t="n">
        <f aca="false">rtd("esrtd",,"*H","$NIFTY-NSE","Low","I15 [09:15-15:30 L]",,"186")</f>
        <v>11920.7</v>
      </c>
      <c r="F215" s="4" t="n">
        <f aca="false">rtd("esrtd",,"*H","$NIFTY-NSE","Last","I15 [09:15-15:30 L]",,"186")</f>
        <v>11931.65</v>
      </c>
    </row>
    <row r="216" customFormat="false" ht="15" hidden="false" customHeight="false" outlineLevel="0" collapsed="false">
      <c r="A216" s="2" t="n">
        <f aca="false">rtd("esrtd",,"*H","$NIFTY-NSE","Intraday_Date","I15 [09:15-15:30 L]",,"185")</f>
        <v>43784.7291666667</v>
      </c>
      <c r="B216" s="3" t="n">
        <f aca="false">rtd("esrtd",,"*H","$NIFTY-NSE","BarTime","I15 [09:15-15:30 L]",,"185")</f>
        <v>43784.4270833333</v>
      </c>
      <c r="C216" s="4" t="n">
        <f aca="false">rtd("esrtd",,"*H","$NIFTY-NSE","Open","I15 [09:15-15:30 L]",,"185")</f>
        <v>11930.95</v>
      </c>
      <c r="D216" s="4" t="n">
        <f aca="false">rtd("esrtd",,"*H","$NIFTY-NSE","High","I15 [09:15-15:30 L]",,"185")</f>
        <v>11973.65</v>
      </c>
      <c r="E216" s="4" t="n">
        <f aca="false">rtd("esrtd",,"*H","$NIFTY-NSE","Low","I15 [09:15-15:30 L]",,"185")</f>
        <v>11928.2</v>
      </c>
      <c r="F216" s="4" t="n">
        <f aca="false">rtd("esrtd",,"*H","$NIFTY-NSE","Last","I15 [09:15-15:30 L]",,"185")</f>
        <v>11953.7</v>
      </c>
    </row>
    <row r="217" customFormat="false" ht="15" hidden="false" customHeight="false" outlineLevel="0" collapsed="false">
      <c r="A217" s="2" t="n">
        <f aca="false">rtd("esrtd",,"*H","$NIFTY-NSE","Intraday_Date","I15 [09:15-15:30 L]",,"184")</f>
        <v>43784.7291666667</v>
      </c>
      <c r="B217" s="3" t="n">
        <f aca="false">rtd("esrtd",,"*H","$NIFTY-NSE","BarTime","I15 [09:15-15:30 L]",,"184")</f>
        <v>43784.4375</v>
      </c>
      <c r="C217" s="4" t="n">
        <f aca="false">rtd("esrtd",,"*H","$NIFTY-NSE","Open","I15 [09:15-15:30 L]",,"184")</f>
        <v>11953.3</v>
      </c>
      <c r="D217" s="4" t="n">
        <f aca="false">rtd("esrtd",,"*H","$NIFTY-NSE","High","I15 [09:15-15:30 L]",,"184")</f>
        <v>11958.2</v>
      </c>
      <c r="E217" s="4" t="n">
        <f aca="false">rtd("esrtd",,"*H","$NIFTY-NSE","Low","I15 [09:15-15:30 L]",,"184")</f>
        <v>11912.15</v>
      </c>
      <c r="F217" s="4" t="n">
        <f aca="false">rtd("esrtd",,"*H","$NIFTY-NSE","Last","I15 [09:15-15:30 L]",,"184")</f>
        <v>11934.5</v>
      </c>
    </row>
    <row r="218" customFormat="false" ht="15" hidden="false" customHeight="false" outlineLevel="0" collapsed="false">
      <c r="A218" s="2" t="n">
        <f aca="false">rtd("esrtd",,"*H","$NIFTY-NSE","Intraday_Date","I15 [09:15-15:30 L]",,"183")</f>
        <v>43784.7291666667</v>
      </c>
      <c r="B218" s="3" t="n">
        <f aca="false">rtd("esrtd",,"*H","$NIFTY-NSE","BarTime","I15 [09:15-15:30 L]",,"183")</f>
        <v>43784.4479166667</v>
      </c>
      <c r="C218" s="4" t="n">
        <f aca="false">rtd("esrtd",,"*H","$NIFTY-NSE","Open","I15 [09:15-15:30 L]",,"183")</f>
        <v>11933.15</v>
      </c>
      <c r="D218" s="4" t="n">
        <f aca="false">rtd("esrtd",,"*H","$NIFTY-NSE","High","I15 [09:15-15:30 L]",,"183")</f>
        <v>11946.95</v>
      </c>
      <c r="E218" s="4" t="n">
        <f aca="false">rtd("esrtd",,"*H","$NIFTY-NSE","Low","I15 [09:15-15:30 L]",,"183")</f>
        <v>11929.3</v>
      </c>
      <c r="F218" s="4" t="n">
        <f aca="false">rtd("esrtd",,"*H","$NIFTY-NSE","Last","I15 [09:15-15:30 L]",,"183")</f>
        <v>11929.6</v>
      </c>
    </row>
    <row r="219" customFormat="false" ht="15" hidden="false" customHeight="false" outlineLevel="0" collapsed="false">
      <c r="A219" s="2" t="n">
        <f aca="false">rtd("esrtd",,"*H","$NIFTY-NSE","Intraday_Date","I15 [09:15-15:30 L]",,"182")</f>
        <v>43784.7291666667</v>
      </c>
      <c r="B219" s="3" t="n">
        <f aca="false">rtd("esrtd",,"*H","$NIFTY-NSE","BarTime","I15 [09:15-15:30 L]",,"182")</f>
        <v>43784.4583333333</v>
      </c>
      <c r="C219" s="4" t="n">
        <f aca="false">rtd("esrtd",,"*H","$NIFTY-NSE","Open","I15 [09:15-15:30 L]",,"182")</f>
        <v>11929.8</v>
      </c>
      <c r="D219" s="4" t="n">
        <f aca="false">rtd("esrtd",,"*H","$NIFTY-NSE","High","I15 [09:15-15:30 L]",,"182")</f>
        <v>11930.5</v>
      </c>
      <c r="E219" s="4" t="n">
        <f aca="false">rtd("esrtd",,"*H","$NIFTY-NSE","Low","I15 [09:15-15:30 L]",,"182")</f>
        <v>11911.9</v>
      </c>
      <c r="F219" s="4" t="n">
        <f aca="false">rtd("esrtd",,"*H","$NIFTY-NSE","Last","I15 [09:15-15:30 L]",,"182")</f>
        <v>11930.5</v>
      </c>
    </row>
    <row r="220" customFormat="false" ht="15" hidden="false" customHeight="false" outlineLevel="0" collapsed="false">
      <c r="A220" s="2" t="n">
        <f aca="false">rtd("esrtd",,"*H","$NIFTY-NSE","Intraday_Date","I15 [09:15-15:30 L]",,"181")</f>
        <v>43784.7291666667</v>
      </c>
      <c r="B220" s="3" t="n">
        <f aca="false">rtd("esrtd",,"*H","$NIFTY-NSE","BarTime","I15 [09:15-15:30 L]",,"181")</f>
        <v>43784.46875</v>
      </c>
      <c r="C220" s="4" t="n">
        <f aca="false">rtd("esrtd",,"*H","$NIFTY-NSE","Open","I15 [09:15-15:30 L]",,"181")</f>
        <v>11930.1</v>
      </c>
      <c r="D220" s="4" t="n">
        <f aca="false">rtd("esrtd",,"*H","$NIFTY-NSE","High","I15 [09:15-15:30 L]",,"181")</f>
        <v>11937.5</v>
      </c>
      <c r="E220" s="4" t="n">
        <f aca="false">rtd("esrtd",,"*H","$NIFTY-NSE","Low","I15 [09:15-15:30 L]",,"181")</f>
        <v>11922.95</v>
      </c>
      <c r="F220" s="4" t="n">
        <f aca="false">rtd("esrtd",,"*H","$NIFTY-NSE","Last","I15 [09:15-15:30 L]",,"181")</f>
        <v>11926.9</v>
      </c>
    </row>
    <row r="221" customFormat="false" ht="15" hidden="false" customHeight="false" outlineLevel="0" collapsed="false">
      <c r="A221" s="2" t="n">
        <f aca="false">rtd("esrtd",,"*H","$NIFTY-NSE","Intraday_Date","I15 [09:15-15:30 L]",,"180")</f>
        <v>43784.7291666667</v>
      </c>
      <c r="B221" s="3" t="n">
        <f aca="false">rtd("esrtd",,"*H","$NIFTY-NSE","BarTime","I15 [09:15-15:30 L]",,"180")</f>
        <v>43784.4791666667</v>
      </c>
      <c r="C221" s="4" t="n">
        <f aca="false">rtd("esrtd",,"*H","$NIFTY-NSE","Open","I15 [09:15-15:30 L]",,"180")</f>
        <v>11926.85</v>
      </c>
      <c r="D221" s="4" t="n">
        <f aca="false">rtd("esrtd",,"*H","$NIFTY-NSE","High","I15 [09:15-15:30 L]",,"180")</f>
        <v>11927.05</v>
      </c>
      <c r="E221" s="4" t="n">
        <f aca="false">rtd("esrtd",,"*H","$NIFTY-NSE","Low","I15 [09:15-15:30 L]",,"180")</f>
        <v>11914.35</v>
      </c>
      <c r="F221" s="4" t="n">
        <f aca="false">rtd("esrtd",,"*H","$NIFTY-NSE","Last","I15 [09:15-15:30 L]",,"180")</f>
        <v>11926.55</v>
      </c>
    </row>
    <row r="222" customFormat="false" ht="15" hidden="false" customHeight="false" outlineLevel="0" collapsed="false">
      <c r="A222" s="2" t="n">
        <f aca="false">rtd("esrtd",,"*H","$NIFTY-NSE","Intraday_Date","I15 [09:15-15:30 L]",,"179")</f>
        <v>43784.7291666667</v>
      </c>
      <c r="B222" s="3" t="n">
        <f aca="false">rtd("esrtd",,"*H","$NIFTY-NSE","BarTime","I15 [09:15-15:30 L]",,"179")</f>
        <v>43784.4895833333</v>
      </c>
      <c r="C222" s="4" t="n">
        <f aca="false">rtd("esrtd",,"*H","$NIFTY-NSE","Open","I15 [09:15-15:30 L]",,"179")</f>
        <v>11926.25</v>
      </c>
      <c r="D222" s="4" t="n">
        <f aca="false">rtd("esrtd",,"*H","$NIFTY-NSE","High","I15 [09:15-15:30 L]",,"179")</f>
        <v>11934.75</v>
      </c>
      <c r="E222" s="4" t="n">
        <f aca="false">rtd("esrtd",,"*H","$NIFTY-NSE","Low","I15 [09:15-15:30 L]",,"179")</f>
        <v>11920.6</v>
      </c>
      <c r="F222" s="4" t="n">
        <f aca="false">rtd("esrtd",,"*H","$NIFTY-NSE","Last","I15 [09:15-15:30 L]",,"179")</f>
        <v>11933.05</v>
      </c>
    </row>
    <row r="223" customFormat="false" ht="15" hidden="false" customHeight="false" outlineLevel="0" collapsed="false">
      <c r="A223" s="2" t="n">
        <f aca="false">rtd("esrtd",,"*H","$NIFTY-NSE","Intraday_Date","I15 [09:15-15:30 L]",,"178")</f>
        <v>43784.7291666667</v>
      </c>
      <c r="B223" s="3" t="n">
        <f aca="false">rtd("esrtd",,"*H","$NIFTY-NSE","BarTime","I15 [09:15-15:30 L]",,"178")</f>
        <v>43784.5</v>
      </c>
      <c r="C223" s="4" t="n">
        <f aca="false">rtd("esrtd",,"*H","$NIFTY-NSE","Open","I15 [09:15-15:30 L]",,"178")</f>
        <v>11932.95</v>
      </c>
      <c r="D223" s="4" t="n">
        <f aca="false">rtd("esrtd",,"*H","$NIFTY-NSE","High","I15 [09:15-15:30 L]",,"178")</f>
        <v>11938.2</v>
      </c>
      <c r="E223" s="4" t="n">
        <f aca="false">rtd("esrtd",,"*H","$NIFTY-NSE","Low","I15 [09:15-15:30 L]",,"178")</f>
        <v>11928.4</v>
      </c>
      <c r="F223" s="4" t="n">
        <f aca="false">rtd("esrtd",,"*H","$NIFTY-NSE","Last","I15 [09:15-15:30 L]",,"178")</f>
        <v>11931.85</v>
      </c>
    </row>
    <row r="224" customFormat="false" ht="15" hidden="false" customHeight="false" outlineLevel="0" collapsed="false">
      <c r="A224" s="2" t="n">
        <f aca="false">rtd("esrtd",,"*H","$NIFTY-NSE","Intraday_Date","I15 [09:15-15:30 L]",,"177")</f>
        <v>43784.7291666667</v>
      </c>
      <c r="B224" s="3" t="n">
        <f aca="false">rtd("esrtd",,"*H","$NIFTY-NSE","BarTime","I15 [09:15-15:30 L]",,"177")</f>
        <v>43784.5104166667</v>
      </c>
      <c r="C224" s="4" t="n">
        <f aca="false">rtd("esrtd",,"*H","$NIFTY-NSE","Open","I15 [09:15-15:30 L]",,"177")</f>
        <v>11931.65</v>
      </c>
      <c r="D224" s="4" t="n">
        <f aca="false">rtd("esrtd",,"*H","$NIFTY-NSE","High","I15 [09:15-15:30 L]",,"177")</f>
        <v>11933.1</v>
      </c>
      <c r="E224" s="4" t="n">
        <f aca="false">rtd("esrtd",,"*H","$NIFTY-NSE","Low","I15 [09:15-15:30 L]",,"177")</f>
        <v>11924.6</v>
      </c>
      <c r="F224" s="4" t="n">
        <f aca="false">rtd("esrtd",,"*H","$NIFTY-NSE","Last","I15 [09:15-15:30 L]",,"177")</f>
        <v>11929.6</v>
      </c>
    </row>
    <row r="225" customFormat="false" ht="15" hidden="false" customHeight="false" outlineLevel="0" collapsed="false">
      <c r="A225" s="2" t="n">
        <f aca="false">rtd("esrtd",,"*H","$NIFTY-NSE","Intraday_Date","I15 [09:15-15:30 L]",,"176")</f>
        <v>43784.7291666667</v>
      </c>
      <c r="B225" s="3" t="n">
        <f aca="false">rtd("esrtd",,"*H","$NIFTY-NSE","BarTime","I15 [09:15-15:30 L]",,"176")</f>
        <v>43784.5208333333</v>
      </c>
      <c r="C225" s="4" t="n">
        <f aca="false">rtd("esrtd",,"*H","$NIFTY-NSE","Open","I15 [09:15-15:30 L]",,"176")</f>
        <v>11929.9</v>
      </c>
      <c r="D225" s="4" t="n">
        <f aca="false">rtd("esrtd",,"*H","$NIFTY-NSE","High","I15 [09:15-15:30 L]",,"176")</f>
        <v>11939.2</v>
      </c>
      <c r="E225" s="4" t="n">
        <f aca="false">rtd("esrtd",,"*H","$NIFTY-NSE","Low","I15 [09:15-15:30 L]",,"176")</f>
        <v>11927.75</v>
      </c>
      <c r="F225" s="4" t="n">
        <f aca="false">rtd("esrtd",,"*H","$NIFTY-NSE","Last","I15 [09:15-15:30 L]",,"176")</f>
        <v>11929.7</v>
      </c>
    </row>
    <row r="226" customFormat="false" ht="15" hidden="false" customHeight="false" outlineLevel="0" collapsed="false">
      <c r="A226" s="2" t="n">
        <f aca="false">rtd("esrtd",,"*H","$NIFTY-NSE","Intraday_Date","I15 [09:15-15:30 L]",,"175")</f>
        <v>43784.7291666667</v>
      </c>
      <c r="B226" s="3" t="n">
        <f aca="false">rtd("esrtd",,"*H","$NIFTY-NSE","BarTime","I15 [09:15-15:30 L]",,"175")</f>
        <v>43784.53125</v>
      </c>
      <c r="C226" s="4" t="n">
        <f aca="false">rtd("esrtd",,"*H","$NIFTY-NSE","Open","I15 [09:15-15:30 L]",,"175")</f>
        <v>11929.85</v>
      </c>
      <c r="D226" s="4" t="n">
        <f aca="false">rtd("esrtd",,"*H","$NIFTY-NSE","High","I15 [09:15-15:30 L]",,"175")</f>
        <v>11931.1</v>
      </c>
      <c r="E226" s="4" t="n">
        <f aca="false">rtd("esrtd",,"*H","$NIFTY-NSE","Low","I15 [09:15-15:30 L]",,"175")</f>
        <v>11921.75</v>
      </c>
      <c r="F226" s="4" t="n">
        <f aca="false">rtd("esrtd",,"*H","$NIFTY-NSE","Last","I15 [09:15-15:30 L]",,"175")</f>
        <v>11922.6</v>
      </c>
    </row>
    <row r="227" customFormat="false" ht="15" hidden="false" customHeight="false" outlineLevel="0" collapsed="false">
      <c r="A227" s="2" t="n">
        <f aca="false">rtd("esrtd",,"*H","$NIFTY-NSE","Intraday_Date","I15 [09:15-15:30 L]",,"174")</f>
        <v>43784.7291666667</v>
      </c>
      <c r="B227" s="3" t="n">
        <f aca="false">rtd("esrtd",,"*H","$NIFTY-NSE","BarTime","I15 [09:15-15:30 L]",,"174")</f>
        <v>43784.5416666667</v>
      </c>
      <c r="C227" s="4" t="n">
        <f aca="false">rtd("esrtd",,"*H","$NIFTY-NSE","Open","I15 [09:15-15:30 L]",,"174")</f>
        <v>11922.7</v>
      </c>
      <c r="D227" s="4" t="n">
        <f aca="false">rtd("esrtd",,"*H","$NIFTY-NSE","High","I15 [09:15-15:30 L]",,"174")</f>
        <v>11937.1</v>
      </c>
      <c r="E227" s="4" t="n">
        <f aca="false">rtd("esrtd",,"*H","$NIFTY-NSE","Low","I15 [09:15-15:30 L]",,"174")</f>
        <v>11919.25</v>
      </c>
      <c r="F227" s="4" t="n">
        <f aca="false">rtd("esrtd",,"*H","$NIFTY-NSE","Last","I15 [09:15-15:30 L]",,"174")</f>
        <v>11934.6</v>
      </c>
    </row>
    <row r="228" customFormat="false" ht="15" hidden="false" customHeight="false" outlineLevel="0" collapsed="false">
      <c r="A228" s="2" t="n">
        <f aca="false">rtd("esrtd",,"*H","$NIFTY-NSE","Intraday_Date","I15 [09:15-15:30 L]",,"173")</f>
        <v>43784.7291666667</v>
      </c>
      <c r="B228" s="3" t="n">
        <f aca="false">rtd("esrtd",,"*H","$NIFTY-NSE","BarTime","I15 [09:15-15:30 L]",,"173")</f>
        <v>43784.5520833333</v>
      </c>
      <c r="C228" s="4" t="n">
        <f aca="false">rtd("esrtd",,"*H","$NIFTY-NSE","Open","I15 [09:15-15:30 L]",,"173")</f>
        <v>11934.7</v>
      </c>
      <c r="D228" s="4" t="n">
        <f aca="false">rtd("esrtd",,"*H","$NIFTY-NSE","High","I15 [09:15-15:30 L]",,"173")</f>
        <v>11935.25</v>
      </c>
      <c r="E228" s="4" t="n">
        <f aca="false">rtd("esrtd",,"*H","$NIFTY-NSE","Low","I15 [09:15-15:30 L]",,"173")</f>
        <v>11925.15</v>
      </c>
      <c r="F228" s="4" t="n">
        <f aca="false">rtd("esrtd",,"*H","$NIFTY-NSE","Last","I15 [09:15-15:30 L]",,"173")</f>
        <v>11929.55</v>
      </c>
    </row>
    <row r="229" customFormat="false" ht="15" hidden="false" customHeight="false" outlineLevel="0" collapsed="false">
      <c r="A229" s="2" t="n">
        <f aca="false">rtd("esrtd",,"*H","$NIFTY-NSE","Intraday_Date","I15 [09:15-15:30 L]",,"172")</f>
        <v>43784.7291666667</v>
      </c>
      <c r="B229" s="3" t="n">
        <f aca="false">rtd("esrtd",,"*H","$NIFTY-NSE","BarTime","I15 [09:15-15:30 L]",,"172")</f>
        <v>43784.5625</v>
      </c>
      <c r="C229" s="4" t="n">
        <f aca="false">rtd("esrtd",,"*H","$NIFTY-NSE","Open","I15 [09:15-15:30 L]",,"172")</f>
        <v>11929.95</v>
      </c>
      <c r="D229" s="4" t="n">
        <f aca="false">rtd("esrtd",,"*H","$NIFTY-NSE","High","I15 [09:15-15:30 L]",,"172")</f>
        <v>11945.55</v>
      </c>
      <c r="E229" s="4" t="n">
        <f aca="false">rtd("esrtd",,"*H","$NIFTY-NSE","Low","I15 [09:15-15:30 L]",,"172")</f>
        <v>11925.85</v>
      </c>
      <c r="F229" s="4" t="n">
        <f aca="false">rtd("esrtd",,"*H","$NIFTY-NSE","Last","I15 [09:15-15:30 L]",,"172")</f>
        <v>11942.5</v>
      </c>
    </row>
    <row r="230" customFormat="false" ht="15" hidden="false" customHeight="false" outlineLevel="0" collapsed="false">
      <c r="A230" s="2" t="n">
        <f aca="false">rtd("esrtd",,"*H","$NIFTY-NSE","Intraday_Date","I15 [09:15-15:30 L]",,"171")</f>
        <v>43784.7291666667</v>
      </c>
      <c r="B230" s="3" t="n">
        <f aca="false">rtd("esrtd",,"*H","$NIFTY-NSE","BarTime","I15 [09:15-15:30 L]",,"171")</f>
        <v>43784.5729166667</v>
      </c>
      <c r="C230" s="4" t="n">
        <f aca="false">rtd("esrtd",,"*H","$NIFTY-NSE","Open","I15 [09:15-15:30 L]",,"171")</f>
        <v>11942.7</v>
      </c>
      <c r="D230" s="4" t="n">
        <f aca="false">rtd("esrtd",,"*H","$NIFTY-NSE","High","I15 [09:15-15:30 L]",,"171")</f>
        <v>11964.4</v>
      </c>
      <c r="E230" s="4" t="n">
        <f aca="false">rtd("esrtd",,"*H","$NIFTY-NSE","Low","I15 [09:15-15:30 L]",,"171")</f>
        <v>11942.15</v>
      </c>
      <c r="F230" s="4" t="n">
        <f aca="false">rtd("esrtd",,"*H","$NIFTY-NSE","Last","I15 [09:15-15:30 L]",,"171")</f>
        <v>11944.5</v>
      </c>
    </row>
    <row r="231" customFormat="false" ht="15" hidden="false" customHeight="false" outlineLevel="0" collapsed="false">
      <c r="A231" s="2" t="n">
        <f aca="false">rtd("esrtd",,"*H","$NIFTY-NSE","Intraday_Date","I15 [09:15-15:30 L]",,"170")</f>
        <v>43784.7291666667</v>
      </c>
      <c r="B231" s="3" t="n">
        <f aca="false">rtd("esrtd",,"*H","$NIFTY-NSE","BarTime","I15 [09:15-15:30 L]",,"170")</f>
        <v>43784.5833333333</v>
      </c>
      <c r="C231" s="4" t="n">
        <f aca="false">rtd("esrtd",,"*H","$NIFTY-NSE","Open","I15 [09:15-15:30 L]",,"170")</f>
        <v>11944.8</v>
      </c>
      <c r="D231" s="4" t="n">
        <f aca="false">rtd("esrtd",,"*H","$NIFTY-NSE","High","I15 [09:15-15:30 L]",,"170")</f>
        <v>11957.15</v>
      </c>
      <c r="E231" s="4" t="n">
        <f aca="false">rtd("esrtd",,"*H","$NIFTY-NSE","Low","I15 [09:15-15:30 L]",,"170")</f>
        <v>11941.95</v>
      </c>
      <c r="F231" s="4" t="n">
        <f aca="false">rtd("esrtd",,"*H","$NIFTY-NSE","Last","I15 [09:15-15:30 L]",,"170")</f>
        <v>11953.2</v>
      </c>
    </row>
    <row r="232" customFormat="false" ht="15" hidden="false" customHeight="false" outlineLevel="0" collapsed="false">
      <c r="A232" s="2" t="n">
        <f aca="false">rtd("esrtd",,"*H","$NIFTY-NSE","Intraday_Date","I15 [09:15-15:30 L]",,"169")</f>
        <v>43784.7291666667</v>
      </c>
      <c r="B232" s="3" t="n">
        <f aca="false">rtd("esrtd",,"*H","$NIFTY-NSE","BarTime","I15 [09:15-15:30 L]",,"169")</f>
        <v>43784.59375</v>
      </c>
      <c r="C232" s="4" t="n">
        <f aca="false">rtd("esrtd",,"*H","$NIFTY-NSE","Open","I15 [09:15-15:30 L]",,"169")</f>
        <v>11953.25</v>
      </c>
      <c r="D232" s="4" t="n">
        <f aca="false">rtd("esrtd",,"*H","$NIFTY-NSE","High","I15 [09:15-15:30 L]",,"169")</f>
        <v>11960.6</v>
      </c>
      <c r="E232" s="4" t="n">
        <f aca="false">rtd("esrtd",,"*H","$NIFTY-NSE","Low","I15 [09:15-15:30 L]",,"169")</f>
        <v>11943.7</v>
      </c>
      <c r="F232" s="4" t="n">
        <f aca="false">rtd("esrtd",,"*H","$NIFTY-NSE","Last","I15 [09:15-15:30 L]",,"169")</f>
        <v>11951.65</v>
      </c>
    </row>
    <row r="233" customFormat="false" ht="15" hidden="false" customHeight="false" outlineLevel="0" collapsed="false">
      <c r="A233" s="2" t="n">
        <f aca="false">rtd("esrtd",,"*H","$NIFTY-NSE","Intraday_Date","I15 [09:15-15:30 L]",,"168")</f>
        <v>43784.7291666667</v>
      </c>
      <c r="B233" s="3" t="n">
        <f aca="false">rtd("esrtd",,"*H","$NIFTY-NSE","BarTime","I15 [09:15-15:30 L]",,"168")</f>
        <v>43784.6041666667</v>
      </c>
      <c r="C233" s="4" t="n">
        <f aca="false">rtd("esrtd",,"*H","$NIFTY-NSE","Open","I15 [09:15-15:30 L]",,"168")</f>
        <v>11951.75</v>
      </c>
      <c r="D233" s="4" t="n">
        <f aca="false">rtd("esrtd",,"*H","$NIFTY-NSE","High","I15 [09:15-15:30 L]",,"168")</f>
        <v>11957.35</v>
      </c>
      <c r="E233" s="4" t="n">
        <f aca="false">rtd("esrtd",,"*H","$NIFTY-NSE","Low","I15 [09:15-15:30 L]",,"168")</f>
        <v>11934.65</v>
      </c>
      <c r="F233" s="4" t="n">
        <f aca="false">rtd("esrtd",,"*H","$NIFTY-NSE","Last","I15 [09:15-15:30 L]",,"168")</f>
        <v>11943.7</v>
      </c>
    </row>
    <row r="234" customFormat="false" ht="15" hidden="false" customHeight="false" outlineLevel="0" collapsed="false">
      <c r="A234" s="2" t="n">
        <f aca="false">rtd("esrtd",,"*H","$NIFTY-NSE","Intraday_Date","I15 [09:15-15:30 L]",,"167")</f>
        <v>43784.7291666667</v>
      </c>
      <c r="B234" s="3" t="n">
        <f aca="false">rtd("esrtd",,"*H","$NIFTY-NSE","BarTime","I15 [09:15-15:30 L]",,"167")</f>
        <v>43784.6145833333</v>
      </c>
      <c r="C234" s="4" t="n">
        <f aca="false">rtd("esrtd",,"*H","$NIFTY-NSE","Open","I15 [09:15-15:30 L]",,"167")</f>
        <v>11944.4</v>
      </c>
      <c r="D234" s="4" t="n">
        <f aca="false">rtd("esrtd",,"*H","$NIFTY-NSE","High","I15 [09:15-15:30 L]",,"167")</f>
        <v>11949.8</v>
      </c>
      <c r="E234" s="4" t="n">
        <f aca="false">rtd("esrtd",,"*H","$NIFTY-NSE","Low","I15 [09:15-15:30 L]",,"167")</f>
        <v>11938.75</v>
      </c>
      <c r="F234" s="4" t="n">
        <f aca="false">rtd("esrtd",,"*H","$NIFTY-NSE","Last","I15 [09:15-15:30 L]",,"167")</f>
        <v>11942.45</v>
      </c>
    </row>
    <row r="235" customFormat="false" ht="15" hidden="false" customHeight="false" outlineLevel="0" collapsed="false">
      <c r="A235" s="2" t="n">
        <f aca="false">rtd("esrtd",,"*H","$NIFTY-NSE","Intraday_Date","I15 [09:15-15:30 L]",,"166")</f>
        <v>43784.7291666667</v>
      </c>
      <c r="B235" s="3" t="n">
        <f aca="false">rtd("esrtd",,"*H","$NIFTY-NSE","BarTime","I15 [09:15-15:30 L]",,"166")</f>
        <v>43784.625</v>
      </c>
      <c r="C235" s="4" t="n">
        <f aca="false">rtd("esrtd",,"*H","$NIFTY-NSE","Open","I15 [09:15-15:30 L]",,"166")</f>
        <v>11943.3</v>
      </c>
      <c r="D235" s="4" t="n">
        <f aca="false">rtd("esrtd",,"*H","$NIFTY-NSE","High","I15 [09:15-15:30 L]",,"166")</f>
        <v>11944</v>
      </c>
      <c r="E235" s="4" t="n">
        <f aca="false">rtd("esrtd",,"*H","$NIFTY-NSE","Low","I15 [09:15-15:30 L]",,"166")</f>
        <v>11890.2</v>
      </c>
      <c r="F235" s="4" t="n">
        <f aca="false">rtd("esrtd",,"*H","$NIFTY-NSE","Last","I15 [09:15-15:30 L]",,"166")</f>
        <v>11891.6</v>
      </c>
    </row>
    <row r="236" customFormat="false" ht="15" hidden="false" customHeight="false" outlineLevel="0" collapsed="false">
      <c r="A236" s="2" t="n">
        <f aca="false">rtd("esrtd",,"*H","$NIFTY-NSE","Intraday_Date","I15 [09:15-15:30 L]",,"165")</f>
        <v>43784.7291666667</v>
      </c>
      <c r="B236" s="3" t="n">
        <f aca="false">rtd("esrtd",,"*H","$NIFTY-NSE","BarTime","I15 [09:15-15:30 L]",,"165")</f>
        <v>43784.6354166667</v>
      </c>
      <c r="C236" s="4" t="n">
        <f aca="false">rtd("esrtd",,"*H","$NIFTY-NSE","Open","I15 [09:15-15:30 L]",,"165")</f>
        <v>11890.3</v>
      </c>
      <c r="D236" s="4" t="n">
        <f aca="false">rtd("esrtd",,"*H","$NIFTY-NSE","High","I15 [09:15-15:30 L]",,"165")</f>
        <v>11893.85</v>
      </c>
      <c r="E236" s="4" t="n">
        <f aca="false">rtd("esrtd",,"*H","$NIFTY-NSE","Low","I15 [09:15-15:30 L]",,"165")</f>
        <v>11879.25</v>
      </c>
      <c r="F236" s="4" t="n">
        <f aca="false">rtd("esrtd",,"*H","$NIFTY-NSE","Last","I15 [09:15-15:30 L]",,"165")</f>
        <v>11893.7</v>
      </c>
    </row>
    <row r="237" customFormat="false" ht="15" hidden="false" customHeight="false" outlineLevel="0" collapsed="false">
      <c r="A237" s="2" t="n">
        <f aca="false">rtd("esrtd",,"*H","$NIFTY-NSE","Intraday_Date","I15 [09:15-15:30 L]",,"164")</f>
        <v>43787.7291666667</v>
      </c>
      <c r="B237" s="3" t="n">
        <f aca="false">rtd("esrtd",,"*H","$NIFTY-NSE","BarTime","I15 [09:15-15:30 L]",,"164")</f>
        <v>43787.3854166667</v>
      </c>
      <c r="C237" s="4" t="n">
        <f aca="false">rtd("esrtd",,"*H","$NIFTY-NSE","Open","I15 [09:15-15:30 L]",,"164")</f>
        <v>11920.65</v>
      </c>
      <c r="D237" s="4" t="n">
        <f aca="false">rtd("esrtd",,"*H","$NIFTY-NSE","High","I15 [09:15-15:30 L]",,"164")</f>
        <v>11946.2</v>
      </c>
      <c r="E237" s="4" t="n">
        <f aca="false">rtd("esrtd",,"*H","$NIFTY-NSE","Low","I15 [09:15-15:30 L]",,"164")</f>
        <v>11912.95</v>
      </c>
      <c r="F237" s="4" t="n">
        <f aca="false">rtd("esrtd",,"*H","$NIFTY-NSE","Last","I15 [09:15-15:30 L]",,"164")</f>
        <v>11921.05</v>
      </c>
    </row>
    <row r="238" customFormat="false" ht="15" hidden="false" customHeight="false" outlineLevel="0" collapsed="false">
      <c r="A238" s="2" t="n">
        <f aca="false">rtd("esrtd",,"*H","$NIFTY-NSE","Intraday_Date","I15 [09:15-15:30 L]",,"163")</f>
        <v>43787.7291666667</v>
      </c>
      <c r="B238" s="3" t="n">
        <f aca="false">rtd("esrtd",,"*H","$NIFTY-NSE","BarTime","I15 [09:15-15:30 L]",,"163")</f>
        <v>43787.3958333333</v>
      </c>
      <c r="C238" s="4" t="n">
        <f aca="false">rtd("esrtd",,"*H","$NIFTY-NSE","Open","I15 [09:15-15:30 L]",,"163")</f>
        <v>11921.15</v>
      </c>
      <c r="D238" s="4" t="n">
        <f aca="false">rtd("esrtd",,"*H","$NIFTY-NSE","High","I15 [09:15-15:30 L]",,"163")</f>
        <v>11923.15</v>
      </c>
      <c r="E238" s="4" t="n">
        <f aca="false">rtd("esrtd",,"*H","$NIFTY-NSE","Low","I15 [09:15-15:30 L]",,"163")</f>
        <v>11890.15</v>
      </c>
      <c r="F238" s="4" t="n">
        <f aca="false">rtd("esrtd",,"*H","$NIFTY-NSE","Last","I15 [09:15-15:30 L]",,"163")</f>
        <v>11911.3</v>
      </c>
    </row>
    <row r="239" customFormat="false" ht="15" hidden="false" customHeight="false" outlineLevel="0" collapsed="false">
      <c r="A239" s="2" t="n">
        <f aca="false">rtd("esrtd",,"*H","$NIFTY-NSE","Intraday_Date","I15 [09:15-15:30 L]",,"162")</f>
        <v>43787.7291666667</v>
      </c>
      <c r="B239" s="3" t="n">
        <f aca="false">rtd("esrtd",,"*H","$NIFTY-NSE","BarTime","I15 [09:15-15:30 L]",,"162")</f>
        <v>43787.40625</v>
      </c>
      <c r="C239" s="4" t="n">
        <f aca="false">rtd("esrtd",,"*H","$NIFTY-NSE","Open","I15 [09:15-15:30 L]",,"162")</f>
        <v>11910.85</v>
      </c>
      <c r="D239" s="4" t="n">
        <f aca="false">rtd("esrtd",,"*H","$NIFTY-NSE","High","I15 [09:15-15:30 L]",,"162")</f>
        <v>11914.05</v>
      </c>
      <c r="E239" s="4" t="n">
        <f aca="false">rtd("esrtd",,"*H","$NIFTY-NSE","Low","I15 [09:15-15:30 L]",,"162")</f>
        <v>11891.05</v>
      </c>
      <c r="F239" s="4" t="n">
        <f aca="false">rtd("esrtd",,"*H","$NIFTY-NSE","Last","I15 [09:15-15:30 L]",,"162")</f>
        <v>11891.05</v>
      </c>
    </row>
    <row r="240" customFormat="false" ht="15" hidden="false" customHeight="false" outlineLevel="0" collapsed="false">
      <c r="A240" s="2" t="n">
        <f aca="false">rtd("esrtd",,"*H","$NIFTY-NSE","Intraday_Date","I15 [09:15-15:30 L]",,"161")</f>
        <v>43787.7291666667</v>
      </c>
      <c r="B240" s="3" t="n">
        <f aca="false">rtd("esrtd",,"*H","$NIFTY-NSE","BarTime","I15 [09:15-15:30 L]",,"161")</f>
        <v>43787.4166666667</v>
      </c>
      <c r="C240" s="4" t="n">
        <f aca="false">rtd("esrtd",,"*H","$NIFTY-NSE","Open","I15 [09:15-15:30 L]",,"161")</f>
        <v>11889.5</v>
      </c>
      <c r="D240" s="4" t="n">
        <f aca="false">rtd("esrtd",,"*H","$NIFTY-NSE","High","I15 [09:15-15:30 L]",,"161")</f>
        <v>11905.7</v>
      </c>
      <c r="E240" s="4" t="n">
        <f aca="false">rtd("esrtd",,"*H","$NIFTY-NSE","Low","I15 [09:15-15:30 L]",,"161")</f>
        <v>11884.1</v>
      </c>
      <c r="F240" s="4" t="n">
        <f aca="false">rtd("esrtd",,"*H","$NIFTY-NSE","Last","I15 [09:15-15:30 L]",,"161")</f>
        <v>11904.1</v>
      </c>
    </row>
    <row r="241" customFormat="false" ht="15" hidden="false" customHeight="false" outlineLevel="0" collapsed="false">
      <c r="A241" s="2" t="n">
        <f aca="false">rtd("esrtd",,"*H","$NIFTY-NSE","Intraday_Date","I15 [09:15-15:30 L]",,"160")</f>
        <v>43787.7291666667</v>
      </c>
      <c r="B241" s="3" t="n">
        <f aca="false">rtd("esrtd",,"*H","$NIFTY-NSE","BarTime","I15 [09:15-15:30 L]",,"160")</f>
        <v>43787.4270833333</v>
      </c>
      <c r="C241" s="4" t="n">
        <f aca="false">rtd("esrtd",,"*H","$NIFTY-NSE","Open","I15 [09:15-15:30 L]",,"160")</f>
        <v>11904</v>
      </c>
      <c r="D241" s="4" t="n">
        <f aca="false">rtd("esrtd",,"*H","$NIFTY-NSE","High","I15 [09:15-15:30 L]",,"160")</f>
        <v>11908</v>
      </c>
      <c r="E241" s="4" t="n">
        <f aca="false">rtd("esrtd",,"*H","$NIFTY-NSE","Low","I15 [09:15-15:30 L]",,"160")</f>
        <v>11885.45</v>
      </c>
      <c r="F241" s="4" t="n">
        <f aca="false">rtd("esrtd",,"*H","$NIFTY-NSE","Last","I15 [09:15-15:30 L]",,"160")</f>
        <v>11896.9</v>
      </c>
    </row>
    <row r="242" customFormat="false" ht="15" hidden="false" customHeight="false" outlineLevel="0" collapsed="false">
      <c r="A242" s="2" t="n">
        <f aca="false">rtd("esrtd",,"*H","$NIFTY-NSE","Intraday_Date","I15 [09:15-15:30 L]",,"159")</f>
        <v>43787.7291666667</v>
      </c>
      <c r="B242" s="3" t="n">
        <f aca="false">rtd("esrtd",,"*H","$NIFTY-NSE","BarTime","I15 [09:15-15:30 L]",,"159")</f>
        <v>43787.4375</v>
      </c>
      <c r="C242" s="4" t="n">
        <f aca="false">rtd("esrtd",,"*H","$NIFTY-NSE","Open","I15 [09:15-15:30 L]",,"159")</f>
        <v>11896.95</v>
      </c>
      <c r="D242" s="4" t="n">
        <f aca="false">rtd("esrtd",,"*H","$NIFTY-NSE","High","I15 [09:15-15:30 L]",,"159")</f>
        <v>11905.95</v>
      </c>
      <c r="E242" s="4" t="n">
        <f aca="false">rtd("esrtd",,"*H","$NIFTY-NSE","Low","I15 [09:15-15:30 L]",,"159")</f>
        <v>11893.95</v>
      </c>
      <c r="F242" s="4" t="n">
        <f aca="false">rtd("esrtd",,"*H","$NIFTY-NSE","Last","I15 [09:15-15:30 L]",,"159")</f>
        <v>11895.85</v>
      </c>
    </row>
    <row r="243" customFormat="false" ht="15" hidden="false" customHeight="false" outlineLevel="0" collapsed="false">
      <c r="A243" s="2" t="n">
        <f aca="false">rtd("esrtd",,"*H","$NIFTY-NSE","Intraday_Date","I15 [09:15-15:30 L]",,"158")</f>
        <v>43787.7291666667</v>
      </c>
      <c r="B243" s="3" t="n">
        <f aca="false">rtd("esrtd",,"*H","$NIFTY-NSE","BarTime","I15 [09:15-15:30 L]",,"158")</f>
        <v>43787.4479166667</v>
      </c>
      <c r="C243" s="4" t="n">
        <f aca="false">rtd("esrtd",,"*H","$NIFTY-NSE","Open","I15 [09:15-15:30 L]",,"158")</f>
        <v>11895.9</v>
      </c>
      <c r="D243" s="4" t="n">
        <f aca="false">rtd("esrtd",,"*H","$NIFTY-NSE","High","I15 [09:15-15:30 L]",,"158")</f>
        <v>11902.4</v>
      </c>
      <c r="E243" s="4" t="n">
        <f aca="false">rtd("esrtd",,"*H","$NIFTY-NSE","Low","I15 [09:15-15:30 L]",,"158")</f>
        <v>11887.7</v>
      </c>
      <c r="F243" s="4" t="n">
        <f aca="false">rtd("esrtd",,"*H","$NIFTY-NSE","Last","I15 [09:15-15:30 L]",,"158")</f>
        <v>11896.25</v>
      </c>
    </row>
    <row r="244" customFormat="false" ht="15" hidden="false" customHeight="false" outlineLevel="0" collapsed="false">
      <c r="A244" s="2" t="n">
        <f aca="false">rtd("esrtd",,"*H","$NIFTY-NSE","Intraday_Date","I15 [09:15-15:30 L]",,"157")</f>
        <v>43787.7291666667</v>
      </c>
      <c r="B244" s="3" t="n">
        <f aca="false">rtd("esrtd",,"*H","$NIFTY-NSE","BarTime","I15 [09:15-15:30 L]",,"157")</f>
        <v>43787.4583333333</v>
      </c>
      <c r="C244" s="4" t="n">
        <f aca="false">rtd("esrtd",,"*H","$NIFTY-NSE","Open","I15 [09:15-15:30 L]",,"157")</f>
        <v>11896.4</v>
      </c>
      <c r="D244" s="4" t="n">
        <f aca="false">rtd("esrtd",,"*H","$NIFTY-NSE","High","I15 [09:15-15:30 L]",,"157")</f>
        <v>11905.75</v>
      </c>
      <c r="E244" s="4" t="n">
        <f aca="false">rtd("esrtd",,"*H","$NIFTY-NSE","Low","I15 [09:15-15:30 L]",,"157")</f>
        <v>11894.8</v>
      </c>
      <c r="F244" s="4" t="n">
        <f aca="false">rtd("esrtd",,"*H","$NIFTY-NSE","Last","I15 [09:15-15:30 L]",,"157")</f>
        <v>11898</v>
      </c>
    </row>
    <row r="245" customFormat="false" ht="15" hidden="false" customHeight="false" outlineLevel="0" collapsed="false">
      <c r="A245" s="2" t="n">
        <f aca="false">rtd("esrtd",,"*H","$NIFTY-NSE","Intraday_Date","I15 [09:15-15:30 L]",,"156")</f>
        <v>43787.7291666667</v>
      </c>
      <c r="B245" s="3" t="n">
        <f aca="false">rtd("esrtd",,"*H","$NIFTY-NSE","BarTime","I15 [09:15-15:30 L]",,"156")</f>
        <v>43787.46875</v>
      </c>
      <c r="C245" s="4" t="n">
        <f aca="false">rtd("esrtd",,"*H","$NIFTY-NSE","Open","I15 [09:15-15:30 L]",,"156")</f>
        <v>11897.75</v>
      </c>
      <c r="D245" s="4" t="n">
        <f aca="false">rtd("esrtd",,"*H","$NIFTY-NSE","High","I15 [09:15-15:30 L]",,"156")</f>
        <v>11902.2</v>
      </c>
      <c r="E245" s="4" t="n">
        <f aca="false">rtd("esrtd",,"*H","$NIFTY-NSE","Low","I15 [09:15-15:30 L]",,"156")</f>
        <v>11885.05</v>
      </c>
      <c r="F245" s="4" t="n">
        <f aca="false">rtd("esrtd",,"*H","$NIFTY-NSE","Last","I15 [09:15-15:30 L]",,"156")</f>
        <v>11885.6</v>
      </c>
    </row>
    <row r="246" customFormat="false" ht="15" hidden="false" customHeight="false" outlineLevel="0" collapsed="false">
      <c r="A246" s="2" t="n">
        <f aca="false">rtd("esrtd",,"*H","$NIFTY-NSE","Intraday_Date","I15 [09:15-15:30 L]",,"155")</f>
        <v>43787.7291666667</v>
      </c>
      <c r="B246" s="3" t="n">
        <f aca="false">rtd("esrtd",,"*H","$NIFTY-NSE","BarTime","I15 [09:15-15:30 L]",,"155")</f>
        <v>43787.4791666667</v>
      </c>
      <c r="C246" s="4" t="n">
        <f aca="false">rtd("esrtd",,"*H","$NIFTY-NSE","Open","I15 [09:15-15:30 L]",,"155")</f>
        <v>11885.65</v>
      </c>
      <c r="D246" s="4" t="n">
        <f aca="false">rtd("esrtd",,"*H","$NIFTY-NSE","High","I15 [09:15-15:30 L]",,"155")</f>
        <v>11886.8</v>
      </c>
      <c r="E246" s="4" t="n">
        <f aca="false">rtd("esrtd",,"*H","$NIFTY-NSE","Low","I15 [09:15-15:30 L]",,"155")</f>
        <v>11869.8</v>
      </c>
      <c r="F246" s="4" t="n">
        <f aca="false">rtd("esrtd",,"*H","$NIFTY-NSE","Last","I15 [09:15-15:30 L]",,"155")</f>
        <v>11881.75</v>
      </c>
    </row>
    <row r="247" customFormat="false" ht="15" hidden="false" customHeight="false" outlineLevel="0" collapsed="false">
      <c r="A247" s="2" t="n">
        <f aca="false">rtd("esrtd",,"*H","$NIFTY-NSE","Intraday_Date","I15 [09:15-15:30 L]",,"154")</f>
        <v>43787.7291666667</v>
      </c>
      <c r="B247" s="3" t="n">
        <f aca="false">rtd("esrtd",,"*H","$NIFTY-NSE","BarTime","I15 [09:15-15:30 L]",,"154")</f>
        <v>43787.4895833333</v>
      </c>
      <c r="C247" s="4" t="n">
        <f aca="false">rtd("esrtd",,"*H","$NIFTY-NSE","Open","I15 [09:15-15:30 L]",,"154")</f>
        <v>11881.8</v>
      </c>
      <c r="D247" s="4" t="n">
        <f aca="false">rtd("esrtd",,"*H","$NIFTY-NSE","High","I15 [09:15-15:30 L]",,"154")</f>
        <v>11889.65</v>
      </c>
      <c r="E247" s="4" t="n">
        <f aca="false">rtd("esrtd",,"*H","$NIFTY-NSE","Low","I15 [09:15-15:30 L]",,"154")</f>
        <v>11870.35</v>
      </c>
      <c r="F247" s="4" t="n">
        <f aca="false">rtd("esrtd",,"*H","$NIFTY-NSE","Last","I15 [09:15-15:30 L]",,"154")</f>
        <v>11872.55</v>
      </c>
    </row>
    <row r="248" customFormat="false" ht="15" hidden="false" customHeight="false" outlineLevel="0" collapsed="false">
      <c r="A248" s="2" t="n">
        <f aca="false">rtd("esrtd",,"*H","$NIFTY-NSE","Intraday_Date","I15 [09:15-15:30 L]",,"153")</f>
        <v>43787.7291666667</v>
      </c>
      <c r="B248" s="3" t="n">
        <f aca="false">rtd("esrtd",,"*H","$NIFTY-NSE","BarTime","I15 [09:15-15:30 L]",,"153")</f>
        <v>43787.5</v>
      </c>
      <c r="C248" s="4" t="n">
        <f aca="false">rtd("esrtd",,"*H","$NIFTY-NSE","Open","I15 [09:15-15:30 L]",,"153")</f>
        <v>11873.4</v>
      </c>
      <c r="D248" s="4" t="n">
        <f aca="false">rtd("esrtd",,"*H","$NIFTY-NSE","High","I15 [09:15-15:30 L]",,"153")</f>
        <v>11880.6</v>
      </c>
      <c r="E248" s="4" t="n">
        <f aca="false">rtd("esrtd",,"*H","$NIFTY-NSE","Low","I15 [09:15-15:30 L]",,"153")</f>
        <v>11870.1</v>
      </c>
      <c r="F248" s="4" t="n">
        <f aca="false">rtd("esrtd",,"*H","$NIFTY-NSE","Last","I15 [09:15-15:30 L]",,"153")</f>
        <v>11875.1</v>
      </c>
    </row>
    <row r="249" customFormat="false" ht="15" hidden="false" customHeight="false" outlineLevel="0" collapsed="false">
      <c r="A249" s="2" t="n">
        <f aca="false">rtd("esrtd",,"*H","$NIFTY-NSE","Intraday_Date","I15 [09:15-15:30 L]",,"152")</f>
        <v>43787.7291666667</v>
      </c>
      <c r="B249" s="3" t="n">
        <f aca="false">rtd("esrtd",,"*H","$NIFTY-NSE","BarTime","I15 [09:15-15:30 L]",,"152")</f>
        <v>43787.5104166667</v>
      </c>
      <c r="C249" s="4" t="n">
        <f aca="false">rtd("esrtd",,"*H","$NIFTY-NSE","Open","I15 [09:15-15:30 L]",,"152")</f>
        <v>11875.55</v>
      </c>
      <c r="D249" s="4" t="n">
        <f aca="false">rtd("esrtd",,"*H","$NIFTY-NSE","High","I15 [09:15-15:30 L]",,"152")</f>
        <v>11884.9</v>
      </c>
      <c r="E249" s="4" t="n">
        <f aca="false">rtd("esrtd",,"*H","$NIFTY-NSE","Low","I15 [09:15-15:30 L]",,"152")</f>
        <v>11867.6</v>
      </c>
      <c r="F249" s="4" t="n">
        <f aca="false">rtd("esrtd",,"*H","$NIFTY-NSE","Last","I15 [09:15-15:30 L]",,"152")</f>
        <v>11868.75</v>
      </c>
    </row>
    <row r="250" customFormat="false" ht="15" hidden="false" customHeight="false" outlineLevel="0" collapsed="false">
      <c r="A250" s="2" t="n">
        <f aca="false">rtd("esrtd",,"*H","$NIFTY-NSE","Intraday_Date","I15 [09:15-15:30 L]",,"151")</f>
        <v>43787.7291666667</v>
      </c>
      <c r="B250" s="3" t="n">
        <f aca="false">rtd("esrtd",,"*H","$NIFTY-NSE","BarTime","I15 [09:15-15:30 L]",,"151")</f>
        <v>43787.5208333333</v>
      </c>
      <c r="C250" s="4" t="n">
        <f aca="false">rtd("esrtd",,"*H","$NIFTY-NSE","Open","I15 [09:15-15:30 L]",,"151")</f>
        <v>11869.9</v>
      </c>
      <c r="D250" s="4" t="n">
        <f aca="false">rtd("esrtd",,"*H","$NIFTY-NSE","High","I15 [09:15-15:30 L]",,"151")</f>
        <v>11881.35</v>
      </c>
      <c r="E250" s="4" t="n">
        <f aca="false">rtd("esrtd",,"*H","$NIFTY-NSE","Low","I15 [09:15-15:30 L]",,"151")</f>
        <v>11868.65</v>
      </c>
      <c r="F250" s="4" t="n">
        <f aca="false">rtd("esrtd",,"*H","$NIFTY-NSE","Last","I15 [09:15-15:30 L]",,"151")</f>
        <v>11880.8</v>
      </c>
    </row>
    <row r="251" customFormat="false" ht="15" hidden="false" customHeight="false" outlineLevel="0" collapsed="false">
      <c r="A251" s="2" t="n">
        <f aca="false">rtd("esrtd",,"*H","$NIFTY-NSE","Intraday_Date","I15 [09:15-15:30 L]",,"150")</f>
        <v>43787.7291666667</v>
      </c>
      <c r="B251" s="3" t="n">
        <f aca="false">rtd("esrtd",,"*H","$NIFTY-NSE","BarTime","I15 [09:15-15:30 L]",,"150")</f>
        <v>43787.53125</v>
      </c>
      <c r="C251" s="4" t="n">
        <f aca="false">rtd("esrtd",,"*H","$NIFTY-NSE","Open","I15 [09:15-15:30 L]",,"150")</f>
        <v>11880.75</v>
      </c>
      <c r="D251" s="4" t="n">
        <f aca="false">rtd("esrtd",,"*H","$NIFTY-NSE","High","I15 [09:15-15:30 L]",,"150")</f>
        <v>11903.15</v>
      </c>
      <c r="E251" s="4" t="n">
        <f aca="false">rtd("esrtd",,"*H","$NIFTY-NSE","Low","I15 [09:15-15:30 L]",,"150")</f>
        <v>11878</v>
      </c>
      <c r="F251" s="4" t="n">
        <f aca="false">rtd("esrtd",,"*H","$NIFTY-NSE","Last","I15 [09:15-15:30 L]",,"150")</f>
        <v>11888.9</v>
      </c>
    </row>
    <row r="252" customFormat="false" ht="15" hidden="false" customHeight="false" outlineLevel="0" collapsed="false">
      <c r="A252" s="2" t="n">
        <f aca="false">rtd("esrtd",,"*H","$NIFTY-NSE","Intraday_Date","I15 [09:15-15:30 L]",,"149")</f>
        <v>43787.7291666667</v>
      </c>
      <c r="B252" s="3" t="n">
        <f aca="false">rtd("esrtd",,"*H","$NIFTY-NSE","BarTime","I15 [09:15-15:30 L]",,"149")</f>
        <v>43787.5416666667</v>
      </c>
      <c r="C252" s="4" t="n">
        <f aca="false">rtd("esrtd",,"*H","$NIFTY-NSE","Open","I15 [09:15-15:30 L]",,"149")</f>
        <v>11888.65</v>
      </c>
      <c r="D252" s="4" t="n">
        <f aca="false">rtd("esrtd",,"*H","$NIFTY-NSE","High","I15 [09:15-15:30 L]",,"149")</f>
        <v>11894.3</v>
      </c>
      <c r="E252" s="4" t="n">
        <f aca="false">rtd("esrtd",,"*H","$NIFTY-NSE","Low","I15 [09:15-15:30 L]",,"149")</f>
        <v>11884.2</v>
      </c>
      <c r="F252" s="4" t="n">
        <f aca="false">rtd("esrtd",,"*H","$NIFTY-NSE","Last","I15 [09:15-15:30 L]",,"149")</f>
        <v>11891</v>
      </c>
    </row>
    <row r="253" customFormat="false" ht="15" hidden="false" customHeight="false" outlineLevel="0" collapsed="false">
      <c r="A253" s="2" t="n">
        <f aca="false">rtd("esrtd",,"*H","$NIFTY-NSE","Intraday_Date","I15 [09:15-15:30 L]",,"148")</f>
        <v>43787.7291666667</v>
      </c>
      <c r="B253" s="3" t="n">
        <f aca="false">rtd("esrtd",,"*H","$NIFTY-NSE","BarTime","I15 [09:15-15:30 L]",,"148")</f>
        <v>43787.5520833333</v>
      </c>
      <c r="C253" s="4" t="n">
        <f aca="false">rtd("esrtd",,"*H","$NIFTY-NSE","Open","I15 [09:15-15:30 L]",,"148")</f>
        <v>11891.3</v>
      </c>
      <c r="D253" s="4" t="n">
        <f aca="false">rtd("esrtd",,"*H","$NIFTY-NSE","High","I15 [09:15-15:30 L]",,"148")</f>
        <v>11893.55</v>
      </c>
      <c r="E253" s="4" t="n">
        <f aca="false">rtd("esrtd",,"*H","$NIFTY-NSE","Low","I15 [09:15-15:30 L]",,"148")</f>
        <v>11882</v>
      </c>
      <c r="F253" s="4" t="n">
        <f aca="false">rtd("esrtd",,"*H","$NIFTY-NSE","Last","I15 [09:15-15:30 L]",,"148")</f>
        <v>11883.35</v>
      </c>
    </row>
    <row r="254" customFormat="false" ht="15" hidden="false" customHeight="false" outlineLevel="0" collapsed="false">
      <c r="A254" s="2" t="n">
        <f aca="false">rtd("esrtd",,"*H","$NIFTY-NSE","Intraday_Date","I15 [09:15-15:30 L]",,"147")</f>
        <v>43787.7291666667</v>
      </c>
      <c r="B254" s="3" t="n">
        <f aca="false">rtd("esrtd",,"*H","$NIFTY-NSE","BarTime","I15 [09:15-15:30 L]",,"147")</f>
        <v>43787.5625</v>
      </c>
      <c r="C254" s="4" t="n">
        <f aca="false">rtd("esrtd",,"*H","$NIFTY-NSE","Open","I15 [09:15-15:30 L]",,"147")</f>
        <v>11883.75</v>
      </c>
      <c r="D254" s="4" t="n">
        <f aca="false">rtd("esrtd",,"*H","$NIFTY-NSE","High","I15 [09:15-15:30 L]",,"147")</f>
        <v>11889.55</v>
      </c>
      <c r="E254" s="4" t="n">
        <f aca="false">rtd("esrtd",,"*H","$NIFTY-NSE","Low","I15 [09:15-15:30 L]",,"147")</f>
        <v>11875.3</v>
      </c>
      <c r="F254" s="4" t="n">
        <f aca="false">rtd("esrtd",,"*H","$NIFTY-NSE","Last","I15 [09:15-15:30 L]",,"147")</f>
        <v>11882.1</v>
      </c>
    </row>
    <row r="255" customFormat="false" ht="15" hidden="false" customHeight="false" outlineLevel="0" collapsed="false">
      <c r="A255" s="2" t="n">
        <f aca="false">rtd("esrtd",,"*H","$NIFTY-NSE","Intraday_Date","I15 [09:15-15:30 L]",,"146")</f>
        <v>43787.7291666667</v>
      </c>
      <c r="B255" s="3" t="n">
        <f aca="false">rtd("esrtd",,"*H","$NIFTY-NSE","BarTime","I15 [09:15-15:30 L]",,"146")</f>
        <v>43787.5729166667</v>
      </c>
      <c r="C255" s="4" t="n">
        <f aca="false">rtd("esrtd",,"*H","$NIFTY-NSE","Open","I15 [09:15-15:30 L]",,"146")</f>
        <v>11882.15</v>
      </c>
      <c r="D255" s="4" t="n">
        <f aca="false">rtd("esrtd",,"*H","$NIFTY-NSE","High","I15 [09:15-15:30 L]",,"146")</f>
        <v>11885.85</v>
      </c>
      <c r="E255" s="4" t="n">
        <f aca="false">rtd("esrtd",,"*H","$NIFTY-NSE","Low","I15 [09:15-15:30 L]",,"146")</f>
        <v>11877.1</v>
      </c>
      <c r="F255" s="4" t="n">
        <f aca="false">rtd("esrtd",,"*H","$NIFTY-NSE","Last","I15 [09:15-15:30 L]",,"146")</f>
        <v>11881.95</v>
      </c>
    </row>
    <row r="256" customFormat="false" ht="15" hidden="false" customHeight="false" outlineLevel="0" collapsed="false">
      <c r="A256" s="2" t="n">
        <f aca="false">rtd("esrtd",,"*H","$NIFTY-NSE","Intraday_Date","I15 [09:15-15:30 L]",,"145")</f>
        <v>43787.7291666667</v>
      </c>
      <c r="B256" s="3" t="n">
        <f aca="false">rtd("esrtd",,"*H","$NIFTY-NSE","BarTime","I15 [09:15-15:30 L]",,"145")</f>
        <v>43787.5833333333</v>
      </c>
      <c r="C256" s="4" t="n">
        <f aca="false">rtd("esrtd",,"*H","$NIFTY-NSE","Open","I15 [09:15-15:30 L]",,"145")</f>
        <v>11881.8</v>
      </c>
      <c r="D256" s="4" t="n">
        <f aca="false">rtd("esrtd",,"*H","$NIFTY-NSE","High","I15 [09:15-15:30 L]",,"145")</f>
        <v>11898.05</v>
      </c>
      <c r="E256" s="4" t="n">
        <f aca="false">rtd("esrtd",,"*H","$NIFTY-NSE","Low","I15 [09:15-15:30 L]",,"145")</f>
        <v>11880.6</v>
      </c>
      <c r="F256" s="4" t="n">
        <f aca="false">rtd("esrtd",,"*H","$NIFTY-NSE","Last","I15 [09:15-15:30 L]",,"145")</f>
        <v>11896.2</v>
      </c>
    </row>
    <row r="257" customFormat="false" ht="15" hidden="false" customHeight="false" outlineLevel="0" collapsed="false">
      <c r="A257" s="2" t="n">
        <f aca="false">rtd("esrtd",,"*H","$NIFTY-NSE","Intraday_Date","I15 [09:15-15:30 L]",,"144")</f>
        <v>43787.7291666667</v>
      </c>
      <c r="B257" s="3" t="n">
        <f aca="false">rtd("esrtd",,"*H","$NIFTY-NSE","BarTime","I15 [09:15-15:30 L]",,"144")</f>
        <v>43787.59375</v>
      </c>
      <c r="C257" s="4" t="n">
        <f aca="false">rtd("esrtd",,"*H","$NIFTY-NSE","Open","I15 [09:15-15:30 L]",,"144")</f>
        <v>11897.1</v>
      </c>
      <c r="D257" s="4" t="n">
        <f aca="false">rtd("esrtd",,"*H","$NIFTY-NSE","High","I15 [09:15-15:30 L]",,"144")</f>
        <v>11900.95</v>
      </c>
      <c r="E257" s="4" t="n">
        <f aca="false">rtd("esrtd",,"*H","$NIFTY-NSE","Low","I15 [09:15-15:30 L]",,"144")</f>
        <v>11887.85</v>
      </c>
      <c r="F257" s="4" t="n">
        <f aca="false">rtd("esrtd",,"*H","$NIFTY-NSE","Last","I15 [09:15-15:30 L]",,"144")</f>
        <v>11887.85</v>
      </c>
    </row>
    <row r="258" customFormat="false" ht="15" hidden="false" customHeight="false" outlineLevel="0" collapsed="false">
      <c r="A258" s="2" t="n">
        <f aca="false">rtd("esrtd",,"*H","$NIFTY-NSE","Intraday_Date","I15 [09:15-15:30 L]",,"143")</f>
        <v>43787.7291666667</v>
      </c>
      <c r="B258" s="3" t="n">
        <f aca="false">rtd("esrtd",,"*H","$NIFTY-NSE","BarTime","I15 [09:15-15:30 L]",,"143")</f>
        <v>43787.6041666667</v>
      </c>
      <c r="C258" s="4" t="n">
        <f aca="false">rtd("esrtd",,"*H","$NIFTY-NSE","Open","I15 [09:15-15:30 L]",,"143")</f>
        <v>11887.4</v>
      </c>
      <c r="D258" s="4" t="n">
        <f aca="false">rtd("esrtd",,"*H","$NIFTY-NSE","High","I15 [09:15-15:30 L]",,"143")</f>
        <v>11903.4</v>
      </c>
      <c r="E258" s="4" t="n">
        <f aca="false">rtd("esrtd",,"*H","$NIFTY-NSE","Low","I15 [09:15-15:30 L]",,"143")</f>
        <v>11887.1</v>
      </c>
      <c r="F258" s="4" t="n">
        <f aca="false">rtd("esrtd",,"*H","$NIFTY-NSE","Last","I15 [09:15-15:30 L]",,"143")</f>
        <v>11889.95</v>
      </c>
    </row>
    <row r="259" customFormat="false" ht="15" hidden="false" customHeight="false" outlineLevel="0" collapsed="false">
      <c r="A259" s="2" t="n">
        <f aca="false">rtd("esrtd",,"*H","$NIFTY-NSE","Intraday_Date","I15 [09:15-15:30 L]",,"142")</f>
        <v>43787.7291666667</v>
      </c>
      <c r="B259" s="3" t="n">
        <f aca="false">rtd("esrtd",,"*H","$NIFTY-NSE","BarTime","I15 [09:15-15:30 L]",,"142")</f>
        <v>43787.6145833333</v>
      </c>
      <c r="C259" s="4" t="n">
        <f aca="false">rtd("esrtd",,"*H","$NIFTY-NSE","Open","I15 [09:15-15:30 L]",,"142")</f>
        <v>11890.2</v>
      </c>
      <c r="D259" s="4" t="n">
        <f aca="false">rtd("esrtd",,"*H","$NIFTY-NSE","High","I15 [09:15-15:30 L]",,"142")</f>
        <v>11890.5</v>
      </c>
      <c r="E259" s="4" t="n">
        <f aca="false">rtd("esrtd",,"*H","$NIFTY-NSE","Low","I15 [09:15-15:30 L]",,"142")</f>
        <v>11878.05</v>
      </c>
      <c r="F259" s="4" t="n">
        <f aca="false">rtd("esrtd",,"*H","$NIFTY-NSE","Last","I15 [09:15-15:30 L]",,"142")</f>
        <v>11883.05</v>
      </c>
    </row>
    <row r="260" customFormat="false" ht="15" hidden="false" customHeight="false" outlineLevel="0" collapsed="false">
      <c r="A260" s="2" t="n">
        <f aca="false">rtd("esrtd",,"*H","$NIFTY-NSE","Intraday_Date","I15 [09:15-15:30 L]",,"141")</f>
        <v>43787.7291666667</v>
      </c>
      <c r="B260" s="3" t="n">
        <f aca="false">rtd("esrtd",,"*H","$NIFTY-NSE","BarTime","I15 [09:15-15:30 L]",,"141")</f>
        <v>43787.625</v>
      </c>
      <c r="C260" s="4" t="n">
        <f aca="false">rtd("esrtd",,"*H","$NIFTY-NSE","Open","I15 [09:15-15:30 L]",,"141")</f>
        <v>11883.15</v>
      </c>
      <c r="D260" s="4" t="n">
        <f aca="false">rtd("esrtd",,"*H","$NIFTY-NSE","High","I15 [09:15-15:30 L]",,"141")</f>
        <v>11894.2</v>
      </c>
      <c r="E260" s="4" t="n">
        <f aca="false">rtd("esrtd",,"*H","$NIFTY-NSE","Low","I15 [09:15-15:30 L]",,"141")</f>
        <v>11876.85</v>
      </c>
      <c r="F260" s="4" t="n">
        <f aca="false">rtd("esrtd",,"*H","$NIFTY-NSE","Last","I15 [09:15-15:30 L]",,"141")</f>
        <v>11885.05</v>
      </c>
    </row>
    <row r="261" customFormat="false" ht="15" hidden="false" customHeight="false" outlineLevel="0" collapsed="false">
      <c r="A261" s="2" t="n">
        <f aca="false">rtd("esrtd",,"*H","$NIFTY-NSE","Intraday_Date","I15 [09:15-15:30 L]",,"140")</f>
        <v>43787.7291666667</v>
      </c>
      <c r="B261" s="3" t="n">
        <f aca="false">rtd("esrtd",,"*H","$NIFTY-NSE","BarTime","I15 [09:15-15:30 L]",,"140")</f>
        <v>43787.6354166667</v>
      </c>
      <c r="C261" s="4" t="n">
        <f aca="false">rtd("esrtd",,"*H","$NIFTY-NSE","Open","I15 [09:15-15:30 L]",,"140")</f>
        <v>11885.3</v>
      </c>
      <c r="D261" s="4" t="n">
        <f aca="false">rtd("esrtd",,"*H","$NIFTY-NSE","High","I15 [09:15-15:30 L]",,"140")</f>
        <v>11896.15</v>
      </c>
      <c r="E261" s="4" t="n">
        <f aca="false">rtd("esrtd",,"*H","$NIFTY-NSE","Low","I15 [09:15-15:30 L]",,"140")</f>
        <v>11877.9</v>
      </c>
      <c r="F261" s="4" t="n">
        <f aca="false">rtd("esrtd",,"*H","$NIFTY-NSE","Last","I15 [09:15-15:30 L]",,"140")</f>
        <v>11893.7</v>
      </c>
    </row>
    <row r="262" customFormat="false" ht="15" hidden="false" customHeight="false" outlineLevel="0" collapsed="false">
      <c r="A262" s="2" t="n">
        <f aca="false">rtd("esrtd",,"*H","$NIFTY-NSE","Intraday_Date","I15 [09:15-15:30 L]",,"139")</f>
        <v>43788.7291666667</v>
      </c>
      <c r="B262" s="3" t="n">
        <f aca="false">rtd("esrtd",,"*H","$NIFTY-NSE","BarTime","I15 [09:15-15:30 L]",,"139")</f>
        <v>43788.3854166667</v>
      </c>
      <c r="C262" s="4" t="n">
        <f aca="false">rtd("esrtd",,"*H","$NIFTY-NSE","Open","I15 [09:15-15:30 L]",,"139")</f>
        <v>11925.25</v>
      </c>
      <c r="D262" s="4" t="n">
        <f aca="false">rtd("esrtd",,"*H","$NIFTY-NSE","High","I15 [09:15-15:30 L]",,"139")</f>
        <v>11925.7</v>
      </c>
      <c r="E262" s="4" t="n">
        <f aca="false">rtd("esrtd",,"*H","$NIFTY-NSE","Low","I15 [09:15-15:30 L]",,"139")</f>
        <v>11893.8</v>
      </c>
      <c r="F262" s="4" t="n">
        <f aca="false">rtd("esrtd",,"*H","$NIFTY-NSE","Last","I15 [09:15-15:30 L]",,"139")</f>
        <v>11913.5</v>
      </c>
    </row>
    <row r="263" customFormat="false" ht="15" hidden="false" customHeight="false" outlineLevel="0" collapsed="false">
      <c r="A263" s="2" t="n">
        <f aca="false">rtd("esrtd",,"*H","$NIFTY-NSE","Intraday_Date","I15 [09:15-15:30 L]",,"138")</f>
        <v>43788.7291666667</v>
      </c>
      <c r="B263" s="3" t="n">
        <f aca="false">rtd("esrtd",,"*H","$NIFTY-NSE","BarTime","I15 [09:15-15:30 L]",,"138")</f>
        <v>43788.3958333333</v>
      </c>
      <c r="C263" s="4" t="n">
        <f aca="false">rtd("esrtd",,"*H","$NIFTY-NSE","Open","I15 [09:15-15:30 L]",,"138")</f>
        <v>11914.2</v>
      </c>
      <c r="D263" s="4" t="n">
        <f aca="false">rtd("esrtd",,"*H","$NIFTY-NSE","High","I15 [09:15-15:30 L]",,"138")</f>
        <v>11914.2</v>
      </c>
      <c r="E263" s="4" t="n">
        <f aca="false">rtd("esrtd",,"*H","$NIFTY-NSE","Low","I15 [09:15-15:30 L]",,"138")</f>
        <v>11891.25</v>
      </c>
      <c r="F263" s="4" t="n">
        <f aca="false">rtd("esrtd",,"*H","$NIFTY-NSE","Last","I15 [09:15-15:30 L]",,"138")</f>
        <v>11899.75</v>
      </c>
    </row>
    <row r="264" customFormat="false" ht="15" hidden="false" customHeight="false" outlineLevel="0" collapsed="false">
      <c r="A264" s="2" t="n">
        <f aca="false">rtd("esrtd",,"*H","$NIFTY-NSE","Intraday_Date","I15 [09:15-15:30 L]",,"137")</f>
        <v>43788.7291666667</v>
      </c>
      <c r="B264" s="3" t="n">
        <f aca="false">rtd("esrtd",,"*H","$NIFTY-NSE","BarTime","I15 [09:15-15:30 L]",,"137")</f>
        <v>43788.40625</v>
      </c>
      <c r="C264" s="4" t="n">
        <f aca="false">rtd("esrtd",,"*H","$NIFTY-NSE","Open","I15 [09:15-15:30 L]",,"137")</f>
        <v>11899.1</v>
      </c>
      <c r="D264" s="4" t="n">
        <f aca="false">rtd("esrtd",,"*H","$NIFTY-NSE","High","I15 [09:15-15:30 L]",,"137")</f>
        <v>11899.1</v>
      </c>
      <c r="E264" s="4" t="n">
        <f aca="false">rtd("esrtd",,"*H","$NIFTY-NSE","Low","I15 [09:15-15:30 L]",,"137")</f>
        <v>11881.75</v>
      </c>
      <c r="F264" s="4" t="n">
        <f aca="false">rtd("esrtd",,"*H","$NIFTY-NSE","Last","I15 [09:15-15:30 L]",,"137")</f>
        <v>11887.75</v>
      </c>
    </row>
    <row r="265" customFormat="false" ht="15" hidden="false" customHeight="false" outlineLevel="0" collapsed="false">
      <c r="A265" s="2" t="n">
        <f aca="false">rtd("esrtd",,"*H","$NIFTY-NSE","Intraday_Date","I15 [09:15-15:30 L]",,"136")</f>
        <v>43788.7291666667</v>
      </c>
      <c r="B265" s="3" t="n">
        <f aca="false">rtd("esrtd",,"*H","$NIFTY-NSE","BarTime","I15 [09:15-15:30 L]",,"136")</f>
        <v>43788.4166666667</v>
      </c>
      <c r="C265" s="4" t="n">
        <f aca="false">rtd("esrtd",,"*H","$NIFTY-NSE","Open","I15 [09:15-15:30 L]",,"136")</f>
        <v>11887.4</v>
      </c>
      <c r="D265" s="4" t="n">
        <f aca="false">rtd("esrtd",,"*H","$NIFTY-NSE","High","I15 [09:15-15:30 L]",,"136")</f>
        <v>11899.75</v>
      </c>
      <c r="E265" s="4" t="n">
        <f aca="false">rtd("esrtd",,"*H","$NIFTY-NSE","Low","I15 [09:15-15:30 L]",,"136")</f>
        <v>11886.9</v>
      </c>
      <c r="F265" s="4" t="n">
        <f aca="false">rtd("esrtd",,"*H","$NIFTY-NSE","Last","I15 [09:15-15:30 L]",,"136")</f>
        <v>11895.6</v>
      </c>
    </row>
    <row r="266" customFormat="false" ht="15" hidden="false" customHeight="false" outlineLevel="0" collapsed="false">
      <c r="A266" s="2" t="n">
        <f aca="false">rtd("esrtd",,"*H","$NIFTY-NSE","Intraday_Date","I15 [09:15-15:30 L]",,"135")</f>
        <v>43788.7291666667</v>
      </c>
      <c r="B266" s="3" t="n">
        <f aca="false">rtd("esrtd",,"*H","$NIFTY-NSE","BarTime","I15 [09:15-15:30 L]",,"135")</f>
        <v>43788.4270833333</v>
      </c>
      <c r="C266" s="4" t="n">
        <f aca="false">rtd("esrtd",,"*H","$NIFTY-NSE","Open","I15 [09:15-15:30 L]",,"135")</f>
        <v>11896.05</v>
      </c>
      <c r="D266" s="4" t="n">
        <f aca="false">rtd("esrtd",,"*H","$NIFTY-NSE","High","I15 [09:15-15:30 L]",,"135")</f>
        <v>11904.3</v>
      </c>
      <c r="E266" s="4" t="n">
        <f aca="false">rtd("esrtd",,"*H","$NIFTY-NSE","Low","I15 [09:15-15:30 L]",,"135")</f>
        <v>11892.35</v>
      </c>
      <c r="F266" s="4" t="n">
        <f aca="false">rtd("esrtd",,"*H","$NIFTY-NSE","Last","I15 [09:15-15:30 L]",,"135")</f>
        <v>11901.7</v>
      </c>
    </row>
    <row r="267" customFormat="false" ht="15" hidden="false" customHeight="false" outlineLevel="0" collapsed="false">
      <c r="A267" s="2" t="n">
        <f aca="false">rtd("esrtd",,"*H","$NIFTY-NSE","Intraday_Date","I15 [09:15-15:30 L]",,"134")</f>
        <v>43788.7291666667</v>
      </c>
      <c r="B267" s="3" t="n">
        <f aca="false">rtd("esrtd",,"*H","$NIFTY-NSE","BarTime","I15 [09:15-15:30 L]",,"134")</f>
        <v>43788.4375</v>
      </c>
      <c r="C267" s="4" t="n">
        <f aca="false">rtd("esrtd",,"*H","$NIFTY-NSE","Open","I15 [09:15-15:30 L]",,"134")</f>
        <v>11901.85</v>
      </c>
      <c r="D267" s="4" t="n">
        <f aca="false">rtd("esrtd",,"*H","$NIFTY-NSE","High","I15 [09:15-15:30 L]",,"134")</f>
        <v>11928.5</v>
      </c>
      <c r="E267" s="4" t="n">
        <f aca="false">rtd("esrtd",,"*H","$NIFTY-NSE","Low","I15 [09:15-15:30 L]",,"134")</f>
        <v>11900.1</v>
      </c>
      <c r="F267" s="4" t="n">
        <f aca="false">rtd("esrtd",,"*H","$NIFTY-NSE","Last","I15 [09:15-15:30 L]",,"134")</f>
        <v>11922.6</v>
      </c>
    </row>
    <row r="268" customFormat="false" ht="15" hidden="false" customHeight="false" outlineLevel="0" collapsed="false">
      <c r="A268" s="2" t="n">
        <f aca="false">rtd("esrtd",,"*H","$NIFTY-NSE","Intraday_Date","I15 [09:15-15:30 L]",,"133")</f>
        <v>43788.7291666667</v>
      </c>
      <c r="B268" s="3" t="n">
        <f aca="false">rtd("esrtd",,"*H","$NIFTY-NSE","BarTime","I15 [09:15-15:30 L]",,"133")</f>
        <v>43788.4479166667</v>
      </c>
      <c r="C268" s="4" t="n">
        <f aca="false">rtd("esrtd",,"*H","$NIFTY-NSE","Open","I15 [09:15-15:30 L]",,"133")</f>
        <v>11921.95</v>
      </c>
      <c r="D268" s="4" t="n">
        <f aca="false">rtd("esrtd",,"*H","$NIFTY-NSE","High","I15 [09:15-15:30 L]",,"133")</f>
        <v>11922.7</v>
      </c>
      <c r="E268" s="4" t="n">
        <f aca="false">rtd("esrtd",,"*H","$NIFTY-NSE","Low","I15 [09:15-15:30 L]",,"133")</f>
        <v>11911.5</v>
      </c>
      <c r="F268" s="4" t="n">
        <f aca="false">rtd("esrtd",,"*H","$NIFTY-NSE","Last","I15 [09:15-15:30 L]",,"133")</f>
        <v>11913.45</v>
      </c>
    </row>
    <row r="269" customFormat="false" ht="15" hidden="false" customHeight="false" outlineLevel="0" collapsed="false">
      <c r="A269" s="2" t="n">
        <f aca="false">rtd("esrtd",,"*H","$NIFTY-NSE","Intraday_Date","I15 [09:15-15:30 L]",,"132")</f>
        <v>43788.7291666667</v>
      </c>
      <c r="B269" s="3" t="n">
        <f aca="false">rtd("esrtd",,"*H","$NIFTY-NSE","BarTime","I15 [09:15-15:30 L]",,"132")</f>
        <v>43788.4583333333</v>
      </c>
      <c r="C269" s="4" t="n">
        <f aca="false">rtd("esrtd",,"*H","$NIFTY-NSE","Open","I15 [09:15-15:30 L]",,"132")</f>
        <v>11913.6</v>
      </c>
      <c r="D269" s="4" t="n">
        <f aca="false">rtd("esrtd",,"*H","$NIFTY-NSE","High","I15 [09:15-15:30 L]",,"132")</f>
        <v>11919.1</v>
      </c>
      <c r="E269" s="4" t="n">
        <f aca="false">rtd("esrtd",,"*H","$NIFTY-NSE","Low","I15 [09:15-15:30 L]",,"132")</f>
        <v>11909.75</v>
      </c>
      <c r="F269" s="4" t="n">
        <f aca="false">rtd("esrtd",,"*H","$NIFTY-NSE","Last","I15 [09:15-15:30 L]",,"132")</f>
        <v>11910.85</v>
      </c>
    </row>
    <row r="270" customFormat="false" ht="15" hidden="false" customHeight="false" outlineLevel="0" collapsed="false">
      <c r="A270" s="2" t="n">
        <f aca="false">rtd("esrtd",,"*H","$NIFTY-NSE","Intraday_Date","I15 [09:15-15:30 L]",,"131")</f>
        <v>43788.7291666667</v>
      </c>
      <c r="B270" s="3" t="n">
        <f aca="false">rtd("esrtd",,"*H","$NIFTY-NSE","BarTime","I15 [09:15-15:30 L]",,"131")</f>
        <v>43788.46875</v>
      </c>
      <c r="C270" s="4" t="n">
        <f aca="false">rtd("esrtd",,"*H","$NIFTY-NSE","Open","I15 [09:15-15:30 L]",,"131")</f>
        <v>11910.9</v>
      </c>
      <c r="D270" s="4" t="n">
        <f aca="false">rtd("esrtd",,"*H","$NIFTY-NSE","High","I15 [09:15-15:30 L]",,"131")</f>
        <v>11919.25</v>
      </c>
      <c r="E270" s="4" t="n">
        <f aca="false">rtd("esrtd",,"*H","$NIFTY-NSE","Low","I15 [09:15-15:30 L]",,"131")</f>
        <v>11909.2</v>
      </c>
      <c r="F270" s="4" t="n">
        <f aca="false">rtd("esrtd",,"*H","$NIFTY-NSE","Last","I15 [09:15-15:30 L]",,"131")</f>
        <v>11912.95</v>
      </c>
    </row>
    <row r="271" customFormat="false" ht="15" hidden="false" customHeight="false" outlineLevel="0" collapsed="false">
      <c r="A271" s="2" t="n">
        <f aca="false">rtd("esrtd",,"*H","$NIFTY-NSE","Intraday_Date","I15 [09:15-15:30 L]",,"130")</f>
        <v>43788.7291666667</v>
      </c>
      <c r="B271" s="3" t="n">
        <f aca="false">rtd("esrtd",,"*H","$NIFTY-NSE","BarTime","I15 [09:15-15:30 L]",,"130")</f>
        <v>43788.4791666667</v>
      </c>
      <c r="C271" s="4" t="n">
        <f aca="false">rtd("esrtd",,"*H","$NIFTY-NSE","Open","I15 [09:15-15:30 L]",,"130")</f>
        <v>11912.7</v>
      </c>
      <c r="D271" s="4" t="n">
        <f aca="false">rtd("esrtd",,"*H","$NIFTY-NSE","High","I15 [09:15-15:30 L]",,"130")</f>
        <v>11934.5</v>
      </c>
      <c r="E271" s="4" t="n">
        <f aca="false">rtd("esrtd",,"*H","$NIFTY-NSE","Low","I15 [09:15-15:30 L]",,"130")</f>
        <v>11912.7</v>
      </c>
      <c r="F271" s="4" t="n">
        <f aca="false">rtd("esrtd",,"*H","$NIFTY-NSE","Last","I15 [09:15-15:30 L]",,"130")</f>
        <v>11922.9</v>
      </c>
    </row>
    <row r="272" customFormat="false" ht="15" hidden="false" customHeight="false" outlineLevel="0" collapsed="false">
      <c r="A272" s="2" t="n">
        <f aca="false">rtd("esrtd",,"*H","$NIFTY-NSE","Intraday_Date","I15 [09:15-15:30 L]",,"129")</f>
        <v>43788.7291666667</v>
      </c>
      <c r="B272" s="3" t="n">
        <f aca="false">rtd("esrtd",,"*H","$NIFTY-NSE","BarTime","I15 [09:15-15:30 L]",,"129")</f>
        <v>43788.4895833333</v>
      </c>
      <c r="C272" s="4" t="n">
        <f aca="false">rtd("esrtd",,"*H","$NIFTY-NSE","Open","I15 [09:15-15:30 L]",,"129")</f>
        <v>11923</v>
      </c>
      <c r="D272" s="4" t="n">
        <f aca="false">rtd("esrtd",,"*H","$NIFTY-NSE","High","I15 [09:15-15:30 L]",,"129")</f>
        <v>11935.95</v>
      </c>
      <c r="E272" s="4" t="n">
        <f aca="false">rtd("esrtd",,"*H","$NIFTY-NSE","Low","I15 [09:15-15:30 L]",,"129")</f>
        <v>11921.5</v>
      </c>
      <c r="F272" s="4" t="n">
        <f aca="false">rtd("esrtd",,"*H","$NIFTY-NSE","Last","I15 [09:15-15:30 L]",,"129")</f>
        <v>11931.95</v>
      </c>
    </row>
    <row r="273" customFormat="false" ht="15" hidden="false" customHeight="false" outlineLevel="0" collapsed="false">
      <c r="A273" s="2" t="n">
        <f aca="false">rtd("esrtd",,"*H","$NIFTY-NSE","Intraday_Date","I15 [09:15-15:30 L]",,"128")</f>
        <v>43788.7291666667</v>
      </c>
      <c r="B273" s="3" t="n">
        <f aca="false">rtd("esrtd",,"*H","$NIFTY-NSE","BarTime","I15 [09:15-15:30 L]",,"128")</f>
        <v>43788.5</v>
      </c>
      <c r="C273" s="4" t="n">
        <f aca="false">rtd("esrtd",,"*H","$NIFTY-NSE","Open","I15 [09:15-15:30 L]",,"128")</f>
        <v>11932.15</v>
      </c>
      <c r="D273" s="4" t="n">
        <f aca="false">rtd("esrtd",,"*H","$NIFTY-NSE","High","I15 [09:15-15:30 L]",,"128")</f>
        <v>11945.15</v>
      </c>
      <c r="E273" s="4" t="n">
        <f aca="false">rtd("esrtd",,"*H","$NIFTY-NSE","Low","I15 [09:15-15:30 L]",,"128")</f>
        <v>11927.2</v>
      </c>
      <c r="F273" s="4" t="n">
        <f aca="false">rtd("esrtd",,"*H","$NIFTY-NSE","Last","I15 [09:15-15:30 L]",,"128")</f>
        <v>11930.9</v>
      </c>
    </row>
    <row r="274" customFormat="false" ht="15" hidden="false" customHeight="false" outlineLevel="0" collapsed="false">
      <c r="A274" s="2" t="n">
        <f aca="false">rtd("esrtd",,"*H","$NIFTY-NSE","Intraday_Date","I15 [09:15-15:30 L]",,"127")</f>
        <v>43788.7291666667</v>
      </c>
      <c r="B274" s="3" t="n">
        <f aca="false">rtd("esrtd",,"*H","$NIFTY-NSE","BarTime","I15 [09:15-15:30 L]",,"127")</f>
        <v>43788.5104166667</v>
      </c>
      <c r="C274" s="4" t="n">
        <f aca="false">rtd("esrtd",,"*H","$NIFTY-NSE","Open","I15 [09:15-15:30 L]",,"127")</f>
        <v>11931.05</v>
      </c>
      <c r="D274" s="4" t="n">
        <f aca="false">rtd("esrtd",,"*H","$NIFTY-NSE","High","I15 [09:15-15:30 L]",,"127")</f>
        <v>11940.45</v>
      </c>
      <c r="E274" s="4" t="n">
        <f aca="false">rtd("esrtd",,"*H","$NIFTY-NSE","Low","I15 [09:15-15:30 L]",,"127")</f>
        <v>11930.45</v>
      </c>
      <c r="F274" s="4" t="n">
        <f aca="false">rtd("esrtd",,"*H","$NIFTY-NSE","Last","I15 [09:15-15:30 L]",,"127")</f>
        <v>11939.05</v>
      </c>
    </row>
    <row r="275" customFormat="false" ht="15" hidden="false" customHeight="false" outlineLevel="0" collapsed="false">
      <c r="A275" s="2" t="n">
        <f aca="false">rtd("esrtd",,"*H","$NIFTY-NSE","Intraday_Date","I15 [09:15-15:30 L]",,"126")</f>
        <v>43788.7291666667</v>
      </c>
      <c r="B275" s="3" t="n">
        <f aca="false">rtd("esrtd",,"*H","$NIFTY-NSE","BarTime","I15 [09:15-15:30 L]",,"126")</f>
        <v>43788.5208333333</v>
      </c>
      <c r="C275" s="4" t="n">
        <f aca="false">rtd("esrtd",,"*H","$NIFTY-NSE","Open","I15 [09:15-15:30 L]",,"126")</f>
        <v>11938.85</v>
      </c>
      <c r="D275" s="4" t="n">
        <f aca="false">rtd("esrtd",,"*H","$NIFTY-NSE","High","I15 [09:15-15:30 L]",,"126")</f>
        <v>11943.15</v>
      </c>
      <c r="E275" s="4" t="n">
        <f aca="false">rtd("esrtd",,"*H","$NIFTY-NSE","Low","I15 [09:15-15:30 L]",,"126")</f>
        <v>11933.8</v>
      </c>
      <c r="F275" s="4" t="n">
        <f aca="false">rtd("esrtd",,"*H","$NIFTY-NSE","Last","I15 [09:15-15:30 L]",,"126")</f>
        <v>11936.6</v>
      </c>
    </row>
    <row r="276" customFormat="false" ht="15" hidden="false" customHeight="false" outlineLevel="0" collapsed="false">
      <c r="A276" s="2" t="n">
        <f aca="false">rtd("esrtd",,"*H","$NIFTY-NSE","Intraday_Date","I15 [09:15-15:30 L]",,"125")</f>
        <v>43788.7291666667</v>
      </c>
      <c r="B276" s="3" t="n">
        <f aca="false">rtd("esrtd",,"*H","$NIFTY-NSE","BarTime","I15 [09:15-15:30 L]",,"125")</f>
        <v>43788.53125</v>
      </c>
      <c r="C276" s="4" t="n">
        <f aca="false">rtd("esrtd",,"*H","$NIFTY-NSE","Open","I15 [09:15-15:30 L]",,"125")</f>
        <v>11936.85</v>
      </c>
      <c r="D276" s="4" t="n">
        <f aca="false">rtd("esrtd",,"*H","$NIFTY-NSE","High","I15 [09:15-15:30 L]",,"125")</f>
        <v>11943.25</v>
      </c>
      <c r="E276" s="4" t="n">
        <f aca="false">rtd("esrtd",,"*H","$NIFTY-NSE","Low","I15 [09:15-15:30 L]",,"125")</f>
        <v>11916.95</v>
      </c>
      <c r="F276" s="4" t="n">
        <f aca="false">rtd("esrtd",,"*H","$NIFTY-NSE","Last","I15 [09:15-15:30 L]",,"125")</f>
        <v>11919.4</v>
      </c>
    </row>
    <row r="277" customFormat="false" ht="15" hidden="false" customHeight="false" outlineLevel="0" collapsed="false">
      <c r="A277" s="2" t="n">
        <f aca="false">rtd("esrtd",,"*H","$NIFTY-NSE","Intraday_Date","I15 [09:15-15:30 L]",,"124")</f>
        <v>43788.7291666667</v>
      </c>
      <c r="B277" s="3" t="n">
        <f aca="false">rtd("esrtd",,"*H","$NIFTY-NSE","BarTime","I15 [09:15-15:30 L]",,"124")</f>
        <v>43788.5416666667</v>
      </c>
      <c r="C277" s="4" t="n">
        <f aca="false">rtd("esrtd",,"*H","$NIFTY-NSE","Open","I15 [09:15-15:30 L]",,"124")</f>
        <v>11919.45</v>
      </c>
      <c r="D277" s="4" t="n">
        <f aca="false">rtd("esrtd",,"*H","$NIFTY-NSE","High","I15 [09:15-15:30 L]",,"124")</f>
        <v>11934.95</v>
      </c>
      <c r="E277" s="4" t="n">
        <f aca="false">rtd("esrtd",,"*H","$NIFTY-NSE","Low","I15 [09:15-15:30 L]",,"124")</f>
        <v>11916.35</v>
      </c>
      <c r="F277" s="4" t="n">
        <f aca="false">rtd("esrtd",,"*H","$NIFTY-NSE","Last","I15 [09:15-15:30 L]",,"124")</f>
        <v>11933.5</v>
      </c>
    </row>
    <row r="278" customFormat="false" ht="15" hidden="false" customHeight="false" outlineLevel="0" collapsed="false">
      <c r="A278" s="2" t="n">
        <f aca="false">rtd("esrtd",,"*H","$NIFTY-NSE","Intraday_Date","I15 [09:15-15:30 L]",,"123")</f>
        <v>43788.7291666667</v>
      </c>
      <c r="B278" s="3" t="n">
        <f aca="false">rtd("esrtd",,"*H","$NIFTY-NSE","BarTime","I15 [09:15-15:30 L]",,"123")</f>
        <v>43788.5520833333</v>
      </c>
      <c r="C278" s="4" t="n">
        <f aca="false">rtd("esrtd",,"*H","$NIFTY-NSE","Open","I15 [09:15-15:30 L]",,"123")</f>
        <v>11933.1</v>
      </c>
      <c r="D278" s="4" t="n">
        <f aca="false">rtd("esrtd",,"*H","$NIFTY-NSE","High","I15 [09:15-15:30 L]",,"123")</f>
        <v>11934.25</v>
      </c>
      <c r="E278" s="4" t="n">
        <f aca="false">rtd("esrtd",,"*H","$NIFTY-NSE","Low","I15 [09:15-15:30 L]",,"123")</f>
        <v>11925.75</v>
      </c>
      <c r="F278" s="4" t="n">
        <f aca="false">rtd("esrtd",,"*H","$NIFTY-NSE","Last","I15 [09:15-15:30 L]",,"123")</f>
        <v>11927.75</v>
      </c>
    </row>
    <row r="279" customFormat="false" ht="15" hidden="false" customHeight="false" outlineLevel="0" collapsed="false">
      <c r="A279" s="2" t="n">
        <f aca="false">rtd("esrtd",,"*H","$NIFTY-NSE","Intraday_Date","I15 [09:15-15:30 L]",,"122")</f>
        <v>43788.7291666667</v>
      </c>
      <c r="B279" s="3" t="n">
        <f aca="false">rtd("esrtd",,"*H","$NIFTY-NSE","BarTime","I15 [09:15-15:30 L]",,"122")</f>
        <v>43788.5625</v>
      </c>
      <c r="C279" s="4" t="n">
        <f aca="false">rtd("esrtd",,"*H","$NIFTY-NSE","Open","I15 [09:15-15:30 L]",,"122")</f>
        <v>11928.05</v>
      </c>
      <c r="D279" s="4" t="n">
        <f aca="false">rtd("esrtd",,"*H","$NIFTY-NSE","High","I15 [09:15-15:30 L]",,"122")</f>
        <v>11931.7</v>
      </c>
      <c r="E279" s="4" t="n">
        <f aca="false">rtd("esrtd",,"*H","$NIFTY-NSE","Low","I15 [09:15-15:30 L]",,"122")</f>
        <v>11919.55</v>
      </c>
      <c r="F279" s="4" t="n">
        <f aca="false">rtd("esrtd",,"*H","$NIFTY-NSE","Last","I15 [09:15-15:30 L]",,"122")</f>
        <v>11926.35</v>
      </c>
    </row>
    <row r="280" customFormat="false" ht="15" hidden="false" customHeight="false" outlineLevel="0" collapsed="false">
      <c r="A280" s="2" t="n">
        <f aca="false">rtd("esrtd",,"*H","$NIFTY-NSE","Intraday_Date","I15 [09:15-15:30 L]",,"121")</f>
        <v>43788.7291666667</v>
      </c>
      <c r="B280" s="3" t="n">
        <f aca="false">rtd("esrtd",,"*H","$NIFTY-NSE","BarTime","I15 [09:15-15:30 L]",,"121")</f>
        <v>43788.5729166667</v>
      </c>
      <c r="C280" s="4" t="n">
        <f aca="false">rtd("esrtd",,"*H","$NIFTY-NSE","Open","I15 [09:15-15:30 L]",,"121")</f>
        <v>11926.45</v>
      </c>
      <c r="D280" s="4" t="n">
        <f aca="false">rtd("esrtd",,"*H","$NIFTY-NSE","High","I15 [09:15-15:30 L]",,"121")</f>
        <v>11936.65</v>
      </c>
      <c r="E280" s="4" t="n">
        <f aca="false">rtd("esrtd",,"*H","$NIFTY-NSE","Low","I15 [09:15-15:30 L]",,"121")</f>
        <v>11924.7</v>
      </c>
      <c r="F280" s="4" t="n">
        <f aca="false">rtd("esrtd",,"*H","$NIFTY-NSE","Last","I15 [09:15-15:30 L]",,"121")</f>
        <v>11930.65</v>
      </c>
    </row>
    <row r="281" customFormat="false" ht="15" hidden="false" customHeight="false" outlineLevel="0" collapsed="false">
      <c r="A281" s="2" t="n">
        <f aca="false">rtd("esrtd",,"*H","$NIFTY-NSE","Intraday_Date","I15 [09:15-15:30 L]",,"120")</f>
        <v>43788.7291666667</v>
      </c>
      <c r="B281" s="3" t="n">
        <f aca="false">rtd("esrtd",,"*H","$NIFTY-NSE","BarTime","I15 [09:15-15:30 L]",,"120")</f>
        <v>43788.5833333333</v>
      </c>
      <c r="C281" s="4" t="n">
        <f aca="false">rtd("esrtd",,"*H","$NIFTY-NSE","Open","I15 [09:15-15:30 L]",,"120")</f>
        <v>11930.55</v>
      </c>
      <c r="D281" s="4" t="n">
        <f aca="false">rtd("esrtd",,"*H","$NIFTY-NSE","High","I15 [09:15-15:30 L]",,"120")</f>
        <v>11933.65</v>
      </c>
      <c r="E281" s="4" t="n">
        <f aca="false">rtd("esrtd",,"*H","$NIFTY-NSE","Low","I15 [09:15-15:30 L]",,"120")</f>
        <v>11920.05</v>
      </c>
      <c r="F281" s="4" t="n">
        <f aca="false">rtd("esrtd",,"*H","$NIFTY-NSE","Last","I15 [09:15-15:30 L]",,"120")</f>
        <v>11923</v>
      </c>
    </row>
    <row r="282" customFormat="false" ht="15" hidden="false" customHeight="false" outlineLevel="0" collapsed="false">
      <c r="A282" s="2" t="n">
        <f aca="false">rtd("esrtd",,"*H","$NIFTY-NSE","Intraday_Date","I15 [09:15-15:30 L]",,"119")</f>
        <v>43788.7291666667</v>
      </c>
      <c r="B282" s="3" t="n">
        <f aca="false">rtd("esrtd",,"*H","$NIFTY-NSE","BarTime","I15 [09:15-15:30 L]",,"119")</f>
        <v>43788.59375</v>
      </c>
      <c r="C282" s="4" t="n">
        <f aca="false">rtd("esrtd",,"*H","$NIFTY-NSE","Open","I15 [09:15-15:30 L]",,"119")</f>
        <v>11923.05</v>
      </c>
      <c r="D282" s="4" t="n">
        <f aca="false">rtd("esrtd",,"*H","$NIFTY-NSE","High","I15 [09:15-15:30 L]",,"119")</f>
        <v>11935</v>
      </c>
      <c r="E282" s="4" t="n">
        <f aca="false">rtd("esrtd",,"*H","$NIFTY-NSE","Low","I15 [09:15-15:30 L]",,"119")</f>
        <v>11922.35</v>
      </c>
      <c r="F282" s="4" t="n">
        <f aca="false">rtd("esrtd",,"*H","$NIFTY-NSE","Last","I15 [09:15-15:30 L]",,"119")</f>
        <v>11930.55</v>
      </c>
    </row>
    <row r="283" customFormat="false" ht="15" hidden="false" customHeight="false" outlineLevel="0" collapsed="false">
      <c r="A283" s="2" t="n">
        <f aca="false">rtd("esrtd",,"*H","$NIFTY-NSE","Intraday_Date","I15 [09:15-15:30 L]",,"118")</f>
        <v>43788.7291666667</v>
      </c>
      <c r="B283" s="3" t="n">
        <f aca="false">rtd("esrtd",,"*H","$NIFTY-NSE","BarTime","I15 [09:15-15:30 L]",,"118")</f>
        <v>43788.6041666667</v>
      </c>
      <c r="C283" s="4" t="n">
        <f aca="false">rtd("esrtd",,"*H","$NIFTY-NSE","Open","I15 [09:15-15:30 L]",,"118")</f>
        <v>11930.75</v>
      </c>
      <c r="D283" s="4" t="n">
        <f aca="false">rtd("esrtd",,"*H","$NIFTY-NSE","High","I15 [09:15-15:30 L]",,"118")</f>
        <v>11931.1</v>
      </c>
      <c r="E283" s="4" t="n">
        <f aca="false">rtd("esrtd",,"*H","$NIFTY-NSE","Low","I15 [09:15-15:30 L]",,"118")</f>
        <v>11916.9</v>
      </c>
      <c r="F283" s="4" t="n">
        <f aca="false">rtd("esrtd",,"*H","$NIFTY-NSE","Last","I15 [09:15-15:30 L]",,"118")</f>
        <v>11920</v>
      </c>
    </row>
    <row r="284" customFormat="false" ht="15" hidden="false" customHeight="false" outlineLevel="0" collapsed="false">
      <c r="A284" s="2" t="n">
        <f aca="false">rtd("esrtd",,"*H","$NIFTY-NSE","Intraday_Date","I15 [09:15-15:30 L]",,"117")</f>
        <v>43788.7291666667</v>
      </c>
      <c r="B284" s="3" t="n">
        <f aca="false">rtd("esrtd",,"*H","$NIFTY-NSE","BarTime","I15 [09:15-15:30 L]",,"117")</f>
        <v>43788.6145833333</v>
      </c>
      <c r="C284" s="4" t="n">
        <f aca="false">rtd("esrtd",,"*H","$NIFTY-NSE","Open","I15 [09:15-15:30 L]",,"117")</f>
        <v>11920.25</v>
      </c>
      <c r="D284" s="4" t="n">
        <f aca="false">rtd("esrtd",,"*H","$NIFTY-NSE","High","I15 [09:15-15:30 L]",,"117")</f>
        <v>11921.55</v>
      </c>
      <c r="E284" s="4" t="n">
        <f aca="false">rtd("esrtd",,"*H","$NIFTY-NSE","Low","I15 [09:15-15:30 L]",,"117")</f>
        <v>11899.95</v>
      </c>
      <c r="F284" s="4" t="n">
        <f aca="false">rtd("esrtd",,"*H","$NIFTY-NSE","Last","I15 [09:15-15:30 L]",,"117")</f>
        <v>11907.75</v>
      </c>
    </row>
    <row r="285" customFormat="false" ht="15" hidden="false" customHeight="false" outlineLevel="0" collapsed="false">
      <c r="A285" s="2" t="n">
        <f aca="false">rtd("esrtd",,"*H","$NIFTY-NSE","Intraday_Date","I15 [09:15-15:30 L]",,"116")</f>
        <v>43788.7291666667</v>
      </c>
      <c r="B285" s="3" t="n">
        <f aca="false">rtd("esrtd",,"*H","$NIFTY-NSE","BarTime","I15 [09:15-15:30 L]",,"116")</f>
        <v>43788.625</v>
      </c>
      <c r="C285" s="4" t="n">
        <f aca="false">rtd("esrtd",,"*H","$NIFTY-NSE","Open","I15 [09:15-15:30 L]",,"116")</f>
        <v>11907.85</v>
      </c>
      <c r="D285" s="4" t="n">
        <f aca="false">rtd("esrtd",,"*H","$NIFTY-NSE","High","I15 [09:15-15:30 L]",,"116")</f>
        <v>11935.95</v>
      </c>
      <c r="E285" s="4" t="n">
        <f aca="false">rtd("esrtd",,"*H","$NIFTY-NSE","Low","I15 [09:15-15:30 L]",,"116")</f>
        <v>11907.85</v>
      </c>
      <c r="F285" s="4" t="n">
        <f aca="false">rtd("esrtd",,"*H","$NIFTY-NSE","Last","I15 [09:15-15:30 L]",,"116")</f>
        <v>11935.5</v>
      </c>
    </row>
    <row r="286" customFormat="false" ht="15" hidden="false" customHeight="false" outlineLevel="0" collapsed="false">
      <c r="A286" s="2" t="n">
        <f aca="false">rtd("esrtd",,"*H","$NIFTY-NSE","Intraday_Date","I15 [09:15-15:30 L]",,"115")</f>
        <v>43788.7291666667</v>
      </c>
      <c r="B286" s="3" t="n">
        <f aca="false">rtd("esrtd",,"*H","$NIFTY-NSE","BarTime","I15 [09:15-15:30 L]",,"115")</f>
        <v>43788.6354166667</v>
      </c>
      <c r="C286" s="4" t="n">
        <f aca="false">rtd("esrtd",,"*H","$NIFTY-NSE","Open","I15 [09:15-15:30 L]",,"115")</f>
        <v>11935.3</v>
      </c>
      <c r="D286" s="4" t="n">
        <f aca="false">rtd("esrtd",,"*H","$NIFTY-NSE","High","I15 [09:15-15:30 L]",,"115")</f>
        <v>11958.85</v>
      </c>
      <c r="E286" s="4" t="n">
        <f aca="false">rtd("esrtd",,"*H","$NIFTY-NSE","Low","I15 [09:15-15:30 L]",,"115")</f>
        <v>11933.4</v>
      </c>
      <c r="F286" s="4" t="n">
        <f aca="false">rtd("esrtd",,"*H","$NIFTY-NSE","Last","I15 [09:15-15:30 L]",,"115")</f>
        <v>11955.65</v>
      </c>
    </row>
    <row r="287" customFormat="false" ht="15" hidden="false" customHeight="false" outlineLevel="0" collapsed="false">
      <c r="A287" s="2" t="n">
        <f aca="false">rtd("esrtd",,"*H","$NIFTY-NSE","Intraday_Date","I15 [09:15-15:30 L]",,"114")</f>
        <v>43789.7291666667</v>
      </c>
      <c r="B287" s="3" t="n">
        <f aca="false">rtd("esrtd",,"*H","$NIFTY-NSE","BarTime","I15 [09:15-15:30 L]",,"114")</f>
        <v>43789.3854166667</v>
      </c>
      <c r="C287" s="4" t="n">
        <f aca="false">rtd("esrtd",,"*H","$NIFTY-NSE","Open","I15 [09:15-15:30 L]",,"114")</f>
        <v>12006.65</v>
      </c>
      <c r="D287" s="4" t="n">
        <f aca="false">rtd("esrtd",,"*H","$NIFTY-NSE","High","I15 [09:15-15:30 L]",,"114")</f>
        <v>12006.65</v>
      </c>
      <c r="E287" s="4" t="n">
        <f aca="false">rtd("esrtd",,"*H","$NIFTY-NSE","Low","I15 [09:15-15:30 L]",,"114")</f>
        <v>11966.05</v>
      </c>
      <c r="F287" s="4" t="n">
        <f aca="false">rtd("esrtd",,"*H","$NIFTY-NSE","Last","I15 [09:15-15:30 L]",,"114")</f>
        <v>11984.25</v>
      </c>
    </row>
    <row r="288" customFormat="false" ht="15" hidden="false" customHeight="false" outlineLevel="0" collapsed="false">
      <c r="A288" s="2" t="n">
        <f aca="false">rtd("esrtd",,"*H","$NIFTY-NSE","Intraday_Date","I15 [09:15-15:30 L]",,"113")</f>
        <v>43789.7291666667</v>
      </c>
      <c r="B288" s="3" t="n">
        <f aca="false">rtd("esrtd",,"*H","$NIFTY-NSE","BarTime","I15 [09:15-15:30 L]",,"113")</f>
        <v>43789.3958333333</v>
      </c>
      <c r="C288" s="4" t="n">
        <f aca="false">rtd("esrtd",,"*H","$NIFTY-NSE","Open","I15 [09:15-15:30 L]",,"113")</f>
        <v>11984.6</v>
      </c>
      <c r="D288" s="4" t="n">
        <f aca="false">rtd("esrtd",,"*H","$NIFTY-NSE","High","I15 [09:15-15:30 L]",,"113")</f>
        <v>11990.6</v>
      </c>
      <c r="E288" s="4" t="n">
        <f aca="false">rtd("esrtd",,"*H","$NIFTY-NSE","Low","I15 [09:15-15:30 L]",,"113")</f>
        <v>11975.8</v>
      </c>
      <c r="F288" s="4" t="n">
        <f aca="false">rtd("esrtd",,"*H","$NIFTY-NSE","Last","I15 [09:15-15:30 L]",,"113")</f>
        <v>11978</v>
      </c>
    </row>
    <row r="289" customFormat="false" ht="15" hidden="false" customHeight="false" outlineLevel="0" collapsed="false">
      <c r="A289" s="2" t="n">
        <f aca="false">rtd("esrtd",,"*H","$NIFTY-NSE","Intraday_Date","I15 [09:15-15:30 L]",,"112")</f>
        <v>43789.7291666667</v>
      </c>
      <c r="B289" s="3" t="n">
        <f aca="false">rtd("esrtd",,"*H","$NIFTY-NSE","BarTime","I15 [09:15-15:30 L]",,"112")</f>
        <v>43789.40625</v>
      </c>
      <c r="C289" s="4" t="n">
        <f aca="false">rtd("esrtd",,"*H","$NIFTY-NSE","Open","I15 [09:15-15:30 L]",,"112")</f>
        <v>11977.95</v>
      </c>
      <c r="D289" s="4" t="n">
        <f aca="false">rtd("esrtd",,"*H","$NIFTY-NSE","High","I15 [09:15-15:30 L]",,"112")</f>
        <v>12000.35</v>
      </c>
      <c r="E289" s="4" t="n">
        <f aca="false">rtd("esrtd",,"*H","$NIFTY-NSE","Low","I15 [09:15-15:30 L]",,"112")</f>
        <v>11975.85</v>
      </c>
      <c r="F289" s="4" t="n">
        <f aca="false">rtd("esrtd",,"*H","$NIFTY-NSE","Last","I15 [09:15-15:30 L]",,"112")</f>
        <v>11998.5</v>
      </c>
    </row>
    <row r="290" customFormat="false" ht="15" hidden="false" customHeight="false" outlineLevel="0" collapsed="false">
      <c r="A290" s="2" t="n">
        <f aca="false">rtd("esrtd",,"*H","$NIFTY-NSE","Intraday_Date","I15 [09:15-15:30 L]",,"111")</f>
        <v>43789.7291666667</v>
      </c>
      <c r="B290" s="3" t="n">
        <f aca="false">rtd("esrtd",,"*H","$NIFTY-NSE","BarTime","I15 [09:15-15:30 L]",,"111")</f>
        <v>43789.4166666667</v>
      </c>
      <c r="C290" s="4" t="n">
        <f aca="false">rtd("esrtd",,"*H","$NIFTY-NSE","Open","I15 [09:15-15:30 L]",,"111")</f>
        <v>11999.15</v>
      </c>
      <c r="D290" s="4" t="n">
        <f aca="false">rtd("esrtd",,"*H","$NIFTY-NSE","High","I15 [09:15-15:30 L]",,"111")</f>
        <v>12016.25</v>
      </c>
      <c r="E290" s="4" t="n">
        <f aca="false">rtd("esrtd",,"*H","$NIFTY-NSE","Low","I15 [09:15-15:30 L]",,"111")</f>
        <v>11999</v>
      </c>
      <c r="F290" s="4" t="n">
        <f aca="false">rtd("esrtd",,"*H","$NIFTY-NSE","Last","I15 [09:15-15:30 L]",,"111")</f>
        <v>12014.55</v>
      </c>
    </row>
    <row r="291" customFormat="false" ht="15" hidden="false" customHeight="false" outlineLevel="0" collapsed="false">
      <c r="A291" s="2" t="n">
        <f aca="false">rtd("esrtd",,"*H","$NIFTY-NSE","Intraday_Date","I15 [09:15-15:30 L]",,"110")</f>
        <v>43789.7291666667</v>
      </c>
      <c r="B291" s="3" t="n">
        <f aca="false">rtd("esrtd",,"*H","$NIFTY-NSE","BarTime","I15 [09:15-15:30 L]",,"110")</f>
        <v>43789.4270833333</v>
      </c>
      <c r="C291" s="4" t="n">
        <f aca="false">rtd("esrtd",,"*H","$NIFTY-NSE","Open","I15 [09:15-15:30 L]",,"110")</f>
        <v>12014.7</v>
      </c>
      <c r="D291" s="4" t="n">
        <f aca="false">rtd("esrtd",,"*H","$NIFTY-NSE","High","I15 [09:15-15:30 L]",,"110")</f>
        <v>12023.15</v>
      </c>
      <c r="E291" s="4" t="n">
        <f aca="false">rtd("esrtd",,"*H","$NIFTY-NSE","Low","I15 [09:15-15:30 L]",,"110")</f>
        <v>12011.65</v>
      </c>
      <c r="F291" s="4" t="n">
        <f aca="false">rtd("esrtd",,"*H","$NIFTY-NSE","Last","I15 [09:15-15:30 L]",,"110")</f>
        <v>12016.5</v>
      </c>
    </row>
    <row r="292" customFormat="false" ht="15" hidden="false" customHeight="false" outlineLevel="0" collapsed="false">
      <c r="A292" s="2" t="n">
        <f aca="false">rtd("esrtd",,"*H","$NIFTY-NSE","Intraday_Date","I15 [09:15-15:30 L]",,"109")</f>
        <v>43789.7291666667</v>
      </c>
      <c r="B292" s="3" t="n">
        <f aca="false">rtd("esrtd",,"*H","$NIFTY-NSE","BarTime","I15 [09:15-15:30 L]",,"109")</f>
        <v>43789.4375</v>
      </c>
      <c r="C292" s="4" t="n">
        <f aca="false">rtd("esrtd",,"*H","$NIFTY-NSE","Open","I15 [09:15-15:30 L]",,"109")</f>
        <v>12016.25</v>
      </c>
      <c r="D292" s="4" t="n">
        <f aca="false">rtd("esrtd",,"*H","$NIFTY-NSE","High","I15 [09:15-15:30 L]",,"109")</f>
        <v>12031.7</v>
      </c>
      <c r="E292" s="4" t="n">
        <f aca="false">rtd("esrtd",,"*H","$NIFTY-NSE","Low","I15 [09:15-15:30 L]",,"109")</f>
        <v>12014.4</v>
      </c>
      <c r="F292" s="4" t="n">
        <f aca="false">rtd("esrtd",,"*H","$NIFTY-NSE","Last","I15 [09:15-15:30 L]",,"109")</f>
        <v>12027.85</v>
      </c>
    </row>
    <row r="293" customFormat="false" ht="15" hidden="false" customHeight="false" outlineLevel="0" collapsed="false">
      <c r="A293" s="2" t="n">
        <f aca="false">rtd("esrtd",,"*H","$NIFTY-NSE","Intraday_Date","I15 [09:15-15:30 L]",,"108")</f>
        <v>43789.7291666667</v>
      </c>
      <c r="B293" s="3" t="n">
        <f aca="false">rtd("esrtd",,"*H","$NIFTY-NSE","BarTime","I15 [09:15-15:30 L]",,"108")</f>
        <v>43789.4479166667</v>
      </c>
      <c r="C293" s="4" t="n">
        <f aca="false">rtd("esrtd",,"*H","$NIFTY-NSE","Open","I15 [09:15-15:30 L]",,"108")</f>
        <v>12028</v>
      </c>
      <c r="D293" s="4" t="n">
        <f aca="false">rtd("esrtd",,"*H","$NIFTY-NSE","High","I15 [09:15-15:30 L]",,"108")</f>
        <v>12038.55</v>
      </c>
      <c r="E293" s="4" t="n">
        <f aca="false">rtd("esrtd",,"*H","$NIFTY-NSE","Low","I15 [09:15-15:30 L]",,"108")</f>
        <v>12025.3</v>
      </c>
      <c r="F293" s="4" t="n">
        <f aca="false">rtd("esrtd",,"*H","$NIFTY-NSE","Last","I15 [09:15-15:30 L]",,"108")</f>
        <v>12027.55</v>
      </c>
    </row>
    <row r="294" customFormat="false" ht="15" hidden="false" customHeight="false" outlineLevel="0" collapsed="false">
      <c r="A294" s="2" t="n">
        <f aca="false">rtd("esrtd",,"*H","$NIFTY-NSE","Intraday_Date","I15 [09:15-15:30 L]",,"107")</f>
        <v>43789.7291666667</v>
      </c>
      <c r="B294" s="3" t="n">
        <f aca="false">rtd("esrtd",,"*H","$NIFTY-NSE","BarTime","I15 [09:15-15:30 L]",,"107")</f>
        <v>43789.4583333333</v>
      </c>
      <c r="C294" s="4" t="n">
        <f aca="false">rtd("esrtd",,"*H","$NIFTY-NSE","Open","I15 [09:15-15:30 L]",,"107")</f>
        <v>12027.15</v>
      </c>
      <c r="D294" s="4" t="n">
        <f aca="false">rtd("esrtd",,"*H","$NIFTY-NSE","High","I15 [09:15-15:30 L]",,"107")</f>
        <v>12031.05</v>
      </c>
      <c r="E294" s="4" t="n">
        <f aca="false">rtd("esrtd",,"*H","$NIFTY-NSE","Low","I15 [09:15-15:30 L]",,"107")</f>
        <v>12016.05</v>
      </c>
      <c r="F294" s="4" t="n">
        <f aca="false">rtd("esrtd",,"*H","$NIFTY-NSE","Last","I15 [09:15-15:30 L]",,"107")</f>
        <v>12018.4</v>
      </c>
    </row>
    <row r="295" customFormat="false" ht="15" hidden="false" customHeight="false" outlineLevel="0" collapsed="false">
      <c r="A295" s="2" t="n">
        <f aca="false">rtd("esrtd",,"*H","$NIFTY-NSE","Intraday_Date","I15 [09:15-15:30 L]",,"106")</f>
        <v>43789.7291666667</v>
      </c>
      <c r="B295" s="3" t="n">
        <f aca="false">rtd("esrtd",,"*H","$NIFTY-NSE","BarTime","I15 [09:15-15:30 L]",,"106")</f>
        <v>43789.46875</v>
      </c>
      <c r="C295" s="4" t="n">
        <f aca="false">rtd("esrtd",,"*H","$NIFTY-NSE","Open","I15 [09:15-15:30 L]",,"106")</f>
        <v>12017.8</v>
      </c>
      <c r="D295" s="4" t="n">
        <f aca="false">rtd("esrtd",,"*H","$NIFTY-NSE","High","I15 [09:15-15:30 L]",,"106")</f>
        <v>12021.95</v>
      </c>
      <c r="E295" s="4" t="n">
        <f aca="false">rtd("esrtd",,"*H","$NIFTY-NSE","Low","I15 [09:15-15:30 L]",,"106")</f>
        <v>12013.6</v>
      </c>
      <c r="F295" s="4" t="n">
        <f aca="false">rtd("esrtd",,"*H","$NIFTY-NSE","Last","I15 [09:15-15:30 L]",,"106")</f>
        <v>12019.85</v>
      </c>
    </row>
    <row r="296" customFormat="false" ht="15" hidden="false" customHeight="false" outlineLevel="0" collapsed="false">
      <c r="A296" s="2" t="n">
        <f aca="false">rtd("esrtd",,"*H","$NIFTY-NSE","Intraday_Date","I15 [09:15-15:30 L]",,"105")</f>
        <v>43789.7291666667</v>
      </c>
      <c r="B296" s="3" t="n">
        <f aca="false">rtd("esrtd",,"*H","$NIFTY-NSE","BarTime","I15 [09:15-15:30 L]",,"105")</f>
        <v>43789.4791666667</v>
      </c>
      <c r="C296" s="4" t="n">
        <f aca="false">rtd("esrtd",,"*H","$NIFTY-NSE","Open","I15 [09:15-15:30 L]",,"105")</f>
        <v>12020</v>
      </c>
      <c r="D296" s="4" t="n">
        <f aca="false">rtd("esrtd",,"*H","$NIFTY-NSE","High","I15 [09:15-15:30 L]",,"105")</f>
        <v>12022.35</v>
      </c>
      <c r="E296" s="4" t="n">
        <f aca="false">rtd("esrtd",,"*H","$NIFTY-NSE","Low","I15 [09:15-15:30 L]",,"105")</f>
        <v>12017.25</v>
      </c>
      <c r="F296" s="4" t="n">
        <f aca="false">rtd("esrtd",,"*H","$NIFTY-NSE","Last","I15 [09:15-15:30 L]",,"105")</f>
        <v>12021.55</v>
      </c>
    </row>
    <row r="297" customFormat="false" ht="15" hidden="false" customHeight="false" outlineLevel="0" collapsed="false">
      <c r="A297" s="2" t="n">
        <f aca="false">rtd("esrtd",,"*H","$NIFTY-NSE","Intraday_Date","I15 [09:15-15:30 L]",,"104")</f>
        <v>43789.7291666667</v>
      </c>
      <c r="B297" s="3" t="n">
        <f aca="false">rtd("esrtd",,"*H","$NIFTY-NSE","BarTime","I15 [09:15-15:30 L]",,"104")</f>
        <v>43789.4895833333</v>
      </c>
      <c r="C297" s="4" t="n">
        <f aca="false">rtd("esrtd",,"*H","$NIFTY-NSE","Open","I15 [09:15-15:30 L]",,"104")</f>
        <v>12021.3</v>
      </c>
      <c r="D297" s="4" t="n">
        <f aca="false">rtd("esrtd",,"*H","$NIFTY-NSE","High","I15 [09:15-15:30 L]",,"104")</f>
        <v>12025.75</v>
      </c>
      <c r="E297" s="4" t="n">
        <f aca="false">rtd("esrtd",,"*H","$NIFTY-NSE","Low","I15 [09:15-15:30 L]",,"104")</f>
        <v>12019.95</v>
      </c>
      <c r="F297" s="4" t="n">
        <f aca="false">rtd("esrtd",,"*H","$NIFTY-NSE","Last","I15 [09:15-15:30 L]",,"104")</f>
        <v>12021</v>
      </c>
    </row>
    <row r="298" customFormat="false" ht="15" hidden="false" customHeight="false" outlineLevel="0" collapsed="false">
      <c r="A298" s="2" t="n">
        <f aca="false">rtd("esrtd",,"*H","$NIFTY-NSE","Intraday_Date","I15 [09:15-15:30 L]",,"103")</f>
        <v>43789.7291666667</v>
      </c>
      <c r="B298" s="3" t="n">
        <f aca="false">rtd("esrtd",,"*H","$NIFTY-NSE","BarTime","I15 [09:15-15:30 L]",,"103")</f>
        <v>43789.5</v>
      </c>
      <c r="C298" s="4" t="n">
        <f aca="false">rtd("esrtd",,"*H","$NIFTY-NSE","Open","I15 [09:15-15:30 L]",,"103")</f>
        <v>12021.2</v>
      </c>
      <c r="D298" s="4" t="n">
        <f aca="false">rtd("esrtd",,"*H","$NIFTY-NSE","High","I15 [09:15-15:30 L]",,"103")</f>
        <v>12027.65</v>
      </c>
      <c r="E298" s="4" t="n">
        <f aca="false">rtd("esrtd",,"*H","$NIFTY-NSE","Low","I15 [09:15-15:30 L]",,"103")</f>
        <v>12019.9</v>
      </c>
      <c r="F298" s="4" t="n">
        <f aca="false">rtd("esrtd",,"*H","$NIFTY-NSE","Last","I15 [09:15-15:30 L]",,"103")</f>
        <v>12027.6</v>
      </c>
    </row>
    <row r="299" customFormat="false" ht="15" hidden="false" customHeight="false" outlineLevel="0" collapsed="false">
      <c r="A299" s="2" t="n">
        <f aca="false">rtd("esrtd",,"*H","$NIFTY-NSE","Intraday_Date","I15 [09:15-15:30 L]",,"102")</f>
        <v>43789.7291666667</v>
      </c>
      <c r="B299" s="3" t="n">
        <f aca="false">rtd("esrtd",,"*H","$NIFTY-NSE","BarTime","I15 [09:15-15:30 L]",,"102")</f>
        <v>43789.5104166667</v>
      </c>
      <c r="C299" s="4" t="n">
        <f aca="false">rtd("esrtd",,"*H","$NIFTY-NSE","Open","I15 [09:15-15:30 L]",,"102")</f>
        <v>12027.7</v>
      </c>
      <c r="D299" s="4" t="n">
        <f aca="false">rtd("esrtd",,"*H","$NIFTY-NSE","High","I15 [09:15-15:30 L]",,"102")</f>
        <v>12031.6</v>
      </c>
      <c r="E299" s="4" t="n">
        <f aca="false">rtd("esrtd",,"*H","$NIFTY-NSE","Low","I15 [09:15-15:30 L]",,"102")</f>
        <v>12023.25</v>
      </c>
      <c r="F299" s="4" t="n">
        <f aca="false">rtd("esrtd",,"*H","$NIFTY-NSE","Last","I15 [09:15-15:30 L]",,"102")</f>
        <v>12026.3</v>
      </c>
    </row>
    <row r="300" customFormat="false" ht="15" hidden="false" customHeight="false" outlineLevel="0" collapsed="false">
      <c r="A300" s="2" t="n">
        <f aca="false">rtd("esrtd",,"*H","$NIFTY-NSE","Intraday_Date","I15 [09:15-15:30 L]",,"101")</f>
        <v>43789.7291666667</v>
      </c>
      <c r="B300" s="3" t="n">
        <f aca="false">rtd("esrtd",,"*H","$NIFTY-NSE","BarTime","I15 [09:15-15:30 L]",,"101")</f>
        <v>43789.5208333333</v>
      </c>
      <c r="C300" s="4" t="n">
        <f aca="false">rtd("esrtd",,"*H","$NIFTY-NSE","Open","I15 [09:15-15:30 L]",,"101")</f>
        <v>12026.55</v>
      </c>
      <c r="D300" s="4" t="n">
        <f aca="false">rtd("esrtd",,"*H","$NIFTY-NSE","High","I15 [09:15-15:30 L]",,"101")</f>
        <v>12029.5</v>
      </c>
      <c r="E300" s="4" t="n">
        <f aca="false">rtd("esrtd",,"*H","$NIFTY-NSE","Low","I15 [09:15-15:30 L]",,"101")</f>
        <v>12023.3</v>
      </c>
      <c r="F300" s="4" t="n">
        <f aca="false">rtd("esrtd",,"*H","$NIFTY-NSE","Last","I15 [09:15-15:30 L]",,"101")</f>
        <v>12027.25</v>
      </c>
    </row>
    <row r="301" customFormat="false" ht="15" hidden="false" customHeight="false" outlineLevel="0" collapsed="false">
      <c r="A301" s="2" t="n">
        <f aca="false">rtd("esrtd",,"*H","$NIFTY-NSE","Intraday_Date","I15 [09:15-15:30 L]",,"100")</f>
        <v>43789.7291666667</v>
      </c>
      <c r="B301" s="3" t="n">
        <f aca="false">rtd("esrtd",,"*H","$NIFTY-NSE","BarTime","I15 [09:15-15:30 L]",,"100")</f>
        <v>43789.53125</v>
      </c>
      <c r="C301" s="4" t="n">
        <f aca="false">rtd("esrtd",,"*H","$NIFTY-NSE","Open","I15 [09:15-15:30 L]",,"100")</f>
        <v>12027.15</v>
      </c>
      <c r="D301" s="4" t="n">
        <f aca="false">rtd("esrtd",,"*H","$NIFTY-NSE","High","I15 [09:15-15:30 L]",,"100")</f>
        <v>12027.95</v>
      </c>
      <c r="E301" s="4" t="n">
        <f aca="false">rtd("esrtd",,"*H","$NIFTY-NSE","Low","I15 [09:15-15:30 L]",,"100")</f>
        <v>12021.6</v>
      </c>
      <c r="F301" s="4" t="n">
        <f aca="false">rtd("esrtd",,"*H","$NIFTY-NSE","Last","I15 [09:15-15:30 L]",,"100")</f>
        <v>12024.25</v>
      </c>
    </row>
    <row r="302" customFormat="false" ht="15" hidden="false" customHeight="false" outlineLevel="0" collapsed="false">
      <c r="A302" s="2" t="n">
        <f aca="false">rtd("esrtd",,"*H","$NIFTY-NSE","Intraday_Date","I15 [09:15-15:30 L]",,"99")</f>
        <v>43789.7291666667</v>
      </c>
      <c r="B302" s="3" t="n">
        <f aca="false">rtd("esrtd",,"*H","$NIFTY-NSE","BarTime","I15 [09:15-15:30 L]",,"99")</f>
        <v>43789.5416666667</v>
      </c>
      <c r="C302" s="4" t="n">
        <f aca="false">rtd("esrtd",,"*H","$NIFTY-NSE","Open","I15 [09:15-15:30 L]",,"99")</f>
        <v>12024</v>
      </c>
      <c r="D302" s="4" t="n">
        <f aca="false">rtd("esrtd",,"*H","$NIFTY-NSE","High","I15 [09:15-15:30 L]",,"99")</f>
        <v>12038.6</v>
      </c>
      <c r="E302" s="4" t="n">
        <f aca="false">rtd("esrtd",,"*H","$NIFTY-NSE","Low","I15 [09:15-15:30 L]",,"99")</f>
        <v>12017.8</v>
      </c>
      <c r="F302" s="4" t="n">
        <f aca="false">rtd("esrtd",,"*H","$NIFTY-NSE","Last","I15 [09:15-15:30 L]",,"99")</f>
        <v>12024.65</v>
      </c>
    </row>
    <row r="303" customFormat="false" ht="15" hidden="false" customHeight="false" outlineLevel="0" collapsed="false">
      <c r="A303" s="2" t="n">
        <f aca="false">rtd("esrtd",,"*H","$NIFTY-NSE","Intraday_Date","I15 [09:15-15:30 L]",,"98")</f>
        <v>43789.7291666667</v>
      </c>
      <c r="B303" s="3" t="n">
        <f aca="false">rtd("esrtd",,"*H","$NIFTY-NSE","BarTime","I15 [09:15-15:30 L]",,"98")</f>
        <v>43789.5520833333</v>
      </c>
      <c r="C303" s="4" t="n">
        <f aca="false">rtd("esrtd",,"*H","$NIFTY-NSE","Open","I15 [09:15-15:30 L]",,"98")</f>
        <v>12024.95</v>
      </c>
      <c r="D303" s="4" t="n">
        <f aca="false">rtd("esrtd",,"*H","$NIFTY-NSE","High","I15 [09:15-15:30 L]",,"98")</f>
        <v>12026.55</v>
      </c>
      <c r="E303" s="4" t="n">
        <f aca="false">rtd("esrtd",,"*H","$NIFTY-NSE","Low","I15 [09:15-15:30 L]",,"98")</f>
        <v>12003.5</v>
      </c>
      <c r="F303" s="4" t="n">
        <f aca="false">rtd("esrtd",,"*H","$NIFTY-NSE","Last","I15 [09:15-15:30 L]",,"98")</f>
        <v>12006.45</v>
      </c>
    </row>
    <row r="304" customFormat="false" ht="15" hidden="false" customHeight="false" outlineLevel="0" collapsed="false">
      <c r="A304" s="2" t="n">
        <f aca="false">rtd("esrtd",,"*H","$NIFTY-NSE","Intraday_Date","I15 [09:15-15:30 L]",,"97")</f>
        <v>43789.7291666667</v>
      </c>
      <c r="B304" s="3" t="n">
        <f aca="false">rtd("esrtd",,"*H","$NIFTY-NSE","BarTime","I15 [09:15-15:30 L]",,"97")</f>
        <v>43789.5625</v>
      </c>
      <c r="C304" s="4" t="n">
        <f aca="false">rtd("esrtd",,"*H","$NIFTY-NSE","Open","I15 [09:15-15:30 L]",,"97")</f>
        <v>12007.95</v>
      </c>
      <c r="D304" s="4" t="n">
        <f aca="false">rtd("esrtd",,"*H","$NIFTY-NSE","High","I15 [09:15-15:30 L]",,"97")</f>
        <v>12008.75</v>
      </c>
      <c r="E304" s="4" t="n">
        <f aca="false">rtd("esrtd",,"*H","$NIFTY-NSE","Low","I15 [09:15-15:30 L]",,"97")</f>
        <v>11988.2</v>
      </c>
      <c r="F304" s="4" t="n">
        <f aca="false">rtd("esrtd",,"*H","$NIFTY-NSE","Last","I15 [09:15-15:30 L]",,"97")</f>
        <v>12003.5</v>
      </c>
    </row>
    <row r="305" customFormat="false" ht="15" hidden="false" customHeight="false" outlineLevel="0" collapsed="false">
      <c r="A305" s="2" t="n">
        <f aca="false">rtd("esrtd",,"*H","$NIFTY-NSE","Intraday_Date","I15 [09:15-15:30 L]",,"96")</f>
        <v>43789.7291666667</v>
      </c>
      <c r="B305" s="3" t="n">
        <f aca="false">rtd("esrtd",,"*H","$NIFTY-NSE","BarTime","I15 [09:15-15:30 L]",,"96")</f>
        <v>43789.5729166667</v>
      </c>
      <c r="C305" s="4" t="n">
        <f aca="false">rtd("esrtd",,"*H","$NIFTY-NSE","Open","I15 [09:15-15:30 L]",,"96")</f>
        <v>12003.25</v>
      </c>
      <c r="D305" s="4" t="n">
        <f aca="false">rtd("esrtd",,"*H","$NIFTY-NSE","High","I15 [09:15-15:30 L]",,"96")</f>
        <v>12012.45</v>
      </c>
      <c r="E305" s="4" t="n">
        <f aca="false">rtd("esrtd",,"*H","$NIFTY-NSE","Low","I15 [09:15-15:30 L]",,"96")</f>
        <v>11994.15</v>
      </c>
      <c r="F305" s="4" t="n">
        <f aca="false">rtd("esrtd",,"*H","$NIFTY-NSE","Last","I15 [09:15-15:30 L]",,"96")</f>
        <v>12003.15</v>
      </c>
    </row>
    <row r="306" customFormat="false" ht="15" hidden="false" customHeight="false" outlineLevel="0" collapsed="false">
      <c r="A306" s="2" t="n">
        <f aca="false">rtd("esrtd",,"*H","$NIFTY-NSE","Intraday_Date","I15 [09:15-15:30 L]",,"95")</f>
        <v>43789.7291666667</v>
      </c>
      <c r="B306" s="3" t="n">
        <f aca="false">rtd("esrtd",,"*H","$NIFTY-NSE","BarTime","I15 [09:15-15:30 L]",,"95")</f>
        <v>43789.5833333333</v>
      </c>
      <c r="C306" s="4" t="n">
        <f aca="false">rtd("esrtd",,"*H","$NIFTY-NSE","Open","I15 [09:15-15:30 L]",,"95")</f>
        <v>12004</v>
      </c>
      <c r="D306" s="4" t="n">
        <f aca="false">rtd("esrtd",,"*H","$NIFTY-NSE","High","I15 [09:15-15:30 L]",,"95")</f>
        <v>12010.1</v>
      </c>
      <c r="E306" s="4" t="n">
        <f aca="false">rtd("esrtd",,"*H","$NIFTY-NSE","Low","I15 [09:15-15:30 L]",,"95")</f>
        <v>11999.2</v>
      </c>
      <c r="F306" s="4" t="n">
        <f aca="false">rtd("esrtd",,"*H","$NIFTY-NSE","Last","I15 [09:15-15:30 L]",,"95")</f>
        <v>12001.4</v>
      </c>
    </row>
    <row r="307" customFormat="false" ht="15" hidden="false" customHeight="false" outlineLevel="0" collapsed="false">
      <c r="A307" s="2" t="n">
        <f aca="false">rtd("esrtd",,"*H","$NIFTY-NSE","Intraday_Date","I15 [09:15-15:30 L]",,"94")</f>
        <v>43789.7291666667</v>
      </c>
      <c r="B307" s="3" t="n">
        <f aca="false">rtd("esrtd",,"*H","$NIFTY-NSE","BarTime","I15 [09:15-15:30 L]",,"94")</f>
        <v>43789.59375</v>
      </c>
      <c r="C307" s="4" t="n">
        <f aca="false">rtd("esrtd",,"*H","$NIFTY-NSE","Open","I15 [09:15-15:30 L]",,"94")</f>
        <v>12001.55</v>
      </c>
      <c r="D307" s="4" t="n">
        <f aca="false">rtd("esrtd",,"*H","$NIFTY-NSE","High","I15 [09:15-15:30 L]",,"94")</f>
        <v>12002.45</v>
      </c>
      <c r="E307" s="4" t="n">
        <f aca="false">rtd("esrtd",,"*H","$NIFTY-NSE","Low","I15 [09:15-15:30 L]",,"94")</f>
        <v>11988.35</v>
      </c>
      <c r="F307" s="4" t="n">
        <f aca="false">rtd("esrtd",,"*H","$NIFTY-NSE","Last","I15 [09:15-15:30 L]",,"94")</f>
        <v>11990.65</v>
      </c>
    </row>
    <row r="308" customFormat="false" ht="15" hidden="false" customHeight="false" outlineLevel="0" collapsed="false">
      <c r="A308" s="2" t="n">
        <f aca="false">rtd("esrtd",,"*H","$NIFTY-NSE","Intraday_Date","I15 [09:15-15:30 L]",,"93")</f>
        <v>43789.7291666667</v>
      </c>
      <c r="B308" s="3" t="n">
        <f aca="false">rtd("esrtd",,"*H","$NIFTY-NSE","BarTime","I15 [09:15-15:30 L]",,"93")</f>
        <v>43789.6041666667</v>
      </c>
      <c r="C308" s="4" t="n">
        <f aca="false">rtd("esrtd",,"*H","$NIFTY-NSE","Open","I15 [09:15-15:30 L]",,"93")</f>
        <v>11989.8</v>
      </c>
      <c r="D308" s="4" t="n">
        <f aca="false">rtd("esrtd",,"*H","$NIFTY-NSE","High","I15 [09:15-15:30 L]",,"93")</f>
        <v>12004.1</v>
      </c>
      <c r="E308" s="4" t="n">
        <f aca="false">rtd("esrtd",,"*H","$NIFTY-NSE","Low","I15 [09:15-15:30 L]",,"93")</f>
        <v>11987.05</v>
      </c>
      <c r="F308" s="4" t="n">
        <f aca="false">rtd("esrtd",,"*H","$NIFTY-NSE","Last","I15 [09:15-15:30 L]",,"93")</f>
        <v>11987.05</v>
      </c>
    </row>
    <row r="309" customFormat="false" ht="15" hidden="false" customHeight="false" outlineLevel="0" collapsed="false">
      <c r="A309" s="2" t="n">
        <f aca="false">rtd("esrtd",,"*H","$NIFTY-NSE","Intraday_Date","I15 [09:15-15:30 L]",,"92")</f>
        <v>43789.7291666667</v>
      </c>
      <c r="B309" s="3" t="n">
        <f aca="false">rtd("esrtd",,"*H","$NIFTY-NSE","BarTime","I15 [09:15-15:30 L]",,"92")</f>
        <v>43789.6145833333</v>
      </c>
      <c r="C309" s="4" t="n">
        <f aca="false">rtd("esrtd",,"*H","$NIFTY-NSE","Open","I15 [09:15-15:30 L]",,"92")</f>
        <v>11987.1</v>
      </c>
      <c r="D309" s="4" t="n">
        <f aca="false">rtd("esrtd",,"*H","$NIFTY-NSE","High","I15 [09:15-15:30 L]",,"92")</f>
        <v>11997.85</v>
      </c>
      <c r="E309" s="4" t="n">
        <f aca="false">rtd("esrtd",,"*H","$NIFTY-NSE","Low","I15 [09:15-15:30 L]",,"92")</f>
        <v>11979.15</v>
      </c>
      <c r="F309" s="4" t="n">
        <f aca="false">rtd("esrtd",,"*H","$NIFTY-NSE","Last","I15 [09:15-15:30 L]",,"92")</f>
        <v>11996</v>
      </c>
    </row>
    <row r="310" customFormat="false" ht="15" hidden="false" customHeight="false" outlineLevel="0" collapsed="false">
      <c r="A310" s="2" t="n">
        <f aca="false">rtd("esrtd",,"*H","$NIFTY-NSE","Intraday_Date","I15 [09:15-15:30 L]",,"91")</f>
        <v>43789.7291666667</v>
      </c>
      <c r="B310" s="3" t="n">
        <f aca="false">rtd("esrtd",,"*H","$NIFTY-NSE","BarTime","I15 [09:15-15:30 L]",,"91")</f>
        <v>43789.625</v>
      </c>
      <c r="C310" s="4" t="n">
        <f aca="false">rtd("esrtd",,"*H","$NIFTY-NSE","Open","I15 [09:15-15:30 L]",,"91")</f>
        <v>11995.8</v>
      </c>
      <c r="D310" s="4" t="n">
        <f aca="false">rtd("esrtd",,"*H","$NIFTY-NSE","High","I15 [09:15-15:30 L]",,"91")</f>
        <v>12010.9</v>
      </c>
      <c r="E310" s="4" t="n">
        <f aca="false">rtd("esrtd",,"*H","$NIFTY-NSE","Low","I15 [09:15-15:30 L]",,"91")</f>
        <v>11995.15</v>
      </c>
      <c r="F310" s="4" t="n">
        <f aca="false">rtd("esrtd",,"*H","$NIFTY-NSE","Last","I15 [09:15-15:30 L]",,"91")</f>
        <v>12000.9</v>
      </c>
    </row>
    <row r="311" customFormat="false" ht="15" hidden="false" customHeight="false" outlineLevel="0" collapsed="false">
      <c r="A311" s="2" t="n">
        <f aca="false">rtd("esrtd",,"*H","$NIFTY-NSE","Intraday_Date","I15 [09:15-15:30 L]",,"90")</f>
        <v>43789.7291666667</v>
      </c>
      <c r="B311" s="3" t="n">
        <f aca="false">rtd("esrtd",,"*H","$NIFTY-NSE","BarTime","I15 [09:15-15:30 L]",,"90")</f>
        <v>43789.6354166667</v>
      </c>
      <c r="C311" s="4" t="n">
        <f aca="false">rtd("esrtd",,"*H","$NIFTY-NSE","Open","I15 [09:15-15:30 L]",,"90")</f>
        <v>12001.2</v>
      </c>
      <c r="D311" s="4" t="n">
        <f aca="false">rtd("esrtd",,"*H","$NIFTY-NSE","High","I15 [09:15-15:30 L]",,"90")</f>
        <v>12004.35</v>
      </c>
      <c r="E311" s="4" t="n">
        <f aca="false">rtd("esrtd",,"*H","$NIFTY-NSE","Low","I15 [09:15-15:30 L]",,"90")</f>
        <v>11987.5</v>
      </c>
      <c r="F311" s="4" t="n">
        <f aca="false">rtd("esrtd",,"*H","$NIFTY-NSE","Last","I15 [09:15-15:30 L]",,"90")</f>
        <v>11992.65</v>
      </c>
    </row>
    <row r="312" customFormat="false" ht="15" hidden="false" customHeight="false" outlineLevel="0" collapsed="false">
      <c r="A312" s="2" t="n">
        <f aca="false">rtd("esrtd",,"*H","$NIFTY-NSE","Intraday_Date","I15 [09:15-15:30 L]",,"89")</f>
        <v>43790.7291666667</v>
      </c>
      <c r="B312" s="3" t="n">
        <f aca="false">rtd("esrtd",,"*H","$NIFTY-NSE","BarTime","I15 [09:15-15:30 L]",,"89")</f>
        <v>43790.3854166667</v>
      </c>
      <c r="C312" s="4" t="n">
        <f aca="false">rtd("esrtd",,"*H","$NIFTY-NSE","Open","I15 [09:15-15:30 L]",,"89")</f>
        <v>12028.2</v>
      </c>
      <c r="D312" s="4" t="n">
        <f aca="false">rtd("esrtd",,"*H","$NIFTY-NSE","High","I15 [09:15-15:30 L]",,"89")</f>
        <v>12028.2</v>
      </c>
      <c r="E312" s="4" t="n">
        <f aca="false">rtd("esrtd",,"*H","$NIFTY-NSE","Low","I15 [09:15-15:30 L]",,"89")</f>
        <v>11980.9</v>
      </c>
      <c r="F312" s="4" t="n">
        <f aca="false">rtd("esrtd",,"*H","$NIFTY-NSE","Last","I15 [09:15-15:30 L]",,"89")</f>
        <v>11990.8</v>
      </c>
    </row>
    <row r="313" customFormat="false" ht="15" hidden="false" customHeight="false" outlineLevel="0" collapsed="false">
      <c r="A313" s="2" t="n">
        <f aca="false">rtd("esrtd",,"*H","$NIFTY-NSE","Intraday_Date","I15 [09:15-15:30 L]",,"88")</f>
        <v>43790.7291666667</v>
      </c>
      <c r="B313" s="3" t="n">
        <f aca="false">rtd("esrtd",,"*H","$NIFTY-NSE","BarTime","I15 [09:15-15:30 L]",,"88")</f>
        <v>43790.3958333333</v>
      </c>
      <c r="C313" s="4" t="n">
        <f aca="false">rtd("esrtd",,"*H","$NIFTY-NSE","Open","I15 [09:15-15:30 L]",,"88")</f>
        <v>11991.3</v>
      </c>
      <c r="D313" s="4" t="n">
        <f aca="false">rtd("esrtd",,"*H","$NIFTY-NSE","High","I15 [09:15-15:30 L]",,"88")</f>
        <v>11998.9</v>
      </c>
      <c r="E313" s="4" t="n">
        <f aca="false">rtd("esrtd",,"*H","$NIFTY-NSE","Low","I15 [09:15-15:30 L]",,"88")</f>
        <v>11978.25</v>
      </c>
      <c r="F313" s="4" t="n">
        <f aca="false">rtd("esrtd",,"*H","$NIFTY-NSE","Last","I15 [09:15-15:30 L]",,"88")</f>
        <v>11996.05</v>
      </c>
    </row>
    <row r="314" customFormat="false" ht="15" hidden="false" customHeight="false" outlineLevel="0" collapsed="false">
      <c r="A314" s="2" t="n">
        <f aca="false">rtd("esrtd",,"*H","$NIFTY-NSE","Intraday_Date","I15 [09:15-15:30 L]",,"87")</f>
        <v>43790.7291666667</v>
      </c>
      <c r="B314" s="3" t="n">
        <f aca="false">rtd("esrtd",,"*H","$NIFTY-NSE","BarTime","I15 [09:15-15:30 L]",,"87")</f>
        <v>43790.40625</v>
      </c>
      <c r="C314" s="4" t="n">
        <f aca="false">rtd("esrtd",,"*H","$NIFTY-NSE","Open","I15 [09:15-15:30 L]",,"87")</f>
        <v>11996.75</v>
      </c>
      <c r="D314" s="4" t="n">
        <f aca="false">rtd("esrtd",,"*H","$NIFTY-NSE","High","I15 [09:15-15:30 L]",,"87")</f>
        <v>12005.85</v>
      </c>
      <c r="E314" s="4" t="n">
        <f aca="false">rtd("esrtd",,"*H","$NIFTY-NSE","Low","I15 [09:15-15:30 L]",,"87")</f>
        <v>11987.4</v>
      </c>
      <c r="F314" s="4" t="n">
        <f aca="false">rtd("esrtd",,"*H","$NIFTY-NSE","Last","I15 [09:15-15:30 L]",,"87")</f>
        <v>11993</v>
      </c>
    </row>
    <row r="315" customFormat="false" ht="15" hidden="false" customHeight="false" outlineLevel="0" collapsed="false">
      <c r="A315" s="2" t="n">
        <f aca="false">rtd("esrtd",,"*H","$NIFTY-NSE","Intraday_Date","I15 [09:15-15:30 L]",,"86")</f>
        <v>43790.7291666667</v>
      </c>
      <c r="B315" s="3" t="n">
        <f aca="false">rtd("esrtd",,"*H","$NIFTY-NSE","BarTime","I15 [09:15-15:30 L]",,"86")</f>
        <v>43790.4166666667</v>
      </c>
      <c r="C315" s="4" t="n">
        <f aca="false">rtd("esrtd",,"*H","$NIFTY-NSE","Open","I15 [09:15-15:30 L]",,"86")</f>
        <v>11993.45</v>
      </c>
      <c r="D315" s="4" t="n">
        <f aca="false">rtd("esrtd",,"*H","$NIFTY-NSE","High","I15 [09:15-15:30 L]",,"86")</f>
        <v>11996.25</v>
      </c>
      <c r="E315" s="4" t="n">
        <f aca="false">rtd("esrtd",,"*H","$NIFTY-NSE","Low","I15 [09:15-15:30 L]",,"86")</f>
        <v>11987.7</v>
      </c>
      <c r="F315" s="4" t="n">
        <f aca="false">rtd("esrtd",,"*H","$NIFTY-NSE","Last","I15 [09:15-15:30 L]",,"86")</f>
        <v>11989.1</v>
      </c>
    </row>
    <row r="316" customFormat="false" ht="15" hidden="false" customHeight="false" outlineLevel="0" collapsed="false">
      <c r="A316" s="2" t="n">
        <f aca="false">rtd("esrtd",,"*H","$NIFTY-NSE","Intraday_Date","I15 [09:15-15:30 L]",,"85")</f>
        <v>43790.7291666667</v>
      </c>
      <c r="B316" s="3" t="n">
        <f aca="false">rtd("esrtd",,"*H","$NIFTY-NSE","BarTime","I15 [09:15-15:30 L]",,"85")</f>
        <v>43790.4270833333</v>
      </c>
      <c r="C316" s="4" t="n">
        <f aca="false">rtd("esrtd",,"*H","$NIFTY-NSE","Open","I15 [09:15-15:30 L]",,"85")</f>
        <v>11988.5</v>
      </c>
      <c r="D316" s="4" t="n">
        <f aca="false">rtd("esrtd",,"*H","$NIFTY-NSE","High","I15 [09:15-15:30 L]",,"85")</f>
        <v>11991.65</v>
      </c>
      <c r="E316" s="4" t="n">
        <f aca="false">rtd("esrtd",,"*H","$NIFTY-NSE","Low","I15 [09:15-15:30 L]",,"85")</f>
        <v>11975</v>
      </c>
      <c r="F316" s="4" t="n">
        <f aca="false">rtd("esrtd",,"*H","$NIFTY-NSE","Last","I15 [09:15-15:30 L]",,"85")</f>
        <v>11980.45</v>
      </c>
    </row>
    <row r="317" customFormat="false" ht="15" hidden="false" customHeight="false" outlineLevel="0" collapsed="false">
      <c r="A317" s="2" t="n">
        <f aca="false">rtd("esrtd",,"*H","$NIFTY-NSE","Intraday_Date","I15 [09:15-15:30 L]",,"84")</f>
        <v>43790.7291666667</v>
      </c>
      <c r="B317" s="3" t="n">
        <f aca="false">rtd("esrtd",,"*H","$NIFTY-NSE","BarTime","I15 [09:15-15:30 L]",,"84")</f>
        <v>43790.4375</v>
      </c>
      <c r="C317" s="4" t="n">
        <f aca="false">rtd("esrtd",,"*H","$NIFTY-NSE","Open","I15 [09:15-15:30 L]",,"84")</f>
        <v>11980.4</v>
      </c>
      <c r="D317" s="4" t="n">
        <f aca="false">rtd("esrtd",,"*H","$NIFTY-NSE","High","I15 [09:15-15:30 L]",,"84")</f>
        <v>11984.35</v>
      </c>
      <c r="E317" s="4" t="n">
        <f aca="false">rtd("esrtd",,"*H","$NIFTY-NSE","Low","I15 [09:15-15:30 L]",,"84")</f>
        <v>11975.7</v>
      </c>
      <c r="F317" s="4" t="n">
        <f aca="false">rtd("esrtd",,"*H","$NIFTY-NSE","Last","I15 [09:15-15:30 L]",,"84")</f>
        <v>11975.95</v>
      </c>
    </row>
    <row r="318" customFormat="false" ht="15" hidden="false" customHeight="false" outlineLevel="0" collapsed="false">
      <c r="A318" s="2" t="n">
        <f aca="false">rtd("esrtd",,"*H","$NIFTY-NSE","Intraday_Date","I15 [09:15-15:30 L]",,"83")</f>
        <v>43790.7291666667</v>
      </c>
      <c r="B318" s="3" t="n">
        <f aca="false">rtd("esrtd",,"*H","$NIFTY-NSE","BarTime","I15 [09:15-15:30 L]",,"83")</f>
        <v>43790.4479166667</v>
      </c>
      <c r="C318" s="4" t="n">
        <f aca="false">rtd("esrtd",,"*H","$NIFTY-NSE","Open","I15 [09:15-15:30 L]",,"83")</f>
        <v>11975.85</v>
      </c>
      <c r="D318" s="4" t="n">
        <f aca="false">rtd("esrtd",,"*H","$NIFTY-NSE","High","I15 [09:15-15:30 L]",,"83")</f>
        <v>11976.9</v>
      </c>
      <c r="E318" s="4" t="n">
        <f aca="false">rtd("esrtd",,"*H","$NIFTY-NSE","Low","I15 [09:15-15:30 L]",,"83")</f>
        <v>11965.05</v>
      </c>
      <c r="F318" s="4" t="n">
        <f aca="false">rtd("esrtd",,"*H","$NIFTY-NSE","Last","I15 [09:15-15:30 L]",,"83")</f>
        <v>11972.5</v>
      </c>
    </row>
    <row r="319" customFormat="false" ht="15" hidden="false" customHeight="false" outlineLevel="0" collapsed="false">
      <c r="A319" s="2" t="n">
        <f aca="false">rtd("esrtd",,"*H","$NIFTY-NSE","Intraday_Date","I15 [09:15-15:30 L]",,"82")</f>
        <v>43790.7291666667</v>
      </c>
      <c r="B319" s="3" t="n">
        <f aca="false">rtd("esrtd",,"*H","$NIFTY-NSE","BarTime","I15 [09:15-15:30 L]",,"82")</f>
        <v>43790.4583333333</v>
      </c>
      <c r="C319" s="4" t="n">
        <f aca="false">rtd("esrtd",,"*H","$NIFTY-NSE","Open","I15 [09:15-15:30 L]",,"82")</f>
        <v>11972.7</v>
      </c>
      <c r="D319" s="4" t="n">
        <f aca="false">rtd("esrtd",,"*H","$NIFTY-NSE","High","I15 [09:15-15:30 L]",,"82")</f>
        <v>11984.6</v>
      </c>
      <c r="E319" s="4" t="n">
        <f aca="false">rtd("esrtd",,"*H","$NIFTY-NSE","Low","I15 [09:15-15:30 L]",,"82")</f>
        <v>11968.65</v>
      </c>
      <c r="F319" s="4" t="n">
        <f aca="false">rtd("esrtd",,"*H","$NIFTY-NSE","Last","I15 [09:15-15:30 L]",,"82")</f>
        <v>11974.15</v>
      </c>
    </row>
    <row r="320" customFormat="false" ht="15" hidden="false" customHeight="false" outlineLevel="0" collapsed="false">
      <c r="A320" s="2" t="n">
        <f aca="false">rtd("esrtd",,"*H","$NIFTY-NSE","Intraday_Date","I15 [09:15-15:30 L]",,"81")</f>
        <v>43790.7291666667</v>
      </c>
      <c r="B320" s="3" t="n">
        <f aca="false">rtd("esrtd",,"*H","$NIFTY-NSE","BarTime","I15 [09:15-15:30 L]",,"81")</f>
        <v>43790.46875</v>
      </c>
      <c r="C320" s="4" t="n">
        <f aca="false">rtd("esrtd",,"*H","$NIFTY-NSE","Open","I15 [09:15-15:30 L]",,"81")</f>
        <v>11974.2</v>
      </c>
      <c r="D320" s="4" t="n">
        <f aca="false">rtd("esrtd",,"*H","$NIFTY-NSE","High","I15 [09:15-15:30 L]",,"81")</f>
        <v>11982.4</v>
      </c>
      <c r="E320" s="4" t="n">
        <f aca="false">rtd("esrtd",,"*H","$NIFTY-NSE","Low","I15 [09:15-15:30 L]",,"81")</f>
        <v>11969.05</v>
      </c>
      <c r="F320" s="4" t="n">
        <f aca="false">rtd("esrtd",,"*H","$NIFTY-NSE","Last","I15 [09:15-15:30 L]",,"81")</f>
        <v>11981.05</v>
      </c>
    </row>
    <row r="321" customFormat="false" ht="15" hidden="false" customHeight="false" outlineLevel="0" collapsed="false">
      <c r="A321" s="2" t="n">
        <f aca="false">rtd("esrtd",,"*H","$NIFTY-NSE","Intraday_Date","I15 [09:15-15:30 L]",,"80")</f>
        <v>43790.7291666667</v>
      </c>
      <c r="B321" s="3" t="n">
        <f aca="false">rtd("esrtd",,"*H","$NIFTY-NSE","BarTime","I15 [09:15-15:30 L]",,"80")</f>
        <v>43790.4791666667</v>
      </c>
      <c r="C321" s="4" t="n">
        <f aca="false">rtd("esrtd",,"*H","$NIFTY-NSE","Open","I15 [09:15-15:30 L]",,"80")</f>
        <v>11981</v>
      </c>
      <c r="D321" s="4" t="n">
        <f aca="false">rtd("esrtd",,"*H","$NIFTY-NSE","High","I15 [09:15-15:30 L]",,"80")</f>
        <v>11982.05</v>
      </c>
      <c r="E321" s="4" t="n">
        <f aca="false">rtd("esrtd",,"*H","$NIFTY-NSE","Low","I15 [09:15-15:30 L]",,"80")</f>
        <v>11971.7</v>
      </c>
      <c r="F321" s="4" t="n">
        <f aca="false">rtd("esrtd",,"*H","$NIFTY-NSE","Last","I15 [09:15-15:30 L]",,"80")</f>
        <v>11972.75</v>
      </c>
    </row>
    <row r="322" customFormat="false" ht="15" hidden="false" customHeight="false" outlineLevel="0" collapsed="false">
      <c r="A322" s="2" t="n">
        <f aca="false">rtd("esrtd",,"*H","$NIFTY-NSE","Intraday_Date","I15 [09:15-15:30 L]",,"79")</f>
        <v>43790.7291666667</v>
      </c>
      <c r="B322" s="3" t="n">
        <f aca="false">rtd("esrtd",,"*H","$NIFTY-NSE","BarTime","I15 [09:15-15:30 L]",,"79")</f>
        <v>43790.4895833333</v>
      </c>
      <c r="C322" s="4" t="n">
        <f aca="false">rtd("esrtd",,"*H","$NIFTY-NSE","Open","I15 [09:15-15:30 L]",,"79")</f>
        <v>11972.6</v>
      </c>
      <c r="D322" s="4" t="n">
        <f aca="false">rtd("esrtd",,"*H","$NIFTY-NSE","High","I15 [09:15-15:30 L]",,"79")</f>
        <v>11992.45</v>
      </c>
      <c r="E322" s="4" t="n">
        <f aca="false">rtd("esrtd",,"*H","$NIFTY-NSE","Low","I15 [09:15-15:30 L]",,"79")</f>
        <v>11972.05</v>
      </c>
      <c r="F322" s="4" t="n">
        <f aca="false">rtd("esrtd",,"*H","$NIFTY-NSE","Last","I15 [09:15-15:30 L]",,"79")</f>
        <v>11987.7</v>
      </c>
    </row>
    <row r="323" customFormat="false" ht="15" hidden="false" customHeight="false" outlineLevel="0" collapsed="false">
      <c r="A323" s="2" t="n">
        <f aca="false">rtd("esrtd",,"*H","$NIFTY-NSE","Intraday_Date","I15 [09:15-15:30 L]",,"78")</f>
        <v>43790.7291666667</v>
      </c>
      <c r="B323" s="3" t="n">
        <f aca="false">rtd("esrtd",,"*H","$NIFTY-NSE","BarTime","I15 [09:15-15:30 L]",,"78")</f>
        <v>43790.5</v>
      </c>
      <c r="C323" s="4" t="n">
        <f aca="false">rtd("esrtd",,"*H","$NIFTY-NSE","Open","I15 [09:15-15:30 L]",,"78")</f>
        <v>11987.65</v>
      </c>
      <c r="D323" s="4" t="n">
        <f aca="false">rtd("esrtd",,"*H","$NIFTY-NSE","High","I15 [09:15-15:30 L]",,"78")</f>
        <v>11999.25</v>
      </c>
      <c r="E323" s="4" t="n">
        <f aca="false">rtd("esrtd",,"*H","$NIFTY-NSE","Low","I15 [09:15-15:30 L]",,"78")</f>
        <v>11984.85</v>
      </c>
      <c r="F323" s="4" t="n">
        <f aca="false">rtd("esrtd",,"*H","$NIFTY-NSE","Last","I15 [09:15-15:30 L]",,"78")</f>
        <v>11993</v>
      </c>
    </row>
    <row r="324" customFormat="false" ht="15" hidden="false" customHeight="false" outlineLevel="0" collapsed="false">
      <c r="A324" s="2" t="n">
        <f aca="false">rtd("esrtd",,"*H","$NIFTY-NSE","Intraday_Date","I15 [09:15-15:30 L]",,"77")</f>
        <v>43790.7291666667</v>
      </c>
      <c r="B324" s="3" t="n">
        <f aca="false">rtd("esrtd",,"*H","$NIFTY-NSE","BarTime","I15 [09:15-15:30 L]",,"77")</f>
        <v>43790.5104166667</v>
      </c>
      <c r="C324" s="4" t="n">
        <f aca="false">rtd("esrtd",,"*H","$NIFTY-NSE","Open","I15 [09:15-15:30 L]",,"77")</f>
        <v>11993.1</v>
      </c>
      <c r="D324" s="4" t="n">
        <f aca="false">rtd("esrtd",,"*H","$NIFTY-NSE","High","I15 [09:15-15:30 L]",,"77")</f>
        <v>12006.65</v>
      </c>
      <c r="E324" s="4" t="n">
        <f aca="false">rtd("esrtd",,"*H","$NIFTY-NSE","Low","I15 [09:15-15:30 L]",,"77")</f>
        <v>11988.4</v>
      </c>
      <c r="F324" s="4" t="n">
        <f aca="false">rtd("esrtd",,"*H","$NIFTY-NSE","Last","I15 [09:15-15:30 L]",,"77")</f>
        <v>12005.9</v>
      </c>
    </row>
    <row r="325" customFormat="false" ht="15" hidden="false" customHeight="false" outlineLevel="0" collapsed="false">
      <c r="A325" s="2" t="n">
        <f aca="false">rtd("esrtd",,"*H","$NIFTY-NSE","Intraday_Date","I15 [09:15-15:30 L]",,"76")</f>
        <v>43790.7291666667</v>
      </c>
      <c r="B325" s="3" t="n">
        <f aca="false">rtd("esrtd",,"*H","$NIFTY-NSE","BarTime","I15 [09:15-15:30 L]",,"76")</f>
        <v>43790.5208333333</v>
      </c>
      <c r="C325" s="4" t="n">
        <f aca="false">rtd("esrtd",,"*H","$NIFTY-NSE","Open","I15 [09:15-15:30 L]",,"76")</f>
        <v>12005.15</v>
      </c>
      <c r="D325" s="4" t="n">
        <f aca="false">rtd("esrtd",,"*H","$NIFTY-NSE","High","I15 [09:15-15:30 L]",,"76")</f>
        <v>12005.15</v>
      </c>
      <c r="E325" s="4" t="n">
        <f aca="false">rtd("esrtd",,"*H","$NIFTY-NSE","Low","I15 [09:15-15:30 L]",,"76")</f>
        <v>11987.05</v>
      </c>
      <c r="F325" s="4" t="n">
        <f aca="false">rtd("esrtd",,"*H","$NIFTY-NSE","Last","I15 [09:15-15:30 L]",,"76")</f>
        <v>11995.2</v>
      </c>
    </row>
    <row r="326" customFormat="false" ht="15" hidden="false" customHeight="false" outlineLevel="0" collapsed="false">
      <c r="A326" s="2" t="n">
        <f aca="false">rtd("esrtd",,"*H","$NIFTY-NSE","Intraday_Date","I15 [09:15-15:30 L]",,"75")</f>
        <v>43790.7291666667</v>
      </c>
      <c r="B326" s="3" t="n">
        <f aca="false">rtd("esrtd",,"*H","$NIFTY-NSE","BarTime","I15 [09:15-15:30 L]",,"75")</f>
        <v>43790.53125</v>
      </c>
      <c r="C326" s="4" t="n">
        <f aca="false">rtd("esrtd",,"*H","$NIFTY-NSE","Open","I15 [09:15-15:30 L]",,"75")</f>
        <v>11995.1</v>
      </c>
      <c r="D326" s="4" t="n">
        <f aca="false">rtd("esrtd",,"*H","$NIFTY-NSE","High","I15 [09:15-15:30 L]",,"75")</f>
        <v>12001.05</v>
      </c>
      <c r="E326" s="4" t="n">
        <f aca="false">rtd("esrtd",,"*H","$NIFTY-NSE","Low","I15 [09:15-15:30 L]",,"75")</f>
        <v>11990.75</v>
      </c>
      <c r="F326" s="4" t="n">
        <f aca="false">rtd("esrtd",,"*H","$NIFTY-NSE","Last","I15 [09:15-15:30 L]",,"75")</f>
        <v>12000.2</v>
      </c>
    </row>
    <row r="327" customFormat="false" ht="15" hidden="false" customHeight="false" outlineLevel="0" collapsed="false">
      <c r="A327" s="2" t="n">
        <f aca="false">rtd("esrtd",,"*H","$NIFTY-NSE","Intraday_Date","I15 [09:15-15:30 L]",,"74")</f>
        <v>43790.7291666667</v>
      </c>
      <c r="B327" s="3" t="n">
        <f aca="false">rtd("esrtd",,"*H","$NIFTY-NSE","BarTime","I15 [09:15-15:30 L]",,"74")</f>
        <v>43790.5416666667</v>
      </c>
      <c r="C327" s="4" t="n">
        <f aca="false">rtd("esrtd",,"*H","$NIFTY-NSE","Open","I15 [09:15-15:30 L]",,"74")</f>
        <v>12000.55</v>
      </c>
      <c r="D327" s="4" t="n">
        <f aca="false">rtd("esrtd",,"*H","$NIFTY-NSE","High","I15 [09:15-15:30 L]",,"74")</f>
        <v>12008.05</v>
      </c>
      <c r="E327" s="4" t="n">
        <f aca="false">rtd("esrtd",,"*H","$NIFTY-NSE","Low","I15 [09:15-15:30 L]",,"74")</f>
        <v>11993.3</v>
      </c>
      <c r="F327" s="4" t="n">
        <f aca="false">rtd("esrtd",,"*H","$NIFTY-NSE","Last","I15 [09:15-15:30 L]",,"74")</f>
        <v>12004.05</v>
      </c>
    </row>
    <row r="328" customFormat="false" ht="15" hidden="false" customHeight="false" outlineLevel="0" collapsed="false">
      <c r="A328" s="2" t="n">
        <f aca="false">rtd("esrtd",,"*H","$NIFTY-NSE","Intraday_Date","I15 [09:15-15:30 L]",,"73")</f>
        <v>43790.7291666667</v>
      </c>
      <c r="B328" s="3" t="n">
        <f aca="false">rtd("esrtd",,"*H","$NIFTY-NSE","BarTime","I15 [09:15-15:30 L]",,"73")</f>
        <v>43790.5520833333</v>
      </c>
      <c r="C328" s="4" t="n">
        <f aca="false">rtd("esrtd",,"*H","$NIFTY-NSE","Open","I15 [09:15-15:30 L]",,"73")</f>
        <v>12004.25</v>
      </c>
      <c r="D328" s="4" t="n">
        <f aca="false">rtd("esrtd",,"*H","$NIFTY-NSE","High","I15 [09:15-15:30 L]",,"73")</f>
        <v>12009.5</v>
      </c>
      <c r="E328" s="4" t="n">
        <f aca="false">rtd("esrtd",,"*H","$NIFTY-NSE","Low","I15 [09:15-15:30 L]",,"73")</f>
        <v>11987.65</v>
      </c>
      <c r="F328" s="4" t="n">
        <f aca="false">rtd("esrtd",,"*H","$NIFTY-NSE","Last","I15 [09:15-15:30 L]",,"73")</f>
        <v>11990.65</v>
      </c>
    </row>
    <row r="329" customFormat="false" ht="15" hidden="false" customHeight="false" outlineLevel="0" collapsed="false">
      <c r="A329" s="2" t="n">
        <f aca="false">rtd("esrtd",,"*H","$NIFTY-NSE","Intraday_Date","I15 [09:15-15:30 L]",,"72")</f>
        <v>43790.7291666667</v>
      </c>
      <c r="B329" s="3" t="n">
        <f aca="false">rtd("esrtd",,"*H","$NIFTY-NSE","BarTime","I15 [09:15-15:30 L]",,"72")</f>
        <v>43790.5625</v>
      </c>
      <c r="C329" s="4" t="n">
        <f aca="false">rtd("esrtd",,"*H","$NIFTY-NSE","Open","I15 [09:15-15:30 L]",,"72")</f>
        <v>11991.65</v>
      </c>
      <c r="D329" s="4" t="n">
        <f aca="false">rtd("esrtd",,"*H","$NIFTY-NSE","High","I15 [09:15-15:30 L]",,"72")</f>
        <v>11998.1</v>
      </c>
      <c r="E329" s="4" t="n">
        <f aca="false">rtd("esrtd",,"*H","$NIFTY-NSE","Low","I15 [09:15-15:30 L]",,"72")</f>
        <v>11985.25</v>
      </c>
      <c r="F329" s="4" t="n">
        <f aca="false">rtd("esrtd",,"*H","$NIFTY-NSE","Last","I15 [09:15-15:30 L]",,"72")</f>
        <v>11988.6</v>
      </c>
    </row>
    <row r="330" customFormat="false" ht="15" hidden="false" customHeight="false" outlineLevel="0" collapsed="false">
      <c r="A330" s="2" t="n">
        <f aca="false">rtd("esrtd",,"*H","$NIFTY-NSE","Intraday_Date","I15 [09:15-15:30 L]",,"71")</f>
        <v>43790.7291666667</v>
      </c>
      <c r="B330" s="3" t="n">
        <f aca="false">rtd("esrtd",,"*H","$NIFTY-NSE","BarTime","I15 [09:15-15:30 L]",,"71")</f>
        <v>43790.5729166667</v>
      </c>
      <c r="C330" s="4" t="n">
        <f aca="false">rtd("esrtd",,"*H","$NIFTY-NSE","Open","I15 [09:15-15:30 L]",,"71")</f>
        <v>11988.2</v>
      </c>
      <c r="D330" s="4" t="n">
        <f aca="false">rtd("esrtd",,"*H","$NIFTY-NSE","High","I15 [09:15-15:30 L]",,"71")</f>
        <v>11997.1</v>
      </c>
      <c r="E330" s="4" t="n">
        <f aca="false">rtd("esrtd",,"*H","$NIFTY-NSE","Low","I15 [09:15-15:30 L]",,"71")</f>
        <v>11987.45</v>
      </c>
      <c r="F330" s="4" t="n">
        <f aca="false">rtd("esrtd",,"*H","$NIFTY-NSE","Last","I15 [09:15-15:30 L]",,"71")</f>
        <v>11994.15</v>
      </c>
    </row>
    <row r="331" customFormat="false" ht="15" hidden="false" customHeight="false" outlineLevel="0" collapsed="false">
      <c r="A331" s="2" t="n">
        <f aca="false">rtd("esrtd",,"*H","$NIFTY-NSE","Intraday_Date","I15 [09:15-15:30 L]",,"70")</f>
        <v>43790.7291666667</v>
      </c>
      <c r="B331" s="3" t="n">
        <f aca="false">rtd("esrtd",,"*H","$NIFTY-NSE","BarTime","I15 [09:15-15:30 L]",,"70")</f>
        <v>43790.5833333333</v>
      </c>
      <c r="C331" s="4" t="n">
        <f aca="false">rtd("esrtd",,"*H","$NIFTY-NSE","Open","I15 [09:15-15:30 L]",,"70")</f>
        <v>11994.25</v>
      </c>
      <c r="D331" s="4" t="n">
        <f aca="false">rtd("esrtd",,"*H","$NIFTY-NSE","High","I15 [09:15-15:30 L]",,"70")</f>
        <v>12003.95</v>
      </c>
      <c r="E331" s="4" t="n">
        <f aca="false">rtd("esrtd",,"*H","$NIFTY-NSE","Low","I15 [09:15-15:30 L]",,"70")</f>
        <v>11980.75</v>
      </c>
      <c r="F331" s="4" t="n">
        <f aca="false">rtd("esrtd",,"*H","$NIFTY-NSE","Last","I15 [09:15-15:30 L]",,"70")</f>
        <v>11988.4</v>
      </c>
    </row>
    <row r="332" customFormat="false" ht="15" hidden="false" customHeight="false" outlineLevel="0" collapsed="false">
      <c r="A332" s="2" t="n">
        <f aca="false">rtd("esrtd",,"*H","$NIFTY-NSE","Intraday_Date","I15 [09:15-15:30 L]",,"69")</f>
        <v>43790.7291666667</v>
      </c>
      <c r="B332" s="3" t="n">
        <f aca="false">rtd("esrtd",,"*H","$NIFTY-NSE","BarTime","I15 [09:15-15:30 L]",,"69")</f>
        <v>43790.59375</v>
      </c>
      <c r="C332" s="4" t="n">
        <f aca="false">rtd("esrtd",,"*H","$NIFTY-NSE","Open","I15 [09:15-15:30 L]",,"69")</f>
        <v>11988.05</v>
      </c>
      <c r="D332" s="4" t="n">
        <f aca="false">rtd("esrtd",,"*H","$NIFTY-NSE","High","I15 [09:15-15:30 L]",,"69")</f>
        <v>11995.65</v>
      </c>
      <c r="E332" s="4" t="n">
        <f aca="false">rtd("esrtd",,"*H","$NIFTY-NSE","Low","I15 [09:15-15:30 L]",,"69")</f>
        <v>11986.75</v>
      </c>
      <c r="F332" s="4" t="n">
        <f aca="false">rtd("esrtd",,"*H","$NIFTY-NSE","Last","I15 [09:15-15:30 L]",,"69")</f>
        <v>11993.6</v>
      </c>
    </row>
    <row r="333" customFormat="false" ht="15" hidden="false" customHeight="false" outlineLevel="0" collapsed="false">
      <c r="A333" s="2" t="n">
        <f aca="false">rtd("esrtd",,"*H","$NIFTY-NSE","Intraday_Date","I15 [09:15-15:30 L]",,"68")</f>
        <v>43790.7291666667</v>
      </c>
      <c r="B333" s="3" t="n">
        <f aca="false">rtd("esrtd",,"*H","$NIFTY-NSE","BarTime","I15 [09:15-15:30 L]",,"68")</f>
        <v>43790.6041666667</v>
      </c>
      <c r="C333" s="4" t="n">
        <f aca="false">rtd("esrtd",,"*H","$NIFTY-NSE","Open","I15 [09:15-15:30 L]",,"68")</f>
        <v>11993.7</v>
      </c>
      <c r="D333" s="4" t="n">
        <f aca="false">rtd("esrtd",,"*H","$NIFTY-NSE","High","I15 [09:15-15:30 L]",,"68")</f>
        <v>12007.05</v>
      </c>
      <c r="E333" s="4" t="n">
        <f aca="false">rtd("esrtd",,"*H","$NIFTY-NSE","Low","I15 [09:15-15:30 L]",,"68")</f>
        <v>11992.9</v>
      </c>
      <c r="F333" s="4" t="n">
        <f aca="false">rtd("esrtd",,"*H","$NIFTY-NSE","Last","I15 [09:15-15:30 L]",,"68")</f>
        <v>11994.7</v>
      </c>
    </row>
    <row r="334" customFormat="false" ht="15" hidden="false" customHeight="false" outlineLevel="0" collapsed="false">
      <c r="A334" s="2" t="n">
        <f aca="false">rtd("esrtd",,"*H","$NIFTY-NSE","Intraday_Date","I15 [09:15-15:30 L]",,"67")</f>
        <v>43790.7291666667</v>
      </c>
      <c r="B334" s="3" t="n">
        <f aca="false">rtd("esrtd",,"*H","$NIFTY-NSE","BarTime","I15 [09:15-15:30 L]",,"67")</f>
        <v>43790.6145833333</v>
      </c>
      <c r="C334" s="4" t="n">
        <f aca="false">rtd("esrtd",,"*H","$NIFTY-NSE","Open","I15 [09:15-15:30 L]",,"67")</f>
        <v>11994.4</v>
      </c>
      <c r="D334" s="4" t="n">
        <f aca="false">rtd("esrtd",,"*H","$NIFTY-NSE","High","I15 [09:15-15:30 L]",,"67")</f>
        <v>11998.45</v>
      </c>
      <c r="E334" s="4" t="n">
        <f aca="false">rtd("esrtd",,"*H","$NIFTY-NSE","Low","I15 [09:15-15:30 L]",,"67")</f>
        <v>11969.6</v>
      </c>
      <c r="F334" s="4" t="n">
        <f aca="false">rtd("esrtd",,"*H","$NIFTY-NSE","Last","I15 [09:15-15:30 L]",,"67")</f>
        <v>11970.65</v>
      </c>
    </row>
    <row r="335" customFormat="false" ht="15" hidden="false" customHeight="false" outlineLevel="0" collapsed="false">
      <c r="A335" s="2" t="n">
        <f aca="false">rtd("esrtd",,"*H","$NIFTY-NSE","Intraday_Date","I15 [09:15-15:30 L]",,"66")</f>
        <v>43790.7291666667</v>
      </c>
      <c r="B335" s="3" t="n">
        <f aca="false">rtd("esrtd",,"*H","$NIFTY-NSE","BarTime","I15 [09:15-15:30 L]",,"66")</f>
        <v>43790.625</v>
      </c>
      <c r="C335" s="4" t="n">
        <f aca="false">rtd("esrtd",,"*H","$NIFTY-NSE","Open","I15 [09:15-15:30 L]",,"66")</f>
        <v>11971.6</v>
      </c>
      <c r="D335" s="4" t="n">
        <f aca="false">rtd("esrtd",,"*H","$NIFTY-NSE","High","I15 [09:15-15:30 L]",,"66")</f>
        <v>11980.7</v>
      </c>
      <c r="E335" s="4" t="n">
        <f aca="false">rtd("esrtd",,"*H","$NIFTY-NSE","Low","I15 [09:15-15:30 L]",,"66")</f>
        <v>11956.9</v>
      </c>
      <c r="F335" s="4" t="n">
        <f aca="false">rtd("esrtd",,"*H","$NIFTY-NSE","Last","I15 [09:15-15:30 L]",,"66")</f>
        <v>11970.4</v>
      </c>
    </row>
    <row r="336" customFormat="false" ht="15" hidden="false" customHeight="false" outlineLevel="0" collapsed="false">
      <c r="A336" s="2" t="n">
        <f aca="false">rtd("esrtd",,"*H","$NIFTY-NSE","Intraday_Date","I15 [09:15-15:30 L]",,"65")</f>
        <v>43790.7291666667</v>
      </c>
      <c r="B336" s="3" t="n">
        <f aca="false">rtd("esrtd",,"*H","$NIFTY-NSE","BarTime","I15 [09:15-15:30 L]",,"65")</f>
        <v>43790.6354166667</v>
      </c>
      <c r="C336" s="4" t="n">
        <f aca="false">rtd("esrtd",,"*H","$NIFTY-NSE","Open","I15 [09:15-15:30 L]",,"65")</f>
        <v>11970.15</v>
      </c>
      <c r="D336" s="4" t="n">
        <f aca="false">rtd("esrtd",,"*H","$NIFTY-NSE","High","I15 [09:15-15:30 L]",,"65")</f>
        <v>11972.3</v>
      </c>
      <c r="E336" s="4" t="n">
        <f aca="false">rtd("esrtd",,"*H","$NIFTY-NSE","Low","I15 [09:15-15:30 L]",,"65")</f>
        <v>11962.1</v>
      </c>
      <c r="F336" s="4" t="n">
        <f aca="false">rtd("esrtd",,"*H","$NIFTY-NSE","Last","I15 [09:15-15:30 L]",,"65")</f>
        <v>11962.7</v>
      </c>
    </row>
    <row r="337" customFormat="false" ht="15" hidden="false" customHeight="false" outlineLevel="0" collapsed="false">
      <c r="A337" s="2" t="n">
        <f aca="false">rtd("esrtd",,"*H","$NIFTY-NSE","Intraday_Date","I15 [09:15-15:30 L]",,"64")</f>
        <v>43791.7291666667</v>
      </c>
      <c r="B337" s="3" t="n">
        <f aca="false">rtd("esrtd",,"*H","$NIFTY-NSE","BarTime","I15 [09:15-15:30 L]",,"64")</f>
        <v>43791.3854166667</v>
      </c>
      <c r="C337" s="4" t="n">
        <f aca="false">rtd("esrtd",,"*H","$NIFTY-NSE","Open","I15 [09:15-15:30 L]",,"64")</f>
        <v>11968.1</v>
      </c>
      <c r="D337" s="4" t="n">
        <f aca="false">rtd("esrtd",,"*H","$NIFTY-NSE","High","I15 [09:15-15:30 L]",,"64")</f>
        <v>11968.1</v>
      </c>
      <c r="E337" s="4" t="n">
        <f aca="false">rtd("esrtd",,"*H","$NIFTY-NSE","Low","I15 [09:15-15:30 L]",,"64")</f>
        <v>11943.65</v>
      </c>
      <c r="F337" s="4" t="n">
        <f aca="false">rtd("esrtd",,"*H","$NIFTY-NSE","Last","I15 [09:15-15:30 L]",,"64")</f>
        <v>11954.55</v>
      </c>
    </row>
    <row r="338" customFormat="false" ht="15" hidden="false" customHeight="false" outlineLevel="0" collapsed="false">
      <c r="A338" s="2" t="n">
        <f aca="false">rtd("esrtd",,"*H","$NIFTY-NSE","Intraday_Date","I15 [09:15-15:30 L]",,"63")</f>
        <v>43791.7291666667</v>
      </c>
      <c r="B338" s="3" t="n">
        <f aca="false">rtd("esrtd",,"*H","$NIFTY-NSE","BarTime","I15 [09:15-15:30 L]",,"63")</f>
        <v>43791.3958333333</v>
      </c>
      <c r="C338" s="4" t="n">
        <f aca="false">rtd("esrtd",,"*H","$NIFTY-NSE","Open","I15 [09:15-15:30 L]",,"63")</f>
        <v>11954.05</v>
      </c>
      <c r="D338" s="4" t="n">
        <f aca="false">rtd("esrtd",,"*H","$NIFTY-NSE","High","I15 [09:15-15:30 L]",,"63")</f>
        <v>11955.55</v>
      </c>
      <c r="E338" s="4" t="n">
        <f aca="false">rtd("esrtd",,"*H","$NIFTY-NSE","Low","I15 [09:15-15:30 L]",,"63")</f>
        <v>11939.4</v>
      </c>
      <c r="F338" s="4" t="n">
        <f aca="false">rtd("esrtd",,"*H","$NIFTY-NSE","Last","I15 [09:15-15:30 L]",,"63")</f>
        <v>11944.35</v>
      </c>
    </row>
    <row r="339" customFormat="false" ht="15" hidden="false" customHeight="false" outlineLevel="0" collapsed="false">
      <c r="A339" s="2" t="n">
        <f aca="false">rtd("esrtd",,"*H","$NIFTY-NSE","Intraday_Date","I15 [09:15-15:30 L]",,"62")</f>
        <v>43791.7291666667</v>
      </c>
      <c r="B339" s="3" t="n">
        <f aca="false">rtd("esrtd",,"*H","$NIFTY-NSE","BarTime","I15 [09:15-15:30 L]",,"62")</f>
        <v>43791.40625</v>
      </c>
      <c r="C339" s="4" t="n">
        <f aca="false">rtd("esrtd",,"*H","$NIFTY-NSE","Open","I15 [09:15-15:30 L]",,"62")</f>
        <v>11944.15</v>
      </c>
      <c r="D339" s="4" t="n">
        <f aca="false">rtd("esrtd",,"*H","$NIFTY-NSE","High","I15 [09:15-15:30 L]",,"62")</f>
        <v>11944.15</v>
      </c>
      <c r="E339" s="4" t="n">
        <f aca="false">rtd("esrtd",,"*H","$NIFTY-NSE","Low","I15 [09:15-15:30 L]",,"62")</f>
        <v>11931.35</v>
      </c>
      <c r="F339" s="4" t="n">
        <f aca="false">rtd("esrtd",,"*H","$NIFTY-NSE","Last","I15 [09:15-15:30 L]",,"62")</f>
        <v>11941.45</v>
      </c>
    </row>
    <row r="340" customFormat="false" ht="15" hidden="false" customHeight="false" outlineLevel="0" collapsed="false">
      <c r="A340" s="2" t="n">
        <f aca="false">rtd("esrtd",,"*H","$NIFTY-NSE","Intraday_Date","I15 [09:15-15:30 L]",,"61")</f>
        <v>43791.7291666667</v>
      </c>
      <c r="B340" s="3" t="n">
        <f aca="false">rtd("esrtd",,"*H","$NIFTY-NSE","BarTime","I15 [09:15-15:30 L]",,"61")</f>
        <v>43791.4166666667</v>
      </c>
      <c r="C340" s="4" t="n">
        <f aca="false">rtd("esrtd",,"*H","$NIFTY-NSE","Open","I15 [09:15-15:30 L]",,"61")</f>
        <v>11941.95</v>
      </c>
      <c r="D340" s="4" t="n">
        <f aca="false">rtd("esrtd",,"*H","$NIFTY-NSE","High","I15 [09:15-15:30 L]",,"61")</f>
        <v>11949.3</v>
      </c>
      <c r="E340" s="4" t="n">
        <f aca="false">rtd("esrtd",,"*H","$NIFTY-NSE","Low","I15 [09:15-15:30 L]",,"61")</f>
        <v>11925</v>
      </c>
      <c r="F340" s="4" t="n">
        <f aca="false">rtd("esrtd",,"*H","$NIFTY-NSE","Last","I15 [09:15-15:30 L]",,"61")</f>
        <v>11929.05</v>
      </c>
    </row>
    <row r="341" customFormat="false" ht="15" hidden="false" customHeight="false" outlineLevel="0" collapsed="false">
      <c r="A341" s="2" t="n">
        <f aca="false">rtd("esrtd",,"*H","$NIFTY-NSE","Intraday_Date","I15 [09:15-15:30 L]",,"60")</f>
        <v>43791.7291666667</v>
      </c>
      <c r="B341" s="3" t="n">
        <f aca="false">rtd("esrtd",,"*H","$NIFTY-NSE","BarTime","I15 [09:15-15:30 L]",,"60")</f>
        <v>43791.4270833333</v>
      </c>
      <c r="C341" s="4" t="n">
        <f aca="false">rtd("esrtd",,"*H","$NIFTY-NSE","Open","I15 [09:15-15:30 L]",,"60")</f>
        <v>11928.4</v>
      </c>
      <c r="D341" s="4" t="n">
        <f aca="false">rtd("esrtd",,"*H","$NIFTY-NSE","High","I15 [09:15-15:30 L]",,"60")</f>
        <v>11931.5</v>
      </c>
      <c r="E341" s="4" t="n">
        <f aca="false">rtd("esrtd",,"*H","$NIFTY-NSE","Low","I15 [09:15-15:30 L]",,"60")</f>
        <v>11916.3</v>
      </c>
      <c r="F341" s="4" t="n">
        <f aca="false">rtd("esrtd",,"*H","$NIFTY-NSE","Last","I15 [09:15-15:30 L]",,"60")</f>
        <v>11922.65</v>
      </c>
    </row>
    <row r="342" customFormat="false" ht="15" hidden="false" customHeight="false" outlineLevel="0" collapsed="false">
      <c r="A342" s="2" t="n">
        <f aca="false">rtd("esrtd",,"*H","$NIFTY-NSE","Intraday_Date","I15 [09:15-15:30 L]",,"59")</f>
        <v>43791.7291666667</v>
      </c>
      <c r="B342" s="3" t="n">
        <f aca="false">rtd("esrtd",,"*H","$NIFTY-NSE","BarTime","I15 [09:15-15:30 L]",,"59")</f>
        <v>43791.4375</v>
      </c>
      <c r="C342" s="4" t="n">
        <f aca="false">rtd("esrtd",,"*H","$NIFTY-NSE","Open","I15 [09:15-15:30 L]",,"59")</f>
        <v>11923.3</v>
      </c>
      <c r="D342" s="4" t="n">
        <f aca="false">rtd("esrtd",,"*H","$NIFTY-NSE","High","I15 [09:15-15:30 L]",,"59")</f>
        <v>11937.8</v>
      </c>
      <c r="E342" s="4" t="n">
        <f aca="false">rtd("esrtd",,"*H","$NIFTY-NSE","Low","I15 [09:15-15:30 L]",,"59")</f>
        <v>11921.4</v>
      </c>
      <c r="F342" s="4" t="n">
        <f aca="false">rtd("esrtd",,"*H","$NIFTY-NSE","Last","I15 [09:15-15:30 L]",,"59")</f>
        <v>11933.75</v>
      </c>
    </row>
    <row r="343" customFormat="false" ht="15" hidden="false" customHeight="false" outlineLevel="0" collapsed="false">
      <c r="A343" s="2" t="n">
        <f aca="false">rtd("esrtd",,"*H","$NIFTY-NSE","Intraday_Date","I15 [09:15-15:30 L]",,"58")</f>
        <v>43791.7291666667</v>
      </c>
      <c r="B343" s="3" t="n">
        <f aca="false">rtd("esrtd",,"*H","$NIFTY-NSE","BarTime","I15 [09:15-15:30 L]",,"58")</f>
        <v>43791.4479166667</v>
      </c>
      <c r="C343" s="4" t="n">
        <f aca="false">rtd("esrtd",,"*H","$NIFTY-NSE","Open","I15 [09:15-15:30 L]",,"58")</f>
        <v>11934.2</v>
      </c>
      <c r="D343" s="4" t="n">
        <f aca="false">rtd("esrtd",,"*H","$NIFTY-NSE","High","I15 [09:15-15:30 L]",,"58")</f>
        <v>11943.5</v>
      </c>
      <c r="E343" s="4" t="n">
        <f aca="false">rtd("esrtd",,"*H","$NIFTY-NSE","Low","I15 [09:15-15:30 L]",,"58")</f>
        <v>11928.1</v>
      </c>
      <c r="F343" s="4" t="n">
        <f aca="false">rtd("esrtd",,"*H","$NIFTY-NSE","Last","I15 [09:15-15:30 L]",,"58")</f>
        <v>11942.45</v>
      </c>
    </row>
    <row r="344" customFormat="false" ht="15" hidden="false" customHeight="false" outlineLevel="0" collapsed="false">
      <c r="A344" s="2" t="n">
        <f aca="false">rtd("esrtd",,"*H","$NIFTY-NSE","Intraday_Date","I15 [09:15-15:30 L]",,"57")</f>
        <v>43791.7291666667</v>
      </c>
      <c r="B344" s="3" t="n">
        <f aca="false">rtd("esrtd",,"*H","$NIFTY-NSE","BarTime","I15 [09:15-15:30 L]",,"57")</f>
        <v>43791.4583333333</v>
      </c>
      <c r="C344" s="4" t="n">
        <f aca="false">rtd("esrtd",,"*H","$NIFTY-NSE","Open","I15 [09:15-15:30 L]",,"57")</f>
        <v>11942.15</v>
      </c>
      <c r="D344" s="4" t="n">
        <f aca="false">rtd("esrtd",,"*H","$NIFTY-NSE","High","I15 [09:15-15:30 L]",,"57")</f>
        <v>11944.5</v>
      </c>
      <c r="E344" s="4" t="n">
        <f aca="false">rtd("esrtd",,"*H","$NIFTY-NSE","Low","I15 [09:15-15:30 L]",,"57")</f>
        <v>11929.4</v>
      </c>
      <c r="F344" s="4" t="n">
        <f aca="false">rtd("esrtd",,"*H","$NIFTY-NSE","Last","I15 [09:15-15:30 L]",,"57")</f>
        <v>11933.35</v>
      </c>
    </row>
    <row r="345" customFormat="false" ht="15" hidden="false" customHeight="false" outlineLevel="0" collapsed="false">
      <c r="A345" s="2" t="n">
        <f aca="false">rtd("esrtd",,"*H","$NIFTY-NSE","Intraday_Date","I15 [09:15-15:30 L]",,"56")</f>
        <v>43791.7291666667</v>
      </c>
      <c r="B345" s="3" t="n">
        <f aca="false">rtd("esrtd",,"*H","$NIFTY-NSE","BarTime","I15 [09:15-15:30 L]",,"56")</f>
        <v>43791.46875</v>
      </c>
      <c r="C345" s="4" t="n">
        <f aca="false">rtd("esrtd",,"*H","$NIFTY-NSE","Open","I15 [09:15-15:30 L]",,"56")</f>
        <v>11933.2</v>
      </c>
      <c r="D345" s="4" t="n">
        <f aca="false">rtd("esrtd",,"*H","$NIFTY-NSE","High","I15 [09:15-15:30 L]",,"56")</f>
        <v>11934.6</v>
      </c>
      <c r="E345" s="4" t="n">
        <f aca="false">rtd("esrtd",,"*H","$NIFTY-NSE","Low","I15 [09:15-15:30 L]",,"56")</f>
        <v>11917.05</v>
      </c>
      <c r="F345" s="4" t="n">
        <f aca="false">rtd("esrtd",,"*H","$NIFTY-NSE","Last","I15 [09:15-15:30 L]",,"56")</f>
        <v>11919.3</v>
      </c>
    </row>
    <row r="346" customFormat="false" ht="15" hidden="false" customHeight="false" outlineLevel="0" collapsed="false">
      <c r="A346" s="2" t="n">
        <f aca="false">rtd("esrtd",,"*H","$NIFTY-NSE","Intraday_Date","I15 [09:15-15:30 L]",,"55")</f>
        <v>43791.7291666667</v>
      </c>
      <c r="B346" s="3" t="n">
        <f aca="false">rtd("esrtd",,"*H","$NIFTY-NSE","BarTime","I15 [09:15-15:30 L]",,"55")</f>
        <v>43791.4791666667</v>
      </c>
      <c r="C346" s="4" t="n">
        <f aca="false">rtd("esrtd",,"*H","$NIFTY-NSE","Open","I15 [09:15-15:30 L]",,"55")</f>
        <v>11919.2</v>
      </c>
      <c r="D346" s="4" t="n">
        <f aca="false">rtd("esrtd",,"*H","$NIFTY-NSE","High","I15 [09:15-15:30 L]",,"55")</f>
        <v>11919.9</v>
      </c>
      <c r="E346" s="4" t="n">
        <f aca="false">rtd("esrtd",,"*H","$NIFTY-NSE","Low","I15 [09:15-15:30 L]",,"55")</f>
        <v>11884.45</v>
      </c>
      <c r="F346" s="4" t="n">
        <f aca="false">rtd("esrtd",,"*H","$NIFTY-NSE","Last","I15 [09:15-15:30 L]",,"55")</f>
        <v>11903.55</v>
      </c>
    </row>
    <row r="347" customFormat="false" ht="15" hidden="false" customHeight="false" outlineLevel="0" collapsed="false">
      <c r="A347" s="2" t="n">
        <f aca="false">rtd("esrtd",,"*H","$NIFTY-NSE","Intraday_Date","I15 [09:15-15:30 L]",,"54")</f>
        <v>43791.7291666667</v>
      </c>
      <c r="B347" s="3" t="n">
        <f aca="false">rtd("esrtd",,"*H","$NIFTY-NSE","BarTime","I15 [09:15-15:30 L]",,"54")</f>
        <v>43791.4895833333</v>
      </c>
      <c r="C347" s="4" t="n">
        <f aca="false">rtd("esrtd",,"*H","$NIFTY-NSE","Open","I15 [09:15-15:30 L]",,"54")</f>
        <v>11903.8</v>
      </c>
      <c r="D347" s="4" t="n">
        <f aca="false">rtd("esrtd",,"*H","$NIFTY-NSE","High","I15 [09:15-15:30 L]",,"54")</f>
        <v>11909.95</v>
      </c>
      <c r="E347" s="4" t="n">
        <f aca="false">rtd("esrtd",,"*H","$NIFTY-NSE","Low","I15 [09:15-15:30 L]",,"54")</f>
        <v>11902.65</v>
      </c>
      <c r="F347" s="4" t="n">
        <f aca="false">rtd("esrtd",,"*H","$NIFTY-NSE","Last","I15 [09:15-15:30 L]",,"54")</f>
        <v>11903.55</v>
      </c>
    </row>
    <row r="348" customFormat="false" ht="15" hidden="false" customHeight="false" outlineLevel="0" collapsed="false">
      <c r="A348" s="2" t="n">
        <f aca="false">rtd("esrtd",,"*H","$NIFTY-NSE","Intraday_Date","I15 [09:15-15:30 L]",,"53")</f>
        <v>43791.7291666667</v>
      </c>
      <c r="B348" s="3" t="n">
        <f aca="false">rtd("esrtd",,"*H","$NIFTY-NSE","BarTime","I15 [09:15-15:30 L]",,"53")</f>
        <v>43791.5</v>
      </c>
      <c r="C348" s="4" t="n">
        <f aca="false">rtd("esrtd",,"*H","$NIFTY-NSE","Open","I15 [09:15-15:30 L]",,"53")</f>
        <v>11903.4</v>
      </c>
      <c r="D348" s="4" t="n">
        <f aca="false">rtd("esrtd",,"*H","$NIFTY-NSE","High","I15 [09:15-15:30 L]",,"53")</f>
        <v>11906.2</v>
      </c>
      <c r="E348" s="4" t="n">
        <f aca="false">rtd("esrtd",,"*H","$NIFTY-NSE","Low","I15 [09:15-15:30 L]",,"53")</f>
        <v>11897.6</v>
      </c>
      <c r="F348" s="4" t="n">
        <f aca="false">rtd("esrtd",,"*H","$NIFTY-NSE","Last","I15 [09:15-15:30 L]",,"53")</f>
        <v>11901.6</v>
      </c>
    </row>
    <row r="349" customFormat="false" ht="15" hidden="false" customHeight="false" outlineLevel="0" collapsed="false">
      <c r="A349" s="2" t="n">
        <f aca="false">rtd("esrtd",,"*H","$NIFTY-NSE","Intraday_Date","I15 [09:15-15:30 L]",,"52")</f>
        <v>43791.7291666667</v>
      </c>
      <c r="B349" s="3" t="n">
        <f aca="false">rtd("esrtd",,"*H","$NIFTY-NSE","BarTime","I15 [09:15-15:30 L]",,"52")</f>
        <v>43791.5104166667</v>
      </c>
      <c r="C349" s="4" t="n">
        <f aca="false">rtd("esrtd",,"*H","$NIFTY-NSE","Open","I15 [09:15-15:30 L]",,"52")</f>
        <v>11901.7</v>
      </c>
      <c r="D349" s="4" t="n">
        <f aca="false">rtd("esrtd",,"*H","$NIFTY-NSE","High","I15 [09:15-15:30 L]",,"52")</f>
        <v>11908.9</v>
      </c>
      <c r="E349" s="4" t="n">
        <f aca="false">rtd("esrtd",,"*H","$NIFTY-NSE","Low","I15 [09:15-15:30 L]",,"52")</f>
        <v>11899.75</v>
      </c>
      <c r="F349" s="4" t="n">
        <f aca="false">rtd("esrtd",,"*H","$NIFTY-NSE","Last","I15 [09:15-15:30 L]",,"52")</f>
        <v>11905.4</v>
      </c>
    </row>
    <row r="350" customFormat="false" ht="15" hidden="false" customHeight="false" outlineLevel="0" collapsed="false">
      <c r="A350" s="2" t="n">
        <f aca="false">rtd("esrtd",,"*H","$NIFTY-NSE","Intraday_Date","I15 [09:15-15:30 L]",,"51")</f>
        <v>43791.7291666667</v>
      </c>
      <c r="B350" s="3" t="n">
        <f aca="false">rtd("esrtd",,"*H","$NIFTY-NSE","BarTime","I15 [09:15-15:30 L]",,"51")</f>
        <v>43791.5208333333</v>
      </c>
      <c r="C350" s="4" t="n">
        <f aca="false">rtd("esrtd",,"*H","$NIFTY-NSE","Open","I15 [09:15-15:30 L]",,"51")</f>
        <v>11905.55</v>
      </c>
      <c r="D350" s="4" t="n">
        <f aca="false">rtd("esrtd",,"*H","$NIFTY-NSE","High","I15 [09:15-15:30 L]",,"51")</f>
        <v>11909</v>
      </c>
      <c r="E350" s="4" t="n">
        <f aca="false">rtd("esrtd",,"*H","$NIFTY-NSE","Low","I15 [09:15-15:30 L]",,"51")</f>
        <v>11892.85</v>
      </c>
      <c r="F350" s="4" t="n">
        <f aca="false">rtd("esrtd",,"*H","$NIFTY-NSE","Last","I15 [09:15-15:30 L]",,"51")</f>
        <v>11895.6</v>
      </c>
    </row>
    <row r="351" customFormat="false" ht="15" hidden="false" customHeight="false" outlineLevel="0" collapsed="false">
      <c r="A351" s="2" t="n">
        <f aca="false">rtd("esrtd",,"*H","$NIFTY-NSE","Intraday_Date","I15 [09:15-15:30 L]",,"50")</f>
        <v>43791.7291666667</v>
      </c>
      <c r="B351" s="3" t="n">
        <f aca="false">rtd("esrtd",,"*H","$NIFTY-NSE","BarTime","I15 [09:15-15:30 L]",,"50")</f>
        <v>43791.53125</v>
      </c>
      <c r="C351" s="4" t="n">
        <f aca="false">rtd("esrtd",,"*H","$NIFTY-NSE","Open","I15 [09:15-15:30 L]",,"50")</f>
        <v>11896.05</v>
      </c>
      <c r="D351" s="4" t="n">
        <f aca="false">rtd("esrtd",,"*H","$NIFTY-NSE","High","I15 [09:15-15:30 L]",,"50")</f>
        <v>11907.25</v>
      </c>
      <c r="E351" s="4" t="n">
        <f aca="false">rtd("esrtd",,"*H","$NIFTY-NSE","Low","I15 [09:15-15:30 L]",,"50")</f>
        <v>11895.3</v>
      </c>
      <c r="F351" s="4" t="n">
        <f aca="false">rtd("esrtd",,"*H","$NIFTY-NSE","Last","I15 [09:15-15:30 L]",,"50")</f>
        <v>11899.3</v>
      </c>
    </row>
    <row r="352" customFormat="false" ht="15" hidden="false" customHeight="false" outlineLevel="0" collapsed="false">
      <c r="A352" s="2" t="n">
        <f aca="false">rtd("esrtd",,"*H","$NIFTY-NSE","Intraday_Date","I15 [09:15-15:30 L]",,"49")</f>
        <v>43791.7291666667</v>
      </c>
      <c r="B352" s="3" t="n">
        <f aca="false">rtd("esrtd",,"*H","$NIFTY-NSE","BarTime","I15 [09:15-15:30 L]",,"49")</f>
        <v>43791.5416666667</v>
      </c>
      <c r="C352" s="4" t="n">
        <f aca="false">rtd("esrtd",,"*H","$NIFTY-NSE","Open","I15 [09:15-15:30 L]",,"49")</f>
        <v>11900.65</v>
      </c>
      <c r="D352" s="4" t="n">
        <f aca="false">rtd("esrtd",,"*H","$NIFTY-NSE","High","I15 [09:15-15:30 L]",,"49")</f>
        <v>11903.65</v>
      </c>
      <c r="E352" s="4" t="n">
        <f aca="false">rtd("esrtd",,"*H","$NIFTY-NSE","Low","I15 [09:15-15:30 L]",,"49")</f>
        <v>11883.5</v>
      </c>
      <c r="F352" s="4" t="n">
        <f aca="false">rtd("esrtd",,"*H","$NIFTY-NSE","Last","I15 [09:15-15:30 L]",,"49")</f>
        <v>11890.75</v>
      </c>
    </row>
    <row r="353" customFormat="false" ht="15" hidden="false" customHeight="false" outlineLevel="0" collapsed="false">
      <c r="A353" s="2" t="n">
        <f aca="false">rtd("esrtd",,"*H","$NIFTY-NSE","Intraday_Date","I15 [09:15-15:30 L]",,"48")</f>
        <v>43791.7291666667</v>
      </c>
      <c r="B353" s="3" t="n">
        <f aca="false">rtd("esrtd",,"*H","$NIFTY-NSE","BarTime","I15 [09:15-15:30 L]",,"48")</f>
        <v>43791.5520833333</v>
      </c>
      <c r="C353" s="4" t="n">
        <f aca="false">rtd("esrtd",,"*H","$NIFTY-NSE","Open","I15 [09:15-15:30 L]",,"48")</f>
        <v>11890.65</v>
      </c>
      <c r="D353" s="4" t="n">
        <f aca="false">rtd("esrtd",,"*H","$NIFTY-NSE","High","I15 [09:15-15:30 L]",,"48")</f>
        <v>11905.35</v>
      </c>
      <c r="E353" s="4" t="n">
        <f aca="false">rtd("esrtd",,"*H","$NIFTY-NSE","Low","I15 [09:15-15:30 L]",,"48")</f>
        <v>11889.6</v>
      </c>
      <c r="F353" s="4" t="n">
        <f aca="false">rtd("esrtd",,"*H","$NIFTY-NSE","Last","I15 [09:15-15:30 L]",,"48")</f>
        <v>11902.55</v>
      </c>
    </row>
    <row r="354" customFormat="false" ht="15" hidden="false" customHeight="false" outlineLevel="0" collapsed="false">
      <c r="A354" s="2" t="n">
        <f aca="false">rtd("esrtd",,"*H","$NIFTY-NSE","Intraday_Date","I15 [09:15-15:30 L]",,"47")</f>
        <v>43791.7291666667</v>
      </c>
      <c r="B354" s="3" t="n">
        <f aca="false">rtd("esrtd",,"*H","$NIFTY-NSE","BarTime","I15 [09:15-15:30 L]",,"47")</f>
        <v>43791.5625</v>
      </c>
      <c r="C354" s="4" t="n">
        <f aca="false">rtd("esrtd",,"*H","$NIFTY-NSE","Open","I15 [09:15-15:30 L]",,"47")</f>
        <v>11902.85</v>
      </c>
      <c r="D354" s="4" t="n">
        <f aca="false">rtd("esrtd",,"*H","$NIFTY-NSE","High","I15 [09:15-15:30 L]",,"47")</f>
        <v>11914.95</v>
      </c>
      <c r="E354" s="4" t="n">
        <f aca="false">rtd("esrtd",,"*H","$NIFTY-NSE","Low","I15 [09:15-15:30 L]",,"47")</f>
        <v>11900.2</v>
      </c>
      <c r="F354" s="4" t="n">
        <f aca="false">rtd("esrtd",,"*H","$NIFTY-NSE","Last","I15 [09:15-15:30 L]",,"47")</f>
        <v>11900.6</v>
      </c>
    </row>
    <row r="355" customFormat="false" ht="15" hidden="false" customHeight="false" outlineLevel="0" collapsed="false">
      <c r="A355" s="2" t="n">
        <f aca="false">rtd("esrtd",,"*H","$NIFTY-NSE","Intraday_Date","I15 [09:15-15:30 L]",,"46")</f>
        <v>43791.7291666667</v>
      </c>
      <c r="B355" s="3" t="n">
        <f aca="false">rtd("esrtd",,"*H","$NIFTY-NSE","BarTime","I15 [09:15-15:30 L]",,"46")</f>
        <v>43791.5729166667</v>
      </c>
      <c r="C355" s="4" t="n">
        <f aca="false">rtd("esrtd",,"*H","$NIFTY-NSE","Open","I15 [09:15-15:30 L]",,"46")</f>
        <v>11900.55</v>
      </c>
      <c r="D355" s="4" t="n">
        <f aca="false">rtd("esrtd",,"*H","$NIFTY-NSE","High","I15 [09:15-15:30 L]",,"46")</f>
        <v>11911.1</v>
      </c>
      <c r="E355" s="4" t="n">
        <f aca="false">rtd("esrtd",,"*H","$NIFTY-NSE","Low","I15 [09:15-15:30 L]",,"46")</f>
        <v>11900.5</v>
      </c>
      <c r="F355" s="4" t="n">
        <f aca="false">rtd("esrtd",,"*H","$NIFTY-NSE","Last","I15 [09:15-15:30 L]",,"46")</f>
        <v>11904</v>
      </c>
    </row>
    <row r="356" customFormat="false" ht="15" hidden="false" customHeight="false" outlineLevel="0" collapsed="false">
      <c r="A356" s="2" t="n">
        <f aca="false">rtd("esrtd",,"*H","$NIFTY-NSE","Intraday_Date","I15 [09:15-15:30 L]",,"45")</f>
        <v>43791.7291666667</v>
      </c>
      <c r="B356" s="3" t="n">
        <f aca="false">rtd("esrtd",,"*H","$NIFTY-NSE","BarTime","I15 [09:15-15:30 L]",,"45")</f>
        <v>43791.5833333333</v>
      </c>
      <c r="C356" s="4" t="n">
        <f aca="false">rtd("esrtd",,"*H","$NIFTY-NSE","Open","I15 [09:15-15:30 L]",,"45")</f>
        <v>11904.3</v>
      </c>
      <c r="D356" s="4" t="n">
        <f aca="false">rtd("esrtd",,"*H","$NIFTY-NSE","High","I15 [09:15-15:30 L]",,"45")</f>
        <v>11921.45</v>
      </c>
      <c r="E356" s="4" t="n">
        <f aca="false">rtd("esrtd",,"*H","$NIFTY-NSE","Low","I15 [09:15-15:30 L]",,"45")</f>
        <v>11903.7</v>
      </c>
      <c r="F356" s="4" t="n">
        <f aca="false">rtd("esrtd",,"*H","$NIFTY-NSE","Last","I15 [09:15-15:30 L]",,"45")</f>
        <v>11909.95</v>
      </c>
    </row>
    <row r="357" customFormat="false" ht="15" hidden="false" customHeight="false" outlineLevel="0" collapsed="false">
      <c r="A357" s="2" t="n">
        <f aca="false">rtd("esrtd",,"*H","$NIFTY-NSE","Intraday_Date","I15 [09:15-15:30 L]",,"44")</f>
        <v>43791.7291666667</v>
      </c>
      <c r="B357" s="3" t="n">
        <f aca="false">rtd("esrtd",,"*H","$NIFTY-NSE","BarTime","I15 [09:15-15:30 L]",,"44")</f>
        <v>43791.59375</v>
      </c>
      <c r="C357" s="4" t="n">
        <f aca="false">rtd("esrtd",,"*H","$NIFTY-NSE","Open","I15 [09:15-15:30 L]",,"44")</f>
        <v>11909.35</v>
      </c>
      <c r="D357" s="4" t="n">
        <f aca="false">rtd("esrtd",,"*H","$NIFTY-NSE","High","I15 [09:15-15:30 L]",,"44")</f>
        <v>11915.45</v>
      </c>
      <c r="E357" s="4" t="n">
        <f aca="false">rtd("esrtd",,"*H","$NIFTY-NSE","Low","I15 [09:15-15:30 L]",,"44")</f>
        <v>11901.85</v>
      </c>
      <c r="F357" s="4" t="n">
        <f aca="false">rtd("esrtd",,"*H","$NIFTY-NSE","Last","I15 [09:15-15:30 L]",,"44")</f>
        <v>11910.7</v>
      </c>
    </row>
    <row r="358" customFormat="false" ht="15" hidden="false" customHeight="false" outlineLevel="0" collapsed="false">
      <c r="A358" s="2" t="n">
        <f aca="false">rtd("esrtd",,"*H","$NIFTY-NSE","Intraday_Date","I15 [09:15-15:30 L]",,"43")</f>
        <v>43791.7291666667</v>
      </c>
      <c r="B358" s="3" t="n">
        <f aca="false">rtd("esrtd",,"*H","$NIFTY-NSE","BarTime","I15 [09:15-15:30 L]",,"43")</f>
        <v>43791.6041666667</v>
      </c>
      <c r="C358" s="4" t="n">
        <f aca="false">rtd("esrtd",,"*H","$NIFTY-NSE","Open","I15 [09:15-15:30 L]",,"43")</f>
        <v>11909.9</v>
      </c>
      <c r="D358" s="4" t="n">
        <f aca="false">rtd("esrtd",,"*H","$NIFTY-NSE","High","I15 [09:15-15:30 L]",,"43")</f>
        <v>11916.15</v>
      </c>
      <c r="E358" s="4" t="n">
        <f aca="false">rtd("esrtd",,"*H","$NIFTY-NSE","Low","I15 [09:15-15:30 L]",,"43")</f>
        <v>11903.65</v>
      </c>
      <c r="F358" s="4" t="n">
        <f aca="false">rtd("esrtd",,"*H","$NIFTY-NSE","Last","I15 [09:15-15:30 L]",,"43")</f>
        <v>11906.15</v>
      </c>
    </row>
    <row r="359" customFormat="false" ht="15" hidden="false" customHeight="false" outlineLevel="0" collapsed="false">
      <c r="A359" s="2" t="n">
        <f aca="false">rtd("esrtd",,"*H","$NIFTY-NSE","Intraday_Date","I15 [09:15-15:30 L]",,"42")</f>
        <v>43791.7291666667</v>
      </c>
      <c r="B359" s="3" t="n">
        <f aca="false">rtd("esrtd",,"*H","$NIFTY-NSE","BarTime","I15 [09:15-15:30 L]",,"42")</f>
        <v>43791.6145833333</v>
      </c>
      <c r="C359" s="4" t="n">
        <f aca="false">rtd("esrtd",,"*H","$NIFTY-NSE","Open","I15 [09:15-15:30 L]",,"42")</f>
        <v>11906</v>
      </c>
      <c r="D359" s="4" t="n">
        <f aca="false">rtd("esrtd",,"*H","$NIFTY-NSE","High","I15 [09:15-15:30 L]",,"42")</f>
        <v>11906</v>
      </c>
      <c r="E359" s="4" t="n">
        <f aca="false">rtd("esrtd",,"*H","$NIFTY-NSE","Low","I15 [09:15-15:30 L]",,"42")</f>
        <v>11891.65</v>
      </c>
      <c r="F359" s="4" t="n">
        <f aca="false">rtd("esrtd",,"*H","$NIFTY-NSE","Last","I15 [09:15-15:30 L]",,"42")</f>
        <v>11902.05</v>
      </c>
    </row>
    <row r="360" customFormat="false" ht="15" hidden="false" customHeight="false" outlineLevel="0" collapsed="false">
      <c r="A360" s="2" t="n">
        <f aca="false">rtd("esrtd",,"*H","$NIFTY-NSE","Intraday_Date","I15 [09:15-15:30 L]",,"41")</f>
        <v>43791.7291666667</v>
      </c>
      <c r="B360" s="3" t="n">
        <f aca="false">rtd("esrtd",,"*H","$NIFTY-NSE","BarTime","I15 [09:15-15:30 L]",,"41")</f>
        <v>43791.625</v>
      </c>
      <c r="C360" s="4" t="n">
        <f aca="false">rtd("esrtd",,"*H","$NIFTY-NSE","Open","I15 [09:15-15:30 L]",,"41")</f>
        <v>11902.55</v>
      </c>
      <c r="D360" s="4" t="n">
        <f aca="false">rtd("esrtd",,"*H","$NIFTY-NSE","High","I15 [09:15-15:30 L]",,"41")</f>
        <v>11924.4</v>
      </c>
      <c r="E360" s="4" t="n">
        <f aca="false">rtd("esrtd",,"*H","$NIFTY-NSE","Low","I15 [09:15-15:30 L]",,"41")</f>
        <v>11899.75</v>
      </c>
      <c r="F360" s="4" t="n">
        <f aca="false">rtd("esrtd",,"*H","$NIFTY-NSE","Last","I15 [09:15-15:30 L]",,"41")</f>
        <v>11911.15</v>
      </c>
    </row>
    <row r="361" customFormat="false" ht="15" hidden="false" customHeight="false" outlineLevel="0" collapsed="false">
      <c r="A361" s="2" t="n">
        <f aca="false">rtd("esrtd",,"*H","$NIFTY-NSE","Intraday_Date","I15 [09:15-15:30 L]",,"40")</f>
        <v>43791.7291666667</v>
      </c>
      <c r="B361" s="3" t="n">
        <f aca="false">rtd("esrtd",,"*H","$NIFTY-NSE","BarTime","I15 [09:15-15:30 L]",,"40")</f>
        <v>43791.6354166667</v>
      </c>
      <c r="C361" s="4" t="n">
        <f aca="false">rtd("esrtd",,"*H","$NIFTY-NSE","Open","I15 [09:15-15:30 L]",,"40")</f>
        <v>11912.1</v>
      </c>
      <c r="D361" s="4" t="n">
        <f aca="false">rtd("esrtd",,"*H","$NIFTY-NSE","High","I15 [09:15-15:30 L]",,"40")</f>
        <v>11918.05</v>
      </c>
      <c r="E361" s="4" t="n">
        <f aca="false">rtd("esrtd",,"*H","$NIFTY-NSE","Low","I15 [09:15-15:30 L]",,"40")</f>
        <v>11908.3</v>
      </c>
      <c r="F361" s="4" t="n">
        <f aca="false">rtd("esrtd",,"*H","$NIFTY-NSE","Last","I15 [09:15-15:30 L]",,"40")</f>
        <v>11916.1</v>
      </c>
    </row>
    <row r="362" customFormat="false" ht="15" hidden="false" customHeight="false" outlineLevel="0" collapsed="false">
      <c r="A362" s="2" t="n">
        <f aca="false">rtd("esrtd",,"*H","$NIFTY-NSE","Intraday_Date","I15 [09:15-15:30 L]",,"39")</f>
        <v>43794.7291666667</v>
      </c>
      <c r="B362" s="3" t="n">
        <f aca="false">rtd("esrtd",,"*H","$NIFTY-NSE","BarTime","I15 [09:15-15:30 L]",,"39")</f>
        <v>43794.3854166667</v>
      </c>
      <c r="C362" s="4" t="n">
        <f aca="false">rtd("esrtd",,"*H","$NIFTY-NSE","Open","I15 [09:15-15:30 L]",,"39")</f>
        <v>11928.05</v>
      </c>
      <c r="D362" s="4" t="n">
        <f aca="false">rtd("esrtd",,"*H","$NIFTY-NSE","High","I15 [09:15-15:30 L]",,"39")</f>
        <v>11959.45</v>
      </c>
      <c r="E362" s="4" t="n">
        <f aca="false">rtd("esrtd",,"*H","$NIFTY-NSE","Low","I15 [09:15-15:30 L]",,"39")</f>
        <v>11919.75</v>
      </c>
      <c r="F362" s="4" t="n">
        <f aca="false">rtd("esrtd",,"*H","$NIFTY-NSE","Last","I15 [09:15-15:30 L]",,"39")</f>
        <v>11958.2</v>
      </c>
    </row>
    <row r="363" customFormat="false" ht="15" hidden="false" customHeight="false" outlineLevel="0" collapsed="false">
      <c r="A363" s="2" t="n">
        <f aca="false">rtd("esrtd",,"*H","$NIFTY-NSE","Intraday_Date","I15 [09:15-15:30 L]",,"38")</f>
        <v>43794.7291666667</v>
      </c>
      <c r="B363" s="3" t="n">
        <f aca="false">rtd("esrtd",,"*H","$NIFTY-NSE","BarTime","I15 [09:15-15:30 L]",,"38")</f>
        <v>43794.3958333333</v>
      </c>
      <c r="C363" s="4" t="n">
        <f aca="false">rtd("esrtd",,"*H","$NIFTY-NSE","Open","I15 [09:15-15:30 L]",,"38")</f>
        <v>11958.45</v>
      </c>
      <c r="D363" s="4" t="n">
        <f aca="false">rtd("esrtd",,"*H","$NIFTY-NSE","High","I15 [09:15-15:30 L]",,"38")</f>
        <v>11982.1</v>
      </c>
      <c r="E363" s="4" t="n">
        <f aca="false">rtd("esrtd",,"*H","$NIFTY-NSE","Low","I15 [09:15-15:30 L]",,"38")</f>
        <v>11958.4</v>
      </c>
      <c r="F363" s="4" t="n">
        <f aca="false">rtd("esrtd",,"*H","$NIFTY-NSE","Last","I15 [09:15-15:30 L]",,"38")</f>
        <v>11968.9</v>
      </c>
    </row>
    <row r="364" customFormat="false" ht="15" hidden="false" customHeight="false" outlineLevel="0" collapsed="false">
      <c r="A364" s="2" t="n">
        <f aca="false">rtd("esrtd",,"*H","$NIFTY-NSE","Intraday_Date","I15 [09:15-15:30 L]",,"37")</f>
        <v>43794.7291666667</v>
      </c>
      <c r="B364" s="3" t="n">
        <f aca="false">rtd("esrtd",,"*H","$NIFTY-NSE","BarTime","I15 [09:15-15:30 L]",,"37")</f>
        <v>43794.40625</v>
      </c>
      <c r="C364" s="4" t="n">
        <f aca="false">rtd("esrtd",,"*H","$NIFTY-NSE","Open","I15 [09:15-15:30 L]",,"37")</f>
        <v>11969.05</v>
      </c>
      <c r="D364" s="4" t="n">
        <f aca="false">rtd("esrtd",,"*H","$NIFTY-NSE","High","I15 [09:15-15:30 L]",,"37")</f>
        <v>11987.25</v>
      </c>
      <c r="E364" s="4" t="n">
        <f aca="false">rtd("esrtd",,"*H","$NIFTY-NSE","Low","I15 [09:15-15:30 L]",,"37")</f>
        <v>11969.05</v>
      </c>
      <c r="F364" s="4" t="n">
        <f aca="false">rtd("esrtd",,"*H","$NIFTY-NSE","Last","I15 [09:15-15:30 L]",,"37")</f>
        <v>11983.5</v>
      </c>
    </row>
    <row r="365" customFormat="false" ht="15" hidden="false" customHeight="false" outlineLevel="0" collapsed="false">
      <c r="A365" s="2" t="n">
        <f aca="false">rtd("esrtd",,"*H","$NIFTY-NSE","Intraday_Date","I15 [09:15-15:30 L]",,"36")</f>
        <v>43794.7291666667</v>
      </c>
      <c r="B365" s="3" t="n">
        <f aca="false">rtd("esrtd",,"*H","$NIFTY-NSE","BarTime","I15 [09:15-15:30 L]",,"36")</f>
        <v>43794.4166666667</v>
      </c>
      <c r="C365" s="4" t="n">
        <f aca="false">rtd("esrtd",,"*H","$NIFTY-NSE","Open","I15 [09:15-15:30 L]",,"36")</f>
        <v>11984.3</v>
      </c>
      <c r="D365" s="4" t="n">
        <f aca="false">rtd("esrtd",,"*H","$NIFTY-NSE","High","I15 [09:15-15:30 L]",,"36")</f>
        <v>11986.75</v>
      </c>
      <c r="E365" s="4" t="n">
        <f aca="false">rtd("esrtd",,"*H","$NIFTY-NSE","Low","I15 [09:15-15:30 L]",,"36")</f>
        <v>11971.25</v>
      </c>
      <c r="F365" s="4" t="n">
        <f aca="false">rtd("esrtd",,"*H","$NIFTY-NSE","Last","I15 [09:15-15:30 L]",,"36")</f>
        <v>11974.5</v>
      </c>
    </row>
    <row r="366" customFormat="false" ht="15" hidden="false" customHeight="false" outlineLevel="0" collapsed="false">
      <c r="A366" s="2" t="n">
        <f aca="false">rtd("esrtd",,"*H","$NIFTY-NSE","Intraday_Date","I15 [09:15-15:30 L]",,"35")</f>
        <v>43794.7291666667</v>
      </c>
      <c r="B366" s="3" t="n">
        <f aca="false">rtd("esrtd",,"*H","$NIFTY-NSE","BarTime","I15 [09:15-15:30 L]",,"35")</f>
        <v>43794.4270833333</v>
      </c>
      <c r="C366" s="4" t="n">
        <f aca="false">rtd("esrtd",,"*H","$NIFTY-NSE","Open","I15 [09:15-15:30 L]",,"35")</f>
        <v>11974.6</v>
      </c>
      <c r="D366" s="4" t="n">
        <f aca="false">rtd("esrtd",,"*H","$NIFTY-NSE","High","I15 [09:15-15:30 L]",,"35")</f>
        <v>11981.9</v>
      </c>
      <c r="E366" s="4" t="n">
        <f aca="false">rtd("esrtd",,"*H","$NIFTY-NSE","Low","I15 [09:15-15:30 L]",,"35")</f>
        <v>11967.65</v>
      </c>
      <c r="F366" s="4" t="n">
        <f aca="false">rtd("esrtd",,"*H","$NIFTY-NSE","Last","I15 [09:15-15:30 L]",,"35")</f>
        <v>11979.65</v>
      </c>
    </row>
    <row r="367" customFormat="false" ht="15" hidden="false" customHeight="false" outlineLevel="0" collapsed="false">
      <c r="A367" s="2" t="n">
        <f aca="false">rtd("esrtd",,"*H","$NIFTY-NSE","Intraday_Date","I15 [09:15-15:30 L]",,"34")</f>
        <v>43794.7291666667</v>
      </c>
      <c r="B367" s="3" t="n">
        <f aca="false">rtd("esrtd",,"*H","$NIFTY-NSE","BarTime","I15 [09:15-15:30 L]",,"34")</f>
        <v>43794.4375</v>
      </c>
      <c r="C367" s="4" t="n">
        <f aca="false">rtd("esrtd",,"*H","$NIFTY-NSE","Open","I15 [09:15-15:30 L]",,"34")</f>
        <v>11980.1</v>
      </c>
      <c r="D367" s="4" t="n">
        <f aca="false">rtd("esrtd",,"*H","$NIFTY-NSE","High","I15 [09:15-15:30 L]",,"34")</f>
        <v>12001.7</v>
      </c>
      <c r="E367" s="4" t="n">
        <f aca="false">rtd("esrtd",,"*H","$NIFTY-NSE","Low","I15 [09:15-15:30 L]",,"34")</f>
        <v>11979.15</v>
      </c>
      <c r="F367" s="4" t="n">
        <f aca="false">rtd("esrtd",,"*H","$NIFTY-NSE","Last","I15 [09:15-15:30 L]",,"34")</f>
        <v>12000.2</v>
      </c>
    </row>
    <row r="368" customFormat="false" ht="15" hidden="false" customHeight="false" outlineLevel="0" collapsed="false">
      <c r="A368" s="2" t="n">
        <f aca="false">rtd("esrtd",,"*H","$NIFTY-NSE","Intraday_Date","I15 [09:15-15:30 L]",,"33")</f>
        <v>43794.7291666667</v>
      </c>
      <c r="B368" s="3" t="n">
        <f aca="false">rtd("esrtd",,"*H","$NIFTY-NSE","BarTime","I15 [09:15-15:30 L]",,"33")</f>
        <v>43794.4479166667</v>
      </c>
      <c r="C368" s="4" t="n">
        <f aca="false">rtd("esrtd",,"*H","$NIFTY-NSE","Open","I15 [09:15-15:30 L]",,"33")</f>
        <v>12000.25</v>
      </c>
      <c r="D368" s="4" t="n">
        <f aca="false">rtd("esrtd",,"*H","$NIFTY-NSE","High","I15 [09:15-15:30 L]",,"33")</f>
        <v>12000.4</v>
      </c>
      <c r="E368" s="4" t="n">
        <f aca="false">rtd("esrtd",,"*H","$NIFTY-NSE","Low","I15 [09:15-15:30 L]",,"33")</f>
        <v>11988.8</v>
      </c>
      <c r="F368" s="4" t="n">
        <f aca="false">rtd("esrtd",,"*H","$NIFTY-NSE","Last","I15 [09:15-15:30 L]",,"33")</f>
        <v>11994.2</v>
      </c>
    </row>
    <row r="369" customFormat="false" ht="15" hidden="false" customHeight="false" outlineLevel="0" collapsed="false">
      <c r="A369" s="2" t="n">
        <f aca="false">rtd("esrtd",,"*H","$NIFTY-NSE","Intraday_Date","I15 [09:15-15:30 L]",,"32")</f>
        <v>43794.7291666667</v>
      </c>
      <c r="B369" s="3" t="n">
        <f aca="false">rtd("esrtd",,"*H","$NIFTY-NSE","BarTime","I15 [09:15-15:30 L]",,"32")</f>
        <v>43794.4583333333</v>
      </c>
      <c r="C369" s="4" t="n">
        <f aca="false">rtd("esrtd",,"*H","$NIFTY-NSE","Open","I15 [09:15-15:30 L]",,"32")</f>
        <v>11994.15</v>
      </c>
      <c r="D369" s="4" t="n">
        <f aca="false">rtd("esrtd",,"*H","$NIFTY-NSE","High","I15 [09:15-15:30 L]",,"32")</f>
        <v>11999.1</v>
      </c>
      <c r="E369" s="4" t="n">
        <f aca="false">rtd("esrtd",,"*H","$NIFTY-NSE","Low","I15 [09:15-15:30 L]",,"32")</f>
        <v>11990.4</v>
      </c>
      <c r="F369" s="4" t="n">
        <f aca="false">rtd("esrtd",,"*H","$NIFTY-NSE","Last","I15 [09:15-15:30 L]",,"32")</f>
        <v>11993.15</v>
      </c>
    </row>
    <row r="370" customFormat="false" ht="15" hidden="false" customHeight="false" outlineLevel="0" collapsed="false">
      <c r="A370" s="2" t="n">
        <f aca="false">rtd("esrtd",,"*H","$NIFTY-NSE","Intraday_Date","I15 [09:15-15:30 L]",,"31")</f>
        <v>43794.7291666667</v>
      </c>
      <c r="B370" s="3" t="n">
        <f aca="false">rtd("esrtd",,"*H","$NIFTY-NSE","BarTime","I15 [09:15-15:30 L]",,"31")</f>
        <v>43794.46875</v>
      </c>
      <c r="C370" s="4" t="n">
        <f aca="false">rtd("esrtd",,"*H","$NIFTY-NSE","Open","I15 [09:15-15:30 L]",,"31")</f>
        <v>11993.2</v>
      </c>
      <c r="D370" s="4" t="n">
        <f aca="false">rtd("esrtd",,"*H","$NIFTY-NSE","High","I15 [09:15-15:30 L]",,"31")</f>
        <v>12009.9</v>
      </c>
      <c r="E370" s="4" t="n">
        <f aca="false">rtd("esrtd",,"*H","$NIFTY-NSE","Low","I15 [09:15-15:30 L]",,"31")</f>
        <v>11990.3</v>
      </c>
      <c r="F370" s="4" t="n">
        <f aca="false">rtd("esrtd",,"*H","$NIFTY-NSE","Last","I15 [09:15-15:30 L]",,"31")</f>
        <v>12008.7</v>
      </c>
    </row>
    <row r="371" customFormat="false" ht="15" hidden="false" customHeight="false" outlineLevel="0" collapsed="false">
      <c r="A371" s="2" t="n">
        <f aca="false">rtd("esrtd",,"*H","$NIFTY-NSE","Intraday_Date","I15 [09:15-15:30 L]",,"30")</f>
        <v>43794.7291666667</v>
      </c>
      <c r="B371" s="3" t="n">
        <f aca="false">rtd("esrtd",,"*H","$NIFTY-NSE","BarTime","I15 [09:15-15:30 L]",,"30")</f>
        <v>43794.4791666667</v>
      </c>
      <c r="C371" s="4" t="n">
        <f aca="false">rtd("esrtd",,"*H","$NIFTY-NSE","Open","I15 [09:15-15:30 L]",,"30")</f>
        <v>12008.95</v>
      </c>
      <c r="D371" s="4" t="n">
        <f aca="false">rtd("esrtd",,"*H","$NIFTY-NSE","High","I15 [09:15-15:30 L]",,"30")</f>
        <v>12018.7</v>
      </c>
      <c r="E371" s="4" t="n">
        <f aca="false">rtd("esrtd",,"*H","$NIFTY-NSE","Low","I15 [09:15-15:30 L]",,"30")</f>
        <v>12006.7</v>
      </c>
      <c r="F371" s="4" t="n">
        <f aca="false">rtd("esrtd",,"*H","$NIFTY-NSE","Last","I15 [09:15-15:30 L]",,"30")</f>
        <v>12018.3</v>
      </c>
    </row>
    <row r="372" customFormat="false" ht="15" hidden="false" customHeight="false" outlineLevel="0" collapsed="false">
      <c r="A372" s="2" t="n">
        <f aca="false">rtd("esrtd",,"*H","$NIFTY-NSE","Intraday_Date","I15 [09:15-15:30 L]",,"29")</f>
        <v>43794.7291666667</v>
      </c>
      <c r="B372" s="3" t="n">
        <f aca="false">rtd("esrtd",,"*H","$NIFTY-NSE","BarTime","I15 [09:15-15:30 L]",,"29")</f>
        <v>43794.4895833333</v>
      </c>
      <c r="C372" s="4" t="n">
        <f aca="false">rtd("esrtd",,"*H","$NIFTY-NSE","Open","I15 [09:15-15:30 L]",,"29")</f>
        <v>12018.05</v>
      </c>
      <c r="D372" s="4" t="n">
        <f aca="false">rtd("esrtd",,"*H","$NIFTY-NSE","High","I15 [09:15-15:30 L]",,"29")</f>
        <v>12020.05</v>
      </c>
      <c r="E372" s="4" t="n">
        <f aca="false">rtd("esrtd",,"*H","$NIFTY-NSE","Low","I15 [09:15-15:30 L]",,"29")</f>
        <v>12008.75</v>
      </c>
      <c r="F372" s="4" t="n">
        <f aca="false">rtd("esrtd",,"*H","$NIFTY-NSE","Last","I15 [09:15-15:30 L]",,"29")</f>
        <v>12010.7</v>
      </c>
    </row>
    <row r="373" customFormat="false" ht="15" hidden="false" customHeight="false" outlineLevel="0" collapsed="false">
      <c r="A373" s="2" t="n">
        <f aca="false">rtd("esrtd",,"*H","$NIFTY-NSE","Intraday_Date","I15 [09:15-15:30 L]",,"28")</f>
        <v>43794.7291666667</v>
      </c>
      <c r="B373" s="3" t="n">
        <f aca="false">rtd("esrtd",,"*H","$NIFTY-NSE","BarTime","I15 [09:15-15:30 L]",,"28")</f>
        <v>43794.5</v>
      </c>
      <c r="C373" s="4" t="n">
        <f aca="false">rtd("esrtd",,"*H","$NIFTY-NSE","Open","I15 [09:15-15:30 L]",,"28")</f>
        <v>12011</v>
      </c>
      <c r="D373" s="4" t="n">
        <f aca="false">rtd("esrtd",,"*H","$NIFTY-NSE","High","I15 [09:15-15:30 L]",,"28")</f>
        <v>12019.65</v>
      </c>
      <c r="E373" s="4" t="n">
        <f aca="false">rtd("esrtd",,"*H","$NIFTY-NSE","Low","I15 [09:15-15:30 L]",,"28")</f>
        <v>12007.2</v>
      </c>
      <c r="F373" s="4" t="n">
        <f aca="false">rtd("esrtd",,"*H","$NIFTY-NSE","Last","I15 [09:15-15:30 L]",,"28")</f>
        <v>12017.1</v>
      </c>
    </row>
    <row r="374" customFormat="false" ht="15" hidden="false" customHeight="false" outlineLevel="0" collapsed="false">
      <c r="A374" s="2" t="n">
        <f aca="false">rtd("esrtd",,"*H","$NIFTY-NSE","Intraday_Date","I15 [09:15-15:30 L]",,"27")</f>
        <v>43794.7291666667</v>
      </c>
      <c r="B374" s="3" t="n">
        <f aca="false">rtd("esrtd",,"*H","$NIFTY-NSE","BarTime","I15 [09:15-15:30 L]",,"27")</f>
        <v>43794.5104166667</v>
      </c>
      <c r="C374" s="4" t="n">
        <f aca="false">rtd("esrtd",,"*H","$NIFTY-NSE","Open","I15 [09:15-15:30 L]",,"27")</f>
        <v>12016.95</v>
      </c>
      <c r="D374" s="4" t="n">
        <f aca="false">rtd("esrtd",,"*H","$NIFTY-NSE","High","I15 [09:15-15:30 L]",,"27")</f>
        <v>12030.65</v>
      </c>
      <c r="E374" s="4" t="n">
        <f aca="false">rtd("esrtd",,"*H","$NIFTY-NSE","Low","I15 [09:15-15:30 L]",,"27")</f>
        <v>12016.95</v>
      </c>
      <c r="F374" s="4" t="n">
        <f aca="false">rtd("esrtd",,"*H","$NIFTY-NSE","Last","I15 [09:15-15:30 L]",,"27")</f>
        <v>12028.7</v>
      </c>
    </row>
    <row r="375" customFormat="false" ht="15" hidden="false" customHeight="false" outlineLevel="0" collapsed="false">
      <c r="A375" s="2" t="n">
        <f aca="false">rtd("esrtd",,"*H","$NIFTY-NSE","Intraday_Date","I15 [09:15-15:30 L]",,"26")</f>
        <v>43794.7291666667</v>
      </c>
      <c r="B375" s="3" t="n">
        <f aca="false">rtd("esrtd",,"*H","$NIFTY-NSE","BarTime","I15 [09:15-15:30 L]",,"26")</f>
        <v>43794.5208333333</v>
      </c>
      <c r="C375" s="4" t="n">
        <f aca="false">rtd("esrtd",,"*H","$NIFTY-NSE","Open","I15 [09:15-15:30 L]",,"26")</f>
        <v>12028.75</v>
      </c>
      <c r="D375" s="4" t="n">
        <f aca="false">rtd("esrtd",,"*H","$NIFTY-NSE","High","I15 [09:15-15:30 L]",,"26")</f>
        <v>12033.25</v>
      </c>
      <c r="E375" s="4" t="n">
        <f aca="false">rtd("esrtd",,"*H","$NIFTY-NSE","Low","I15 [09:15-15:30 L]",,"26")</f>
        <v>12024.7</v>
      </c>
      <c r="F375" s="4" t="n">
        <f aca="false">rtd("esrtd",,"*H","$NIFTY-NSE","Last","I15 [09:15-15:30 L]",,"26")</f>
        <v>12026.8</v>
      </c>
    </row>
    <row r="376" customFormat="false" ht="15" hidden="false" customHeight="false" outlineLevel="0" collapsed="false">
      <c r="A376" s="2" t="n">
        <f aca="false">rtd("esrtd",,"*H","$NIFTY-NSE","Intraday_Date","I15 [09:15-15:30 L]",,"25")</f>
        <v>43794.7291666667</v>
      </c>
      <c r="B376" s="3" t="n">
        <f aca="false">rtd("esrtd",,"*H","$NIFTY-NSE","BarTime","I15 [09:15-15:30 L]",,"25")</f>
        <v>43794.53125</v>
      </c>
      <c r="C376" s="4" t="n">
        <f aca="false">rtd("esrtd",,"*H","$NIFTY-NSE","Open","I15 [09:15-15:30 L]",,"25")</f>
        <v>12027.2</v>
      </c>
      <c r="D376" s="4" t="n">
        <f aca="false">rtd("esrtd",,"*H","$NIFTY-NSE","High","I15 [09:15-15:30 L]",,"25")</f>
        <v>12032.7</v>
      </c>
      <c r="E376" s="4" t="n">
        <f aca="false">rtd("esrtd",,"*H","$NIFTY-NSE","Low","I15 [09:15-15:30 L]",,"25")</f>
        <v>12022.5</v>
      </c>
      <c r="F376" s="4" t="n">
        <f aca="false">rtd("esrtd",,"*H","$NIFTY-NSE","Last","I15 [09:15-15:30 L]",,"25")</f>
        <v>12022.5</v>
      </c>
    </row>
    <row r="377" customFormat="false" ht="15" hidden="false" customHeight="false" outlineLevel="0" collapsed="false">
      <c r="A377" s="2" t="n">
        <f aca="false">rtd("esrtd",,"*H","$NIFTY-NSE","Intraday_Date","I15 [09:15-15:30 L]",,"24")</f>
        <v>43794.7291666667</v>
      </c>
      <c r="B377" s="3" t="n">
        <f aca="false">rtd("esrtd",,"*H","$NIFTY-NSE","BarTime","I15 [09:15-15:30 L]",,"24")</f>
        <v>43794.5416666667</v>
      </c>
      <c r="C377" s="4" t="n">
        <f aca="false">rtd("esrtd",,"*H","$NIFTY-NSE","Open","I15 [09:15-15:30 L]",,"24")</f>
        <v>12023.25</v>
      </c>
      <c r="D377" s="4" t="n">
        <f aca="false">rtd("esrtd",,"*H","$NIFTY-NSE","High","I15 [09:15-15:30 L]",,"24")</f>
        <v>12032.1</v>
      </c>
      <c r="E377" s="4" t="n">
        <f aca="false">rtd("esrtd",,"*H","$NIFTY-NSE","Low","I15 [09:15-15:30 L]",,"24")</f>
        <v>12023.05</v>
      </c>
      <c r="F377" s="4" t="n">
        <f aca="false">rtd("esrtd",,"*H","$NIFTY-NSE","Last","I15 [09:15-15:30 L]",,"24")</f>
        <v>12026.2</v>
      </c>
    </row>
    <row r="378" customFormat="false" ht="15" hidden="false" customHeight="false" outlineLevel="0" collapsed="false">
      <c r="A378" s="2" t="n">
        <f aca="false">rtd("esrtd",,"*H","$NIFTY-NSE","Intraday_Date","I15 [09:15-15:30 L]",,"23")</f>
        <v>43794.7291666667</v>
      </c>
      <c r="B378" s="3" t="n">
        <f aca="false">rtd("esrtd",,"*H","$NIFTY-NSE","BarTime","I15 [09:15-15:30 L]",,"23")</f>
        <v>43794.5520833333</v>
      </c>
      <c r="C378" s="4" t="n">
        <f aca="false">rtd("esrtd",,"*H","$NIFTY-NSE","Open","I15 [09:15-15:30 L]",,"23")</f>
        <v>12025.95</v>
      </c>
      <c r="D378" s="4" t="n">
        <f aca="false">rtd("esrtd",,"*H","$NIFTY-NSE","High","I15 [09:15-15:30 L]",,"23")</f>
        <v>12029.95</v>
      </c>
      <c r="E378" s="4" t="n">
        <f aca="false">rtd("esrtd",,"*H","$NIFTY-NSE","Low","I15 [09:15-15:30 L]",,"23")</f>
        <v>12022.1</v>
      </c>
      <c r="F378" s="4" t="n">
        <f aca="false">rtd("esrtd",,"*H","$NIFTY-NSE","Last","I15 [09:15-15:30 L]",,"23")</f>
        <v>12026.35</v>
      </c>
    </row>
    <row r="379" customFormat="false" ht="15" hidden="false" customHeight="false" outlineLevel="0" collapsed="false">
      <c r="A379" s="2" t="n">
        <f aca="false">rtd("esrtd",,"*H","$NIFTY-NSE","Intraday_Date","I15 [09:15-15:30 L]",,"22")</f>
        <v>43794.7291666667</v>
      </c>
      <c r="B379" s="3" t="n">
        <f aca="false">rtd("esrtd",,"*H","$NIFTY-NSE","BarTime","I15 [09:15-15:30 L]",,"22")</f>
        <v>43794.5625</v>
      </c>
      <c r="C379" s="4" t="n">
        <f aca="false">rtd("esrtd",,"*H","$NIFTY-NSE","Open","I15 [09:15-15:30 L]",,"22")</f>
        <v>12026.15</v>
      </c>
      <c r="D379" s="4" t="n">
        <f aca="false">rtd("esrtd",,"*H","$NIFTY-NSE","High","I15 [09:15-15:30 L]",,"22")</f>
        <v>12058.05</v>
      </c>
      <c r="E379" s="4" t="n">
        <f aca="false">rtd("esrtd",,"*H","$NIFTY-NSE","Low","I15 [09:15-15:30 L]",,"22")</f>
        <v>12025.95</v>
      </c>
      <c r="F379" s="4" t="n">
        <f aca="false">rtd("esrtd",,"*H","$NIFTY-NSE","Last","I15 [09:15-15:30 L]",,"22")</f>
        <v>12051.2</v>
      </c>
    </row>
    <row r="380" customFormat="false" ht="15" hidden="false" customHeight="false" outlineLevel="0" collapsed="false">
      <c r="A380" s="2" t="n">
        <f aca="false">rtd("esrtd",,"*H","$NIFTY-NSE","Intraday_Date","I15 [09:15-15:30 L]",,"21")</f>
        <v>43794.7291666667</v>
      </c>
      <c r="B380" s="3" t="n">
        <f aca="false">rtd("esrtd",,"*H","$NIFTY-NSE","BarTime","I15 [09:15-15:30 L]",,"21")</f>
        <v>43794.5729166667</v>
      </c>
      <c r="C380" s="4" t="n">
        <f aca="false">rtd("esrtd",,"*H","$NIFTY-NSE","Open","I15 [09:15-15:30 L]",,"21")</f>
        <v>12051.45</v>
      </c>
      <c r="D380" s="4" t="n">
        <f aca="false">rtd("esrtd",,"*H","$NIFTY-NSE","High","I15 [09:15-15:30 L]",,"21")</f>
        <v>12064.25</v>
      </c>
      <c r="E380" s="4" t="n">
        <f aca="false">rtd("esrtd",,"*H","$NIFTY-NSE","Low","I15 [09:15-15:30 L]",,"21")</f>
        <v>12048.9</v>
      </c>
      <c r="F380" s="4" t="n">
        <f aca="false">rtd("esrtd",,"*H","$NIFTY-NSE","Last","I15 [09:15-15:30 L]",,"21")</f>
        <v>12052</v>
      </c>
    </row>
    <row r="381" customFormat="false" ht="15" hidden="false" customHeight="false" outlineLevel="0" collapsed="false">
      <c r="A381" s="2" t="n">
        <f aca="false">rtd("esrtd",,"*H","$NIFTY-NSE","Intraday_Date","I15 [09:15-15:30 L]",,"20")</f>
        <v>43794.7291666667</v>
      </c>
      <c r="B381" s="3" t="n">
        <f aca="false">rtd("esrtd",,"*H","$NIFTY-NSE","BarTime","I15 [09:15-15:30 L]",,"20")</f>
        <v>43794.5833333333</v>
      </c>
      <c r="C381" s="4" t="n">
        <f aca="false">rtd("esrtd",,"*H","$NIFTY-NSE","Open","I15 [09:15-15:30 L]",,"20")</f>
        <v>12052.05</v>
      </c>
      <c r="D381" s="4" t="n">
        <f aca="false">rtd("esrtd",,"*H","$NIFTY-NSE","High","I15 [09:15-15:30 L]",,"20")</f>
        <v>12062</v>
      </c>
      <c r="E381" s="4" t="n">
        <f aca="false">rtd("esrtd",,"*H","$NIFTY-NSE","Low","I15 [09:15-15:30 L]",,"20")</f>
        <v>12051.25</v>
      </c>
      <c r="F381" s="4" t="n">
        <f aca="false">rtd("esrtd",,"*H","$NIFTY-NSE","Last","I15 [09:15-15:30 L]",,"20")</f>
        <v>12056.55</v>
      </c>
    </row>
    <row r="382" customFormat="false" ht="15" hidden="false" customHeight="false" outlineLevel="0" collapsed="false">
      <c r="A382" s="2" t="n">
        <f aca="false">rtd("esrtd",,"*H","$NIFTY-NSE","Intraday_Date","I15 [09:15-15:30 L]",,"19")</f>
        <v>43794.7291666667</v>
      </c>
      <c r="B382" s="3" t="n">
        <f aca="false">rtd("esrtd",,"*H","$NIFTY-NSE","BarTime","I15 [09:15-15:30 L]",,"19")</f>
        <v>43794.59375</v>
      </c>
      <c r="C382" s="4" t="n">
        <f aca="false">rtd("esrtd",,"*H","$NIFTY-NSE","Open","I15 [09:15-15:30 L]",,"19")</f>
        <v>12057.2</v>
      </c>
      <c r="D382" s="4" t="n">
        <f aca="false">rtd("esrtd",,"*H","$NIFTY-NSE","High","I15 [09:15-15:30 L]",,"19")</f>
        <v>12067.05</v>
      </c>
      <c r="E382" s="4" t="n">
        <f aca="false">rtd("esrtd",,"*H","$NIFTY-NSE","Low","I15 [09:15-15:30 L]",,"19")</f>
        <v>12055.7</v>
      </c>
      <c r="F382" s="4" t="n">
        <f aca="false">rtd("esrtd",,"*H","$NIFTY-NSE","Last","I15 [09:15-15:30 L]",,"19")</f>
        <v>12058.35</v>
      </c>
    </row>
    <row r="383" customFormat="false" ht="15" hidden="false" customHeight="false" outlineLevel="0" collapsed="false">
      <c r="A383" s="2" t="n">
        <f aca="false">rtd("esrtd",,"*H","$NIFTY-NSE","Intraday_Date","I15 [09:15-15:30 L]",,"18")</f>
        <v>43794.7291666667</v>
      </c>
      <c r="B383" s="3" t="n">
        <f aca="false">rtd("esrtd",,"*H","$NIFTY-NSE","BarTime","I15 [09:15-15:30 L]",,"18")</f>
        <v>43794.6041666667</v>
      </c>
      <c r="C383" s="4" t="n">
        <f aca="false">rtd("esrtd",,"*H","$NIFTY-NSE","Open","I15 [09:15-15:30 L]",,"18")</f>
        <v>12057.45</v>
      </c>
      <c r="D383" s="4" t="n">
        <f aca="false">rtd("esrtd",,"*H","$NIFTY-NSE","High","I15 [09:15-15:30 L]",,"18")</f>
        <v>12059.8</v>
      </c>
      <c r="E383" s="4" t="n">
        <f aca="false">rtd("esrtd",,"*H","$NIFTY-NSE","Low","I15 [09:15-15:30 L]",,"18")</f>
        <v>12041.85</v>
      </c>
      <c r="F383" s="4" t="n">
        <f aca="false">rtd("esrtd",,"*H","$NIFTY-NSE","Last","I15 [09:15-15:30 L]",,"18")</f>
        <v>12047</v>
      </c>
    </row>
    <row r="384" customFormat="false" ht="15" hidden="false" customHeight="false" outlineLevel="0" collapsed="false">
      <c r="A384" s="2" t="n">
        <f aca="false">rtd("esrtd",,"*H","$NIFTY-NSE","Intraday_Date","I15 [09:15-15:30 L]",,"17")</f>
        <v>43794.7291666667</v>
      </c>
      <c r="B384" s="3" t="n">
        <f aca="false">rtd("esrtd",,"*H","$NIFTY-NSE","BarTime","I15 [09:15-15:30 L]",,"17")</f>
        <v>43794.6145833333</v>
      </c>
      <c r="C384" s="4" t="n">
        <f aca="false">rtd("esrtd",,"*H","$NIFTY-NSE","Open","I15 [09:15-15:30 L]",,"17")</f>
        <v>12046.3</v>
      </c>
      <c r="D384" s="4" t="n">
        <f aca="false">rtd("esrtd",,"*H","$NIFTY-NSE","High","I15 [09:15-15:30 L]",,"17")</f>
        <v>12057.15</v>
      </c>
      <c r="E384" s="4" t="n">
        <f aca="false">rtd("esrtd",,"*H","$NIFTY-NSE","Low","I15 [09:15-15:30 L]",,"17")</f>
        <v>12045.9</v>
      </c>
      <c r="F384" s="4" t="n">
        <f aca="false">rtd("esrtd",,"*H","$NIFTY-NSE","Last","I15 [09:15-15:30 L]",,"17")</f>
        <v>12052.45</v>
      </c>
    </row>
    <row r="385" customFormat="false" ht="15" hidden="false" customHeight="false" outlineLevel="0" collapsed="false">
      <c r="A385" s="2" t="n">
        <f aca="false">rtd("esrtd",,"*H","$NIFTY-NSE","Intraday_Date","I15 [09:15-15:30 L]",,"16")</f>
        <v>43794.7291666667</v>
      </c>
      <c r="B385" s="3" t="n">
        <f aca="false">rtd("esrtd",,"*H","$NIFTY-NSE","BarTime","I15 [09:15-15:30 L]",,"16")</f>
        <v>43794.625</v>
      </c>
      <c r="C385" s="4" t="n">
        <f aca="false">rtd("esrtd",,"*H","$NIFTY-NSE","Open","I15 [09:15-15:30 L]",,"16")</f>
        <v>12052.95</v>
      </c>
      <c r="D385" s="4" t="n">
        <f aca="false">rtd("esrtd",,"*H","$NIFTY-NSE","High","I15 [09:15-15:30 L]",,"16")</f>
        <v>12080.85</v>
      </c>
      <c r="E385" s="4" t="n">
        <f aca="false">rtd("esrtd",,"*H","$NIFTY-NSE","Low","I15 [09:15-15:30 L]",,"16")</f>
        <v>12052.95</v>
      </c>
      <c r="F385" s="4" t="n">
        <f aca="false">rtd("esrtd",,"*H","$NIFTY-NSE","Last","I15 [09:15-15:30 L]",,"16")</f>
        <v>12076.7</v>
      </c>
    </row>
    <row r="386" customFormat="false" ht="15" hidden="false" customHeight="false" outlineLevel="0" collapsed="false">
      <c r="A386" s="2" t="n">
        <f aca="false">rtd("esrtd",,"*H","$NIFTY-NSE","Intraday_Date","I15 [09:15-15:30 L]",,"15")</f>
        <v>43794.7291666667</v>
      </c>
      <c r="B386" s="3" t="n">
        <f aca="false">rtd("esrtd",,"*H","$NIFTY-NSE","BarTime","I15 [09:15-15:30 L]",,"15")</f>
        <v>43794.6354166667</v>
      </c>
      <c r="C386" s="4" t="n">
        <f aca="false">rtd("esrtd",,"*H","$NIFTY-NSE","Open","I15 [09:15-15:30 L]",,"15")</f>
        <v>12076.75</v>
      </c>
      <c r="D386" s="4" t="n">
        <f aca="false">rtd("esrtd",,"*H","$NIFTY-NSE","High","I15 [09:15-15:30 L]",,"15")</f>
        <v>12084.5</v>
      </c>
      <c r="E386" s="4" t="n">
        <f aca="false">rtd("esrtd",,"*H","$NIFTY-NSE","Low","I15 [09:15-15:30 L]",,"15")</f>
        <v>12072.9</v>
      </c>
      <c r="F386" s="4" t="n">
        <f aca="false">rtd("esrtd",,"*H","$NIFTY-NSE","Last","I15 [09:15-15:30 L]",,"15")</f>
        <v>12078.55</v>
      </c>
    </row>
    <row r="387" customFormat="false" ht="15" hidden="false" customHeight="false" outlineLevel="0" collapsed="false">
      <c r="A387" s="2" t="n">
        <f aca="false">rtd("esrtd",,"*H","$NIFTY-NSE","Intraday_Date","I15 [09:15-15:30 L]",,"14")</f>
        <v>43795.7291666667</v>
      </c>
      <c r="B387" s="3" t="n">
        <f aca="false">rtd("esrtd",,"*H","$NIFTY-NSE","BarTime","I15 [09:15-15:30 L]",,"14")</f>
        <v>43795.3854166667</v>
      </c>
      <c r="C387" s="4" t="n">
        <f aca="false">rtd("esrtd",,"*H","$NIFTY-NSE","Open","I15 [09:15-15:30 L]",,"14")</f>
        <v>12111.3</v>
      </c>
      <c r="D387" s="4" t="n">
        <f aca="false">rtd("esrtd",,"*H","$NIFTY-NSE","High","I15 [09:15-15:30 L]",,"14")</f>
        <v>12132.45</v>
      </c>
      <c r="E387" s="4" t="n">
        <f aca="false">rtd("esrtd",,"*H","$NIFTY-NSE","Low","I15 [09:15-15:30 L]",,"14")</f>
        <v>12099.85</v>
      </c>
      <c r="F387" s="4" t="n">
        <f aca="false">rtd("esrtd",,"*H","$NIFTY-NSE","Last","I15 [09:15-15:30 L]",,"14")</f>
        <v>12120.05</v>
      </c>
    </row>
    <row r="388" customFormat="false" ht="15" hidden="false" customHeight="false" outlineLevel="0" collapsed="false">
      <c r="A388" s="2" t="n">
        <f aca="false">rtd("esrtd",,"*H","$NIFTY-NSE","Intraday_Date","I15 [09:15-15:30 L]",,"13")</f>
        <v>43795.7291666667</v>
      </c>
      <c r="B388" s="3" t="n">
        <f aca="false">rtd("esrtd",,"*H","$NIFTY-NSE","BarTime","I15 [09:15-15:30 L]",,"13")</f>
        <v>43795.3958333333</v>
      </c>
      <c r="C388" s="4" t="n">
        <f aca="false">rtd("esrtd",,"*H","$NIFTY-NSE","Open","I15 [09:15-15:30 L]",,"13")</f>
        <v>12119.95</v>
      </c>
      <c r="D388" s="4" t="n">
        <f aca="false">rtd("esrtd",,"*H","$NIFTY-NSE","High","I15 [09:15-15:30 L]",,"13")</f>
        <v>12122.4</v>
      </c>
      <c r="E388" s="4" t="n">
        <f aca="false">rtd("esrtd",,"*H","$NIFTY-NSE","Low","I15 [09:15-15:30 L]",,"13")</f>
        <v>12105.7</v>
      </c>
      <c r="F388" s="4" t="n">
        <f aca="false">rtd("esrtd",,"*H","$NIFTY-NSE","Last","I15 [09:15-15:30 L]",,"13")</f>
        <v>12114.5</v>
      </c>
    </row>
    <row r="389" customFormat="false" ht="15" hidden="false" customHeight="false" outlineLevel="0" collapsed="false">
      <c r="A389" s="2" t="n">
        <f aca="false">rtd("esrtd",,"*H","$NIFTY-NSE","Intraday_Date","I15 [09:15-15:30 L]",,"12")</f>
        <v>43795.7291666667</v>
      </c>
      <c r="B389" s="3" t="n">
        <f aca="false">rtd("esrtd",,"*H","$NIFTY-NSE","BarTime","I15 [09:15-15:30 L]",,"12")</f>
        <v>43795.40625</v>
      </c>
      <c r="C389" s="4" t="n">
        <f aca="false">rtd("esrtd",,"*H","$NIFTY-NSE","Open","I15 [09:15-15:30 L]",,"12")</f>
        <v>12113.95</v>
      </c>
      <c r="D389" s="4" t="n">
        <f aca="false">rtd("esrtd",,"*H","$NIFTY-NSE","High","I15 [09:15-15:30 L]",,"12")</f>
        <v>12122.2</v>
      </c>
      <c r="E389" s="4" t="n">
        <f aca="false">rtd("esrtd",,"*H","$NIFTY-NSE","Low","I15 [09:15-15:30 L]",,"12")</f>
        <v>12112</v>
      </c>
      <c r="F389" s="4" t="n">
        <f aca="false">rtd("esrtd",,"*H","$NIFTY-NSE","Last","I15 [09:15-15:30 L]",,"12")</f>
        <v>12115.8</v>
      </c>
    </row>
    <row r="390" customFormat="false" ht="15" hidden="false" customHeight="false" outlineLevel="0" collapsed="false">
      <c r="A390" s="2" t="n">
        <f aca="false">rtd("esrtd",,"*H","$NIFTY-NSE","Intraday_Date","I15 [09:15-15:30 L]",,"11")</f>
        <v>43795.7291666667</v>
      </c>
      <c r="B390" s="3" t="n">
        <f aca="false">rtd("esrtd",,"*H","$NIFTY-NSE","BarTime","I15 [09:15-15:30 L]",,"11")</f>
        <v>43795.4166666667</v>
      </c>
      <c r="C390" s="4" t="n">
        <f aca="false">rtd("esrtd",,"*H","$NIFTY-NSE","Open","I15 [09:15-15:30 L]",,"11")</f>
        <v>12116.05</v>
      </c>
      <c r="D390" s="4" t="n">
        <f aca="false">rtd("esrtd",,"*H","$NIFTY-NSE","High","I15 [09:15-15:30 L]",,"11")</f>
        <v>12123.65</v>
      </c>
      <c r="E390" s="4" t="n">
        <f aca="false">rtd("esrtd",,"*H","$NIFTY-NSE","Low","I15 [09:15-15:30 L]",,"11")</f>
        <v>12086.1</v>
      </c>
      <c r="F390" s="4" t="n">
        <f aca="false">rtd("esrtd",,"*H","$NIFTY-NSE","Last","I15 [09:15-15:30 L]",,"11")</f>
        <v>12098</v>
      </c>
    </row>
    <row r="391" customFormat="false" ht="15" hidden="false" customHeight="false" outlineLevel="0" collapsed="false">
      <c r="A391" s="2" t="n">
        <f aca="false">rtd("esrtd",,"*H","$NIFTY-NSE","Intraday_Date","I15 [09:15-15:30 L]",,"10")</f>
        <v>43795.7291666667</v>
      </c>
      <c r="B391" s="3" t="n">
        <f aca="false">rtd("esrtd",,"*H","$NIFTY-NSE","BarTime","I15 [09:15-15:30 L]",,"10")</f>
        <v>43795.4270833333</v>
      </c>
      <c r="C391" s="4" t="n">
        <f aca="false">rtd("esrtd",,"*H","$NIFTY-NSE","Open","I15 [09:15-15:30 L]",,"10")</f>
        <v>12097.9</v>
      </c>
      <c r="D391" s="4" t="n">
        <f aca="false">rtd("esrtd",,"*H","$NIFTY-NSE","High","I15 [09:15-15:30 L]",,"10")</f>
        <v>12098.35</v>
      </c>
      <c r="E391" s="4" t="n">
        <f aca="false">rtd("esrtd",,"*H","$NIFTY-NSE","Low","I15 [09:15-15:30 L]",,"10")</f>
        <v>12081.35</v>
      </c>
      <c r="F391" s="4" t="n">
        <f aca="false">rtd("esrtd",,"*H","$NIFTY-NSE","Last","I15 [09:15-15:30 L]",,"10")</f>
        <v>12088</v>
      </c>
    </row>
    <row r="392" customFormat="false" ht="15" hidden="false" customHeight="false" outlineLevel="0" collapsed="false">
      <c r="A392" s="2" t="n">
        <f aca="false">rtd("esrtd",,"*H","$NIFTY-NSE","Intraday_Date","I15 [09:15-15:30 L]",,"9")</f>
        <v>43795.7291666667</v>
      </c>
      <c r="B392" s="3" t="n">
        <f aca="false">rtd("esrtd",,"*H","$NIFTY-NSE","BarTime","I15 [09:15-15:30 L]",,"9")</f>
        <v>43795.4375</v>
      </c>
      <c r="C392" s="4" t="n">
        <f aca="false">rtd("esrtd",,"*H","$NIFTY-NSE","Open","I15 [09:15-15:30 L]",,"9")</f>
        <v>12088.2</v>
      </c>
      <c r="D392" s="4" t="n">
        <f aca="false">rtd("esrtd",,"*H","$NIFTY-NSE","High","I15 [09:15-15:30 L]",,"9")</f>
        <v>12091.65</v>
      </c>
      <c r="E392" s="4" t="n">
        <f aca="false">rtd("esrtd",,"*H","$NIFTY-NSE","Low","I15 [09:15-15:30 L]",,"9")</f>
        <v>12063</v>
      </c>
      <c r="F392" s="4" t="n">
        <f aca="false">rtd("esrtd",,"*H","$NIFTY-NSE","Last","I15 [09:15-15:30 L]",,"9")</f>
        <v>12070.45</v>
      </c>
    </row>
    <row r="393" customFormat="false" ht="15" hidden="false" customHeight="false" outlineLevel="0" collapsed="false">
      <c r="A393" s="2" t="n">
        <f aca="false">rtd("esrtd",,"*H","$NIFTY-NSE","Intraday_Date","I15 [09:15-15:30 L]",,"8")</f>
        <v>43795.7291666667</v>
      </c>
      <c r="B393" s="3" t="n">
        <f aca="false">rtd("esrtd",,"*H","$NIFTY-NSE","BarTime","I15 [09:15-15:30 L]",,"8")</f>
        <v>43795.4479166667</v>
      </c>
      <c r="C393" s="4" t="n">
        <f aca="false">rtd("esrtd",,"*H","$NIFTY-NSE","Open","I15 [09:15-15:30 L]",,"8")</f>
        <v>12070.7</v>
      </c>
      <c r="D393" s="4" t="n">
        <f aca="false">rtd("esrtd",,"*H","$NIFTY-NSE","High","I15 [09:15-15:30 L]",,"8")</f>
        <v>12090.15</v>
      </c>
      <c r="E393" s="4" t="n">
        <f aca="false">rtd("esrtd",,"*H","$NIFTY-NSE","Low","I15 [09:15-15:30 L]",,"8")</f>
        <v>12069.5</v>
      </c>
      <c r="F393" s="4" t="n">
        <f aca="false">rtd("esrtd",,"*H","$NIFTY-NSE","Last","I15 [09:15-15:30 L]",,"8")</f>
        <v>12079.5</v>
      </c>
    </row>
    <row r="394" customFormat="false" ht="15" hidden="false" customHeight="false" outlineLevel="0" collapsed="false">
      <c r="A394" s="2" t="n">
        <f aca="false">rtd("esrtd",,"*H","$NIFTY-NSE","Intraday_Date","I15 [09:15-15:30 L]",,"7")</f>
        <v>43795.7291666667</v>
      </c>
      <c r="B394" s="3" t="n">
        <f aca="false">rtd("esrtd",,"*H","$NIFTY-NSE","BarTime","I15 [09:15-15:30 L]",,"7")</f>
        <v>43795.4583333333</v>
      </c>
      <c r="C394" s="4" t="n">
        <f aca="false">rtd("esrtd",,"*H","$NIFTY-NSE","Open","I15 [09:15-15:30 L]",,"7")</f>
        <v>12079.15</v>
      </c>
      <c r="D394" s="4" t="n">
        <f aca="false">rtd("esrtd",,"*H","$NIFTY-NSE","High","I15 [09:15-15:30 L]",,"7")</f>
        <v>12082.1</v>
      </c>
      <c r="E394" s="4" t="n">
        <f aca="false">rtd("esrtd",,"*H","$NIFTY-NSE","Low","I15 [09:15-15:30 L]",,"7")</f>
        <v>12068.85</v>
      </c>
      <c r="F394" s="4" t="n">
        <f aca="false">rtd("esrtd",,"*H","$NIFTY-NSE","Last","I15 [09:15-15:30 L]",,"7")</f>
        <v>12079.2</v>
      </c>
    </row>
    <row r="395" customFormat="false" ht="15" hidden="false" customHeight="false" outlineLevel="0" collapsed="false">
      <c r="A395" s="2" t="n">
        <f aca="false">rtd("esrtd",,"*H","$NIFTY-NSE","Intraday_Date","I15 [09:15-15:30 L]",,"6")</f>
        <v>43795.7291666667</v>
      </c>
      <c r="B395" s="3" t="n">
        <f aca="false">rtd("esrtd",,"*H","$NIFTY-NSE","BarTime","I15 [09:15-15:30 L]",,"6")</f>
        <v>43795.46875</v>
      </c>
      <c r="C395" s="4" t="n">
        <f aca="false">rtd("esrtd",,"*H","$NIFTY-NSE","Open","I15 [09:15-15:30 L]",,"6")</f>
        <v>12079.25</v>
      </c>
      <c r="D395" s="4" t="n">
        <f aca="false">rtd("esrtd",,"*H","$NIFTY-NSE","High","I15 [09:15-15:30 L]",,"6")</f>
        <v>12084.75</v>
      </c>
      <c r="E395" s="4" t="n">
        <f aca="false">rtd("esrtd",,"*H","$NIFTY-NSE","Low","I15 [09:15-15:30 L]",,"6")</f>
        <v>12068.25</v>
      </c>
      <c r="F395" s="4" t="n">
        <f aca="false">rtd("esrtd",,"*H","$NIFTY-NSE","Last","I15 [09:15-15:30 L]",,"6")</f>
        <v>12072.35</v>
      </c>
    </row>
    <row r="396" customFormat="false" ht="15" hidden="false" customHeight="false" outlineLevel="0" collapsed="false">
      <c r="A396" s="2" t="n">
        <f aca="false">rtd("esrtd",,"*H","$NIFTY-NSE","Intraday_Date","I15 [09:15-15:30 L]",,"5")</f>
        <v>43795.7291666667</v>
      </c>
      <c r="B396" s="3" t="n">
        <f aca="false">rtd("esrtd",,"*H","$NIFTY-NSE","BarTime","I15 [09:15-15:30 L]",,"5")</f>
        <v>43795.4791666667</v>
      </c>
      <c r="C396" s="4" t="n">
        <f aca="false">rtd("esrtd",,"*H","$NIFTY-NSE","Open","I15 [09:15-15:30 L]",,"5")</f>
        <v>12072.2</v>
      </c>
      <c r="D396" s="4" t="n">
        <f aca="false">rtd("esrtd",,"*H","$NIFTY-NSE","High","I15 [09:15-15:30 L]",,"5")</f>
        <v>12083.9</v>
      </c>
      <c r="E396" s="4" t="n">
        <f aca="false">rtd("esrtd",,"*H","$NIFTY-NSE","Low","I15 [09:15-15:30 L]",,"5")</f>
        <v>12071.7</v>
      </c>
      <c r="F396" s="4" t="n">
        <f aca="false">rtd("esrtd",,"*H","$NIFTY-NSE","Last","I15 [09:15-15:30 L]",,"5")</f>
        <v>12077.15</v>
      </c>
    </row>
    <row r="397" customFormat="false" ht="15" hidden="false" customHeight="false" outlineLevel="0" collapsed="false">
      <c r="A397" s="2" t="n">
        <f aca="false">rtd("esrtd",,"*H","$NIFTY-NSE","Intraday_Date","I15 [09:15-15:30 L]",,"4")</f>
        <v>43795.7291666667</v>
      </c>
      <c r="B397" s="3" t="n">
        <f aca="false">rtd("esrtd",,"*H","$NIFTY-NSE","BarTime","I15 [09:15-15:30 L]",,"4")</f>
        <v>43795.4895833333</v>
      </c>
      <c r="C397" s="4" t="n">
        <f aca="false">rtd("esrtd",,"*H","$NIFTY-NSE","Open","I15 [09:15-15:30 L]",,"4")</f>
        <v>12077.2</v>
      </c>
      <c r="D397" s="4" t="n">
        <f aca="false">rtd("esrtd",,"*H","$NIFTY-NSE","High","I15 [09:15-15:30 L]",,"4")</f>
        <v>12079.4</v>
      </c>
      <c r="E397" s="4" t="n">
        <f aca="false">rtd("esrtd",,"*H","$NIFTY-NSE","Low","I15 [09:15-15:30 L]",,"4")</f>
        <v>12070.5</v>
      </c>
      <c r="F397" s="4" t="n">
        <f aca="false">rtd("esrtd",,"*H","$NIFTY-NSE","Last","I15 [09:15-15:30 L]",,"4")</f>
        <v>12071.55</v>
      </c>
    </row>
    <row r="398" customFormat="false" ht="15" hidden="false" customHeight="false" outlineLevel="0" collapsed="false">
      <c r="A398" s="2" t="n">
        <f aca="false">rtd("esrtd",,"*H","$NIFTY-NSE","Intraday_Date","I15 [09:15-15:30 L]",,"3")</f>
        <v>43795.7291666667</v>
      </c>
      <c r="B398" s="3" t="n">
        <f aca="false">rtd("esrtd",,"*H","$NIFTY-NSE","BarTime","I15 [09:15-15:30 L]",,"3")</f>
        <v>43795.5</v>
      </c>
      <c r="C398" s="4" t="n">
        <f aca="false">rtd("esrtd",,"*H","$NIFTY-NSE","Open","I15 [09:15-15:30 L]",,"3")</f>
        <v>12071.6</v>
      </c>
      <c r="D398" s="4" t="n">
        <f aca="false">rtd("esrtd",,"*H","$NIFTY-NSE","High","I15 [09:15-15:30 L]",,"3")</f>
        <v>12082.05</v>
      </c>
      <c r="E398" s="4" t="n">
        <f aca="false">rtd("esrtd",,"*H","$NIFTY-NSE","Low","I15 [09:15-15:30 L]",,"3")</f>
        <v>12070.75</v>
      </c>
      <c r="F398" s="4" t="n">
        <f aca="false">rtd("esrtd",,"*H","$NIFTY-NSE","Last","I15 [09:15-15:30 L]",,"3")</f>
        <v>12076.8</v>
      </c>
    </row>
    <row r="399" customFormat="false" ht="15" hidden="false" customHeight="false" outlineLevel="0" collapsed="false">
      <c r="A399" s="2" t="n">
        <f aca="false">rtd("esrtd",,"*H","$NIFTY-NSE","Intraday_Date","I15 [09:15-15:30 L]",,"2")</f>
        <v>43795.7291666667</v>
      </c>
      <c r="B399" s="3" t="n">
        <f aca="false">rtd("esrtd",,"*H","$NIFTY-NSE","BarTime","I15 [09:15-15:30 L]",,"2")</f>
        <v>43795.5104166667</v>
      </c>
      <c r="C399" s="4" t="n">
        <f aca="false">rtd("esrtd",,"*H","$NIFTY-NSE","Open","I15 [09:15-15:30 L]",,"2")</f>
        <v>12076.65</v>
      </c>
      <c r="D399" s="4" t="n">
        <f aca="false">rtd("esrtd",,"*H","$NIFTY-NSE","High","I15 [09:15-15:30 L]",,"2")</f>
        <v>12089.95</v>
      </c>
      <c r="E399" s="4" t="n">
        <f aca="false">rtd("esrtd",,"*H","$NIFTY-NSE","Low","I15 [09:15-15:30 L]",,"2")</f>
        <v>12073.2</v>
      </c>
      <c r="F399" s="4" t="n">
        <f aca="false">rtd("esrtd",,"*H","$NIFTY-NSE","Last","I15 [09:15-15:30 L]",,"2")</f>
        <v>12085.1</v>
      </c>
    </row>
    <row r="400" customFormat="false" ht="15" hidden="false" customHeight="false" outlineLevel="0" collapsed="false">
      <c r="A400" s="2" t="n">
        <f aca="false">rtd("esrtd",,"*H","$NIFTY-NSE","Intraday_Date","I15 [09:15-15:30 L]",,"1")</f>
        <v>43795.7291666667</v>
      </c>
      <c r="B400" s="3" t="n">
        <f aca="false">rtd("esrtd",,"*H","$NIFTY-NSE","BarTime","I15 [09:15-15:30 L]",,"1")</f>
        <v>43795.5208333333</v>
      </c>
      <c r="C400" s="4" t="n">
        <f aca="false">rtd("esrtd",,"*H","$NIFTY-NSE","Open","I15 [09:15-15:30 L]",,"1")</f>
        <v>12085.55</v>
      </c>
      <c r="D400" s="4" t="n">
        <f aca="false">rtd("esrtd",,"*H","$NIFTY-NSE","High","I15 [09:15-15:30 L]",,"1")</f>
        <v>12100.95</v>
      </c>
      <c r="E400" s="4" t="n">
        <f aca="false">rtd("esrtd",,"*H","$NIFTY-NSE","Low","I15 [09:15-15:30 L]",,"1")</f>
        <v>12084.65</v>
      </c>
      <c r="F400" s="4" t="n">
        <f aca="false">rtd("esrtd",,"*H","$NIFTY-NSE","Last","I15 [09:15-15:30 L]",,"1")</f>
        <v>12097.05</v>
      </c>
    </row>
    <row r="401" customFormat="false" ht="15" hidden="false" customHeight="false" outlineLevel="0" collapsed="false">
      <c r="A401" s="2" t="n">
        <f aca="false">rtd("esrtd",,"*H","$NIFTY-NSE","Intraday_Date","I15 [09:15-15:30 L]",,"0")</f>
        <v>43795.7291666667</v>
      </c>
      <c r="B401" s="3" t="n">
        <f aca="false">rtd("esrtd",,"*H","$NIFTY-NSE","BarTime","I15 [09:15-15:30 L]",,"0")</f>
        <v>43795.53125</v>
      </c>
      <c r="C401" s="4" t="n">
        <f aca="false">rtd("esrtd",,"*H","$NIFTY-NSE","Open","I15 [09:15-15:30 L]",,"0")</f>
        <v>12096.65</v>
      </c>
      <c r="D401" s="4" t="n">
        <f aca="false">rtd("esrtd",,"*H","$NIFTY-NSE","High","I15 [09:15-15:30 L]",,"0")</f>
        <v>12107.05</v>
      </c>
      <c r="E401" s="4" t="n">
        <f aca="false">rtd("esrtd",,"*H","$NIFTY-NSE","Low","I15 [09:15-15:30 L]",,"0")</f>
        <v>12096.65</v>
      </c>
      <c r="F401" s="4" t="n">
        <f aca="false">rtd("esrtd",,"*H","$NIFTY-NSE","Last","I15 [09:15-15:30 L]",,"0")</f>
        <v>12104.4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2019-11-26T07:24:44Z</dcterms:created>
  <dc:creator>Bakilwals</dc:creator>
  <dc:description/>
  <dc:language>en-IN</dc:language>
  <cp:lastModifiedBy/>
  <dcterms:modified xsi:type="dcterms:W3CDTF">2019-11-28T11:59:39Z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