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Financial modelling and valuation\4.Equity valuation\"/>
    </mc:Choice>
  </mc:AlternateContent>
  <xr:revisionPtr revIDLastSave="0" documentId="13_ncr:1_{6CB30518-4EB3-431D-97D0-CB790845F55B}" xr6:coauthVersionLast="47" xr6:coauthVersionMax="47" xr10:uidLastSave="{00000000-0000-0000-0000-000000000000}"/>
  <bookViews>
    <workbookView xWindow="47880" yWindow="-120" windowWidth="29040" windowHeight="15720" activeTab="8" xr2:uid="{C1395D79-8B6B-4B0B-9282-B1D502A26CF1}"/>
  </bookViews>
  <sheets>
    <sheet name="IS" sheetId="2" r:id="rId1"/>
    <sheet name="BS" sheetId="5" r:id="rId2"/>
    <sheet name="CFS" sheetId="4" r:id="rId3"/>
    <sheet name="Sheet1" sheetId="6" r:id="rId4"/>
    <sheet name="Revenue Drivers" sheetId="7" r:id="rId5"/>
    <sheet name="Cost Drivers" sheetId="8" r:id="rId6"/>
    <sheet name="tangible_intangible schedule " sheetId="9" r:id="rId7"/>
    <sheet name="debt schedule" sheetId="10" r:id="rId8"/>
    <sheet name="DCF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1" l="1"/>
  <c r="K24" i="1"/>
  <c r="Q21" i="1"/>
  <c r="Q10" i="1"/>
  <c r="K23" i="1"/>
  <c r="Q17" i="1"/>
  <c r="L17" i="1"/>
  <c r="M17" i="1"/>
  <c r="N17" i="1"/>
  <c r="O17" i="1"/>
  <c r="P17" i="1"/>
  <c r="K17" i="1"/>
  <c r="L16" i="1"/>
  <c r="M16" i="1"/>
  <c r="N16" i="1"/>
  <c r="O16" i="1"/>
  <c r="P16" i="1"/>
  <c r="K16" i="1"/>
  <c r="L15" i="1"/>
  <c r="M15" i="1"/>
  <c r="N15" i="1"/>
  <c r="O15" i="1"/>
  <c r="P15" i="1"/>
  <c r="K15" i="1"/>
  <c r="L14" i="1"/>
  <c r="M14" i="1"/>
  <c r="N14" i="1"/>
  <c r="O14" i="1"/>
  <c r="P14" i="1"/>
  <c r="K14" i="1"/>
  <c r="L13" i="1"/>
  <c r="M13" i="1"/>
  <c r="N13" i="1"/>
  <c r="O13" i="1"/>
  <c r="P13" i="1"/>
  <c r="K13" i="1"/>
  <c r="D22" i="1"/>
  <c r="D20" i="1"/>
  <c r="D15" i="1"/>
  <c r="D14" i="1"/>
  <c r="D16" i="1" s="1"/>
  <c r="D13" i="1"/>
  <c r="L46" i="4"/>
  <c r="M46" i="4" s="1"/>
  <c r="N46" i="4" s="1"/>
  <c r="O46" i="4" s="1"/>
  <c r="P46" i="4" s="1"/>
  <c r="K46" i="4"/>
  <c r="K44" i="4"/>
  <c r="L44" i="4"/>
  <c r="M44" i="4"/>
  <c r="N44" i="4"/>
  <c r="O44" i="4"/>
  <c r="P44" i="4"/>
  <c r="K42" i="4"/>
  <c r="L42" i="4"/>
  <c r="M42" i="4"/>
  <c r="N42" i="4"/>
  <c r="O42" i="4"/>
  <c r="P42" i="4"/>
  <c r="L39" i="4"/>
  <c r="M39" i="4"/>
  <c r="N39" i="4"/>
  <c r="O39" i="4"/>
  <c r="P39" i="4"/>
  <c r="K39" i="4"/>
  <c r="L38" i="4"/>
  <c r="M38" i="4"/>
  <c r="N38" i="4"/>
  <c r="O38" i="4"/>
  <c r="P38" i="4"/>
  <c r="K38" i="4"/>
  <c r="L37" i="4"/>
  <c r="M37" i="4"/>
  <c r="N37" i="4"/>
  <c r="O37" i="4"/>
  <c r="P37" i="4"/>
  <c r="K37" i="4"/>
  <c r="L15" i="4"/>
  <c r="M15" i="4"/>
  <c r="N15" i="4"/>
  <c r="N13" i="4" s="1"/>
  <c r="O15" i="4"/>
  <c r="O13" i="4" s="1"/>
  <c r="P15" i="4"/>
  <c r="P13" i="4" s="1"/>
  <c r="K13" i="4"/>
  <c r="L13" i="4"/>
  <c r="M13" i="4"/>
  <c r="L16" i="4"/>
  <c r="M16" i="4"/>
  <c r="N16" i="4"/>
  <c r="O16" i="4"/>
  <c r="P16" i="4"/>
  <c r="K16" i="4"/>
  <c r="K15" i="4"/>
  <c r="L14" i="4"/>
  <c r="M14" i="4"/>
  <c r="N14" i="4"/>
  <c r="O14" i="4"/>
  <c r="P14" i="4"/>
  <c r="K14" i="4"/>
  <c r="N45" i="5"/>
  <c r="O45" i="5"/>
  <c r="P45" i="5"/>
  <c r="K52" i="5"/>
  <c r="K50" i="5"/>
  <c r="K49" i="5"/>
  <c r="K42" i="5"/>
  <c r="K45" i="5" s="1"/>
  <c r="K53" i="5" s="1"/>
  <c r="L42" i="5"/>
  <c r="L45" i="5" s="1"/>
  <c r="M42" i="5"/>
  <c r="M45" i="5" s="1"/>
  <c r="N42" i="5"/>
  <c r="O42" i="5"/>
  <c r="P42" i="5"/>
  <c r="K39" i="5"/>
  <c r="L39" i="5"/>
  <c r="M39" i="5"/>
  <c r="N39" i="5"/>
  <c r="O39" i="5"/>
  <c r="P39" i="5"/>
  <c r="L38" i="5"/>
  <c r="M38" i="5" s="1"/>
  <c r="K38" i="5"/>
  <c r="K34" i="5"/>
  <c r="L34" i="5"/>
  <c r="L32" i="5"/>
  <c r="M32" i="5"/>
  <c r="N32" i="5"/>
  <c r="O32" i="5"/>
  <c r="P32" i="5"/>
  <c r="K32" i="5"/>
  <c r="L26" i="5"/>
  <c r="M26" i="5"/>
  <c r="N26" i="5" s="1"/>
  <c r="O26" i="5" s="1"/>
  <c r="P26" i="5" s="1"/>
  <c r="L27" i="5"/>
  <c r="M27" i="5"/>
  <c r="N27" i="5"/>
  <c r="O27" i="5" s="1"/>
  <c r="P27" i="5" s="1"/>
  <c r="L28" i="5"/>
  <c r="M28" i="5"/>
  <c r="N28" i="5"/>
  <c r="O28" i="5"/>
  <c r="P28" i="5"/>
  <c r="L29" i="5"/>
  <c r="M29" i="5" s="1"/>
  <c r="N29" i="5" s="1"/>
  <c r="O29" i="5" s="1"/>
  <c r="P29" i="5" s="1"/>
  <c r="K27" i="5"/>
  <c r="K28" i="5"/>
  <c r="K29" i="5"/>
  <c r="K26" i="5"/>
  <c r="L25" i="5"/>
  <c r="M25" i="5"/>
  <c r="N25" i="5" s="1"/>
  <c r="O25" i="5" s="1"/>
  <c r="P25" i="5" s="1"/>
  <c r="K25" i="5"/>
  <c r="K17" i="5"/>
  <c r="L17" i="5"/>
  <c r="M17" i="5"/>
  <c r="N17" i="5"/>
  <c r="O17" i="5"/>
  <c r="P17" i="5"/>
  <c r="L11" i="5"/>
  <c r="M11" i="5"/>
  <c r="N11" i="5"/>
  <c r="O11" i="5"/>
  <c r="P11" i="5"/>
  <c r="L12" i="5"/>
  <c r="M12" i="5"/>
  <c r="N12" i="5"/>
  <c r="O12" i="5" s="1"/>
  <c r="P12" i="5" s="1"/>
  <c r="L13" i="5"/>
  <c r="M13" i="5"/>
  <c r="N13" i="5"/>
  <c r="O13" i="5"/>
  <c r="P13" i="5"/>
  <c r="L14" i="5"/>
  <c r="M14" i="5" s="1"/>
  <c r="N14" i="5" s="1"/>
  <c r="O14" i="5" s="1"/>
  <c r="P14" i="5" s="1"/>
  <c r="L15" i="5"/>
  <c r="M15" i="5"/>
  <c r="N15" i="5"/>
  <c r="O15" i="5" s="1"/>
  <c r="P15" i="5" s="1"/>
  <c r="L16" i="5"/>
  <c r="M16" i="5"/>
  <c r="N16" i="5"/>
  <c r="O16" i="5"/>
  <c r="P16" i="5"/>
  <c r="K12" i="5"/>
  <c r="K13" i="5"/>
  <c r="K14" i="5"/>
  <c r="K15" i="5"/>
  <c r="K16" i="5"/>
  <c r="K11" i="5"/>
  <c r="L9" i="5"/>
  <c r="M9" i="5"/>
  <c r="N9" i="5"/>
  <c r="O9" i="5"/>
  <c r="P9" i="5"/>
  <c r="K9" i="5"/>
  <c r="L65" i="5"/>
  <c r="M65" i="5"/>
  <c r="N65" i="5"/>
  <c r="O65" i="5"/>
  <c r="P65" i="5"/>
  <c r="K65" i="5"/>
  <c r="L64" i="5"/>
  <c r="M64" i="5"/>
  <c r="N64" i="5" s="1"/>
  <c r="O64" i="5" s="1"/>
  <c r="P64" i="5" s="1"/>
  <c r="K64" i="5"/>
  <c r="P40" i="8"/>
  <c r="P39" i="8"/>
  <c r="K59" i="2"/>
  <c r="L59" i="2"/>
  <c r="M59" i="2"/>
  <c r="N59" i="2"/>
  <c r="O59" i="2"/>
  <c r="P59" i="2"/>
  <c r="K41" i="8"/>
  <c r="L41" i="8" s="1"/>
  <c r="M41" i="8" s="1"/>
  <c r="N41" i="8" s="1"/>
  <c r="O41" i="8" s="1"/>
  <c r="P41" i="8" s="1"/>
  <c r="J41" i="8"/>
  <c r="F41" i="8"/>
  <c r="G41" i="8"/>
  <c r="H41" i="8"/>
  <c r="I41" i="8"/>
  <c r="E41" i="8"/>
  <c r="F40" i="8"/>
  <c r="G40" i="8"/>
  <c r="H40" i="8"/>
  <c r="I40" i="8"/>
  <c r="E40" i="8"/>
  <c r="F39" i="8"/>
  <c r="G39" i="8"/>
  <c r="H39" i="8"/>
  <c r="I39" i="8"/>
  <c r="E39" i="8"/>
  <c r="L43" i="5"/>
  <c r="M43" i="5"/>
  <c r="N43" i="5"/>
  <c r="O43" i="5"/>
  <c r="P43" i="5"/>
  <c r="K43" i="5"/>
  <c r="L41" i="5"/>
  <c r="M41" i="5"/>
  <c r="N41" i="5"/>
  <c r="O41" i="5"/>
  <c r="P41" i="5"/>
  <c r="K41" i="5"/>
  <c r="L33" i="5"/>
  <c r="M33" i="5"/>
  <c r="N33" i="5"/>
  <c r="O33" i="5"/>
  <c r="P33" i="5"/>
  <c r="K33" i="5"/>
  <c r="K54" i="2"/>
  <c r="L54" i="2"/>
  <c r="M54" i="2"/>
  <c r="N54" i="2"/>
  <c r="O54" i="2"/>
  <c r="P54" i="2"/>
  <c r="L53" i="2"/>
  <c r="M53" i="2"/>
  <c r="N53" i="2"/>
  <c r="O53" i="2"/>
  <c r="P53" i="2"/>
  <c r="K53" i="2"/>
  <c r="K10" i="10"/>
  <c r="L10" i="10" s="1"/>
  <c r="M10" i="10" s="1"/>
  <c r="N10" i="10" s="1"/>
  <c r="O10" i="10" s="1"/>
  <c r="P10" i="10" s="1"/>
  <c r="F10" i="10"/>
  <c r="G10" i="10"/>
  <c r="H10" i="10"/>
  <c r="I10" i="10"/>
  <c r="J10" i="10"/>
  <c r="E10" i="10"/>
  <c r="D17" i="1" l="1"/>
  <c r="D18" i="1" s="1"/>
  <c r="D24" i="1" s="1"/>
  <c r="M34" i="5"/>
  <c r="N38" i="5"/>
  <c r="J15" i="10"/>
  <c r="I15" i="10"/>
  <c r="H15" i="10"/>
  <c r="G15" i="10"/>
  <c r="F15" i="10"/>
  <c r="E15" i="10"/>
  <c r="F9" i="10"/>
  <c r="G9" i="10"/>
  <c r="H9" i="10"/>
  <c r="H12" i="10" s="1"/>
  <c r="I9" i="10"/>
  <c r="J9" i="10"/>
  <c r="F11" i="10"/>
  <c r="G11" i="10"/>
  <c r="H11" i="10"/>
  <c r="I11" i="10"/>
  <c r="J11" i="10"/>
  <c r="E11" i="10"/>
  <c r="E9" i="10"/>
  <c r="E12" i="10" s="1"/>
  <c r="E16" i="10" s="1"/>
  <c r="E6" i="10"/>
  <c r="F5" i="10"/>
  <c r="F6" i="10" s="1"/>
  <c r="K24" i="5"/>
  <c r="L24" i="5"/>
  <c r="M24" i="5"/>
  <c r="N24" i="5"/>
  <c r="O24" i="5"/>
  <c r="P24" i="5"/>
  <c r="J26" i="5"/>
  <c r="L22" i="5"/>
  <c r="M22" i="5"/>
  <c r="N22" i="5"/>
  <c r="O22" i="5"/>
  <c r="P22" i="5"/>
  <c r="L23" i="5"/>
  <c r="M23" i="5"/>
  <c r="N23" i="5"/>
  <c r="O23" i="5"/>
  <c r="P23" i="5"/>
  <c r="K23" i="5"/>
  <c r="K22" i="5"/>
  <c r="K45" i="2" a="1"/>
  <c r="K45" i="2" s="1"/>
  <c r="L31" i="9"/>
  <c r="M31" i="9"/>
  <c r="N31" i="9"/>
  <c r="O31" i="9"/>
  <c r="P31" i="9"/>
  <c r="K31" i="9"/>
  <c r="L30" i="9"/>
  <c r="M30" i="9" s="1"/>
  <c r="N30" i="9" s="1"/>
  <c r="O30" i="9" s="1"/>
  <c r="P30" i="9" s="1"/>
  <c r="K30" i="9"/>
  <c r="L36" i="9"/>
  <c r="M36" i="9"/>
  <c r="N36" i="9"/>
  <c r="O36" i="9"/>
  <c r="P36" i="9"/>
  <c r="K36" i="9"/>
  <c r="L37" i="9"/>
  <c r="K37" i="9"/>
  <c r="M29" i="9"/>
  <c r="N29" i="9" s="1"/>
  <c r="O29" i="9" s="1"/>
  <c r="P29" i="9" s="1"/>
  <c r="L29" i="9"/>
  <c r="M33" i="9"/>
  <c r="N33" i="9" s="1"/>
  <c r="O33" i="9" s="1"/>
  <c r="P33" i="9" s="1"/>
  <c r="L33" i="9"/>
  <c r="K29" i="9"/>
  <c r="G34" i="9"/>
  <c r="H34" i="9"/>
  <c r="I34" i="9"/>
  <c r="J34" i="9"/>
  <c r="F34" i="9"/>
  <c r="J33" i="9"/>
  <c r="I33" i="9"/>
  <c r="H33" i="9"/>
  <c r="G33" i="9"/>
  <c r="F33" i="9"/>
  <c r="J37" i="9"/>
  <c r="I37" i="9"/>
  <c r="H37" i="9"/>
  <c r="G37" i="9"/>
  <c r="F37" i="9"/>
  <c r="E37" i="9"/>
  <c r="J36" i="9"/>
  <c r="I36" i="9"/>
  <c r="H36" i="9"/>
  <c r="G36" i="9"/>
  <c r="F36" i="9"/>
  <c r="E36" i="9"/>
  <c r="F31" i="9"/>
  <c r="G31" i="9"/>
  <c r="H31" i="9"/>
  <c r="I31" i="9"/>
  <c r="J31" i="9"/>
  <c r="E31" i="9"/>
  <c r="F30" i="9"/>
  <c r="G30" i="9"/>
  <c r="H30" i="9"/>
  <c r="I30" i="9"/>
  <c r="J30" i="9"/>
  <c r="E30" i="9"/>
  <c r="F29" i="9"/>
  <c r="G29" i="9"/>
  <c r="H29" i="9"/>
  <c r="I29" i="9"/>
  <c r="J29" i="9"/>
  <c r="E29" i="9"/>
  <c r="N23" i="9"/>
  <c r="O23" i="9" s="1"/>
  <c r="P23" i="9" s="1"/>
  <c r="M23" i="9"/>
  <c r="L23" i="9"/>
  <c r="K23" i="9"/>
  <c r="J23" i="9"/>
  <c r="I23" i="9"/>
  <c r="H23" i="9"/>
  <c r="G23" i="9"/>
  <c r="F23" i="9"/>
  <c r="E23" i="9"/>
  <c r="J22" i="9"/>
  <c r="I22" i="9"/>
  <c r="H22" i="9"/>
  <c r="G22" i="9"/>
  <c r="F22" i="9"/>
  <c r="E22" i="9"/>
  <c r="F20" i="9"/>
  <c r="J19" i="9"/>
  <c r="J20" i="9" s="1"/>
  <c r="I19" i="9"/>
  <c r="I20" i="9" s="1"/>
  <c r="H19" i="9"/>
  <c r="H20" i="9" s="1"/>
  <c r="G19" i="9"/>
  <c r="G20" i="9" s="1"/>
  <c r="F19" i="9"/>
  <c r="E19" i="9"/>
  <c r="E20" i="9" s="1"/>
  <c r="K20" i="9" s="1"/>
  <c r="J16" i="9"/>
  <c r="I16" i="9"/>
  <c r="H16" i="9"/>
  <c r="G16" i="9"/>
  <c r="F16" i="9"/>
  <c r="E16" i="9"/>
  <c r="P9" i="9"/>
  <c r="O9" i="9"/>
  <c r="N9" i="9"/>
  <c r="M9" i="9"/>
  <c r="L9" i="9"/>
  <c r="K9" i="9"/>
  <c r="J9" i="9"/>
  <c r="I9" i="9"/>
  <c r="H9" i="9"/>
  <c r="G9" i="9"/>
  <c r="F9" i="9"/>
  <c r="E9" i="9"/>
  <c r="E6" i="9"/>
  <c r="F5" i="9"/>
  <c r="F6" i="9" s="1"/>
  <c r="K41" i="2"/>
  <c r="L41" i="2"/>
  <c r="M41" i="2"/>
  <c r="N41" i="2"/>
  <c r="O41" i="2"/>
  <c r="P41" i="2"/>
  <c r="K42" i="2"/>
  <c r="L42" i="2"/>
  <c r="M42" i="2"/>
  <c r="N42" i="2"/>
  <c r="O42" i="2"/>
  <c r="P42" i="2"/>
  <c r="L40" i="2"/>
  <c r="M40" i="2"/>
  <c r="N40" i="2"/>
  <c r="O40" i="2"/>
  <c r="P40" i="2"/>
  <c r="K40" i="2"/>
  <c r="K28" i="2"/>
  <c r="L28" i="2"/>
  <c r="M28" i="2"/>
  <c r="M29" i="2" s="1"/>
  <c r="N28" i="2"/>
  <c r="N29" i="2" s="1"/>
  <c r="O28" i="2"/>
  <c r="O29" i="2" s="1"/>
  <c r="P28" i="2"/>
  <c r="P29" i="2" s="1"/>
  <c r="K29" i="2"/>
  <c r="L29" i="2"/>
  <c r="L23" i="2"/>
  <c r="M23" i="2"/>
  <c r="N23" i="2"/>
  <c r="O23" i="2"/>
  <c r="P23" i="2"/>
  <c r="L24" i="2"/>
  <c r="M24" i="2"/>
  <c r="N24" i="2"/>
  <c r="O24" i="2"/>
  <c r="P24" i="2"/>
  <c r="L25" i="2"/>
  <c r="M25" i="2"/>
  <c r="N25" i="2"/>
  <c r="O25" i="2"/>
  <c r="P25" i="2"/>
  <c r="L26" i="2"/>
  <c r="M26" i="2"/>
  <c r="N26" i="2"/>
  <c r="O26" i="2"/>
  <c r="P26" i="2"/>
  <c r="L27" i="2"/>
  <c r="M27" i="2"/>
  <c r="N27" i="2"/>
  <c r="O27" i="2"/>
  <c r="P27" i="2"/>
  <c r="K24" i="2"/>
  <c r="K25" i="2"/>
  <c r="K26" i="2"/>
  <c r="K27" i="2"/>
  <c r="K23" i="2"/>
  <c r="K35" i="8"/>
  <c r="L35" i="8"/>
  <c r="M35" i="8"/>
  <c r="N35" i="8"/>
  <c r="O35" i="8"/>
  <c r="P35" i="8"/>
  <c r="K36" i="8"/>
  <c r="L36" i="8"/>
  <c r="M36" i="8"/>
  <c r="N36" i="8"/>
  <c r="O36" i="8"/>
  <c r="P36" i="8"/>
  <c r="K34" i="8"/>
  <c r="L34" i="8"/>
  <c r="M34" i="8"/>
  <c r="N34" i="8"/>
  <c r="O34" i="8"/>
  <c r="P34" i="8"/>
  <c r="P21" i="8"/>
  <c r="O21" i="8"/>
  <c r="N21" i="8"/>
  <c r="M21" i="8"/>
  <c r="K16" i="8"/>
  <c r="L16" i="8"/>
  <c r="M16" i="8"/>
  <c r="N16" i="8"/>
  <c r="O16" i="8"/>
  <c r="P16" i="8"/>
  <c r="K17" i="8"/>
  <c r="L17" i="8"/>
  <c r="M17" i="8"/>
  <c r="N17" i="8"/>
  <c r="O17" i="8"/>
  <c r="P17" i="8"/>
  <c r="K18" i="8"/>
  <c r="L18" i="8"/>
  <c r="M18" i="8"/>
  <c r="N18" i="8"/>
  <c r="O18" i="8"/>
  <c r="P18" i="8"/>
  <c r="K19" i="8"/>
  <c r="L19" i="8"/>
  <c r="M19" i="8"/>
  <c r="N19" i="8"/>
  <c r="O19" i="8"/>
  <c r="P19" i="8"/>
  <c r="K20" i="8"/>
  <c r="L20" i="8"/>
  <c r="M20" i="8"/>
  <c r="N20" i="8"/>
  <c r="O20" i="8"/>
  <c r="P20" i="8"/>
  <c r="L15" i="8"/>
  <c r="M15" i="8"/>
  <c r="N15" i="8"/>
  <c r="O15" i="8"/>
  <c r="P15" i="8"/>
  <c r="K15" i="8"/>
  <c r="K31" i="8"/>
  <c r="L31" i="8"/>
  <c r="M31" i="8"/>
  <c r="N31" i="8"/>
  <c r="O31" i="8"/>
  <c r="P31" i="8"/>
  <c r="L30" i="8"/>
  <c r="M30" i="8" s="1"/>
  <c r="K30" i="8"/>
  <c r="L29" i="8"/>
  <c r="M29" i="8" s="1"/>
  <c r="N29" i="8" s="1"/>
  <c r="O29" i="8" s="1"/>
  <c r="P29" i="8" s="1"/>
  <c r="K29" i="8"/>
  <c r="L28" i="8"/>
  <c r="M28" i="8" s="1"/>
  <c r="K28" i="8"/>
  <c r="L27" i="8"/>
  <c r="K27" i="8"/>
  <c r="L26" i="8"/>
  <c r="K26" i="8"/>
  <c r="J36" i="8"/>
  <c r="I36" i="8"/>
  <c r="H36" i="8"/>
  <c r="G36" i="8"/>
  <c r="F36" i="8"/>
  <c r="J35" i="8"/>
  <c r="I35" i="8"/>
  <c r="H35" i="8"/>
  <c r="G35" i="8"/>
  <c r="F35" i="8"/>
  <c r="J34" i="8"/>
  <c r="I34" i="8"/>
  <c r="H34" i="8"/>
  <c r="G34" i="8"/>
  <c r="F34" i="8"/>
  <c r="E34" i="8"/>
  <c r="J31" i="8"/>
  <c r="I31" i="8"/>
  <c r="H31" i="8"/>
  <c r="G31" i="8"/>
  <c r="F31" i="8"/>
  <c r="E31" i="8"/>
  <c r="F26" i="8"/>
  <c r="G26" i="8"/>
  <c r="H26" i="8"/>
  <c r="I26" i="8"/>
  <c r="J26" i="8"/>
  <c r="F27" i="8"/>
  <c r="G27" i="8"/>
  <c r="H27" i="8"/>
  <c r="I27" i="8"/>
  <c r="J27" i="8"/>
  <c r="F28" i="8"/>
  <c r="G28" i="8"/>
  <c r="H28" i="8"/>
  <c r="I28" i="8"/>
  <c r="J28" i="8"/>
  <c r="F29" i="8"/>
  <c r="G29" i="8"/>
  <c r="H29" i="8"/>
  <c r="I29" i="8"/>
  <c r="J29" i="8"/>
  <c r="F30" i="8"/>
  <c r="G30" i="8"/>
  <c r="H30" i="8"/>
  <c r="I30" i="8"/>
  <c r="J30" i="8"/>
  <c r="E30" i="8"/>
  <c r="E29" i="8"/>
  <c r="E28" i="8"/>
  <c r="E27" i="8"/>
  <c r="E26" i="8"/>
  <c r="L21" i="8"/>
  <c r="K21" i="8"/>
  <c r="J21" i="8"/>
  <c r="I21" i="8"/>
  <c r="H21" i="8"/>
  <c r="G21" i="8"/>
  <c r="F21" i="8"/>
  <c r="J20" i="8"/>
  <c r="I20" i="8"/>
  <c r="H20" i="8"/>
  <c r="G20" i="8"/>
  <c r="F20" i="8"/>
  <c r="E20" i="8"/>
  <c r="F15" i="8"/>
  <c r="G15" i="8"/>
  <c r="H15" i="8"/>
  <c r="I15" i="8"/>
  <c r="J15" i="8"/>
  <c r="F16" i="8"/>
  <c r="G16" i="8"/>
  <c r="H16" i="8"/>
  <c r="I16" i="8"/>
  <c r="J16" i="8"/>
  <c r="F17" i="8"/>
  <c r="G17" i="8"/>
  <c r="H17" i="8"/>
  <c r="I17" i="8"/>
  <c r="J17" i="8"/>
  <c r="F18" i="8"/>
  <c r="G18" i="8"/>
  <c r="H18" i="8"/>
  <c r="I18" i="8"/>
  <c r="J18" i="8"/>
  <c r="F19" i="8"/>
  <c r="G19" i="8"/>
  <c r="H19" i="8"/>
  <c r="I19" i="8"/>
  <c r="J19" i="8"/>
  <c r="E19" i="8"/>
  <c r="E18" i="8"/>
  <c r="E17" i="8"/>
  <c r="E16" i="8"/>
  <c r="E15" i="8"/>
  <c r="P13" i="8"/>
  <c r="O13" i="8"/>
  <c r="N13" i="8"/>
  <c r="M13" i="8"/>
  <c r="L13" i="8"/>
  <c r="K13" i="8"/>
  <c r="J13" i="8"/>
  <c r="I13" i="8"/>
  <c r="H13" i="8"/>
  <c r="G13" i="8"/>
  <c r="F13" i="8"/>
  <c r="F12" i="8"/>
  <c r="G12" i="8"/>
  <c r="H12" i="8"/>
  <c r="I12" i="8"/>
  <c r="J12" i="8"/>
  <c r="K12" i="8"/>
  <c r="L12" i="8"/>
  <c r="M12" i="8"/>
  <c r="N12" i="8"/>
  <c r="O12" i="8"/>
  <c r="P12" i="8"/>
  <c r="E12" i="8"/>
  <c r="P11" i="8"/>
  <c r="O11" i="8"/>
  <c r="N11" i="8"/>
  <c r="M11" i="8"/>
  <c r="L11" i="8"/>
  <c r="K11" i="8"/>
  <c r="J11" i="8"/>
  <c r="I11" i="8"/>
  <c r="H11" i="8"/>
  <c r="G11" i="8"/>
  <c r="F11" i="8"/>
  <c r="E11" i="8"/>
  <c r="P10" i="8"/>
  <c r="O10" i="8"/>
  <c r="N10" i="8"/>
  <c r="M10" i="8"/>
  <c r="L10" i="8"/>
  <c r="K10" i="8"/>
  <c r="J10" i="8"/>
  <c r="I10" i="8"/>
  <c r="H10" i="8"/>
  <c r="G10" i="8"/>
  <c r="F10" i="8"/>
  <c r="P9" i="8"/>
  <c r="O9" i="8"/>
  <c r="N9" i="8"/>
  <c r="M9" i="8"/>
  <c r="L9" i="8"/>
  <c r="K9" i="8"/>
  <c r="J9" i="8"/>
  <c r="I9" i="8"/>
  <c r="H9" i="8"/>
  <c r="G9" i="8"/>
  <c r="F9" i="8"/>
  <c r="E9" i="8"/>
  <c r="E6" i="8"/>
  <c r="F5" i="8"/>
  <c r="G5" i="8" s="1"/>
  <c r="L19" i="2"/>
  <c r="M19" i="2"/>
  <c r="N19" i="2" s="1"/>
  <c r="K20" i="2"/>
  <c r="K21" i="2"/>
  <c r="K19" i="2"/>
  <c r="L20" i="2"/>
  <c r="M20" i="2"/>
  <c r="M21" i="2" s="1"/>
  <c r="P9" i="2"/>
  <c r="P8" i="2" s="1"/>
  <c r="P17" i="2" s="1"/>
  <c r="P18" i="2" s="1"/>
  <c r="P10" i="2"/>
  <c r="P11" i="2"/>
  <c r="P12" i="2"/>
  <c r="P13" i="2"/>
  <c r="P14" i="2"/>
  <c r="P15" i="2"/>
  <c r="P16" i="2"/>
  <c r="L9" i="2"/>
  <c r="L8" i="2" s="1"/>
  <c r="L17" i="2" s="1"/>
  <c r="L18" i="2" s="1"/>
  <c r="M9" i="2"/>
  <c r="M8" i="2" s="1"/>
  <c r="M17" i="2" s="1"/>
  <c r="M18" i="2" s="1"/>
  <c r="N9" i="2"/>
  <c r="N8" i="2" s="1"/>
  <c r="N17" i="2" s="1"/>
  <c r="N18" i="2" s="1"/>
  <c r="O9" i="2"/>
  <c r="O8" i="2" s="1"/>
  <c r="O17" i="2" s="1"/>
  <c r="O18" i="2" s="1"/>
  <c r="L10" i="2"/>
  <c r="M10" i="2"/>
  <c r="N10" i="2"/>
  <c r="O10" i="2"/>
  <c r="L11" i="2"/>
  <c r="M11" i="2"/>
  <c r="N11" i="2"/>
  <c r="O11" i="2"/>
  <c r="L12" i="2"/>
  <c r="M12" i="2"/>
  <c r="N12" i="2"/>
  <c r="O12" i="2"/>
  <c r="L13" i="2"/>
  <c r="M13" i="2"/>
  <c r="N13" i="2"/>
  <c r="O13" i="2"/>
  <c r="L14" i="2"/>
  <c r="M14" i="2"/>
  <c r="N14" i="2"/>
  <c r="O14" i="2"/>
  <c r="L15" i="2"/>
  <c r="M15" i="2"/>
  <c r="N15" i="2"/>
  <c r="O15" i="2"/>
  <c r="L16" i="2"/>
  <c r="M16" i="2"/>
  <c r="N16" i="2"/>
  <c r="O16" i="2"/>
  <c r="K8" i="2"/>
  <c r="K17" i="2" s="1"/>
  <c r="K18" i="2" s="1"/>
  <c r="K16" i="2"/>
  <c r="K15" i="2"/>
  <c r="K14" i="2"/>
  <c r="K13" i="2"/>
  <c r="K12" i="2"/>
  <c r="K11" i="2"/>
  <c r="K10" i="2"/>
  <c r="K9" i="2"/>
  <c r="P12" i="7"/>
  <c r="O12" i="7"/>
  <c r="N12" i="7"/>
  <c r="M12" i="7"/>
  <c r="L12" i="7"/>
  <c r="M139" i="7"/>
  <c r="N139" i="7" s="1"/>
  <c r="O139" i="7" s="1"/>
  <c r="P139" i="7" s="1"/>
  <c r="L139" i="7"/>
  <c r="N140" i="7"/>
  <c r="O140" i="7" s="1"/>
  <c r="P140" i="7" s="1"/>
  <c r="M140" i="7"/>
  <c r="L140" i="7"/>
  <c r="K140" i="7"/>
  <c r="J140" i="7"/>
  <c r="K139" i="7"/>
  <c r="I140" i="7"/>
  <c r="H140" i="7"/>
  <c r="G140" i="7"/>
  <c r="F140" i="7"/>
  <c r="J139" i="7"/>
  <c r="I139" i="7"/>
  <c r="H139" i="7"/>
  <c r="G139" i="7"/>
  <c r="F139" i="7"/>
  <c r="E139" i="7"/>
  <c r="P16" i="7"/>
  <c r="O16" i="7"/>
  <c r="N16" i="7"/>
  <c r="M16" i="7"/>
  <c r="L16" i="7"/>
  <c r="K16" i="7"/>
  <c r="P11" i="7"/>
  <c r="O11" i="7"/>
  <c r="N11" i="7"/>
  <c r="M11" i="7"/>
  <c r="L11" i="7"/>
  <c r="K11" i="7"/>
  <c r="P106" i="7"/>
  <c r="O106" i="7"/>
  <c r="N106" i="7"/>
  <c r="M106" i="7"/>
  <c r="L106" i="7"/>
  <c r="K106" i="7"/>
  <c r="J106" i="7"/>
  <c r="I106" i="7"/>
  <c r="H106" i="7"/>
  <c r="G106" i="7"/>
  <c r="P105" i="7"/>
  <c r="O105" i="7"/>
  <c r="N105" i="7"/>
  <c r="M105" i="7"/>
  <c r="L105" i="7"/>
  <c r="P134" i="7"/>
  <c r="O134" i="7"/>
  <c r="N134" i="7"/>
  <c r="M134" i="7"/>
  <c r="L134" i="7"/>
  <c r="L130" i="7"/>
  <c r="M130" i="7" s="1"/>
  <c r="N130" i="7" s="1"/>
  <c r="O130" i="7" s="1"/>
  <c r="P130" i="7" s="1"/>
  <c r="N131" i="7"/>
  <c r="O131" i="7" s="1"/>
  <c r="P131" i="7" s="1"/>
  <c r="M131" i="7"/>
  <c r="L131" i="7"/>
  <c r="N132" i="7"/>
  <c r="O132" i="7" s="1"/>
  <c r="P132" i="7" s="1"/>
  <c r="M132" i="7"/>
  <c r="L132" i="7"/>
  <c r="N133" i="7"/>
  <c r="O133" i="7" s="1"/>
  <c r="P133" i="7" s="1"/>
  <c r="M133" i="7"/>
  <c r="M114" i="7"/>
  <c r="N114" i="7" s="1"/>
  <c r="O114" i="7" s="1"/>
  <c r="P114" i="7" s="1"/>
  <c r="K133" i="7"/>
  <c r="J133" i="7"/>
  <c r="I133" i="7"/>
  <c r="H133" i="7"/>
  <c r="G133" i="7"/>
  <c r="F133" i="7"/>
  <c r="L133" i="7" s="1"/>
  <c r="H131" i="7"/>
  <c r="G131" i="7"/>
  <c r="K130" i="7"/>
  <c r="J130" i="7"/>
  <c r="J131" i="7" s="1"/>
  <c r="I130" i="7"/>
  <c r="I131" i="7" s="1"/>
  <c r="H130" i="7"/>
  <c r="G130" i="7"/>
  <c r="F130" i="7"/>
  <c r="K127" i="7"/>
  <c r="J127" i="7"/>
  <c r="I127" i="7"/>
  <c r="H127" i="7"/>
  <c r="G127" i="7"/>
  <c r="F127" i="7"/>
  <c r="K123" i="7"/>
  <c r="J123" i="7"/>
  <c r="I123" i="7"/>
  <c r="H123" i="7"/>
  <c r="G123" i="7"/>
  <c r="F123" i="7"/>
  <c r="L123" i="7" s="1"/>
  <c r="K118" i="7"/>
  <c r="K119" i="7" s="1"/>
  <c r="J118" i="7"/>
  <c r="J119" i="7" s="1"/>
  <c r="I118" i="7"/>
  <c r="I119" i="7" s="1"/>
  <c r="H118" i="7"/>
  <c r="G118" i="7"/>
  <c r="F118" i="7"/>
  <c r="I114" i="7"/>
  <c r="H114" i="7"/>
  <c r="G114" i="7"/>
  <c r="K113" i="7"/>
  <c r="K114" i="7" s="1"/>
  <c r="J113" i="7"/>
  <c r="J114" i="7" s="1"/>
  <c r="I113" i="7"/>
  <c r="H113" i="7"/>
  <c r="G113" i="7"/>
  <c r="F113" i="7"/>
  <c r="K109" i="7"/>
  <c r="J109" i="7"/>
  <c r="I109" i="7"/>
  <c r="H109" i="7"/>
  <c r="G109" i="7"/>
  <c r="F109" i="7"/>
  <c r="L109" i="7" s="1"/>
  <c r="J105" i="7"/>
  <c r="I105" i="7"/>
  <c r="H105" i="7"/>
  <c r="G105" i="7"/>
  <c r="F105" i="7"/>
  <c r="E105" i="7"/>
  <c r="K105" i="7"/>
  <c r="L21" i="1" l="1"/>
  <c r="M21" i="1"/>
  <c r="N21" i="1"/>
  <c r="O21" i="1"/>
  <c r="P21" i="1"/>
  <c r="K21" i="1"/>
  <c r="D19" i="1"/>
  <c r="L20" i="9"/>
  <c r="K19" i="9"/>
  <c r="K14" i="9" s="1"/>
  <c r="N34" i="5"/>
  <c r="O38" i="5"/>
  <c r="L19" i="10"/>
  <c r="P19" i="10"/>
  <c r="P22" i="10" s="1"/>
  <c r="M19" i="10"/>
  <c r="M22" i="10" s="1"/>
  <c r="N19" i="10"/>
  <c r="N22" i="10" s="1"/>
  <c r="K19" i="10"/>
  <c r="K9" i="10" s="1"/>
  <c r="O19" i="10"/>
  <c r="O22" i="10" s="1"/>
  <c r="L21" i="10"/>
  <c r="M21" i="10"/>
  <c r="P21" i="10"/>
  <c r="K21" i="10"/>
  <c r="N21" i="10"/>
  <c r="O21" i="10"/>
  <c r="H16" i="10"/>
  <c r="I12" i="10"/>
  <c r="I16" i="10" s="1"/>
  <c r="F12" i="10"/>
  <c r="F16" i="10" s="1"/>
  <c r="J12" i="10"/>
  <c r="J16" i="10" s="1"/>
  <c r="K16" i="10" s="1"/>
  <c r="G12" i="10"/>
  <c r="G16" i="10" s="1"/>
  <c r="G5" i="10"/>
  <c r="M37" i="9"/>
  <c r="P37" i="9" s="1"/>
  <c r="N37" i="9"/>
  <c r="O37" i="9"/>
  <c r="G5" i="9"/>
  <c r="P30" i="8"/>
  <c r="N30" i="8"/>
  <c r="O30" i="8"/>
  <c r="N28" i="8"/>
  <c r="O28" i="8"/>
  <c r="P28" i="8" s="1"/>
  <c r="M27" i="8"/>
  <c r="P27" i="8" s="1"/>
  <c r="N27" i="8"/>
  <c r="O27" i="8"/>
  <c r="M26" i="8"/>
  <c r="G6" i="8"/>
  <c r="H5" i="8"/>
  <c r="F6" i="8"/>
  <c r="N20" i="2"/>
  <c r="N21" i="2" s="1"/>
  <c r="O19" i="2"/>
  <c r="L21" i="2"/>
  <c r="M109" i="7"/>
  <c r="N109" i="7" s="1"/>
  <c r="O109" i="7" s="1"/>
  <c r="P109" i="7" s="1"/>
  <c r="L108" i="7"/>
  <c r="L122" i="7"/>
  <c r="M122" i="7" s="1"/>
  <c r="M123" i="7"/>
  <c r="N123" i="7" s="1"/>
  <c r="O123" i="7" s="1"/>
  <c r="P123" i="7" s="1"/>
  <c r="H119" i="7"/>
  <c r="G119" i="7"/>
  <c r="L119" i="7" s="1"/>
  <c r="M119" i="7" s="1"/>
  <c r="N119" i="7" s="1"/>
  <c r="O119" i="7" s="1"/>
  <c r="P119" i="7" s="1"/>
  <c r="L19" i="9" l="1"/>
  <c r="M20" i="9"/>
  <c r="K19" i="5"/>
  <c r="L14" i="9"/>
  <c r="K22" i="9"/>
  <c r="P38" i="5"/>
  <c r="P34" i="5" s="1"/>
  <c r="O34" i="5"/>
  <c r="L16" i="10"/>
  <c r="L9" i="10"/>
  <c r="K12" i="10"/>
  <c r="K15" i="10" s="1"/>
  <c r="K22" i="10"/>
  <c r="K11" i="10" s="1"/>
  <c r="L22" i="10"/>
  <c r="G6" i="10"/>
  <c r="H5" i="10"/>
  <c r="G6" i="9"/>
  <c r="H5" i="9"/>
  <c r="N26" i="8"/>
  <c r="H6" i="8"/>
  <c r="I5" i="8"/>
  <c r="O20" i="2"/>
  <c r="O21" i="2" s="1"/>
  <c r="P19" i="2"/>
  <c r="P20" i="2" s="1"/>
  <c r="P21" i="2" s="1"/>
  <c r="L118" i="7"/>
  <c r="N122" i="7"/>
  <c r="O122" i="7" s="1"/>
  <c r="P122" i="7" s="1"/>
  <c r="L112" i="7"/>
  <c r="M108" i="7"/>
  <c r="K29" i="4" l="1"/>
  <c r="K33" i="4" s="1"/>
  <c r="N20" i="9"/>
  <c r="M19" i="9"/>
  <c r="M14" i="9" s="1"/>
  <c r="K44" i="2"/>
  <c r="K46" i="2" s="1"/>
  <c r="K15" i="9"/>
  <c r="L22" i="9"/>
  <c r="L44" i="2" s="1"/>
  <c r="L46" i="2" s="1"/>
  <c r="L19" i="5"/>
  <c r="M16" i="10"/>
  <c r="M9" i="10"/>
  <c r="L11" i="10"/>
  <c r="M11" i="10" s="1"/>
  <c r="N11" i="10" s="1"/>
  <c r="O11" i="10" s="1"/>
  <c r="P11" i="10" s="1"/>
  <c r="H6" i="10"/>
  <c r="I5" i="10"/>
  <c r="H6" i="9"/>
  <c r="I5" i="9"/>
  <c r="O26" i="8"/>
  <c r="P26" i="8" s="1"/>
  <c r="J5" i="8"/>
  <c r="I6" i="8"/>
  <c r="N108" i="7"/>
  <c r="N112" i="7" s="1"/>
  <c r="M112" i="7"/>
  <c r="M118" i="7"/>
  <c r="L117" i="7"/>
  <c r="M22" i="9" l="1"/>
  <c r="M44" i="2" s="1"/>
  <c r="M46" i="2" s="1"/>
  <c r="M19" i="5"/>
  <c r="L10" i="4"/>
  <c r="L48" i="2"/>
  <c r="K20" i="5"/>
  <c r="K21" i="5" s="1"/>
  <c r="K30" i="5" s="1"/>
  <c r="K55" i="5" s="1"/>
  <c r="L15" i="9"/>
  <c r="K16" i="9"/>
  <c r="M29" i="4"/>
  <c r="M33" i="4" s="1"/>
  <c r="K48" i="2"/>
  <c r="K10" i="4"/>
  <c r="O20" i="9"/>
  <c r="N19" i="9"/>
  <c r="N14" i="9" s="1"/>
  <c r="L29" i="4"/>
  <c r="L33" i="4" s="1"/>
  <c r="L12" i="10"/>
  <c r="L15" i="10" s="1"/>
  <c r="N16" i="10"/>
  <c r="N9" i="10"/>
  <c r="M12" i="10"/>
  <c r="M15" i="10" s="1"/>
  <c r="J5" i="10"/>
  <c r="I6" i="10"/>
  <c r="I6" i="9"/>
  <c r="J5" i="9"/>
  <c r="K5" i="8"/>
  <c r="J6" i="8"/>
  <c r="N118" i="7"/>
  <c r="M117" i="7"/>
  <c r="O108" i="7"/>
  <c r="O112" i="7"/>
  <c r="N19" i="5" l="1"/>
  <c r="N22" i="9"/>
  <c r="N44" i="2" s="1"/>
  <c r="N46" i="2" s="1"/>
  <c r="O14" i="9"/>
  <c r="L16" i="9"/>
  <c r="L20" i="5"/>
  <c r="L21" i="5" s="1"/>
  <c r="L30" i="5" s="1"/>
  <c r="M15" i="9"/>
  <c r="P20" i="9"/>
  <c r="P19" i="9" s="1"/>
  <c r="O19" i="9"/>
  <c r="N29" i="4"/>
  <c r="N33" i="4" s="1"/>
  <c r="L60" i="2"/>
  <c r="L49" i="2"/>
  <c r="L50" i="2"/>
  <c r="K60" i="2"/>
  <c r="K50" i="2"/>
  <c r="K49" i="2"/>
  <c r="M48" i="2"/>
  <c r="M10" i="4"/>
  <c r="O16" i="10"/>
  <c r="N15" i="10"/>
  <c r="N12" i="10"/>
  <c r="O9" i="10"/>
  <c r="K5" i="10"/>
  <c r="J6" i="10"/>
  <c r="K5" i="9"/>
  <c r="J6" i="9"/>
  <c r="L5" i="8"/>
  <c r="K6" i="8"/>
  <c r="P108" i="7"/>
  <c r="P112" i="7"/>
  <c r="O118" i="7"/>
  <c r="N117" i="7"/>
  <c r="K61" i="2" l="1"/>
  <c r="J39" i="8"/>
  <c r="J40" i="8" s="1"/>
  <c r="K63" i="2" s="1"/>
  <c r="K66" i="2" s="1"/>
  <c r="M20" i="5"/>
  <c r="M21" i="5" s="1"/>
  <c r="M30" i="5" s="1"/>
  <c r="N15" i="9"/>
  <c r="M16" i="9"/>
  <c r="L61" i="2"/>
  <c r="K39" i="8"/>
  <c r="K40" i="8" s="1"/>
  <c r="L63" i="2" s="1"/>
  <c r="L66" i="2" s="1"/>
  <c r="O19" i="5"/>
  <c r="O22" i="9"/>
  <c r="O44" i="2" s="1"/>
  <c r="O46" i="2" s="1"/>
  <c r="P14" i="9"/>
  <c r="M60" i="2"/>
  <c r="M50" i="2"/>
  <c r="M49" i="2"/>
  <c r="N10" i="4"/>
  <c r="N48" i="2"/>
  <c r="O29" i="4"/>
  <c r="O33" i="4" s="1"/>
  <c r="P16" i="10"/>
  <c r="P15" i="10" s="1"/>
  <c r="O15" i="10"/>
  <c r="P9" i="10"/>
  <c r="P12" i="10" s="1"/>
  <c r="O12" i="10"/>
  <c r="L5" i="10"/>
  <c r="K6" i="10"/>
  <c r="L5" i="9"/>
  <c r="K6" i="9"/>
  <c r="M5" i="8"/>
  <c r="L6" i="8"/>
  <c r="P118" i="7"/>
  <c r="P117" i="7" s="1"/>
  <c r="O117" i="7"/>
  <c r="L67" i="2" l="1"/>
  <c r="L72" i="2"/>
  <c r="L69" i="2"/>
  <c r="L8" i="4" s="1"/>
  <c r="L27" i="4" s="1"/>
  <c r="K67" i="2"/>
  <c r="K72" i="2"/>
  <c r="L49" i="5"/>
  <c r="K69" i="2"/>
  <c r="K8" i="4" s="1"/>
  <c r="K27" i="4" s="1"/>
  <c r="M61" i="2"/>
  <c r="M66" i="2"/>
  <c r="L39" i="8"/>
  <c r="L40" i="8" s="1"/>
  <c r="M63" i="2" s="1"/>
  <c r="N20" i="5"/>
  <c r="N21" i="5" s="1"/>
  <c r="N30" i="5" s="1"/>
  <c r="O15" i="9"/>
  <c r="N16" i="9"/>
  <c r="P19" i="5"/>
  <c r="P22" i="9"/>
  <c r="P44" i="2" s="1"/>
  <c r="P46" i="2" s="1"/>
  <c r="O10" i="4"/>
  <c r="O48" i="2"/>
  <c r="N49" i="2"/>
  <c r="N60" i="2"/>
  <c r="N50" i="2"/>
  <c r="L6" i="10"/>
  <c r="M5" i="10"/>
  <c r="M5" i="9"/>
  <c r="L6" i="9"/>
  <c r="M6" i="8"/>
  <c r="N5" i="8"/>
  <c r="M99" i="7"/>
  <c r="N99" i="7" s="1"/>
  <c r="O99" i="7" s="1"/>
  <c r="P99" i="7" s="1"/>
  <c r="F98" i="7"/>
  <c r="K93" i="7"/>
  <c r="J93" i="7"/>
  <c r="I93" i="7"/>
  <c r="H93" i="7"/>
  <c r="G93" i="7"/>
  <c r="K98" i="7"/>
  <c r="L98" i="7" s="1"/>
  <c r="J98" i="7"/>
  <c r="I98" i="7"/>
  <c r="H98" i="7"/>
  <c r="G98" i="7"/>
  <c r="K96" i="7"/>
  <c r="J96" i="7"/>
  <c r="I96" i="7"/>
  <c r="H96" i="7"/>
  <c r="G96" i="7"/>
  <c r="F96" i="7"/>
  <c r="F93" i="7"/>
  <c r="K14" i="7"/>
  <c r="H90" i="7"/>
  <c r="K90" i="7"/>
  <c r="J90" i="7"/>
  <c r="I90" i="7"/>
  <c r="G90" i="7"/>
  <c r="F90" i="7"/>
  <c r="G83" i="7"/>
  <c r="G80" i="7" s="1"/>
  <c r="H83" i="7"/>
  <c r="H80" i="7" s="1"/>
  <c r="I83" i="7"/>
  <c r="I80" i="7" s="1"/>
  <c r="J83" i="7"/>
  <c r="J80" i="7" s="1"/>
  <c r="K83" i="7"/>
  <c r="K80" i="7" s="1"/>
  <c r="L83" i="7"/>
  <c r="L80" i="7" s="1"/>
  <c r="P13" i="7"/>
  <c r="K13" i="7"/>
  <c r="K10" i="7"/>
  <c r="K9" i="7" s="1"/>
  <c r="K65" i="7"/>
  <c r="J65" i="7"/>
  <c r="I65" i="7"/>
  <c r="H65" i="7"/>
  <c r="G65" i="7"/>
  <c r="F65" i="7"/>
  <c r="N58" i="7"/>
  <c r="O58" i="7" s="1"/>
  <c r="P58" i="7" s="1"/>
  <c r="L24" i="7"/>
  <c r="M25" i="7" s="1"/>
  <c r="K49" i="7"/>
  <c r="L49" i="7" s="1"/>
  <c r="M49" i="7" s="1"/>
  <c r="J49" i="7"/>
  <c r="I49" i="7"/>
  <c r="H49" i="7"/>
  <c r="G49" i="7"/>
  <c r="F49" i="7"/>
  <c r="K48" i="7"/>
  <c r="L48" i="7" s="1"/>
  <c r="J48" i="7"/>
  <c r="I48" i="7"/>
  <c r="H48" i="7"/>
  <c r="G48" i="7"/>
  <c r="F48" i="7"/>
  <c r="K47" i="7"/>
  <c r="L47" i="7" s="1"/>
  <c r="J47" i="7"/>
  <c r="I47" i="7"/>
  <c r="H47" i="7"/>
  <c r="G47" i="7"/>
  <c r="F47" i="7"/>
  <c r="E49" i="7"/>
  <c r="E48" i="7"/>
  <c r="E47" i="7"/>
  <c r="L78" i="7"/>
  <c r="K78" i="7"/>
  <c r="J78" i="7"/>
  <c r="I78" i="7"/>
  <c r="H78" i="7"/>
  <c r="G78" i="7"/>
  <c r="L75" i="7"/>
  <c r="K75" i="7"/>
  <c r="J75" i="7"/>
  <c r="I75" i="7"/>
  <c r="H75" i="7"/>
  <c r="G75" i="7"/>
  <c r="K67" i="7"/>
  <c r="K57" i="7" s="1"/>
  <c r="H67" i="7"/>
  <c r="H57" i="7" s="1"/>
  <c r="G67" i="7"/>
  <c r="G57" i="7" s="1"/>
  <c r="F67" i="7"/>
  <c r="F57" i="7" s="1"/>
  <c r="K55" i="7"/>
  <c r="J55" i="7"/>
  <c r="I55" i="7"/>
  <c r="H55" i="7"/>
  <c r="G55" i="7"/>
  <c r="F55" i="7"/>
  <c r="K62" i="7"/>
  <c r="H62" i="7"/>
  <c r="G62" i="7"/>
  <c r="F62" i="7"/>
  <c r="K52" i="7"/>
  <c r="J52" i="7"/>
  <c r="I52" i="7"/>
  <c r="H52" i="7"/>
  <c r="G52" i="7"/>
  <c r="F52" i="7"/>
  <c r="I60" i="7"/>
  <c r="I62" i="7" s="1"/>
  <c r="O49" i="2" l="1"/>
  <c r="O60" i="2"/>
  <c r="O50" i="2"/>
  <c r="M69" i="2"/>
  <c r="M8" i="4" s="1"/>
  <c r="M27" i="4" s="1"/>
  <c r="M72" i="2"/>
  <c r="M67" i="2"/>
  <c r="P10" i="4"/>
  <c r="P48" i="2"/>
  <c r="L50" i="5"/>
  <c r="L52" i="5" s="1"/>
  <c r="L53" i="5" s="1"/>
  <c r="L55" i="5" s="1"/>
  <c r="M49" i="5"/>
  <c r="P29" i="4"/>
  <c r="P33" i="4" s="1"/>
  <c r="O20" i="5"/>
  <c r="O21" i="5" s="1"/>
  <c r="O30" i="5" s="1"/>
  <c r="P15" i="9"/>
  <c r="O16" i="9"/>
  <c r="N66" i="2"/>
  <c r="N61" i="2"/>
  <c r="M39" i="8"/>
  <c r="M40" i="8" s="1"/>
  <c r="N63" i="2" s="1"/>
  <c r="N5" i="10"/>
  <c r="M6" i="10"/>
  <c r="M6" i="9"/>
  <c r="N5" i="9"/>
  <c r="N6" i="8"/>
  <c r="O5" i="8"/>
  <c r="G99" i="7"/>
  <c r="G58" i="7"/>
  <c r="H58" i="7"/>
  <c r="L33" i="7"/>
  <c r="L38" i="7" s="1"/>
  <c r="L62" i="7" s="1"/>
  <c r="L60" i="7" s="1"/>
  <c r="I99" i="7"/>
  <c r="L96" i="7"/>
  <c r="L95" i="7" s="1"/>
  <c r="M96" i="7"/>
  <c r="M78" i="7"/>
  <c r="M77" i="7" s="1"/>
  <c r="K18" i="7"/>
  <c r="H99" i="7"/>
  <c r="J99" i="7"/>
  <c r="M24" i="7"/>
  <c r="M35" i="7" s="1"/>
  <c r="M48" i="7"/>
  <c r="L34" i="7"/>
  <c r="L39" i="7" s="1"/>
  <c r="N49" i="7"/>
  <c r="L92" i="7"/>
  <c r="L93" i="7" s="1"/>
  <c r="L90" i="7"/>
  <c r="M47" i="7"/>
  <c r="L35" i="7"/>
  <c r="L40" i="7" s="1"/>
  <c r="K99" i="7"/>
  <c r="M98" i="7"/>
  <c r="J81" i="7"/>
  <c r="K81" i="7"/>
  <c r="I67" i="7"/>
  <c r="I57" i="7" s="1"/>
  <c r="I58" i="7" s="1"/>
  <c r="J62" i="7"/>
  <c r="L81" i="7"/>
  <c r="H81" i="7"/>
  <c r="J67" i="7"/>
  <c r="J57" i="7" s="1"/>
  <c r="I81" i="7"/>
  <c r="K40" i="7"/>
  <c r="J40" i="7"/>
  <c r="I40" i="7"/>
  <c r="H40" i="7"/>
  <c r="G40" i="7"/>
  <c r="F40" i="7"/>
  <c r="K39" i="7"/>
  <c r="J39" i="7"/>
  <c r="I39" i="7"/>
  <c r="H39" i="7"/>
  <c r="G39" i="7"/>
  <c r="F39" i="7"/>
  <c r="K38" i="7"/>
  <c r="J38" i="7"/>
  <c r="I38" i="7"/>
  <c r="H38" i="7"/>
  <c r="G38" i="7"/>
  <c r="F38" i="7"/>
  <c r="K30" i="7"/>
  <c r="J30" i="7"/>
  <c r="I30" i="7"/>
  <c r="H30" i="7"/>
  <c r="G30" i="7"/>
  <c r="F30" i="7"/>
  <c r="E30" i="7"/>
  <c r="K28" i="7"/>
  <c r="J28" i="7"/>
  <c r="I28" i="7"/>
  <c r="H28" i="7"/>
  <c r="G28" i="7"/>
  <c r="K25" i="7"/>
  <c r="J25" i="7"/>
  <c r="F28" i="7"/>
  <c r="I25" i="7"/>
  <c r="H25" i="7"/>
  <c r="G25" i="7"/>
  <c r="F25" i="7"/>
  <c r="J9" i="7"/>
  <c r="J18" i="7" s="1"/>
  <c r="I9" i="7"/>
  <c r="I18" i="7" s="1"/>
  <c r="H9" i="7"/>
  <c r="H18" i="7" s="1"/>
  <c r="G9" i="7"/>
  <c r="G18" i="7" s="1"/>
  <c r="F9" i="7"/>
  <c r="F18" i="7" s="1"/>
  <c r="E9" i="7"/>
  <c r="E18" i="7" s="1"/>
  <c r="E6" i="7"/>
  <c r="F5" i="7"/>
  <c r="G5" i="7" s="1"/>
  <c r="N69" i="2" l="1"/>
  <c r="N8" i="4" s="1"/>
  <c r="N27" i="4" s="1"/>
  <c r="N67" i="2"/>
  <c r="N72" i="2"/>
  <c r="P50" i="2"/>
  <c r="P49" i="2"/>
  <c r="P60" i="2"/>
  <c r="P16" i="9"/>
  <c r="P20" i="5"/>
  <c r="P21" i="5" s="1"/>
  <c r="P30" i="5" s="1"/>
  <c r="N49" i="5"/>
  <c r="M50" i="5"/>
  <c r="M52" i="5" s="1"/>
  <c r="M53" i="5" s="1"/>
  <c r="M55" i="5" s="1"/>
  <c r="N39" i="8"/>
  <c r="N40" i="8" s="1"/>
  <c r="O63" i="2" s="1"/>
  <c r="O66" i="2"/>
  <c r="O61" i="2"/>
  <c r="N6" i="10"/>
  <c r="O5" i="10"/>
  <c r="N6" i="9"/>
  <c r="O5" i="9"/>
  <c r="O6" i="8"/>
  <c r="P5" i="8"/>
  <c r="P6" i="8" s="1"/>
  <c r="N25" i="7"/>
  <c r="N24" i="7" s="1"/>
  <c r="O25" i="7" s="1"/>
  <c r="O24" i="7" s="1"/>
  <c r="P25" i="7" s="1"/>
  <c r="P24" i="7" s="1"/>
  <c r="N78" i="7"/>
  <c r="O78" i="7" s="1"/>
  <c r="P78" i="7" s="1"/>
  <c r="J58" i="7"/>
  <c r="G19" i="7"/>
  <c r="M95" i="7"/>
  <c r="N96" i="7"/>
  <c r="O96" i="7" s="1"/>
  <c r="M81" i="7"/>
  <c r="N81" i="7" s="1"/>
  <c r="O81" i="7" s="1"/>
  <c r="P81" i="7" s="1"/>
  <c r="K58" i="7"/>
  <c r="H19" i="7"/>
  <c r="M33" i="7"/>
  <c r="M38" i="7" s="1"/>
  <c r="M62" i="7" s="1"/>
  <c r="M60" i="7" s="1"/>
  <c r="N47" i="7"/>
  <c r="N48" i="7"/>
  <c r="M34" i="7"/>
  <c r="M39" i="7" s="1"/>
  <c r="I19" i="7"/>
  <c r="M90" i="7"/>
  <c r="N90" i="7" s="1"/>
  <c r="O90" i="7" s="1"/>
  <c r="P90" i="7" s="1"/>
  <c r="L89" i="7"/>
  <c r="J19" i="7"/>
  <c r="K19" i="7"/>
  <c r="L58" i="7"/>
  <c r="L57" i="7" s="1"/>
  <c r="N98" i="7"/>
  <c r="M92" i="7"/>
  <c r="M93" i="7" s="1"/>
  <c r="M40" i="7"/>
  <c r="F19" i="7"/>
  <c r="O49" i="7"/>
  <c r="N35" i="7"/>
  <c r="N40" i="7" s="1"/>
  <c r="H5" i="7"/>
  <c r="G6" i="7"/>
  <c r="F6" i="7"/>
  <c r="O49" i="5" l="1"/>
  <c r="N50" i="5"/>
  <c r="N52" i="5" s="1"/>
  <c r="N53" i="5" s="1"/>
  <c r="N55" i="5" s="1"/>
  <c r="O39" i="8"/>
  <c r="O40" i="8" s="1"/>
  <c r="P63" i="2" s="1"/>
  <c r="P66" i="2"/>
  <c r="P61" i="2"/>
  <c r="O67" i="2"/>
  <c r="O69" i="2"/>
  <c r="O8" i="4" s="1"/>
  <c r="O27" i="4" s="1"/>
  <c r="O72" i="2"/>
  <c r="O6" i="10"/>
  <c r="P5" i="10"/>
  <c r="P6" i="10" s="1"/>
  <c r="O6" i="9"/>
  <c r="P5" i="9"/>
  <c r="P6" i="9" s="1"/>
  <c r="N95" i="7"/>
  <c r="M80" i="7"/>
  <c r="N77" i="7"/>
  <c r="O77" i="7" s="1"/>
  <c r="P77" i="7" s="1"/>
  <c r="O95" i="7"/>
  <c r="P96" i="7"/>
  <c r="O98" i="7"/>
  <c r="N92" i="7"/>
  <c r="N93" i="7" s="1"/>
  <c r="O48" i="7"/>
  <c r="N34" i="7"/>
  <c r="N39" i="7" s="1"/>
  <c r="L64" i="7"/>
  <c r="M57" i="7"/>
  <c r="N33" i="7"/>
  <c r="N38" i="7" s="1"/>
  <c r="N62" i="7" s="1"/>
  <c r="N60" i="7" s="1"/>
  <c r="O47" i="7"/>
  <c r="P49" i="7"/>
  <c r="P35" i="7" s="1"/>
  <c r="O35" i="7"/>
  <c r="O40" i="7" s="1"/>
  <c r="L14" i="7"/>
  <c r="M89" i="7"/>
  <c r="M74" i="7"/>
  <c r="N80" i="7"/>
  <c r="I5" i="7"/>
  <c r="H6" i="7"/>
  <c r="P49" i="5" l="1"/>
  <c r="P50" i="5" s="1"/>
  <c r="P52" i="5" s="1"/>
  <c r="P53" i="5" s="1"/>
  <c r="P55" i="5" s="1"/>
  <c r="O50" i="5"/>
  <c r="O52" i="5" s="1"/>
  <c r="O53" i="5" s="1"/>
  <c r="O55" i="5" s="1"/>
  <c r="P67" i="2"/>
  <c r="P69" i="2"/>
  <c r="P8" i="4" s="1"/>
  <c r="P27" i="4" s="1"/>
  <c r="P72" i="2"/>
  <c r="P40" i="7"/>
  <c r="P95" i="7"/>
  <c r="N57" i="7"/>
  <c r="M64" i="7"/>
  <c r="L65" i="7"/>
  <c r="L10" i="7"/>
  <c r="L9" i="7" s="1"/>
  <c r="N89" i="7"/>
  <c r="M14" i="7"/>
  <c r="P48" i="7"/>
  <c r="P34" i="7" s="1"/>
  <c r="O34" i="7"/>
  <c r="O39" i="7" s="1"/>
  <c r="P47" i="7"/>
  <c r="P33" i="7" s="1"/>
  <c r="O33" i="7"/>
  <c r="O38" i="7" s="1"/>
  <c r="O62" i="7" s="1"/>
  <c r="O60" i="7" s="1"/>
  <c r="P98" i="7"/>
  <c r="O92" i="7"/>
  <c r="O93" i="7" s="1"/>
  <c r="O80" i="7"/>
  <c r="N74" i="7"/>
  <c r="M75" i="7"/>
  <c r="L13" i="7"/>
  <c r="J5" i="7"/>
  <c r="I6" i="7"/>
  <c r="P39" i="7" l="1"/>
  <c r="P92" i="7"/>
  <c r="P93" i="7" s="1"/>
  <c r="M10" i="7"/>
  <c r="M9" i="7" s="1"/>
  <c r="M65" i="7"/>
  <c r="P38" i="7"/>
  <c r="P62" i="7" s="1"/>
  <c r="P60" i="7" s="1"/>
  <c r="O57" i="7"/>
  <c r="N64" i="7"/>
  <c r="O89" i="7"/>
  <c r="N14" i="7"/>
  <c r="L18" i="7"/>
  <c r="L19" i="7" s="1"/>
  <c r="M13" i="7"/>
  <c r="M18" i="7" s="1"/>
  <c r="N75" i="7"/>
  <c r="P80" i="7"/>
  <c r="P74" i="7" s="1"/>
  <c r="O74" i="7"/>
  <c r="K5" i="7"/>
  <c r="J6" i="7"/>
  <c r="M19" i="7" l="1"/>
  <c r="N65" i="7"/>
  <c r="N10" i="7"/>
  <c r="N9" i="7" s="1"/>
  <c r="P57" i="7"/>
  <c r="P64" i="7" s="1"/>
  <c r="O64" i="7"/>
  <c r="P89" i="7"/>
  <c r="P14" i="7" s="1"/>
  <c r="O14" i="7"/>
  <c r="O75" i="7"/>
  <c r="N13" i="7"/>
  <c r="O13" i="7"/>
  <c r="P75" i="7"/>
  <c r="L5" i="7"/>
  <c r="K6" i="7"/>
  <c r="N18" i="7" l="1"/>
  <c r="N19" i="7" s="1"/>
  <c r="O65" i="7"/>
  <c r="O10" i="7"/>
  <c r="O9" i="7" s="1"/>
  <c r="P65" i="7"/>
  <c r="P10" i="7"/>
  <c r="P9" i="7" s="1"/>
  <c r="P18" i="7" s="1"/>
  <c r="O18" i="7"/>
  <c r="M5" i="7"/>
  <c r="L6" i="7"/>
  <c r="O19" i="7" l="1"/>
  <c r="P19" i="7"/>
  <c r="N5" i="7"/>
  <c r="M6" i="7"/>
  <c r="O5" i="7" l="1"/>
  <c r="N6" i="7"/>
  <c r="P5" i="7" l="1"/>
  <c r="P6" i="7" s="1"/>
  <c r="O6" i="7"/>
  <c r="J40" i="2" l="1"/>
  <c r="F64" i="5"/>
  <c r="G64" i="5"/>
  <c r="H64" i="5"/>
  <c r="I64" i="5"/>
  <c r="J64" i="5"/>
  <c r="F65" i="5"/>
  <c r="G65" i="5"/>
  <c r="H65" i="5"/>
  <c r="I65" i="5"/>
  <c r="J65" i="5"/>
  <c r="E64" i="5"/>
  <c r="E65" i="5"/>
  <c r="E63" i="5"/>
  <c r="F59" i="5"/>
  <c r="G59" i="5"/>
  <c r="H59" i="5"/>
  <c r="I59" i="5"/>
  <c r="J59" i="5"/>
  <c r="F60" i="5"/>
  <c r="G60" i="5"/>
  <c r="H60" i="5"/>
  <c r="I60" i="5"/>
  <c r="J60" i="5"/>
  <c r="E60" i="5"/>
  <c r="E59" i="5"/>
  <c r="E58" i="5"/>
  <c r="P5" i="4" l="1"/>
  <c r="P6" i="4" s="1"/>
  <c r="F46" i="4" l="1"/>
  <c r="G46" i="4"/>
  <c r="H46" i="4"/>
  <c r="I46" i="4"/>
  <c r="J46" i="4"/>
  <c r="E46" i="4"/>
  <c r="F11" i="5"/>
  <c r="G11" i="5"/>
  <c r="H11" i="5"/>
  <c r="I11" i="5"/>
  <c r="J11" i="5"/>
  <c r="E11" i="5"/>
  <c r="I26" i="5" l="1"/>
  <c r="H26" i="5"/>
  <c r="G26" i="5"/>
  <c r="F26" i="5"/>
  <c r="E26" i="5"/>
  <c r="F42" i="5" l="1"/>
  <c r="G42" i="5"/>
  <c r="H42" i="5"/>
  <c r="I42" i="5"/>
  <c r="J42" i="5"/>
  <c r="E42" i="5"/>
  <c r="E69" i="2" l="1"/>
  <c r="F42" i="4"/>
  <c r="G42" i="4"/>
  <c r="H42" i="4"/>
  <c r="H44" i="4" s="1"/>
  <c r="I42" i="4"/>
  <c r="J42" i="4"/>
  <c r="E42" i="4"/>
  <c r="F33" i="4"/>
  <c r="G33" i="4"/>
  <c r="H33" i="4"/>
  <c r="I33" i="4"/>
  <c r="I44" i="4" s="1"/>
  <c r="J33" i="4"/>
  <c r="E33" i="4"/>
  <c r="F10" i="4"/>
  <c r="G10" i="4"/>
  <c r="H10" i="4"/>
  <c r="I10" i="4"/>
  <c r="J10" i="4"/>
  <c r="F11" i="4"/>
  <c r="G11" i="4"/>
  <c r="H11" i="4"/>
  <c r="I11" i="4"/>
  <c r="J11" i="4"/>
  <c r="F13" i="4"/>
  <c r="G13" i="4"/>
  <c r="H13" i="4"/>
  <c r="I13" i="4"/>
  <c r="J13" i="4"/>
  <c r="E13" i="4"/>
  <c r="E10" i="4"/>
  <c r="E11" i="4"/>
  <c r="E9" i="4"/>
  <c r="F9" i="4"/>
  <c r="G9" i="4"/>
  <c r="H9" i="4"/>
  <c r="I9" i="4"/>
  <c r="J9" i="4"/>
  <c r="F50" i="5"/>
  <c r="F52" i="5" s="1"/>
  <c r="G50" i="5"/>
  <c r="G52" i="5" s="1"/>
  <c r="H50" i="5"/>
  <c r="H52" i="5" s="1"/>
  <c r="I50" i="5"/>
  <c r="I52" i="5" s="1"/>
  <c r="J50" i="5"/>
  <c r="J52" i="5" s="1"/>
  <c r="E50" i="5"/>
  <c r="E52" i="5" s="1"/>
  <c r="F34" i="5"/>
  <c r="F39" i="5" s="1"/>
  <c r="F45" i="5" s="1"/>
  <c r="G34" i="5"/>
  <c r="G39" i="5" s="1"/>
  <c r="G45" i="5" s="1"/>
  <c r="H34" i="5"/>
  <c r="H39" i="5" s="1"/>
  <c r="H45" i="5" s="1"/>
  <c r="I34" i="5"/>
  <c r="I39" i="5" s="1"/>
  <c r="I45" i="5" s="1"/>
  <c r="J34" i="5"/>
  <c r="J39" i="5" s="1"/>
  <c r="J45" i="5" s="1"/>
  <c r="E34" i="5"/>
  <c r="E39" i="5" s="1"/>
  <c r="E45" i="5" s="1"/>
  <c r="F17" i="5"/>
  <c r="G17" i="5"/>
  <c r="H17" i="5"/>
  <c r="I17" i="5"/>
  <c r="J17" i="5"/>
  <c r="E17" i="5"/>
  <c r="J24" i="5"/>
  <c r="I24" i="5"/>
  <c r="H24" i="5"/>
  <c r="G24" i="5"/>
  <c r="F24" i="5"/>
  <c r="E24" i="5"/>
  <c r="F21" i="5"/>
  <c r="G21" i="5"/>
  <c r="H21" i="5"/>
  <c r="I21" i="5"/>
  <c r="J21" i="5"/>
  <c r="E21" i="5"/>
  <c r="E6" i="5"/>
  <c r="F5" i="5"/>
  <c r="G5" i="5" s="1"/>
  <c r="H5" i="5" s="1"/>
  <c r="F54" i="2"/>
  <c r="F59" i="2" s="1"/>
  <c r="G54" i="2"/>
  <c r="G59" i="2" s="1"/>
  <c r="H54" i="2"/>
  <c r="H59" i="2" s="1"/>
  <c r="I54" i="2"/>
  <c r="I59" i="2" s="1"/>
  <c r="J54" i="2"/>
  <c r="J59" i="2" s="1"/>
  <c r="E54" i="2"/>
  <c r="E59" i="2" s="1"/>
  <c r="F46" i="2"/>
  <c r="G46" i="2"/>
  <c r="H46" i="2"/>
  <c r="I46" i="2"/>
  <c r="J46" i="2"/>
  <c r="E46" i="2"/>
  <c r="F40" i="2"/>
  <c r="F48" i="2" s="1"/>
  <c r="F60" i="2" s="1"/>
  <c r="F66" i="2" s="1"/>
  <c r="F8" i="4" s="1"/>
  <c r="G40" i="2"/>
  <c r="G48" i="2" s="1"/>
  <c r="G60" i="2" s="1"/>
  <c r="H40" i="2"/>
  <c r="I40" i="2"/>
  <c r="E40" i="2"/>
  <c r="F28" i="2"/>
  <c r="G28" i="2"/>
  <c r="H28" i="2"/>
  <c r="I28" i="2"/>
  <c r="J28" i="2"/>
  <c r="E28" i="2"/>
  <c r="F8" i="2"/>
  <c r="F17" i="2" s="1"/>
  <c r="G8" i="2"/>
  <c r="G17" i="2" s="1"/>
  <c r="H8" i="2"/>
  <c r="H17" i="2" s="1"/>
  <c r="I8" i="2"/>
  <c r="I17" i="2" s="1"/>
  <c r="J8" i="2"/>
  <c r="J17" i="2" s="1"/>
  <c r="E8" i="2"/>
  <c r="E17" i="2" s="1"/>
  <c r="E20" i="2" s="1"/>
  <c r="G44" i="4" l="1"/>
  <c r="F44" i="4"/>
  <c r="E44" i="4"/>
  <c r="J44" i="4"/>
  <c r="J53" i="5"/>
  <c r="I53" i="5"/>
  <c r="H53" i="5"/>
  <c r="G53" i="5"/>
  <c r="F53" i="5"/>
  <c r="F72" i="2"/>
  <c r="E53" i="5"/>
  <c r="I30" i="5"/>
  <c r="E30" i="5"/>
  <c r="J30" i="5"/>
  <c r="G30" i="5"/>
  <c r="H30" i="5"/>
  <c r="F30" i="5"/>
  <c r="F6" i="5"/>
  <c r="I5" i="5"/>
  <c r="H6" i="5"/>
  <c r="G6" i="5"/>
  <c r="F69" i="2"/>
  <c r="G61" i="2"/>
  <c r="J29" i="2"/>
  <c r="G29" i="2"/>
  <c r="G66" i="2"/>
  <c r="I29" i="2"/>
  <c r="J48" i="2"/>
  <c r="J60" i="2" s="1"/>
  <c r="J66" i="2" s="1"/>
  <c r="I48" i="2"/>
  <c r="I60" i="2" s="1"/>
  <c r="I66" i="2" s="1"/>
  <c r="E48" i="2"/>
  <c r="E60" i="2" s="1"/>
  <c r="G49" i="2"/>
  <c r="F29" i="2"/>
  <c r="H41" i="2"/>
  <c r="H48" i="2"/>
  <c r="H60" i="2" s="1"/>
  <c r="H29" i="2"/>
  <c r="F41" i="2"/>
  <c r="G41" i="2"/>
  <c r="I41" i="2"/>
  <c r="J41" i="2"/>
  <c r="I20" i="2"/>
  <c r="I42" i="2" s="1"/>
  <c r="I18" i="2"/>
  <c r="H20" i="2"/>
  <c r="H42" i="2" s="1"/>
  <c r="H18" i="2"/>
  <c r="J20" i="2"/>
  <c r="J42" i="2" s="1"/>
  <c r="J18" i="2"/>
  <c r="G18" i="2"/>
  <c r="G20" i="2"/>
  <c r="G42" i="2" s="1"/>
  <c r="F18" i="2"/>
  <c r="F20" i="2"/>
  <c r="F21" i="2" s="1"/>
  <c r="J55" i="5" l="1"/>
  <c r="F55" i="5"/>
  <c r="H55" i="5"/>
  <c r="G55" i="5"/>
  <c r="I55" i="5"/>
  <c r="E55" i="5"/>
  <c r="I8" i="4"/>
  <c r="I72" i="2"/>
  <c r="J8" i="4"/>
  <c r="J72" i="2"/>
  <c r="G8" i="4"/>
  <c r="G72" i="2"/>
  <c r="J5" i="5"/>
  <c r="I6" i="5"/>
  <c r="H61" i="2"/>
  <c r="H66" i="2"/>
  <c r="I69" i="2"/>
  <c r="F61" i="2"/>
  <c r="E66" i="2"/>
  <c r="J69" i="2"/>
  <c r="J67" i="2"/>
  <c r="G69" i="2"/>
  <c r="G67" i="2"/>
  <c r="I50" i="2"/>
  <c r="J49" i="2"/>
  <c r="F49" i="2"/>
  <c r="J61" i="2"/>
  <c r="I61" i="2"/>
  <c r="F50" i="2"/>
  <c r="H50" i="2"/>
  <c r="H49" i="2"/>
  <c r="I49" i="2"/>
  <c r="J50" i="2"/>
  <c r="G50" i="2"/>
  <c r="F42" i="2"/>
  <c r="I21" i="2"/>
  <c r="J21" i="2"/>
  <c r="G21" i="2"/>
  <c r="H21" i="2"/>
  <c r="I67" i="2" l="1"/>
  <c r="H8" i="4"/>
  <c r="H72" i="2"/>
  <c r="E8" i="4"/>
  <c r="E72" i="2"/>
  <c r="K5" i="5"/>
  <c r="J6" i="5"/>
  <c r="F67" i="2"/>
  <c r="H69" i="2"/>
  <c r="H67" i="2"/>
  <c r="L5" i="5" l="1"/>
  <c r="K6" i="5"/>
  <c r="M5" i="5" l="1"/>
  <c r="L6" i="5"/>
  <c r="M6" i="5" l="1"/>
  <c r="N5" i="5"/>
  <c r="N6" i="5" l="1"/>
  <c r="O5" i="5"/>
  <c r="O6" i="5" l="1"/>
  <c r="P5" i="5"/>
  <c r="P6" i="5" s="1"/>
  <c r="E6" i="4"/>
  <c r="F5" i="4"/>
  <c r="G5" i="4" s="1"/>
  <c r="E6" i="2"/>
  <c r="F5" i="2"/>
  <c r="F6" i="2" s="1"/>
  <c r="D6" i="1"/>
  <c r="F5" i="1"/>
  <c r="G5" i="1" s="1"/>
  <c r="H5" i="1" l="1"/>
  <c r="G6" i="1"/>
  <c r="F6" i="1"/>
  <c r="F6" i="4"/>
  <c r="G5" i="2"/>
  <c r="H5" i="2" s="1"/>
  <c r="I5" i="2" s="1"/>
  <c r="H5" i="4"/>
  <c r="G6" i="4"/>
  <c r="I5" i="1" l="1"/>
  <c r="H6" i="1"/>
  <c r="G6" i="2"/>
  <c r="H6" i="2"/>
  <c r="I5" i="4"/>
  <c r="H6" i="4"/>
  <c r="J5" i="2"/>
  <c r="I6" i="2"/>
  <c r="J5" i="1" l="1"/>
  <c r="I6" i="1"/>
  <c r="J5" i="4"/>
  <c r="K5" i="4" s="1"/>
  <c r="I6" i="4"/>
  <c r="K5" i="2"/>
  <c r="J6" i="2"/>
  <c r="J6" i="1" l="1"/>
  <c r="K5" i="1"/>
  <c r="L5" i="4"/>
  <c r="K6" i="4"/>
  <c r="J6" i="4"/>
  <c r="L5" i="2"/>
  <c r="K6" i="2"/>
  <c r="L5" i="1" l="1"/>
  <c r="K6" i="1"/>
  <c r="M5" i="4"/>
  <c r="L6" i="4"/>
  <c r="M5" i="2"/>
  <c r="L6" i="2"/>
  <c r="L6" i="1" l="1"/>
  <c r="M5" i="1"/>
  <c r="N5" i="4"/>
  <c r="M6" i="4"/>
  <c r="N5" i="2"/>
  <c r="M6" i="2"/>
  <c r="M6" i="1" l="1"/>
  <c r="N5" i="1"/>
  <c r="O5" i="4"/>
  <c r="O6" i="4" s="1"/>
  <c r="N6" i="4"/>
  <c r="N6" i="2"/>
  <c r="O5" i="2"/>
  <c r="N6" i="1" l="1"/>
  <c r="O5" i="1"/>
  <c r="O6" i="2"/>
  <c r="P5" i="2"/>
  <c r="P6" i="2" s="1"/>
  <c r="P5" i="1" l="1"/>
  <c r="P6" i="1" s="1"/>
  <c r="O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<sst xmlns="http://schemas.openxmlformats.org/spreadsheetml/2006/main" count="374" uniqueCount="236">
  <si>
    <t>Date</t>
  </si>
  <si>
    <t>Year</t>
  </si>
  <si>
    <t>EBITDA</t>
  </si>
  <si>
    <t>EBIT</t>
  </si>
  <si>
    <t>All data in mm INR, except per share data</t>
  </si>
  <si>
    <t>Bharti Airtel Valuation Model</t>
  </si>
  <si>
    <t>Mobile</t>
  </si>
  <si>
    <t>India</t>
  </si>
  <si>
    <t xml:space="preserve">Africa </t>
  </si>
  <si>
    <t>South Asia</t>
  </si>
  <si>
    <t>Homes</t>
  </si>
  <si>
    <t>Enterprise</t>
  </si>
  <si>
    <t>Towers</t>
  </si>
  <si>
    <t>DTH</t>
  </si>
  <si>
    <t>Others</t>
  </si>
  <si>
    <t>Gross revenues</t>
  </si>
  <si>
    <t>YoY growth</t>
  </si>
  <si>
    <t>Others &amp; Elimination</t>
  </si>
  <si>
    <t>Net revenues</t>
  </si>
  <si>
    <t>Access charges</t>
  </si>
  <si>
    <t>License fee &amp; spectrum charges</t>
  </si>
  <si>
    <t>Network operations costs</t>
  </si>
  <si>
    <t>Employee costs</t>
  </si>
  <si>
    <t>Sales and marketing</t>
  </si>
  <si>
    <t>Total operating expenses</t>
  </si>
  <si>
    <t>Mobile - India</t>
  </si>
  <si>
    <t>Mobile - Africa</t>
  </si>
  <si>
    <t>Mobile - South Asia</t>
  </si>
  <si>
    <t>Passive infrastructure</t>
  </si>
  <si>
    <t>Eliminations</t>
  </si>
  <si>
    <t>EBITDA margin</t>
  </si>
  <si>
    <t>Depreciation</t>
  </si>
  <si>
    <t>Amortization</t>
  </si>
  <si>
    <t>Total D&amp;A</t>
  </si>
  <si>
    <t>EBIT Margin</t>
  </si>
  <si>
    <t>Interest income</t>
  </si>
  <si>
    <t>Interest expense</t>
  </si>
  <si>
    <t>Net interest income/expense</t>
  </si>
  <si>
    <t>Foreign exchange gain/(loss)</t>
  </si>
  <si>
    <t>Net income from associates and JCEs</t>
  </si>
  <si>
    <t>Other non-operating income/expense</t>
  </si>
  <si>
    <t>Non-operating income/(loss)</t>
  </si>
  <si>
    <t>Pre-tax profit</t>
  </si>
  <si>
    <t>Income taxes</t>
  </si>
  <si>
    <t>Minority interest</t>
  </si>
  <si>
    <t>Extraordinary gain/(loss)</t>
  </si>
  <si>
    <t>Reported net profit</t>
  </si>
  <si>
    <t xml:space="preserve"> </t>
  </si>
  <si>
    <t>Normalized net profit</t>
  </si>
  <si>
    <t>Weighted avg. adj. shares outstanding (mn)</t>
  </si>
  <si>
    <t>Normalized EPS (Rs)</t>
  </si>
  <si>
    <t>Cash and equivalents</t>
  </si>
  <si>
    <t>Net receivables</t>
  </si>
  <si>
    <t>Inventory/stocks</t>
  </si>
  <si>
    <t>Other current assets</t>
  </si>
  <si>
    <t>Short term investments</t>
  </si>
  <si>
    <t>Prepaid expenses</t>
  </si>
  <si>
    <t>Advances to suppliers</t>
  </si>
  <si>
    <t>Taxes receivable</t>
  </si>
  <si>
    <t>Current assets</t>
  </si>
  <si>
    <t>Gross PP&amp;E/Fixed assets</t>
  </si>
  <si>
    <t>Less accumulated depreciation</t>
  </si>
  <si>
    <t>Net PP&amp;E/Fixed assets</t>
  </si>
  <si>
    <t xml:space="preserve">Gross intangibles </t>
  </si>
  <si>
    <t>Accumulated amortization</t>
  </si>
  <si>
    <t>Net intangibles</t>
  </si>
  <si>
    <t>Investments in joint ventures/associates</t>
  </si>
  <si>
    <t>Other long-term assets</t>
  </si>
  <si>
    <t>Other investments</t>
  </si>
  <si>
    <t>Deferred tax assets</t>
  </si>
  <si>
    <t>Total assets</t>
  </si>
  <si>
    <t>Accounts payable</t>
  </si>
  <si>
    <t>Short-term debt and current portion of long-term debt</t>
  </si>
  <si>
    <t>Other current liabilities</t>
  </si>
  <si>
    <t>Deferred revenues</t>
  </si>
  <si>
    <t>Taxes payable</t>
  </si>
  <si>
    <t>Deferred payment liability</t>
  </si>
  <si>
    <t>Current liabilities</t>
  </si>
  <si>
    <t>Long-term debt</t>
  </si>
  <si>
    <t>Other long-term liabilities/creditors</t>
  </si>
  <si>
    <t xml:space="preserve">Total liabilities   </t>
  </si>
  <si>
    <t>Common stock (par value capital)</t>
  </si>
  <si>
    <t>Treasury stock</t>
  </si>
  <si>
    <t>Retained earnings</t>
  </si>
  <si>
    <t>Total common equity</t>
  </si>
  <si>
    <t>Minority interest (balance sheet)</t>
  </si>
  <si>
    <t>Total shareholders funds/equity</t>
  </si>
  <si>
    <t>Total liabilities and equity</t>
  </si>
  <si>
    <t>Check (TA=TL&amp;E)</t>
  </si>
  <si>
    <t>Minority interest add-back</t>
  </si>
  <si>
    <t>Depreciation and amortization add-back</t>
  </si>
  <si>
    <t>Net income from associates and jointly controlled entities</t>
  </si>
  <si>
    <t>Net loss/(gain) on asset sales</t>
  </si>
  <si>
    <t>(Increase)/decrease in working capital :</t>
  </si>
  <si>
    <t>Accounts receivable</t>
  </si>
  <si>
    <t>Inventory</t>
  </si>
  <si>
    <t>Other operating cash flow items</t>
  </si>
  <si>
    <t>Exceptional items</t>
  </si>
  <si>
    <t>Recognized in income statement</t>
  </si>
  <si>
    <t>Income tax</t>
  </si>
  <si>
    <t>Finance income</t>
  </si>
  <si>
    <t>Cash expenses</t>
  </si>
  <si>
    <t>Cash flow from operations</t>
  </si>
  <si>
    <t>Capital expenditure</t>
  </si>
  <si>
    <t>(Acquisitions)/divestitures</t>
  </si>
  <si>
    <t>Investments/dividend received</t>
  </si>
  <si>
    <t>Other investment cash flow items</t>
  </si>
  <si>
    <t>Cash flow from investing</t>
  </si>
  <si>
    <t>Dividends paid (common and preferred)</t>
  </si>
  <si>
    <t>Share repurchase/issue (change In common stock)</t>
  </si>
  <si>
    <t>Increase/(decrease) in short-term debt</t>
  </si>
  <si>
    <t>Increase/(decrease) in long-term debt</t>
  </si>
  <si>
    <t>Change in minority interest</t>
  </si>
  <si>
    <t>Other financing cash flow items</t>
  </si>
  <si>
    <t>Cash flow from financing</t>
  </si>
  <si>
    <t>Total cash flow</t>
  </si>
  <si>
    <t>Net Income</t>
  </si>
  <si>
    <r>
      <t xml:space="preserve">Actuals in blue, calculations in black, Assumptions in </t>
    </r>
    <r>
      <rPr>
        <sz val="11"/>
        <color rgb="FFFF0000"/>
        <rFont val="Calibri"/>
        <family val="2"/>
        <scheme val="minor"/>
      </rPr>
      <t>red</t>
    </r>
  </si>
  <si>
    <t>Bharti Airtel  Valuation Model</t>
  </si>
  <si>
    <t>All data in MM INR, except per share data</t>
  </si>
  <si>
    <t>Increase/(decrease) in deferred payment liability</t>
  </si>
  <si>
    <t>Cash and Cash Equivalents</t>
  </si>
  <si>
    <t>Actuals in blue, calculations in black, Assumptions in red</t>
  </si>
  <si>
    <r>
      <t xml:space="preserve">Actuals in </t>
    </r>
    <r>
      <rPr>
        <sz val="11"/>
        <color rgb="FF0070C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, calculations in black, Assumptions in </t>
    </r>
    <r>
      <rPr>
        <sz val="11"/>
        <color rgb="FFFF0000"/>
        <rFont val="Calibri"/>
        <family val="2"/>
        <scheme val="minor"/>
      </rPr>
      <t>red</t>
    </r>
  </si>
  <si>
    <t>Turnover Ratios</t>
  </si>
  <si>
    <t xml:space="preserve">Inventory </t>
  </si>
  <si>
    <t xml:space="preserve">Recievables </t>
  </si>
  <si>
    <t>Payable</t>
  </si>
  <si>
    <t xml:space="preserve">Days </t>
  </si>
  <si>
    <t>NM</t>
  </si>
  <si>
    <t>+</t>
  </si>
  <si>
    <t>Dep</t>
  </si>
  <si>
    <t>EBIT*(1-t)</t>
  </si>
  <si>
    <t>-</t>
  </si>
  <si>
    <t>Capex</t>
  </si>
  <si>
    <t>WCAP changes</t>
  </si>
  <si>
    <t>FCFF</t>
  </si>
  <si>
    <t>sector total subscriber(mm)</t>
  </si>
  <si>
    <t>Net adds(mm)</t>
  </si>
  <si>
    <t>Sector Data Subscribers(mm)</t>
  </si>
  <si>
    <r>
      <t xml:space="preserve">Data Subscribers </t>
    </r>
    <r>
      <rPr>
        <strike/>
        <sz val="11"/>
        <color theme="1"/>
        <rFont val="Calibri"/>
        <family val="2"/>
        <scheme val="minor"/>
      </rPr>
      <t xml:space="preserve"> </t>
    </r>
  </si>
  <si>
    <t>total subscriber base</t>
  </si>
  <si>
    <t>Airtel</t>
  </si>
  <si>
    <t>Jio</t>
  </si>
  <si>
    <t>Vodafone Idea</t>
  </si>
  <si>
    <t>total net adds</t>
  </si>
  <si>
    <t>total market base share%</t>
  </si>
  <si>
    <t>voice usage per sub</t>
  </si>
  <si>
    <t>growth</t>
  </si>
  <si>
    <t>data usage</t>
  </si>
  <si>
    <t>ARPU</t>
  </si>
  <si>
    <t>grwoth</t>
  </si>
  <si>
    <t>total subscriber</t>
  </si>
  <si>
    <t>perpaid %</t>
  </si>
  <si>
    <t>Net adds</t>
  </si>
  <si>
    <t>revenue</t>
  </si>
  <si>
    <t>AVERAGE CUSTOMER BASE</t>
  </si>
  <si>
    <t>home revenue</t>
  </si>
  <si>
    <t>Growth</t>
  </si>
  <si>
    <t>Homes customer</t>
  </si>
  <si>
    <t>Average Revenue per user</t>
  </si>
  <si>
    <t>average customer basee</t>
  </si>
  <si>
    <t>Enterprise revenues</t>
  </si>
  <si>
    <t>India wireless</t>
  </si>
  <si>
    <t>growth (y/y%)</t>
  </si>
  <si>
    <t>DTH Customers(mm)</t>
  </si>
  <si>
    <t>Net Adds(mm)</t>
  </si>
  <si>
    <t>Average revenue per user(INR)</t>
  </si>
  <si>
    <t>Growth(y/y%)</t>
  </si>
  <si>
    <t>Airtel Africa</t>
  </si>
  <si>
    <t>Voice</t>
  </si>
  <si>
    <t>Voice Revenue</t>
  </si>
  <si>
    <t xml:space="preserve">Voice Average Revenue Per User (ARPU) </t>
  </si>
  <si>
    <t>Data</t>
  </si>
  <si>
    <t>Data Revenue</t>
  </si>
  <si>
    <t>Data Usage per customer</t>
  </si>
  <si>
    <t>USD/INR rate</t>
  </si>
  <si>
    <t>Airtel Africa Revenue(mm)</t>
  </si>
  <si>
    <t>Customer Base</t>
  </si>
  <si>
    <t>Airtel Money</t>
  </si>
  <si>
    <t>Transaction Value</t>
  </si>
  <si>
    <t>Transaction Value per Subs</t>
  </si>
  <si>
    <t>Active Customers</t>
  </si>
  <si>
    <t>Airtel Money ARPU</t>
  </si>
  <si>
    <t>net adds</t>
  </si>
  <si>
    <t>Airtel money revenue</t>
  </si>
  <si>
    <t>Data ARPU</t>
  </si>
  <si>
    <t>Data Subscriber</t>
  </si>
  <si>
    <t>SA revenue(INTmm)</t>
  </si>
  <si>
    <t>Gross revenue</t>
  </si>
  <si>
    <t>PP&amp;E/fixed assests</t>
  </si>
  <si>
    <t>Gross block</t>
  </si>
  <si>
    <t>accumulated depreciation</t>
  </si>
  <si>
    <t>net block</t>
  </si>
  <si>
    <t>capital expenditure</t>
  </si>
  <si>
    <t>%revenue</t>
  </si>
  <si>
    <t>depreciation</t>
  </si>
  <si>
    <t>% of opening block</t>
  </si>
  <si>
    <t xml:space="preserve">Intangible assets </t>
  </si>
  <si>
    <t>Gross Intangible assests</t>
  </si>
  <si>
    <t>net intangible assets</t>
  </si>
  <si>
    <t>spectrum expenditure</t>
  </si>
  <si>
    <t>% of revenue</t>
  </si>
  <si>
    <t>amortization</t>
  </si>
  <si>
    <t>% of gross intangible</t>
  </si>
  <si>
    <t>Long term debt</t>
  </si>
  <si>
    <t>shorts term debt and current portion of long term debt</t>
  </si>
  <si>
    <t>Deferred payment liability (Govt)</t>
  </si>
  <si>
    <t>Total debt</t>
  </si>
  <si>
    <t>interest % of debt</t>
  </si>
  <si>
    <t>Repayment</t>
  </si>
  <si>
    <t>Deferred Payment Liability(Govt)</t>
  </si>
  <si>
    <t>short term debt and current portion of long term debt</t>
  </si>
  <si>
    <t xml:space="preserve">Long term debt </t>
  </si>
  <si>
    <t>pre-tax profit</t>
  </si>
  <si>
    <t>tax paid</t>
  </si>
  <si>
    <t>effective tax rate</t>
  </si>
  <si>
    <t>risk free rate</t>
  </si>
  <si>
    <t>beta</t>
  </si>
  <si>
    <t>Market returns</t>
  </si>
  <si>
    <t>cost of debt</t>
  </si>
  <si>
    <t>Market Cap</t>
  </si>
  <si>
    <t>Total Debt</t>
  </si>
  <si>
    <t>Cash</t>
  </si>
  <si>
    <t>Net Debt</t>
  </si>
  <si>
    <t>Total Capital</t>
  </si>
  <si>
    <t>Proportion of debt</t>
  </si>
  <si>
    <t>Tax Rate</t>
  </si>
  <si>
    <t>Terminal Growth Rate</t>
  </si>
  <si>
    <t>Proportion of equity</t>
  </si>
  <si>
    <t>WACC</t>
  </si>
  <si>
    <t>Cost of equity</t>
  </si>
  <si>
    <t>PV</t>
  </si>
  <si>
    <t>PV of explicit years</t>
  </si>
  <si>
    <t>PV of terminal value</t>
  </si>
  <si>
    <t>Total implied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</si>
</sst>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5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0&quot;A&quot;"/>
    <numFmt numFmtId="165" formatCode="0&quot;E&quot;"/>
    <numFmt numFmtId="166" formatCode="0.0%"/>
    <numFmt numFmtId="167" formatCode="_(* #,##0_);* \(#,##0\);_(* &quot;-&quot;_)"/>
    <numFmt numFmtId="168" formatCode="0.0"/>
    <numFmt numFmtId="169" formatCode="_([$€-2]* #,##0.00_);_([$€-2]* \(#,##0.00\);_([$€-2]* &quot;-&quot;??_)"/>
    <numFmt numFmtId="170" formatCode="0.0&quot;x&quot;"/>
    <numFmt numFmtId="171" formatCode="&quot;$&quot;#,##0_);[Red]\(&quot;$&quot;#,##0\)"/>
    <numFmt numFmtId="172" formatCode="_-&quot;$&quot;* #,##0_-;\-&quot;$&quot;* #,##0_-;_-&quot;$&quot;* &quot;-&quot;_-;_-@_-"/>
    <numFmt numFmtId="173" formatCode="_-* #,##0_-;\-* #,##0_-;_-* &quot;-&quot;_-;_-@_-"/>
    <numFmt numFmtId="174" formatCode="_-&quot;$&quot;* #,##0.00_-;\-&quot;$&quot;* #,##0.00_-;_-&quot;$&quot;* &quot;-&quot;??_-;_-@_-"/>
    <numFmt numFmtId="175" formatCode="_-* #,##0.00_-;\-* #,##0.00_-;_-* &quot;-&quot;??_-;_-@_-"/>
    <numFmt numFmtId="176" formatCode="#,##0;\(#,##0\)"/>
    <numFmt numFmtId="177" formatCode="&quot;$&quot;#,##0.0000_);\(&quot;$&quot;#,##0.0000\)"/>
    <numFmt numFmtId="178" formatCode="#,##0.0000"/>
    <numFmt numFmtId="179" formatCode="#,##0.0"/>
    <numFmt numFmtId="180" formatCode="00.000"/>
    <numFmt numFmtId="181" formatCode="&quot;?&quot;#,##0;&quot;?&quot;\-#,##0"/>
    <numFmt numFmtId="182" formatCode="_ &quot;\&quot;* #,##0_ ;_ &quot;\&quot;* \-#,##0_ ;_ &quot;\&quot;* &quot;-&quot;_ ;_ @_ "/>
    <numFmt numFmtId="183" formatCode="&quot;\&quot;#,##0.00;[Red]&quot;\&quot;\-#,##0.00"/>
    <numFmt numFmtId="184" formatCode="_ &quot;\&quot;* #,##0.00_ ;_ &quot;\&quot;* \-#,##0.00_ ;_ &quot;\&quot;* &quot;-&quot;??_ ;_ @_ "/>
    <numFmt numFmtId="185" formatCode="&quot;\&quot;#,##0;[Red]&quot;\&quot;\-#,##0"/>
    <numFmt numFmtId="186" formatCode="#,##0;[Red]&quot;-&quot;#,##0"/>
    <numFmt numFmtId="187" formatCode="#,##0.00;[Red]&quot;-&quot;#,##0.00"/>
    <numFmt numFmtId="188" formatCode="\$#,##0\ ;\(\$#,##0\)"/>
    <numFmt numFmtId="189" formatCode=";;;"/>
    <numFmt numFmtId="190" formatCode="#,##0.00000"/>
    <numFmt numFmtId="191" formatCode="#,##0\ &quot;DM&quot;;\-#,##0\ &quot;DM&quot;"/>
    <numFmt numFmtId="192" formatCode="0&quot;.&quot;000%"/>
    <numFmt numFmtId="193" formatCode="&quot;￥&quot;#,##0;&quot;￥&quot;\-#,##0"/>
    <numFmt numFmtId="194" formatCode="00&quot;.&quot;000"/>
  </numFmts>
  <fonts count="6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sz val="10"/>
      <name val="Helvetic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Arial"/>
      <family val="2"/>
    </font>
    <font>
      <sz val="11"/>
      <color rgb="FF00B0F0"/>
      <name val="Calibri"/>
      <family val="2"/>
      <scheme val="minor"/>
    </font>
    <font>
      <sz val="12"/>
      <name val="Tms Rmn"/>
    </font>
    <font>
      <b/>
      <sz val="10"/>
      <color indexed="50"/>
      <name val="Arial"/>
      <family val="2"/>
    </font>
    <font>
      <b/>
      <sz val="10"/>
      <color indexed="48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sz val="7"/>
      <name val="Small Fonts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i/>
      <sz val="8"/>
      <name val="Arial"/>
      <family val="2"/>
    </font>
    <font>
      <b/>
      <i/>
      <sz val="8"/>
      <name val="Arial"/>
      <family val="2"/>
    </font>
    <font>
      <sz val="12"/>
      <name val=".VnTime"/>
      <family val="2"/>
    </font>
    <font>
      <sz val="9"/>
      <name val="ﾀﾞｯﾁ"/>
      <family val="3"/>
      <charset val="128"/>
    </font>
    <font>
      <sz val="11"/>
      <name val="??"/>
      <family val="3"/>
    </font>
    <font>
      <sz val="14"/>
      <name val="??"/>
      <family val="3"/>
    </font>
    <font>
      <sz val="12"/>
      <name val="????"/>
      <family val="2"/>
      <charset val="136"/>
    </font>
    <font>
      <sz val="12"/>
      <name val="???"/>
      <family val="3"/>
    </font>
    <font>
      <sz val="10"/>
      <name val="???"/>
      <family val="3"/>
    </font>
    <font>
      <sz val="12"/>
      <name val="Times New Roman"/>
      <family val="1"/>
    </font>
    <font>
      <sz val="12"/>
      <name val="바탕체"/>
      <family val="1"/>
      <charset val="255"/>
    </font>
    <font>
      <b/>
      <u/>
      <sz val="14"/>
      <color indexed="8"/>
      <name val=".VnBook-AntiquaH"/>
      <family val="2"/>
    </font>
    <font>
      <sz val="12"/>
      <color indexed="10"/>
      <name val=".VnArial Narrow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9"/>
      <name val="ＭＳ ゴシック"/>
      <family val="3"/>
      <charset val="128"/>
    </font>
    <font>
      <sz val="12"/>
      <name val="µ¸¿òÃ¼"/>
      <family val="3"/>
      <charset val="129"/>
    </font>
    <font>
      <sz val="12"/>
      <name val="Helv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sz val="13"/>
      <name val=".VnTime"/>
      <family val="2"/>
    </font>
    <font>
      <sz val="14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1"/>
      <name val="돋움"/>
      <family val="2"/>
    </font>
    <font>
      <sz val="10"/>
      <name val="굴림체"/>
      <family val="3"/>
    </font>
    <font>
      <sz val="10"/>
      <name val="明朝"/>
      <family val="1"/>
      <charset val="128"/>
    </font>
    <font>
      <sz val="12"/>
      <name val="Courier"/>
      <family val="3"/>
    </font>
    <font>
      <sz val="10"/>
      <name val=" "/>
      <family val="1"/>
      <charset val="136"/>
    </font>
    <font>
      <b/>
      <i/>
      <sz val="10"/>
      <name val="Arial"/>
      <family val="2"/>
    </font>
    <font>
      <b/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2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9" fontId="4" fillId="0" borderId="0"/>
    <xf numFmtId="44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4" fillId="0" borderId="0"/>
    <xf numFmtId="169" fontId="26" fillId="0" borderId="0" applyNumberFormat="0" applyFill="0" applyBorder="0" applyAlignment="0" applyProtection="0"/>
    <xf numFmtId="169" fontId="4" fillId="0" borderId="0"/>
    <xf numFmtId="38" fontId="27" fillId="0" borderId="0" applyFont="0" applyFill="0" applyBorder="0" applyAlignment="0" applyProtection="0"/>
    <xf numFmtId="180" fontId="28" fillId="0" borderId="0" applyFont="0" applyFill="0" applyBorder="0" applyAlignment="0" applyProtection="0"/>
    <xf numFmtId="169" fontId="29" fillId="0" borderId="0" applyFont="0" applyFill="0" applyBorder="0" applyAlignment="0" applyProtection="0"/>
    <xf numFmtId="181" fontId="28" fillId="0" borderId="0" applyFon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173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169" fontId="32" fillId="0" borderId="0"/>
    <xf numFmtId="169" fontId="4" fillId="0" borderId="0"/>
    <xf numFmtId="169" fontId="33" fillId="0" borderId="0"/>
    <xf numFmtId="169" fontId="4" fillId="0" borderId="0"/>
    <xf numFmtId="169" fontId="4" fillId="0" borderId="0" applyNumberFormat="0" applyFill="0" applyBorder="0" applyAlignment="0" applyProtection="0"/>
    <xf numFmtId="169" fontId="4" fillId="0" borderId="0" applyNumberFormat="0" applyFill="0" applyBorder="0" applyAlignment="0" applyProtection="0"/>
    <xf numFmtId="169" fontId="34" fillId="0" borderId="0"/>
    <xf numFmtId="169" fontId="4" fillId="0" borderId="0"/>
    <xf numFmtId="169" fontId="4" fillId="0" borderId="0" applyNumberFormat="0" applyFill="0" applyBorder="0" applyAlignment="0" applyProtection="0"/>
    <xf numFmtId="169" fontId="4" fillId="0" borderId="0"/>
    <xf numFmtId="169" fontId="4" fillId="0" borderId="0" applyNumberFormat="0" applyFill="0" applyBorder="0" applyAlignment="0" applyProtection="0"/>
    <xf numFmtId="169" fontId="12" fillId="0" borderId="0"/>
    <xf numFmtId="169" fontId="4" fillId="0" borderId="0"/>
    <xf numFmtId="169" fontId="4" fillId="0" borderId="0" applyNumberFormat="0" applyFill="0" applyBorder="0" applyAlignment="0" applyProtection="0"/>
    <xf numFmtId="169" fontId="4" fillId="0" borderId="0" applyNumberFormat="0" applyFill="0" applyBorder="0" applyAlignment="0" applyProtection="0"/>
    <xf numFmtId="169" fontId="33" fillId="0" borderId="0"/>
    <xf numFmtId="0" fontId="4" fillId="0" borderId="0"/>
    <xf numFmtId="169" fontId="35" fillId="6" borderId="0"/>
    <xf numFmtId="169" fontId="36" fillId="7" borderId="7" applyFont="0" applyFill="0" applyAlignment="0">
      <alignment vertical="center" wrapText="1"/>
    </xf>
    <xf numFmtId="169" fontId="37" fillId="6" borderId="0"/>
    <xf numFmtId="169" fontId="38" fillId="6" borderId="0"/>
    <xf numFmtId="169" fontId="39" fillId="0" borderId="0">
      <alignment wrapText="1"/>
    </xf>
    <xf numFmtId="169" fontId="40" fillId="0" borderId="0"/>
    <xf numFmtId="182" fontId="41" fillId="0" borderId="0" applyFont="0" applyFill="0" applyBorder="0" applyAlignment="0" applyProtection="0"/>
    <xf numFmtId="169" fontId="42" fillId="0" borderId="0" applyFont="0" applyFill="0" applyBorder="0" applyAlignment="0" applyProtection="0"/>
    <xf numFmtId="183" fontId="43" fillId="0" borderId="0" applyFont="0" applyFill="0" applyBorder="0" applyAlignment="0" applyProtection="0"/>
    <xf numFmtId="184" fontId="41" fillId="0" borderId="0" applyFont="0" applyFill="0" applyBorder="0" applyAlignment="0" applyProtection="0"/>
    <xf numFmtId="169" fontId="42" fillId="0" borderId="0" applyFont="0" applyFill="0" applyBorder="0" applyAlignment="0" applyProtection="0"/>
    <xf numFmtId="185" fontId="43" fillId="0" borderId="0" applyFont="0" applyFill="0" applyBorder="0" applyAlignment="0" applyProtection="0"/>
    <xf numFmtId="169" fontId="44" fillId="0" borderId="8" applyFont="0" applyFill="0" applyBorder="0" applyAlignment="0" applyProtection="0">
      <alignment horizontal="center" vertical="center"/>
    </xf>
    <xf numFmtId="41" fontId="41" fillId="0" borderId="0" applyFont="0" applyFill="0" applyBorder="0" applyAlignment="0" applyProtection="0"/>
    <xf numFmtId="169" fontId="42" fillId="0" borderId="0" applyFont="0" applyFill="0" applyBorder="0" applyAlignment="0" applyProtection="0"/>
    <xf numFmtId="186" fontId="43" fillId="0" borderId="0" applyFont="0" applyFill="0" applyBorder="0" applyAlignment="0" applyProtection="0"/>
    <xf numFmtId="43" fontId="41" fillId="0" borderId="0" applyFont="0" applyFill="0" applyBorder="0" applyAlignment="0" applyProtection="0"/>
    <xf numFmtId="169" fontId="42" fillId="0" borderId="0" applyFont="0" applyFill="0" applyBorder="0" applyAlignment="0" applyProtection="0"/>
    <xf numFmtId="187" fontId="43" fillId="0" borderId="0" applyFont="0" applyFill="0" applyBorder="0" applyAlignment="0" applyProtection="0"/>
    <xf numFmtId="179" fontId="4" fillId="0" borderId="9">
      <alignment wrapText="1"/>
      <protection locked="0"/>
    </xf>
    <xf numFmtId="0" fontId="14" fillId="0" borderId="0" applyNumberFormat="0" applyFill="0" applyBorder="0" applyAlignment="0" applyProtection="0"/>
    <xf numFmtId="169" fontId="42" fillId="0" borderId="0"/>
    <xf numFmtId="169" fontId="45" fillId="0" borderId="0"/>
    <xf numFmtId="169" fontId="42" fillId="0" borderId="0"/>
    <xf numFmtId="37" fontId="46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76" fontId="15" fillId="0" borderId="9" applyBorder="0"/>
    <xf numFmtId="188" fontId="4" fillId="0" borderId="0" applyFont="0" applyFill="0" applyBorder="0" applyAlignment="0" applyProtection="0"/>
    <xf numFmtId="176" fontId="16" fillId="0" borderId="0">
      <protection locked="0"/>
    </xf>
    <xf numFmtId="169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17" fillId="0" borderId="3"/>
    <xf numFmtId="169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18" fillId="0" borderId="10" applyNumberFormat="0" applyAlignment="0" applyProtection="0">
      <alignment horizontal="left" vertical="center"/>
    </xf>
    <xf numFmtId="0" fontId="18" fillId="0" borderId="11">
      <alignment horizontal="left" vertical="center"/>
    </xf>
    <xf numFmtId="189" fontId="44" fillId="0" borderId="0" applyFont="0" applyFill="0" applyBorder="0" applyAlignment="0" applyProtection="0">
      <alignment horizontal="center" vertical="center"/>
    </xf>
    <xf numFmtId="169" fontId="47" fillId="8" borderId="0">
      <alignment horizontal="left"/>
    </xf>
    <xf numFmtId="169" fontId="44" fillId="0" borderId="0" applyFont="0" applyFill="0" applyBorder="0" applyProtection="0">
      <alignment horizontal="center" vertical="center"/>
    </xf>
    <xf numFmtId="169" fontId="48" fillId="0" borderId="0" applyNumberFormat="0" applyFont="0" applyFill="0" applyAlignment="0"/>
    <xf numFmtId="37" fontId="19" fillId="0" borderId="0"/>
    <xf numFmtId="169" fontId="4" fillId="0" borderId="0"/>
    <xf numFmtId="177" fontId="4" fillId="0" borderId="0"/>
    <xf numFmtId="169" fontId="2" fillId="0" borderId="0"/>
    <xf numFmtId="0" fontId="4" fillId="0" borderId="0"/>
    <xf numFmtId="169" fontId="49" fillId="0" borderId="0" applyNumberFormat="0" applyFill="0" applyBorder="0" applyAlignment="0" applyProtection="0"/>
    <xf numFmtId="169" fontId="26" fillId="0" borderId="0" applyNumberFormat="0" applyFill="0" applyBorder="0" applyAlignment="0" applyProtection="0"/>
    <xf numFmtId="40" fontId="20" fillId="9" borderId="0">
      <alignment horizontal="right"/>
    </xf>
    <xf numFmtId="0" fontId="21" fillId="9" borderId="0">
      <alignment horizontal="right"/>
    </xf>
    <xf numFmtId="0" fontId="22" fillId="9" borderId="5"/>
    <xf numFmtId="0" fontId="22" fillId="0" borderId="0" applyBorder="0">
      <alignment horizontal="centerContinuous"/>
    </xf>
    <xf numFmtId="0" fontId="23" fillId="0" borderId="0" applyBorder="0">
      <alignment horizontal="centerContinuous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9" fontId="26" fillId="0" borderId="0" applyNumberFormat="0" applyFill="0" applyBorder="0" applyAlignment="0" applyProtection="0"/>
    <xf numFmtId="169" fontId="4" fillId="10" borderId="0"/>
    <xf numFmtId="0" fontId="12" fillId="0" borderId="0"/>
    <xf numFmtId="0" fontId="12" fillId="0" borderId="0"/>
    <xf numFmtId="169" fontId="12" fillId="0" borderId="0"/>
    <xf numFmtId="169" fontId="49" fillId="0" borderId="0" applyNumberFormat="0" applyFill="0" applyBorder="0" applyAlignment="0" applyProtection="0"/>
    <xf numFmtId="178" fontId="26" fillId="0" borderId="0" applyFont="0" applyFill="0" applyBorder="0" applyAlignment="0" applyProtection="0"/>
    <xf numFmtId="190" fontId="26" fillId="0" borderId="0" applyFont="0" applyFill="0" applyBorder="0" applyAlignment="0" applyProtection="0"/>
    <xf numFmtId="169" fontId="50" fillId="0" borderId="0" applyNumberFormat="0" applyFill="0" applyBorder="0" applyAlignment="0" applyProtection="0"/>
    <xf numFmtId="169" fontId="59" fillId="0" borderId="0" applyFont="0" applyFill="0" applyBorder="0" applyAlignment="0" applyProtection="0"/>
    <xf numFmtId="169" fontId="59" fillId="0" borderId="0" applyFont="0" applyFill="0" applyBorder="0" applyAlignment="0" applyProtection="0"/>
    <xf numFmtId="169" fontId="33" fillId="0" borderId="0">
      <alignment vertical="center"/>
    </xf>
    <xf numFmtId="40" fontId="51" fillId="0" borderId="0" applyFont="0" applyFill="0" applyBorder="0" applyAlignment="0" applyProtection="0"/>
    <xf numFmtId="38" fontId="51" fillId="0" borderId="0" applyFont="0" applyFill="0" applyBorder="0" applyAlignment="0" applyProtection="0"/>
    <xf numFmtId="169" fontId="51" fillId="0" borderId="0" applyFont="0" applyFill="0" applyBorder="0" applyAlignment="0" applyProtection="0"/>
    <xf numFmtId="169" fontId="51" fillId="0" borderId="0" applyFont="0" applyFill="0" applyBorder="0" applyAlignment="0" applyProtection="0"/>
    <xf numFmtId="9" fontId="52" fillId="0" borderId="0" applyFont="0" applyFill="0" applyBorder="0" applyAlignment="0" applyProtection="0"/>
    <xf numFmtId="169" fontId="53" fillId="0" borderId="0"/>
    <xf numFmtId="191" fontId="55" fillId="0" borderId="0" applyFont="0" applyFill="0" applyBorder="0" applyAlignment="0" applyProtection="0"/>
    <xf numFmtId="192" fontId="55" fillId="0" borderId="0" applyFont="0" applyFill="0" applyBorder="0" applyAlignment="0" applyProtection="0"/>
    <xf numFmtId="193" fontId="55" fillId="0" borderId="0" applyFont="0" applyFill="0" applyBorder="0" applyAlignment="0" applyProtection="0"/>
    <xf numFmtId="194" fontId="55" fillId="0" borderId="0" applyFont="0" applyFill="0" applyBorder="0" applyAlignment="0" applyProtection="0"/>
    <xf numFmtId="169" fontId="56" fillId="0" borderId="0"/>
    <xf numFmtId="169" fontId="48" fillId="0" borderId="0"/>
    <xf numFmtId="173" fontId="54" fillId="0" borderId="0" applyFont="0" applyFill="0" applyBorder="0" applyAlignment="0" applyProtection="0"/>
    <xf numFmtId="175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38" fontId="57" fillId="0" borderId="0" applyFont="0" applyFill="0" applyBorder="0" applyAlignment="0" applyProtection="0"/>
    <xf numFmtId="169" fontId="4" fillId="0" borderId="0"/>
    <xf numFmtId="172" fontId="54" fillId="0" borderId="0" applyFont="0" applyFill="0" applyBorder="0" applyAlignment="0" applyProtection="0"/>
    <xf numFmtId="171" fontId="58" fillId="0" borderId="0" applyFont="0" applyFill="0" applyBorder="0" applyAlignment="0" applyProtection="0"/>
    <xf numFmtId="174" fontId="54" fillId="0" borderId="0" applyFont="0" applyFill="0" applyBorder="0" applyAlignment="0" applyProtection="0"/>
    <xf numFmtId="189" fontId="57" fillId="0" borderId="12">
      <alignment horizontal="center"/>
    </xf>
    <xf numFmtId="169" fontId="2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/>
    <xf numFmtId="42" fontId="2" fillId="0" borderId="0" applyFont="0" applyFill="0" applyBorder="0" applyAlignment="0" applyProtection="0"/>
  </cellStyleXfs>
  <cellXfs count="17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37" fontId="6" fillId="0" borderId="0" xfId="3" applyNumberFormat="1" applyFont="1" applyAlignment="1">
      <alignment horizontal="left"/>
    </xf>
    <xf numFmtId="37" fontId="6" fillId="0" borderId="0" xfId="3" applyNumberFormat="1" applyFont="1" applyAlignment="1">
      <alignment horizontal="left" indent="1"/>
    </xf>
    <xf numFmtId="0" fontId="8" fillId="0" borderId="0" xfId="4" applyFont="1" applyAlignment="1">
      <alignment horizontal="left" indent="1"/>
    </xf>
    <xf numFmtId="37" fontId="6" fillId="0" borderId="0" xfId="4" applyNumberFormat="1" applyFont="1" applyAlignment="1">
      <alignment horizontal="left" indent="1"/>
    </xf>
    <xf numFmtId="166" fontId="8" fillId="0" borderId="0" xfId="1" applyNumberFormat="1" applyFont="1" applyAlignment="1">
      <alignment horizontal="left" indent="1"/>
    </xf>
    <xf numFmtId="0" fontId="6" fillId="0" borderId="0" xfId="4" applyFont="1"/>
    <xf numFmtId="9" fontId="6" fillId="0" borderId="0" xfId="4" applyNumberFormat="1" applyFont="1"/>
    <xf numFmtId="166" fontId="6" fillId="0" borderId="0" xfId="1" applyNumberFormat="1" applyFont="1" applyAlignment="1">
      <alignment horizontal="left"/>
    </xf>
    <xf numFmtId="0" fontId="7" fillId="0" borderId="0" xfId="4" applyFont="1"/>
    <xf numFmtId="37" fontId="6" fillId="0" borderId="0" xfId="3" applyNumberFormat="1" applyFont="1" applyAlignment="1">
      <alignment horizontal="left" indent="3"/>
    </xf>
    <xf numFmtId="37" fontId="6" fillId="0" borderId="0" xfId="3" applyNumberFormat="1" applyFont="1" applyAlignment="1">
      <alignment horizontal="left" indent="2"/>
    </xf>
    <xf numFmtId="37" fontId="7" fillId="0" borderId="0" xfId="2" applyNumberFormat="1" applyFont="1" applyFill="1" applyBorder="1" applyAlignment="1" applyProtection="1"/>
    <xf numFmtId="0" fontId="8" fillId="0" borderId="0" xfId="4" applyFont="1" applyAlignment="1">
      <alignment horizontal="left" indent="2"/>
    </xf>
    <xf numFmtId="0" fontId="7" fillId="0" borderId="0" xfId="3" applyFont="1"/>
    <xf numFmtId="39" fontId="7" fillId="0" borderId="0" xfId="3" applyNumberFormat="1" applyFont="1"/>
    <xf numFmtId="37" fontId="6" fillId="0" borderId="0" xfId="3" applyNumberFormat="1" applyFont="1"/>
    <xf numFmtId="37" fontId="6" fillId="0" borderId="1" xfId="3" applyNumberFormat="1" applyFont="1" applyBorder="1" applyAlignment="1">
      <alignment horizontal="left"/>
    </xf>
    <xf numFmtId="0" fontId="0" fillId="0" borderId="1" xfId="0" applyBorder="1"/>
    <xf numFmtId="3" fontId="6" fillId="0" borderId="1" xfId="0" applyNumberFormat="1" applyFont="1" applyBorder="1" applyAlignment="1">
      <alignment horizontal="center" vertical="center"/>
    </xf>
    <xf numFmtId="37" fontId="6" fillId="0" borderId="1" xfId="3" applyNumberFormat="1" applyFont="1" applyBorder="1" applyAlignment="1">
      <alignment horizontal="left" indent="1"/>
    </xf>
    <xf numFmtId="3" fontId="3" fillId="0" borderId="1" xfId="0" applyNumberFormat="1" applyFont="1" applyBorder="1" applyAlignment="1">
      <alignment horizontal="center" vertical="center"/>
    </xf>
    <xf numFmtId="37" fontId="7" fillId="0" borderId="0" xfId="4" applyNumberFormat="1" applyFont="1"/>
    <xf numFmtId="37" fontId="6" fillId="0" borderId="1" xfId="4" applyNumberFormat="1" applyFont="1" applyBorder="1" applyAlignment="1">
      <alignment horizontal="left" indent="1"/>
    </xf>
    <xf numFmtId="37" fontId="7" fillId="0" borderId="1" xfId="4" applyNumberFormat="1" applyFont="1" applyBorder="1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7" fontId="6" fillId="0" borderId="0" xfId="4" applyNumberFormat="1" applyFont="1" applyAlignment="1">
      <alignment horizontal="left"/>
    </xf>
    <xf numFmtId="37" fontId="6" fillId="0" borderId="1" xfId="3" applyNumberFormat="1" applyFont="1" applyBorder="1" applyAlignment="1">
      <alignment horizontal="left" indent="3"/>
    </xf>
    <xf numFmtId="37" fontId="7" fillId="0" borderId="0" xfId="3" applyNumberFormat="1" applyFont="1"/>
    <xf numFmtId="37" fontId="7" fillId="0" borderId="1" xfId="4" applyNumberFormat="1" applyFont="1" applyBorder="1" applyAlignment="1">
      <alignment horizontal="left" indent="1"/>
    </xf>
    <xf numFmtId="0" fontId="7" fillId="0" borderId="1" xfId="3" applyFont="1" applyBorder="1"/>
    <xf numFmtId="37" fontId="0" fillId="0" borderId="0" xfId="0" applyNumberFormat="1" applyAlignment="1">
      <alignment horizontal="center" vertical="center"/>
    </xf>
    <xf numFmtId="0" fontId="9" fillId="0" borderId="0" xfId="0" applyFont="1"/>
    <xf numFmtId="3" fontId="9" fillId="0" borderId="0" xfId="0" applyNumberFormat="1" applyFont="1" applyAlignment="1">
      <alignment horizontal="center" vertical="center"/>
    </xf>
    <xf numFmtId="37" fontId="6" fillId="0" borderId="0" xfId="4" applyNumberFormat="1" applyFont="1" applyAlignment="1">
      <alignment horizontal="left"/>
    </xf>
    <xf numFmtId="3" fontId="0" fillId="0" borderId="0" xfId="0" applyNumberFormat="1" applyAlignment="1">
      <alignment horizontal="right"/>
    </xf>
    <xf numFmtId="170" fontId="0" fillId="0" borderId="0" xfId="0" applyNumberFormat="1" applyAlignment="1">
      <alignment horizontal="center" vertical="center"/>
    </xf>
    <xf numFmtId="0" fontId="6" fillId="0" borderId="0" xfId="0" applyFont="1"/>
    <xf numFmtId="3" fontId="6" fillId="0" borderId="1" xfId="0" applyNumberFormat="1" applyFont="1" applyBorder="1" applyAlignment="1">
      <alignment vertical="center"/>
    </xf>
    <xf numFmtId="1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" fontId="6" fillId="0" borderId="0" xfId="0" applyNumberFormat="1" applyFont="1" applyAlignment="1">
      <alignment vertic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1" fillId="0" borderId="0" xfId="0" applyNumberFormat="1" applyFont="1" applyAlignment="1">
      <alignment horizontal="center"/>
    </xf>
    <xf numFmtId="9" fontId="0" fillId="0" borderId="0" xfId="1" applyFont="1" applyAlignment="1">
      <alignment vertical="center"/>
    </xf>
    <xf numFmtId="3" fontId="0" fillId="0" borderId="1" xfId="0" applyNumberFormat="1" applyBorder="1" applyAlignment="1">
      <alignment vertical="center"/>
    </xf>
    <xf numFmtId="168" fontId="0" fillId="0" borderId="0" xfId="0" applyNumberFormat="1" applyAlignment="1">
      <alignment vertical="center"/>
    </xf>
    <xf numFmtId="168" fontId="1" fillId="0" borderId="0" xfId="0" applyNumberFormat="1" applyFont="1" applyAlignment="1">
      <alignment horizontal="center" vertical="center"/>
    </xf>
    <xf numFmtId="37" fontId="6" fillId="3" borderId="0" xfId="4" applyNumberFormat="1" applyFont="1" applyFill="1" applyAlignment="1">
      <alignment horizontal="left" indent="1"/>
    </xf>
    <xf numFmtId="0" fontId="6" fillId="0" borderId="1" xfId="0" applyFont="1" applyBorder="1"/>
    <xf numFmtId="0" fontId="7" fillId="0" borderId="0" xfId="0" applyFont="1"/>
    <xf numFmtId="0" fontId="6" fillId="2" borderId="0" xfId="0" applyFont="1" applyFill="1"/>
    <xf numFmtId="0" fontId="6" fillId="2" borderId="1" xfId="0" applyFont="1" applyFill="1" applyBorder="1"/>
    <xf numFmtId="0" fontId="0" fillId="0" borderId="0" xfId="0" applyAlignment="1">
      <alignment vertical="center"/>
    </xf>
    <xf numFmtId="3" fontId="3" fillId="0" borderId="0" xfId="0" applyNumberFormat="1" applyFont="1" applyAlignment="1">
      <alignment vertical="center"/>
    </xf>
    <xf numFmtId="3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3" fontId="0" fillId="2" borderId="0" xfId="0" applyNumberFormat="1" applyFill="1" applyAlignment="1">
      <alignment vertical="center"/>
    </xf>
    <xf numFmtId="0" fontId="0" fillId="4" borderId="0" xfId="0" applyFill="1"/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2" fillId="5" borderId="2" xfId="0" applyNumberFormat="1" applyFont="1" applyFill="1" applyBorder="1" applyAlignment="1">
      <alignment horizontal="center" vertical="center"/>
    </xf>
    <xf numFmtId="3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9" fontId="13" fillId="0" borderId="0" xfId="1" applyFont="1" applyAlignment="1">
      <alignment horizontal="center" vertical="center"/>
    </xf>
    <xf numFmtId="168" fontId="13" fillId="0" borderId="0" xfId="0" applyNumberFormat="1" applyFont="1" applyAlignment="1">
      <alignment horizontal="center" vertical="center"/>
    </xf>
    <xf numFmtId="0" fontId="0" fillId="0" borderId="3" xfId="0" applyBorder="1"/>
    <xf numFmtId="14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1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1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/>
    </xf>
    <xf numFmtId="9" fontId="1" fillId="0" borderId="0" xfId="1" applyFont="1" applyAlignment="1">
      <alignment horizontal="center" vertical="center"/>
    </xf>
    <xf numFmtId="9" fontId="0" fillId="0" borderId="0" xfId="1" applyFont="1" applyAlignment="1">
      <alignment horizontal="center"/>
    </xf>
    <xf numFmtId="43" fontId="0" fillId="0" borderId="0" xfId="2" applyFont="1" applyAlignment="1">
      <alignment horizontal="center" vertical="center"/>
    </xf>
    <xf numFmtId="44" fontId="0" fillId="0" borderId="0" xfId="6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8" fontId="1" fillId="0" borderId="1" xfId="0" applyNumberFormat="1" applyFont="1" applyBorder="1" applyAlignment="1">
      <alignment horizontal="center" vertical="center"/>
    </xf>
    <xf numFmtId="168" fontId="1" fillId="0" borderId="6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top"/>
    </xf>
    <xf numFmtId="9" fontId="11" fillId="0" borderId="0" xfId="1" applyFont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5" xfId="0" applyNumberFormat="1" applyBorder="1" applyAlignment="1">
      <alignment horizontal="center"/>
    </xf>
    <xf numFmtId="0" fontId="11" fillId="0" borderId="1" xfId="0" applyFont="1" applyBorder="1" applyAlignment="1">
      <alignment horizontal="center" vertical="top"/>
    </xf>
    <xf numFmtId="168" fontId="0" fillId="0" borderId="1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68" fontId="0" fillId="0" borderId="5" xfId="0" applyNumberFormat="1" applyBorder="1" applyAlignment="1">
      <alignment vertical="center"/>
    </xf>
    <xf numFmtId="168" fontId="0" fillId="0" borderId="1" xfId="0" applyNumberFormat="1" applyBorder="1" applyAlignment="1">
      <alignment vertical="center"/>
    </xf>
    <xf numFmtId="168" fontId="0" fillId="0" borderId="6" xfId="0" applyNumberFormat="1" applyBorder="1" applyAlignment="1">
      <alignment vertical="center"/>
    </xf>
    <xf numFmtId="9" fontId="0" fillId="0" borderId="0" xfId="1" applyFont="1" applyBorder="1" applyAlignment="1">
      <alignment vertical="center"/>
    </xf>
    <xf numFmtId="9" fontId="0" fillId="0" borderId="0" xfId="1" applyFont="1" applyBorder="1" applyAlignment="1"/>
    <xf numFmtId="9" fontId="0" fillId="0" borderId="5" xfId="1" applyFont="1" applyBorder="1" applyAlignment="1"/>
    <xf numFmtId="9" fontId="0" fillId="0" borderId="1" xfId="1" applyFont="1" applyBorder="1" applyAlignment="1">
      <alignment vertical="center"/>
    </xf>
    <xf numFmtId="9" fontId="0" fillId="0" borderId="1" xfId="1" applyFont="1" applyBorder="1" applyAlignment="1"/>
    <xf numFmtId="9" fontId="0" fillId="0" borderId="6" xfId="1" applyFont="1" applyBorder="1" applyAlignment="1"/>
    <xf numFmtId="37" fontId="12" fillId="5" borderId="2" xfId="0" applyNumberFormat="1" applyFont="1" applyFill="1" applyBorder="1" applyAlignment="1">
      <alignment horizontal="center" vertical="center"/>
    </xf>
    <xf numFmtId="39" fontId="12" fillId="5" borderId="2" xfId="0" applyNumberFormat="1" applyFont="1" applyFill="1" applyBorder="1" applyAlignment="1">
      <alignment horizontal="center" vertical="center"/>
    </xf>
    <xf numFmtId="166" fontId="12" fillId="5" borderId="2" xfId="1" applyNumberFormat="1" applyFont="1" applyFill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1" fontId="0" fillId="0" borderId="0" xfId="7" applyFont="1" applyAlignment="1">
      <alignment horizontal="center" vertical="center"/>
    </xf>
    <xf numFmtId="41" fontId="0" fillId="0" borderId="0" xfId="7" applyFont="1" applyAlignment="1">
      <alignment horizontal="center"/>
    </xf>
    <xf numFmtId="0" fontId="0" fillId="0" borderId="5" xfId="0" applyBorder="1"/>
    <xf numFmtId="0" fontId="0" fillId="0" borderId="14" xfId="0" applyBorder="1"/>
    <xf numFmtId="0" fontId="0" fillId="0" borderId="15" xfId="0" applyBorder="1"/>
    <xf numFmtId="37" fontId="6" fillId="0" borderId="6" xfId="3" applyNumberFormat="1" applyFont="1" applyBorder="1" applyAlignment="1">
      <alignment horizontal="left"/>
    </xf>
    <xf numFmtId="37" fontId="6" fillId="0" borderId="5" xfId="3" applyNumberFormat="1" applyFont="1" applyBorder="1" applyAlignment="1">
      <alignment horizontal="left" indent="1"/>
    </xf>
    <xf numFmtId="37" fontId="6" fillId="0" borderId="6" xfId="3" applyNumberFormat="1" applyFont="1" applyBorder="1" applyAlignment="1">
      <alignment horizontal="left" indent="1"/>
    </xf>
    <xf numFmtId="37" fontId="6" fillId="0" borderId="5" xfId="3" applyNumberFormat="1" applyFont="1" applyBorder="1" applyAlignment="1">
      <alignment horizontal="left"/>
    </xf>
    <xf numFmtId="37" fontId="7" fillId="0" borderId="5" xfId="4" applyNumberFormat="1" applyFont="1" applyBorder="1"/>
    <xf numFmtId="0" fontId="8" fillId="0" borderId="5" xfId="4" applyFont="1" applyBorder="1" applyAlignment="1">
      <alignment horizontal="left" indent="1"/>
    </xf>
    <xf numFmtId="0" fontId="9" fillId="0" borderId="5" xfId="0" applyFont="1" applyBorder="1"/>
    <xf numFmtId="0" fontId="0" fillId="0" borderId="16" xfId="0" applyBorder="1"/>
    <xf numFmtId="0" fontId="12" fillId="9" borderId="5" xfId="8" applyFont="1" applyFill="1" applyBorder="1"/>
    <xf numFmtId="0" fontId="12" fillId="9" borderId="5" xfId="8" applyFont="1" applyFill="1" applyBorder="1" applyAlignment="1">
      <alignment horizontal="left" vertical="center" indent="2"/>
    </xf>
    <xf numFmtId="0" fontId="12" fillId="11" borderId="5" xfId="8" applyFont="1" applyFill="1" applyBorder="1" applyAlignment="1">
      <alignment horizontal="left" indent="2"/>
    </xf>
    <xf numFmtId="0" fontId="12" fillId="9" borderId="5" xfId="8" applyFont="1" applyFill="1" applyBorder="1" applyAlignment="1">
      <alignment horizontal="left" indent="2"/>
    </xf>
    <xf numFmtId="0" fontId="24" fillId="9" borderId="5" xfId="8" applyFont="1" applyFill="1" applyBorder="1" applyAlignment="1">
      <alignment horizontal="left" indent="2"/>
    </xf>
    <xf numFmtId="0" fontId="60" fillId="12" borderId="5" xfId="8" applyFont="1" applyFill="1" applyBorder="1"/>
    <xf numFmtId="0" fontId="60" fillId="11" borderId="5" xfId="8" applyFont="1" applyFill="1" applyBorder="1" applyAlignment="1">
      <alignment horizontal="left"/>
    </xf>
    <xf numFmtId="169" fontId="25" fillId="0" borderId="13" xfId="5" applyFont="1" applyBorder="1" applyAlignment="1">
      <alignment horizontal="left"/>
    </xf>
    <xf numFmtId="169" fontId="12" fillId="9" borderId="13" xfId="5" applyFont="1" applyFill="1" applyBorder="1" applyAlignment="1">
      <alignment horizontal="left" indent="2"/>
    </xf>
    <xf numFmtId="169" fontId="12" fillId="0" borderId="13" xfId="5" applyFont="1" applyBorder="1" applyAlignment="1">
      <alignment horizontal="left" indent="2"/>
    </xf>
    <xf numFmtId="41" fontId="0" fillId="0" borderId="0" xfId="7" applyFont="1"/>
    <xf numFmtId="43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12" fillId="0" borderId="5" xfId="8" applyFont="1" applyBorder="1" applyAlignment="1">
      <alignment horizontal="left"/>
    </xf>
    <xf numFmtId="0" fontId="12" fillId="0" borderId="0" xfId="8" applyFont="1" applyAlignment="1">
      <alignment horizontal="left"/>
    </xf>
    <xf numFmtId="168" fontId="0" fillId="0" borderId="0" xfId="0" applyNumberFormat="1"/>
    <xf numFmtId="43" fontId="0" fillId="0" borderId="0" xfId="0" applyNumberFormat="1"/>
    <xf numFmtId="9" fontId="0" fillId="0" borderId="0" xfId="0" applyNumberFormat="1"/>
    <xf numFmtId="42" fontId="0" fillId="0" borderId="0" xfId="131" applyFont="1" applyAlignment="1">
      <alignment horizontal="center" vertical="center"/>
    </xf>
    <xf numFmtId="169" fontId="61" fillId="9" borderId="0" xfId="5" applyFont="1" applyFill="1"/>
    <xf numFmtId="9" fontId="0" fillId="0" borderId="0" xfId="1" applyFont="1"/>
    <xf numFmtId="3" fontId="0" fillId="0" borderId="0" xfId="0" applyNumberFormat="1"/>
    <xf numFmtId="9" fontId="0" fillId="0" borderId="1" xfId="1" applyFont="1" applyBorder="1" applyAlignment="1">
      <alignment horizontal="center" vertical="center"/>
    </xf>
    <xf numFmtId="9" fontId="0" fillId="0" borderId="1" xfId="0" applyNumberFormat="1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43" fontId="0" fillId="0" borderId="0" xfId="2" applyFont="1"/>
    <xf numFmtId="41" fontId="0" fillId="0" borderId="1" xfId="7" applyFont="1" applyBorder="1"/>
    <xf numFmtId="41" fontId="0" fillId="0" borderId="0" xfId="0" applyNumberFormat="1"/>
    <xf numFmtId="166" fontId="0" fillId="0" borderId="0" xfId="0" applyNumberFormat="1" applyAlignment="1">
      <alignment horizontal="center" vertical="center"/>
    </xf>
  </cellXfs>
  <cellStyles count="132">
    <cellStyle name="          _x000d__x000a_shell=progman.exe_x000d__x000a_m" xfId="9" xr:uid="{6BD0D723-81B8-4C45-8E06-9D5FC2CF4B4F}"/>
    <cellStyle name="%" xfId="10" xr:uid="{E8EC9004-42CF-45C7-A934-D6EBE1B1BC99}"/>
    <cellStyle name=",." xfId="11" xr:uid="{79A21FB9-10C2-4091-8503-A4309A80C20A}"/>
    <cellStyle name="??" xfId="12" xr:uid="{6BF77452-CFBE-4695-B809-E138B83FF8BB}"/>
    <cellStyle name="?? [0.00]_PRODUCT DETAIL Q1" xfId="13" xr:uid="{0DA8EBAC-0CA8-498E-AC7C-033264A6FAD0}"/>
    <cellStyle name="?? [0]" xfId="14" xr:uid="{31DB5DBD-7F20-4E36-9F44-929042A56832}"/>
    <cellStyle name="???? [0.00]_PRODUCT DETAIL Q1" xfId="15" xr:uid="{DE6CC701-F484-42C3-AE95-39D9A57BD900}"/>
    <cellStyle name="????_PRODUCT DETAIL Q1" xfId="16" xr:uid="{F6A9146D-8744-40D7-85CD-302E4B4F9273}"/>
    <cellStyle name="???[0]_Book1" xfId="17" xr:uid="{3C3726A3-4017-4BC8-84E7-CC3484B259DB}"/>
    <cellStyle name="???_95" xfId="18" xr:uid="{82707E35-ED2D-439D-A137-20FBDD395A4D}"/>
    <cellStyle name="??_(????)??????" xfId="19" xr:uid="{FDCF3CF1-6ED2-4011-8C30-2B63351ADF18}"/>
    <cellStyle name="\" xfId="20" xr:uid="{55913930-5F45-4AAD-A898-A01A25026455}"/>
    <cellStyle name="_BML_Punjab_June'04" xfId="21" xr:uid="{5FA51977-B93A-4E35-B3B7-1D6A2C229B32}"/>
    <cellStyle name="_Detail Report-REG &amp; FTH" xfId="22" xr:uid="{8EC37492-5FBC-4352-AC70-B4C9E1EA5AAD}"/>
    <cellStyle name="_ESOP_Exercisable options_March'05" xfId="23" xr:uid="{1CAE6155-F80F-48D5-B781-0259A76BE2D3}"/>
    <cellStyle name="_ESOP_Weighted avg. ex. period_March'05" xfId="24" xr:uid="{0B018B3E-F520-44B4-97F6-01B30DFD8CE6}"/>
    <cellStyle name="_Fas 157 &amp; 159" xfId="25" xr:uid="{22776AAC-2A72-4A55-B284-29E61F55129E}"/>
    <cellStyle name="_Sheet1" xfId="26" xr:uid="{19D225A0-C945-48CC-92C5-D32D8404017F}"/>
    <cellStyle name="_Sheet1_1" xfId="27" xr:uid="{069F1AED-0A69-41A2-AD92-D3F39BCE3F4D}"/>
    <cellStyle name="_Sheet2" xfId="28" xr:uid="{D3838F76-C854-4586-A90B-1293C76007DB}"/>
    <cellStyle name="_Sheet2_1" xfId="29" xr:uid="{129EA507-6562-460C-9E3A-461377D82261}"/>
    <cellStyle name="_Sheet2_1_Sheet2" xfId="30" xr:uid="{73CD914F-3178-4E39-85BB-75E01EB59297}"/>
    <cellStyle name="_Sheet3" xfId="31" xr:uid="{C1FCAE68-A0D3-410B-93F9-AD763AC875DA}"/>
    <cellStyle name="=C:\WINNT\SYSTEM32\COMMAND.COM" xfId="32" xr:uid="{2CAAD08A-024E-4F2E-8F30-362B8443CD9D}"/>
    <cellStyle name="=F:\WINNT\SYSTEM32\COMMAND.COM" xfId="33" xr:uid="{89C252D3-9F92-4BDF-B9EA-CF35A4A742C6}"/>
    <cellStyle name="0,0_x000d__x000a_NA_x000d__x000a_" xfId="34" xr:uid="{E192FAAE-F566-48D9-BE98-2836F743BCBA}"/>
    <cellStyle name="0,0_x000d__x000a_NA_x000d__x000a_ 2" xfId="35" xr:uid="{49189084-41EB-4247-9603-DD06C008D548}"/>
    <cellStyle name="1" xfId="36" xr:uid="{CE11BDCB-72F7-41AD-8199-44B0D117B37C}"/>
    <cellStyle name="18" xfId="37" xr:uid="{B7503E43-8077-4DEE-B8F7-A366F5399716}"/>
    <cellStyle name="2" xfId="38" xr:uid="{1BB6B68E-6BDB-43A1-8E17-C04BA9BA01C7}"/>
    <cellStyle name="3" xfId="39" xr:uid="{55DDD9F9-1BA8-4852-B105-BB8930B35CE3}"/>
    <cellStyle name="4" xfId="40" xr:uid="{3720B4D9-0B02-46C5-8B85-A348596737F9}"/>
    <cellStyle name="6" xfId="41" xr:uid="{62C8BF12-DA1A-4763-A217-70A2144E67DD}"/>
    <cellStyle name="ÅëÈ­ [0]_¿ì¹°Åë" xfId="42" xr:uid="{F40FEB3E-35D2-40DC-B8A4-50E29799F6D1}"/>
    <cellStyle name="AeE­ [0]_INQUIRY ¿µ¾÷AßAø " xfId="43" xr:uid="{0041534E-86F1-4693-9F57-1B4AFEC7F13C}"/>
    <cellStyle name="ÅëÈ­ [0]_S" xfId="44" xr:uid="{977D1536-DF8F-4590-A299-41930A303EB3}"/>
    <cellStyle name="ÅëÈ­_¿ì¹°Åë" xfId="45" xr:uid="{B21E584E-FCA3-4D34-BFE4-D975FB51C57B}"/>
    <cellStyle name="AeE­_INQUIRY ¿µ¾÷AßAø " xfId="46" xr:uid="{13639F43-AB97-458C-B68A-DABBD6ACDA9C}"/>
    <cellStyle name="ÅëÈ­_S" xfId="47" xr:uid="{2CFA9A93-4A1D-4FB0-A6A9-6E522FD936CD}"/>
    <cellStyle name="APPEAR" xfId="48" xr:uid="{7B581537-0734-46AD-8BEF-40BAE921308B}"/>
    <cellStyle name="ÄÞ¸¶ [0]_¿ì¹°Åë" xfId="49" xr:uid="{9EDB5E60-0F5B-455B-83A8-734CC48DD1F5}"/>
    <cellStyle name="AÞ¸¶ [0]_INQUIRY ¿?¾÷AßAø " xfId="50" xr:uid="{5CCE81AC-92A4-46B3-BB1E-CF049E8D0A1D}"/>
    <cellStyle name="ÄÞ¸¶ [0]_S" xfId="51" xr:uid="{A284BF23-0857-4814-88C4-CAA1C242532F}"/>
    <cellStyle name="ÄÞ¸¶_¿ì¹°Åë" xfId="52" xr:uid="{DE65DEAB-DA50-4132-8520-F45E5707332B}"/>
    <cellStyle name="AÞ¸¶_INQUIRY ¿?¾÷AßAø " xfId="53" xr:uid="{7AD2F13E-7ED7-4CF6-B3F9-6C692BCAF757}"/>
    <cellStyle name="ÄÞ¸¶_S" xfId="54" xr:uid="{2D767A27-A582-4CE0-9F9B-6A3058FFA669}"/>
    <cellStyle name="BKWmas" xfId="55" xr:uid="{18623679-3811-4C36-9A0E-30F7FC7DF999}"/>
    <cellStyle name="Body" xfId="56" xr:uid="{3AC77C42-3222-4746-AE80-CB487D1E9BF0}"/>
    <cellStyle name="C?AØ_¿?¾÷CoE² " xfId="57" xr:uid="{0FC01445-3C94-4003-A30D-3A0663101C0E}"/>
    <cellStyle name="Ç¥ÁØ_´çÃÊ±¸ÀÔ»ý»ê" xfId="58" xr:uid="{319DB69C-B325-49E0-A6D6-F95C7C810B19}"/>
    <cellStyle name="C￥AØ_¿μ¾÷CoE² " xfId="59" xr:uid="{9719D6BE-5C25-436B-93F3-AFC92A83F9B7}"/>
    <cellStyle name="Ç¥ÁØ_S" xfId="60" xr:uid="{5C708EE4-BD4B-4B95-9FDA-0281482F3A70}"/>
    <cellStyle name="Comma" xfId="2" builtinId="3"/>
    <cellStyle name="Comma [0]" xfId="7" builtinId="6"/>
    <cellStyle name="Comma 2" xfId="62" xr:uid="{58BB5B0D-F998-401F-8CD7-26A5320B76E7}"/>
    <cellStyle name="Comma 2 2" xfId="128" xr:uid="{EACD896C-B748-4977-B796-62A064F99C5D}"/>
    <cellStyle name="Comma 3" xfId="63" xr:uid="{A8290286-BC9B-4928-89D8-F659FD822B2B}"/>
    <cellStyle name="Comma 3 2" xfId="129" xr:uid="{7C0B8B8C-0B58-4A4C-BC7E-FFB931BB3221}"/>
    <cellStyle name="Comma 4" xfId="61" xr:uid="{7C6C2AFB-CF65-404D-9D69-1788454EA518}"/>
    <cellStyle name="Comma0" xfId="64" xr:uid="{AB27F85A-BE61-4CDA-A284-B68343A87233}"/>
    <cellStyle name="COMPS" xfId="65" xr:uid="{C18C181B-96D5-4C3D-B9A0-B19396F23D60}"/>
    <cellStyle name="Currency" xfId="6" builtinId="4"/>
    <cellStyle name="Currency [0]" xfId="131" builtinId="7"/>
    <cellStyle name="Currency0" xfId="66" xr:uid="{7FF5ED17-212D-4EF8-B3DA-92BB3DB5F991}"/>
    <cellStyle name="DATA_ENT" xfId="67" xr:uid="{255D533C-F8D8-49D4-967A-75274F5AB228}"/>
    <cellStyle name="Date" xfId="68" xr:uid="{115EC9C4-081C-4AD6-8F5C-52ECDAAB2DC6}"/>
    <cellStyle name="Dezimal [0]_Compiling Utility Macros" xfId="69" xr:uid="{3CB52530-A86F-4369-99CF-C87C47319BB3}"/>
    <cellStyle name="Dezimal_Compiling Utility Macros" xfId="70" xr:uid="{626E433A-94FE-4687-B87F-AF5D76DE8F4F}"/>
    <cellStyle name="DOWNFOOT" xfId="71" xr:uid="{F796E596-D4FB-42CA-8161-D13754ABD144}"/>
    <cellStyle name="Euro" xfId="72" xr:uid="{E4995BB3-0CCE-46C2-99AC-4A99723784D0}"/>
    <cellStyle name="Fixed" xfId="73" xr:uid="{A0616663-4234-43B8-8583-86400669A177}"/>
    <cellStyle name="Header1" xfId="74" xr:uid="{A1AD89EB-4875-4E2A-8FE6-4CF8A1B1BD0F}"/>
    <cellStyle name="Header2" xfId="75" xr:uid="{26A9EEB8-0F7F-42F7-B31B-3ED26AB01D56}"/>
    <cellStyle name="HIDE" xfId="76" xr:uid="{5BE7FCB7-F449-4985-853E-DBB4C9F952FB}"/>
    <cellStyle name="LineItemValue" xfId="77" xr:uid="{38B4321B-F1C6-4D2C-B064-55AFC6B9CE67}"/>
    <cellStyle name="MARK" xfId="78" xr:uid="{64FAD6BE-B8D8-4142-B3E7-20132B982221}"/>
    <cellStyle name="n" xfId="79" xr:uid="{BC625CB8-A1CF-4967-B86A-6FC1042ABBD6}"/>
    <cellStyle name="no dec" xfId="80" xr:uid="{BCBA9A36-124F-4023-8189-68F517053D8F}"/>
    <cellStyle name="Nor}al" xfId="81" xr:uid="{0A0DFB30-D0A1-4D0A-B64A-3E0C9F7D99C2}"/>
    <cellStyle name="Normal" xfId="0" builtinId="0"/>
    <cellStyle name="Normal - Style1" xfId="82" xr:uid="{DA1C4FFF-2A80-4EDE-923E-6A9BA860E583}"/>
    <cellStyle name="Normal 2" xfId="4" xr:uid="{5AFBD070-3F72-416A-9343-24621BC6A314}"/>
    <cellStyle name="Normal 2 2" xfId="5" xr:uid="{7DB6C48D-80C0-4A47-875E-D2C793C0C8DE}"/>
    <cellStyle name="Normal 3" xfId="83" xr:uid="{C9E119A6-96E5-4807-BF93-89D36715B8BA}"/>
    <cellStyle name="Normal 3 2" xfId="127" xr:uid="{1042C2B6-E045-4A64-BC36-2BED52E7D960}"/>
    <cellStyle name="Normal 4" xfId="84" xr:uid="{47339A27-939C-47CF-90E5-047126F40315}"/>
    <cellStyle name="Normal 5" xfId="8" xr:uid="{6DB906C2-C0FD-4B54-A582-C796F5C1F982}"/>
    <cellStyle name="Normal 6" xfId="130" xr:uid="{E21A3E92-96AE-47A2-ABE1-95176E0FE1A7}"/>
    <cellStyle name="Normal_E-Ton_021808" xfId="3" xr:uid="{CB9CA516-25F5-42A2-A604-798F5EC1B145}"/>
    <cellStyle name="oft Excel]_x000d__x000a_Comment=The open=/f lines load custom functions into the Paste Function list._x000d__x000a_Maximized=2_x000d__x000a_Basics=1_x000d__x000a_A" xfId="85" xr:uid="{01092DAA-5721-4480-9EA6-EDDA37EBB8B4}"/>
    <cellStyle name="oft Excel]_x000d__x000a_Comment=The open=/f lines load custom functions into the Paste Function list._x000d__x000a_Maximized=3_x000d__x000a_Basics=1_x000d__x000a_A" xfId="86" xr:uid="{4B974F67-8722-48BA-B6B3-FF0B09465E9B}"/>
    <cellStyle name="Output Amounts" xfId="87" xr:uid="{37046BA9-6998-47D1-9A15-79C0A6F75932}"/>
    <cellStyle name="Output Column Headings" xfId="88" xr:uid="{FE7FAD2C-A4F6-4278-9F7E-E726174DD477}"/>
    <cellStyle name="Output Line Items" xfId="89" xr:uid="{2336934B-A753-4128-9099-B1692F22E600}"/>
    <cellStyle name="Output Report Heading" xfId="90" xr:uid="{FB8C1A54-1E0F-4B25-9842-F2FEA6EAB216}"/>
    <cellStyle name="Output Report Title" xfId="91" xr:uid="{867038C2-8549-49F7-8803-34DDBD9D48D0}"/>
    <cellStyle name="Percent" xfId="1" builtinId="5"/>
    <cellStyle name="Percent 2" xfId="93" xr:uid="{CFDFF0FD-8A54-4F9B-98B8-26693152E46B}"/>
    <cellStyle name="Percent 3" xfId="92" xr:uid="{E73D8F63-21A8-4DC8-9F7D-E01719D5101D}"/>
    <cellStyle name="s]_x000d__x000a_spooler=yes_x000d__x000a_load=_x000d__x000a_Beep=yes_x000d__x000a_NullPort=None_x000d__x000a_BorderWidth=3_x000d__x000a_CursorBlinkRate=1200_x000d__x000a_DoubleClickSpeed=452_x000d__x000a_Programs=co" xfId="94" xr:uid="{112C086F-8867-41A6-9784-96B419D58841}"/>
    <cellStyle name="Standard_Anpassen der Amortisation" xfId="95" xr:uid="{F262F5AD-C324-456F-A8AD-29E86EF01915}"/>
    <cellStyle name="Style 1" xfId="96" xr:uid="{57BBAEB4-85CC-453F-8769-1F36728A8CDA}"/>
    <cellStyle name="Style 1 2" xfId="97" xr:uid="{8C1C6422-FED4-4157-A336-3A99591E334C}"/>
    <cellStyle name="Style 1 3" xfId="98" xr:uid="{87C43DD0-1635-4F73-BE88-526672E79CDC}"/>
    <cellStyle name="þ_x001d_ð·_x000c_æþ'_x000d_ßþU_x0001_Ø_x0005_ü_x0014__x0007__x0001__x0001_" xfId="99" xr:uid="{CCD094EB-6423-4FF1-84C6-2D47ADC34DA1}"/>
    <cellStyle name="Währung [0]_Compiling Utility Macros" xfId="100" xr:uid="{3DA2B535-F26F-406E-823B-81B139FE5CE0}"/>
    <cellStyle name="Währung_Compiling Utility Macros" xfId="101" xr:uid="{E0AC66EF-C605-49F7-9A81-B9D8E4FB1334}"/>
    <cellStyle name="xuan" xfId="102" xr:uid="{2B0E36AF-C7B8-425E-8357-3463F48CD67F}"/>
    <cellStyle name=" [0.00]_ Att. 1- Cover" xfId="103" xr:uid="{737BDAC1-EEC6-453E-8291-F58D972C220D}"/>
    <cellStyle name="_ Att. 1- Cover" xfId="104" xr:uid="{4814AD3A-F7D6-49EA-828B-D59FE17E0F8C}"/>
    <cellStyle name="?_ Att. 1- Cover" xfId="105" xr:uid="{092042C2-BE8E-47E9-91A9-964268D2BD92}"/>
    <cellStyle name="똿뗦먛귟 [0.00]_PRODUCT DETAIL Q1" xfId="106" xr:uid="{2D5987CE-DC82-47BB-9317-4D0D2F5F9AE1}"/>
    <cellStyle name="똿뗦먛귟_PRODUCT DETAIL Q1" xfId="107" xr:uid="{352B6CEE-5BBD-4303-B7DD-B6DF4E26E4E2}"/>
    <cellStyle name="믅됞 [0.00]_PRODUCT DETAIL Q1" xfId="108" xr:uid="{5D4456F7-FA73-4FD7-9CA8-530549454104}"/>
    <cellStyle name="믅됞_PRODUCT DETAIL Q1" xfId="109" xr:uid="{E849C0D6-99B2-4537-9DAE-8E3F612B2B6A}"/>
    <cellStyle name="백분율_95" xfId="110" xr:uid="{2B8A8FE4-902D-4F19-93A8-3B00A4D6D9D1}"/>
    <cellStyle name="뷭?_BOOKSHIP" xfId="111" xr:uid="{BDB0B09C-697C-4319-BDC3-875FE3A41419}"/>
    <cellStyle name="콤마 [0]_1202" xfId="112" xr:uid="{94082FD0-98DB-4019-9EFC-6644EAD3CA1C}"/>
    <cellStyle name="콤마_1202" xfId="113" xr:uid="{4F00B721-957B-4344-9574-71278D9D7F64}"/>
    <cellStyle name="통화 [0]_1202" xfId="114" xr:uid="{75247EA0-1C0F-44D4-B9CA-6B14618280A6}"/>
    <cellStyle name="통화_1202" xfId="115" xr:uid="{55E1A85C-5881-4095-9191-B90BFC36775B}"/>
    <cellStyle name="표준_(정보부문)월별인원계획" xfId="116" xr:uid="{BF3F9623-2FE9-41D1-9627-CFE0FFA48BC2}"/>
    <cellStyle name="一般_00Q3902REV.1" xfId="117" xr:uid="{EFCB6156-CEBE-4B89-A35A-F41EF0E31D96}"/>
    <cellStyle name="千分位[0]_00Q3902REV.1" xfId="118" xr:uid="{BB596D76-5AB8-4F1B-B85D-B8DEBE03BDED}"/>
    <cellStyle name="千分位_00Q3902REV.1" xfId="119" xr:uid="{1A0A26B6-79CF-48B1-B558-5DEB2F82ED35}"/>
    <cellStyle name="桁区切り [0.00]_7月5日提出（HZM）" xfId="120" xr:uid="{C9E93E5C-1F9C-40EE-AFCD-6A5A23176D02}"/>
    <cellStyle name="桁区切り_08-00 NET Summary" xfId="121" xr:uid="{F26CCA3A-74CE-4162-90D7-58456BD885AD}"/>
    <cellStyle name="標準_(A1)BOQ " xfId="122" xr:uid="{3E7DB555-DE3B-4974-BBC5-E43D8A60E8CA}"/>
    <cellStyle name="貨幣 [0]_00Q3902REV.1" xfId="123" xr:uid="{F36524B0-04E2-44D8-9328-EF2420949A32}"/>
    <cellStyle name="貨幣[0]_BRE" xfId="124" xr:uid="{92F25434-2607-436D-984A-C9846120668A}"/>
    <cellStyle name="貨幣_00Q3902REV.1" xfId="125" xr:uid="{03812546-BD58-4778-8C81-53E9B3A03463}"/>
    <cellStyle name="非表示" xfId="126" xr:uid="{A838ADE1-DEA2-4A10-B8BB-FCC357D67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0AB7-0375-4A1B-A3F6-0D8180A43F76}">
  <dimension ref="A1:P73"/>
  <sheetViews>
    <sheetView showGridLines="0" zoomScale="112" zoomScaleNormal="112" workbookViewId="0">
      <pane xSplit="4" ySplit="6" topLeftCell="F34" activePane="bottomRight" state="frozen"/>
      <selection pane="topRight" activeCell="E1" sqref="E1"/>
      <selection pane="bottomLeft" activeCell="A7" sqref="A7"/>
      <selection pane="bottomRight" activeCell="K72" sqref="K72"/>
    </sheetView>
  </sheetViews>
  <sheetFormatPr defaultRowHeight="14.25"/>
  <cols>
    <col min="1" max="1" width="18" customWidth="1"/>
    <col min="5" max="9" width="10.86328125" style="1" customWidth="1"/>
    <col min="10" max="10" width="10.3984375" style="1" bestFit="1" customWidth="1"/>
    <col min="11" max="11" width="10.3984375" style="65" bestFit="1" customWidth="1"/>
    <col min="12" max="16" width="10.3984375" bestFit="1" customWidth="1"/>
  </cols>
  <sheetData>
    <row r="1" spans="1:16" ht="36" customHeight="1">
      <c r="A1" t="s">
        <v>5</v>
      </c>
    </row>
    <row r="2" spans="1:16">
      <c r="A2" t="s">
        <v>4</v>
      </c>
    </row>
    <row r="3" spans="1:16">
      <c r="A3" t="s">
        <v>117</v>
      </c>
    </row>
    <row r="5" spans="1:16">
      <c r="A5" t="s">
        <v>0</v>
      </c>
      <c r="E5" s="2">
        <v>43190</v>
      </c>
      <c r="F5" s="2">
        <f>EDATE(E5,12)</f>
        <v>43555</v>
      </c>
      <c r="G5" s="2">
        <f t="shared" ref="G5:P5" si="0">EDATE(F5,12)</f>
        <v>43921</v>
      </c>
      <c r="H5" s="2">
        <f t="shared" si="0"/>
        <v>44286</v>
      </c>
      <c r="I5" s="2">
        <f t="shared" si="0"/>
        <v>44651</v>
      </c>
      <c r="J5" s="2">
        <f t="shared" si="0"/>
        <v>45016</v>
      </c>
      <c r="K5" s="49">
        <f t="shared" si="0"/>
        <v>45382</v>
      </c>
      <c r="L5" s="49">
        <f t="shared" si="0"/>
        <v>45747</v>
      </c>
      <c r="M5" s="49">
        <f t="shared" si="0"/>
        <v>46112</v>
      </c>
      <c r="N5" s="49">
        <f t="shared" si="0"/>
        <v>46477</v>
      </c>
      <c r="O5" s="49">
        <f t="shared" si="0"/>
        <v>46843</v>
      </c>
      <c r="P5" s="49">
        <f t="shared" si="0"/>
        <v>47208</v>
      </c>
    </row>
    <row r="6" spans="1:16">
      <c r="A6" t="s">
        <v>1</v>
      </c>
      <c r="E6" s="3">
        <f>YEAR(E5)</f>
        <v>2018</v>
      </c>
      <c r="F6" s="3">
        <f t="shared" ref="F6:O6" si="1">YEAR(F5)</f>
        <v>2019</v>
      </c>
      <c r="G6" s="3">
        <f t="shared" si="1"/>
        <v>2020</v>
      </c>
      <c r="H6" s="3">
        <f t="shared" si="1"/>
        <v>2021</v>
      </c>
      <c r="I6" s="3">
        <f t="shared" si="1"/>
        <v>2022</v>
      </c>
      <c r="J6" s="3">
        <f t="shared" si="1"/>
        <v>2023</v>
      </c>
      <c r="K6" s="50">
        <f t="shared" si="1"/>
        <v>2024</v>
      </c>
      <c r="L6" s="50">
        <f t="shared" si="1"/>
        <v>2025</v>
      </c>
      <c r="M6" s="50">
        <f t="shared" si="1"/>
        <v>2026</v>
      </c>
      <c r="N6" s="50">
        <f t="shared" si="1"/>
        <v>2027</v>
      </c>
      <c r="O6" s="50">
        <f t="shared" si="1"/>
        <v>2028</v>
      </c>
      <c r="P6" s="50">
        <f t="shared" ref="P6" si="2">YEAR(P5)</f>
        <v>2029</v>
      </c>
    </row>
    <row r="7" spans="1:16">
      <c r="E7" s="6"/>
      <c r="F7" s="6"/>
      <c r="G7" s="6"/>
      <c r="H7" s="6"/>
      <c r="I7" s="6"/>
      <c r="J7" s="6"/>
      <c r="K7" s="56"/>
    </row>
    <row r="8" spans="1:16" s="27" customFormat="1">
      <c r="A8" s="26" t="s">
        <v>6</v>
      </c>
      <c r="E8" s="28">
        <f>SUM(E9:E11)</f>
        <v>668248</v>
      </c>
      <c r="F8" s="28">
        <f t="shared" ref="F8:K8" si="3">SUM(F9:F11)</f>
        <v>635002.04339354916</v>
      </c>
      <c r="G8" s="28">
        <f t="shared" si="3"/>
        <v>706388</v>
      </c>
      <c r="H8" s="28">
        <f t="shared" si="3"/>
        <v>848554.89870756189</v>
      </c>
      <c r="I8" s="28">
        <f t="shared" si="3"/>
        <v>984886.52736152697</v>
      </c>
      <c r="J8" s="28">
        <f t="shared" si="3"/>
        <v>1184853.8216523381</v>
      </c>
      <c r="K8" s="28">
        <f t="shared" si="3"/>
        <v>1260161</v>
      </c>
      <c r="L8" s="28">
        <f t="shared" ref="L8:O8" si="4">SUM(L9:L11)</f>
        <v>1455597.3460325098</v>
      </c>
      <c r="M8" s="28">
        <f t="shared" si="4"/>
        <v>1592922.0277052722</v>
      </c>
      <c r="N8" s="28">
        <f t="shared" si="4"/>
        <v>1757295.4917015417</v>
      </c>
      <c r="O8" s="28">
        <f t="shared" si="4"/>
        <v>1940435.0338582152</v>
      </c>
      <c r="P8" s="28">
        <f t="shared" ref="P8" si="5">SUM(P9:P11)</f>
        <v>2138513.8503098101</v>
      </c>
    </row>
    <row r="9" spans="1:16">
      <c r="A9" s="11" t="s">
        <v>7</v>
      </c>
      <c r="E9" s="7">
        <v>462639</v>
      </c>
      <c r="F9" s="7">
        <v>415540</v>
      </c>
      <c r="G9" s="7">
        <v>459663</v>
      </c>
      <c r="H9" s="7">
        <v>555675.98042100004</v>
      </c>
      <c r="I9" s="7">
        <v>630404.69781557505</v>
      </c>
      <c r="J9" s="7">
        <v>759245.95304000017</v>
      </c>
      <c r="K9" s="8">
        <f>'Revenue Drivers'!K10</f>
        <v>850488</v>
      </c>
      <c r="L9" s="8">
        <f>'Revenue Drivers'!L10</f>
        <v>991113.74926304817</v>
      </c>
      <c r="M9" s="8">
        <f>'Revenue Drivers'!M10</f>
        <v>1084676.932944814</v>
      </c>
      <c r="N9" s="8">
        <f>'Revenue Drivers'!N10</f>
        <v>1205068.0306609077</v>
      </c>
      <c r="O9" s="8">
        <f>'Revenue Drivers'!O10</f>
        <v>1338359.3080580558</v>
      </c>
      <c r="P9" s="8">
        <f>'Revenue Drivers'!P10</f>
        <v>1485899.9579983286</v>
      </c>
    </row>
    <row r="10" spans="1:16">
      <c r="A10" s="11" t="s">
        <v>8</v>
      </c>
      <c r="E10" s="7">
        <v>201564</v>
      </c>
      <c r="F10" s="7">
        <v>215026.04339354919</v>
      </c>
      <c r="G10" s="7">
        <v>242173</v>
      </c>
      <c r="H10" s="7">
        <v>288632.17277511995</v>
      </c>
      <c r="I10" s="7">
        <v>350613.21104285301</v>
      </c>
      <c r="J10" s="7">
        <v>422664.16404896497</v>
      </c>
      <c r="K10" s="8">
        <f>'Revenue Drivers'!K11</f>
        <v>405900</v>
      </c>
      <c r="L10" s="8">
        <f>'Revenue Drivers'!L11</f>
        <v>460704.71675902803</v>
      </c>
      <c r="M10" s="8">
        <f>'Revenue Drivers'!M11</f>
        <v>504460.3255759218</v>
      </c>
      <c r="N10" s="8">
        <f>'Revenue Drivers'!N11</f>
        <v>548436.79350404534</v>
      </c>
      <c r="O10" s="8">
        <f>'Revenue Drivers'!O11</f>
        <v>598279.15071926464</v>
      </c>
      <c r="P10" s="8">
        <f>'Revenue Drivers'!P11</f>
        <v>648811.40047970228</v>
      </c>
    </row>
    <row r="11" spans="1:16" s="27" customFormat="1">
      <c r="A11" s="29" t="s">
        <v>9</v>
      </c>
      <c r="E11" s="30">
        <v>4045</v>
      </c>
      <c r="F11" s="30">
        <v>4436</v>
      </c>
      <c r="G11" s="30">
        <v>4552</v>
      </c>
      <c r="H11" s="30">
        <v>4246.745511442</v>
      </c>
      <c r="I11" s="30">
        <v>3868.618503099</v>
      </c>
      <c r="J11" s="30">
        <v>2943.7045633729995</v>
      </c>
      <c r="K11" s="8">
        <f>'Revenue Drivers'!K12</f>
        <v>3773</v>
      </c>
      <c r="L11" s="8">
        <f>'Revenue Drivers'!L12</f>
        <v>3778.880010433671</v>
      </c>
      <c r="M11" s="8">
        <f>'Revenue Drivers'!M12</f>
        <v>3784.7691845362265</v>
      </c>
      <c r="N11" s="8">
        <f>'Revenue Drivers'!N12</f>
        <v>3790.6675365887336</v>
      </c>
      <c r="O11" s="8">
        <f>'Revenue Drivers'!O12</f>
        <v>3796.5750808945168</v>
      </c>
      <c r="P11" s="8">
        <f>'Revenue Drivers'!P12</f>
        <v>3802.4918317791908</v>
      </c>
    </row>
    <row r="12" spans="1:16">
      <c r="A12" s="10" t="s">
        <v>10</v>
      </c>
      <c r="E12" s="7">
        <v>25265</v>
      </c>
      <c r="F12" s="7">
        <v>22391</v>
      </c>
      <c r="G12" s="7">
        <v>22451</v>
      </c>
      <c r="H12" s="7">
        <v>23341.933045999998</v>
      </c>
      <c r="I12" s="7">
        <v>30389.929562999998</v>
      </c>
      <c r="J12" s="7">
        <v>40472.51182</v>
      </c>
      <c r="K12" s="8">
        <f>'Revenue Drivers'!K13</f>
        <v>49701</v>
      </c>
      <c r="L12" s="8">
        <f>'Revenue Drivers'!L13</f>
        <v>57155.160020062205</v>
      </c>
      <c r="M12" s="8">
        <f>'Revenue Drivers'!M13</f>
        <v>62571.438527086691</v>
      </c>
      <c r="N12" s="8">
        <f>'Revenue Drivers'!N13</f>
        <v>68741.804941339011</v>
      </c>
      <c r="O12" s="8">
        <f>'Revenue Drivers'!O13</f>
        <v>76042.30992742216</v>
      </c>
      <c r="P12" s="8">
        <f>'Revenue Drivers'!P13</f>
        <v>0</v>
      </c>
    </row>
    <row r="13" spans="1:16">
      <c r="A13" s="10" t="s">
        <v>11</v>
      </c>
      <c r="E13" s="7">
        <v>113218</v>
      </c>
      <c r="F13" s="7">
        <v>124537</v>
      </c>
      <c r="G13" s="7">
        <v>132331</v>
      </c>
      <c r="H13" s="7">
        <v>144075.25696414802</v>
      </c>
      <c r="I13" s="7">
        <v>160701.52913201202</v>
      </c>
      <c r="J13" s="7">
        <v>185930.360923548</v>
      </c>
      <c r="K13" s="8">
        <f>'Revenue Drivers'!K14</f>
        <v>208209</v>
      </c>
      <c r="L13" s="8">
        <f>'Revenue Drivers'!L14</f>
        <v>230540.18892675141</v>
      </c>
      <c r="M13" s="8">
        <f>'Revenue Drivers'!M14</f>
        <v>255266.48084560336</v>
      </c>
      <c r="N13" s="8">
        <f>'Revenue Drivers'!N14</f>
        <v>282644.75945234054</v>
      </c>
      <c r="O13" s="8">
        <f>'Revenue Drivers'!O14</f>
        <v>312959.46017366584</v>
      </c>
      <c r="P13" s="8">
        <f>'Revenue Drivers'!P14</f>
        <v>346525.52519272006</v>
      </c>
    </row>
    <row r="14" spans="1:16">
      <c r="A14" s="10" t="s">
        <v>12</v>
      </c>
      <c r="E14" s="7">
        <v>66284</v>
      </c>
      <c r="F14" s="7">
        <v>68185</v>
      </c>
      <c r="G14" s="7">
        <v>67423</v>
      </c>
      <c r="H14" s="7">
        <v>34084.008104</v>
      </c>
      <c r="I14" s="7">
        <v>0</v>
      </c>
      <c r="J14" s="7">
        <v>0</v>
      </c>
      <c r="K14" s="8">
        <f>'Revenue Drivers'!K15</f>
        <v>0</v>
      </c>
      <c r="L14" s="8">
        <f>'Revenue Drivers'!L15</f>
        <v>0</v>
      </c>
      <c r="M14" s="8">
        <f>'Revenue Drivers'!M15</f>
        <v>0</v>
      </c>
      <c r="N14" s="8">
        <f>'Revenue Drivers'!N15</f>
        <v>0</v>
      </c>
      <c r="O14" s="8">
        <f>'Revenue Drivers'!O15</f>
        <v>0</v>
      </c>
      <c r="P14" s="8">
        <f>'Revenue Drivers'!P15</f>
        <v>0</v>
      </c>
    </row>
    <row r="15" spans="1:16">
      <c r="A15" s="10" t="s">
        <v>13</v>
      </c>
      <c r="E15" s="7">
        <v>37570</v>
      </c>
      <c r="F15" s="7">
        <v>41001</v>
      </c>
      <c r="G15" s="7">
        <v>29239</v>
      </c>
      <c r="H15" s="7">
        <v>30561.914819000001</v>
      </c>
      <c r="I15" s="7">
        <v>31537.748581</v>
      </c>
      <c r="J15" s="7">
        <v>29450.495275000001</v>
      </c>
      <c r="K15" s="8">
        <f>'Revenue Drivers'!K16</f>
        <v>30448</v>
      </c>
      <c r="L15" s="8">
        <f>'Revenue Drivers'!L16</f>
        <v>31538.816199376946</v>
      </c>
      <c r="M15" s="8">
        <f>'Revenue Drivers'!M16</f>
        <v>31884.083239875396</v>
      </c>
      <c r="N15" s="8">
        <f>'Revenue Drivers'!N16</f>
        <v>32376.171769470406</v>
      </c>
      <c r="O15" s="8">
        <f>'Revenue Drivers'!O16</f>
        <v>32990.062377258575</v>
      </c>
      <c r="P15" s="8">
        <f>'Revenue Drivers'!P16</f>
        <v>33407.544592180697</v>
      </c>
    </row>
    <row r="16" spans="1:16" s="27" customFormat="1">
      <c r="A16" s="26" t="s">
        <v>14</v>
      </c>
      <c r="E16" s="30">
        <v>4009</v>
      </c>
      <c r="F16" s="30">
        <v>1163</v>
      </c>
      <c r="G16" s="30">
        <v>50</v>
      </c>
      <c r="H16" s="30">
        <v>123</v>
      </c>
      <c r="I16" s="30">
        <v>355</v>
      </c>
      <c r="J16" s="30">
        <v>855</v>
      </c>
      <c r="K16" s="8">
        <f>'Revenue Drivers'!K17</f>
        <v>0</v>
      </c>
      <c r="L16" s="8">
        <f>'Revenue Drivers'!L17</f>
        <v>0</v>
      </c>
      <c r="M16" s="8">
        <f>'Revenue Drivers'!M17</f>
        <v>0</v>
      </c>
      <c r="N16" s="8">
        <f>'Revenue Drivers'!N17</f>
        <v>0</v>
      </c>
      <c r="O16" s="8">
        <f>'Revenue Drivers'!O17</f>
        <v>0</v>
      </c>
      <c r="P16" s="8">
        <f>'Revenue Drivers'!P17</f>
        <v>0</v>
      </c>
    </row>
    <row r="17" spans="1:16">
      <c r="A17" s="31" t="s">
        <v>15</v>
      </c>
      <c r="E17" s="5">
        <f>E8+SUM(E12:E16)</f>
        <v>914594</v>
      </c>
      <c r="F17" s="5">
        <f t="shared" ref="F17:K17" si="6">F8+SUM(F12:F16)</f>
        <v>892279.04339354916</v>
      </c>
      <c r="G17" s="5">
        <f t="shared" si="6"/>
        <v>957882</v>
      </c>
      <c r="H17" s="5">
        <f t="shared" si="6"/>
        <v>1080741.0116407098</v>
      </c>
      <c r="I17" s="5">
        <f t="shared" si="6"/>
        <v>1207870.7346375389</v>
      </c>
      <c r="J17" s="5">
        <f t="shared" si="6"/>
        <v>1441562.1896708861</v>
      </c>
      <c r="K17" s="5">
        <f t="shared" si="6"/>
        <v>1548519</v>
      </c>
      <c r="L17" s="5">
        <f t="shared" ref="L17:O17" si="7">L8+SUM(L12:L16)</f>
        <v>1774831.5111787003</v>
      </c>
      <c r="M17" s="5">
        <f t="shared" si="7"/>
        <v>1942644.0303178376</v>
      </c>
      <c r="N17" s="5">
        <f t="shared" si="7"/>
        <v>2141058.2278646915</v>
      </c>
      <c r="O17" s="5">
        <f t="shared" si="7"/>
        <v>2362426.8663365617</v>
      </c>
      <c r="P17" s="5">
        <f t="shared" ref="P17" si="8">P8+SUM(P12:P16)</f>
        <v>2518446.9200947108</v>
      </c>
    </row>
    <row r="18" spans="1:16">
      <c r="A18" s="12" t="s">
        <v>16</v>
      </c>
      <c r="F18" s="6">
        <f>F17/E17-1</f>
        <v>-2.4398756832486157E-2</v>
      </c>
      <c r="G18" s="6">
        <f t="shared" ref="G18:K18" si="9">G17/F17-1</f>
        <v>7.3522915384123699E-2</v>
      </c>
      <c r="H18" s="6">
        <f t="shared" si="9"/>
        <v>0.12826111320675171</v>
      </c>
      <c r="I18" s="6">
        <f t="shared" si="9"/>
        <v>0.1176319965907735</v>
      </c>
      <c r="J18" s="6">
        <f t="shared" si="9"/>
        <v>0.19347389445897445</v>
      </c>
      <c r="K18" s="6">
        <f t="shared" si="9"/>
        <v>7.419507191259811E-2</v>
      </c>
      <c r="L18" s="6">
        <f t="shared" ref="L18" si="10">L17/K17-1</f>
        <v>0.14614771351123257</v>
      </c>
      <c r="M18" s="6">
        <f t="shared" ref="M18" si="11">M17/L17-1</f>
        <v>9.4551239417475674E-2</v>
      </c>
      <c r="N18" s="6">
        <f t="shared" ref="N18" si="12">N17/M17-1</f>
        <v>0.10213615796322251</v>
      </c>
      <c r="O18" s="6">
        <f t="shared" ref="O18:P18" si="13">O17/N17-1</f>
        <v>0.10339216168475929</v>
      </c>
      <c r="P18" s="6">
        <f t="shared" si="13"/>
        <v>6.6042278802937338E-2</v>
      </c>
    </row>
    <row r="19" spans="1:16" s="27" customFormat="1">
      <c r="A19" s="32" t="s">
        <v>17</v>
      </c>
      <c r="E19" s="30">
        <v>-77715</v>
      </c>
      <c r="F19" s="30">
        <v>-78921.043393549218</v>
      </c>
      <c r="G19" s="30">
        <v>-82492</v>
      </c>
      <c r="H19" s="30">
        <v>-60853.011640710058</v>
      </c>
      <c r="I19" s="30">
        <v>-42401.734637539077</v>
      </c>
      <c r="J19" s="30">
        <v>-50114.189670886204</v>
      </c>
      <c r="K19" s="52">
        <f>(J19/J17)*K17</f>
        <v>-53832.415577359192</v>
      </c>
      <c r="L19" s="52">
        <f t="shared" ref="L19:P19" si="14">(K19/K17)*L17</f>
        <v>-61699.900026776697</v>
      </c>
      <c r="M19" s="52">
        <f t="shared" si="14"/>
        <v>-67533.702046242775</v>
      </c>
      <c r="N19" s="52">
        <f t="shared" si="14"/>
        <v>-74431.334906279037</v>
      </c>
      <c r="O19" s="52">
        <f t="shared" si="14"/>
        <v>-82126.951519321505</v>
      </c>
      <c r="P19" s="52">
        <f t="shared" si="14"/>
        <v>-87550.802548795866</v>
      </c>
    </row>
    <row r="20" spans="1:16">
      <c r="A20" s="31" t="s">
        <v>18</v>
      </c>
      <c r="E20" s="5">
        <f>E17+E19</f>
        <v>836879</v>
      </c>
      <c r="F20" s="5">
        <f t="shared" ref="F20:P20" si="15">F17+F19</f>
        <v>813358</v>
      </c>
      <c r="G20" s="5">
        <f t="shared" si="15"/>
        <v>875390</v>
      </c>
      <c r="H20" s="5">
        <f t="shared" si="15"/>
        <v>1019887.9999999998</v>
      </c>
      <c r="I20" s="5">
        <f t="shared" si="15"/>
        <v>1165468.9999999998</v>
      </c>
      <c r="J20" s="5">
        <f t="shared" si="15"/>
        <v>1391448</v>
      </c>
      <c r="K20" s="5">
        <f t="shared" si="15"/>
        <v>1494686.5844226407</v>
      </c>
      <c r="L20" s="5">
        <f t="shared" si="15"/>
        <v>1713131.6111519237</v>
      </c>
      <c r="M20" s="5">
        <f t="shared" si="15"/>
        <v>1875110.3282715948</v>
      </c>
      <c r="N20" s="5">
        <f t="shared" si="15"/>
        <v>2066626.8929584124</v>
      </c>
      <c r="O20" s="5">
        <f t="shared" si="15"/>
        <v>2280299.9148172401</v>
      </c>
      <c r="P20" s="5">
        <f t="shared" si="15"/>
        <v>2430896.1175459148</v>
      </c>
    </row>
    <row r="21" spans="1:16">
      <c r="A21" s="14" t="s">
        <v>16</v>
      </c>
      <c r="E21" s="7"/>
      <c r="F21" s="6">
        <f>F20/E20-1</f>
        <v>-2.8105616224089691E-2</v>
      </c>
      <c r="G21" s="6">
        <f t="shared" ref="G21" si="16">G20/F20-1</f>
        <v>7.6266539457409799E-2</v>
      </c>
      <c r="H21" s="6">
        <f t="shared" ref="H21" si="17">H20/G20-1</f>
        <v>0.16506699870914643</v>
      </c>
      <c r="I21" s="6">
        <f t="shared" ref="I21" si="18">I20/H20-1</f>
        <v>0.14274214423544551</v>
      </c>
      <c r="J21" s="6">
        <f t="shared" ref="J21" si="19">J20/I20-1</f>
        <v>0.19389533312340368</v>
      </c>
      <c r="K21" s="6">
        <f t="shared" ref="K21" si="20">K20/J20-1</f>
        <v>7.419507191259811E-2</v>
      </c>
      <c r="L21" s="6">
        <f t="shared" ref="L21" si="21">L20/K20-1</f>
        <v>0.14614771351123257</v>
      </c>
      <c r="M21" s="6">
        <f t="shared" ref="M21" si="22">M20/L20-1</f>
        <v>9.4551239417475452E-2</v>
      </c>
      <c r="N21" s="6">
        <f t="shared" ref="N21" si="23">N20/M20-1</f>
        <v>0.10213615796322251</v>
      </c>
      <c r="O21" s="6">
        <f t="shared" ref="O21" si="24">O20/N20-1</f>
        <v>0.10339216168475929</v>
      </c>
      <c r="P21" s="6">
        <f t="shared" ref="P21" si="25">P20/O20-1</f>
        <v>6.604227880293756E-2</v>
      </c>
    </row>
    <row r="22" spans="1:16">
      <c r="A22" s="15"/>
      <c r="E22" s="5"/>
      <c r="F22" s="5"/>
      <c r="G22" s="5"/>
      <c r="H22" s="5"/>
      <c r="I22" s="5"/>
      <c r="J22" s="5"/>
      <c r="K22" s="51"/>
    </row>
    <row r="23" spans="1:16">
      <c r="A23" s="60" t="s">
        <v>19</v>
      </c>
      <c r="E23" s="7">
        <v>-90446</v>
      </c>
      <c r="F23" s="7">
        <v>-93521</v>
      </c>
      <c r="G23" s="7">
        <v>-107395</v>
      </c>
      <c r="H23" s="7">
        <v>-103521</v>
      </c>
      <c r="I23" s="7">
        <v>-67611</v>
      </c>
      <c r="J23" s="7">
        <v>-76207</v>
      </c>
      <c r="K23" s="52">
        <f>'Cost Drivers'!K15</f>
        <v>-84270.04667827388</v>
      </c>
      <c r="L23" s="52">
        <f>'Cost Drivers'!L15</f>
        <v>-95205.465003668389</v>
      </c>
      <c r="M23" s="52">
        <f>'Cost Drivers'!M15</f>
        <v>-104962.74980387323</v>
      </c>
      <c r="N23" s="52">
        <f>'Cost Drivers'!N15</f>
        <v>-115266.91532838045</v>
      </c>
      <c r="O23" s="52">
        <f>'Cost Drivers'!O15</f>
        <v>-127414.29655660874</v>
      </c>
      <c r="P23" s="52">
        <f>'Cost Drivers'!P15</f>
        <v>-135706.5997295203</v>
      </c>
    </row>
    <row r="24" spans="1:16">
      <c r="A24" s="60" t="s">
        <v>20</v>
      </c>
      <c r="E24" s="7">
        <v>-75558</v>
      </c>
      <c r="F24" s="7">
        <v>-69426</v>
      </c>
      <c r="G24" s="7">
        <v>-72561</v>
      </c>
      <c r="H24" s="7">
        <v>-91086.904949000003</v>
      </c>
      <c r="I24" s="7">
        <v>-110636</v>
      </c>
      <c r="J24" s="7">
        <v>-117517</v>
      </c>
      <c r="K24" s="52">
        <f>'Cost Drivers'!K16</f>
        <v>-127384.0349259154</v>
      </c>
      <c r="L24" s="52">
        <f>'Cost Drivers'!L16</f>
        <v>-145896.83892904411</v>
      </c>
      <c r="M24" s="52">
        <f>'Cost Drivers'!M16</f>
        <v>-161114.78156375699</v>
      </c>
      <c r="N24" s="52">
        <f>'Cost Drivers'!N16</f>
        <v>-180134.10138496957</v>
      </c>
      <c r="O24" s="52">
        <f>'Cost Drivers'!O16</f>
        <v>-198700.01095788184</v>
      </c>
      <c r="P24" s="52">
        <f>'Cost Drivers'!P16</f>
        <v>-208679.81495873028</v>
      </c>
    </row>
    <row r="25" spans="1:16">
      <c r="A25" s="60" t="s">
        <v>21</v>
      </c>
      <c r="E25" s="7">
        <v>-197520</v>
      </c>
      <c r="F25" s="7">
        <v>-223900</v>
      </c>
      <c r="G25" s="7">
        <v>-254269.37695464917</v>
      </c>
      <c r="H25" s="7">
        <v>-276842.37695464917</v>
      </c>
      <c r="I25" s="7">
        <v>-306789.37695464917</v>
      </c>
      <c r="J25" s="7">
        <v>-342017.37695464917</v>
      </c>
      <c r="K25" s="52">
        <f>'Cost Drivers'!K17</f>
        <v>-381903.77848830156</v>
      </c>
      <c r="L25" s="52">
        <f>'Cost Drivers'!L17</f>
        <v>-446787.67985863268</v>
      </c>
      <c r="M25" s="52">
        <f>'Cost Drivers'!M17</f>
        <v>-489292.58017694263</v>
      </c>
      <c r="N25" s="52">
        <f>'Cost Drivers'!N17</f>
        <v>-534421.04973736976</v>
      </c>
      <c r="O25" s="52">
        <f>'Cost Drivers'!O17</f>
        <v>-587095.54017725959</v>
      </c>
      <c r="P25" s="52">
        <f>'Cost Drivers'!P17</f>
        <v>-623569.26111279556</v>
      </c>
    </row>
    <row r="26" spans="1:16">
      <c r="A26" s="13" t="s">
        <v>22</v>
      </c>
      <c r="E26" s="7">
        <v>-39771</v>
      </c>
      <c r="F26" s="7">
        <v>-37975</v>
      </c>
      <c r="G26" s="7">
        <v>-38072</v>
      </c>
      <c r="H26" s="7">
        <v>-42823</v>
      </c>
      <c r="I26" s="7">
        <v>-44333</v>
      </c>
      <c r="J26" s="7">
        <v>-48308</v>
      </c>
      <c r="K26" s="52">
        <f>'Cost Drivers'!K18</f>
        <v>-51892.215533953793</v>
      </c>
      <c r="L26" s="52">
        <f>'Cost Drivers'!L18</f>
        <v>-59476.144183273202</v>
      </c>
      <c r="M26" s="52">
        <f>'Cost Drivers'!M18</f>
        <v>-65099.687331574169</v>
      </c>
      <c r="N26" s="52">
        <f>'Cost Drivers'!N18</f>
        <v>-71748.719280228222</v>
      </c>
      <c r="O26" s="52">
        <f>'Cost Drivers'!O18</f>
        <v>-79166.974464723986</v>
      </c>
      <c r="P26" s="52">
        <f>'Cost Drivers'!P18</f>
        <v>-84395.341864308313</v>
      </c>
    </row>
    <row r="27" spans="1:16" s="27" customFormat="1">
      <c r="A27" s="32" t="s">
        <v>23</v>
      </c>
      <c r="E27" s="30">
        <v>-132793</v>
      </c>
      <c r="F27" s="30">
        <v>-130347</v>
      </c>
      <c r="G27" s="30">
        <v>-93582</v>
      </c>
      <c r="H27" s="30">
        <v>-97850.658017000009</v>
      </c>
      <c r="I27" s="30">
        <v>-117345</v>
      </c>
      <c r="J27" s="30">
        <v>-151248</v>
      </c>
      <c r="K27" s="52">
        <f>'Cost Drivers'!K19</f>
        <v>-175907.51326920828</v>
      </c>
      <c r="L27" s="52">
        <f>'Cost Drivers'!L19</f>
        <v>-192269.69359049722</v>
      </c>
      <c r="M27" s="52">
        <f>'Cost Drivers'!M19</f>
        <v>-198225.91925683341</v>
      </c>
      <c r="N27" s="52">
        <f>'Cost Drivers'!N19</f>
        <v>-220021.52462355056</v>
      </c>
      <c r="O27" s="52">
        <f>'Cost Drivers'!O19</f>
        <v>-247582.54156206065</v>
      </c>
      <c r="P27" s="52">
        <f>'Cost Drivers'!P19</f>
        <v>-267144.38876525284</v>
      </c>
    </row>
    <row r="28" spans="1:16">
      <c r="A28" s="31" t="s">
        <v>24</v>
      </c>
      <c r="E28" s="5">
        <f>SUM(E23:E27)</f>
        <v>-536088</v>
      </c>
      <c r="F28" s="5">
        <f t="shared" ref="F28:J28" si="26">SUM(F23:F27)</f>
        <v>-555169</v>
      </c>
      <c r="G28" s="5">
        <f t="shared" si="26"/>
        <v>-565879.37695464911</v>
      </c>
      <c r="H28" s="5">
        <f t="shared" si="26"/>
        <v>-612123.93992064917</v>
      </c>
      <c r="I28" s="5">
        <f t="shared" si="26"/>
        <v>-646714.37695464911</v>
      </c>
      <c r="J28" s="5">
        <f t="shared" si="26"/>
        <v>-735297.37695464911</v>
      </c>
      <c r="K28" s="5">
        <f t="shared" ref="K28:P28" si="27">SUM(K23:K27)</f>
        <v>-821357.58889565291</v>
      </c>
      <c r="L28" s="5">
        <f t="shared" si="27"/>
        <v>-939635.82156511559</v>
      </c>
      <c r="M28" s="5">
        <f t="shared" si="27"/>
        <v>-1018695.7181329804</v>
      </c>
      <c r="N28" s="5">
        <f t="shared" si="27"/>
        <v>-1121592.3103544984</v>
      </c>
      <c r="O28" s="5">
        <f t="shared" si="27"/>
        <v>-1239959.3637185348</v>
      </c>
      <c r="P28" s="5">
        <f t="shared" si="27"/>
        <v>-1319495.4064306074</v>
      </c>
    </row>
    <row r="29" spans="1:16">
      <c r="A29" s="14" t="s">
        <v>16</v>
      </c>
      <c r="F29" s="6">
        <f>F28/E28-1</f>
        <v>3.5593036964080449E-2</v>
      </c>
      <c r="G29" s="6">
        <f t="shared" ref="G29:J29" si="28">G28/F28-1</f>
        <v>1.9292101962914199E-2</v>
      </c>
      <c r="H29" s="6">
        <f t="shared" si="28"/>
        <v>8.1721590941997269E-2</v>
      </c>
      <c r="I29" s="6">
        <f t="shared" si="28"/>
        <v>5.6508877987166972E-2</v>
      </c>
      <c r="J29" s="6">
        <f t="shared" si="28"/>
        <v>0.13697391484805643</v>
      </c>
      <c r="K29" s="6">
        <f t="shared" ref="K29" si="29">K28/J28-1</f>
        <v>0.11704136943536492</v>
      </c>
      <c r="L29" s="6">
        <f t="shared" ref="L29" si="30">L28/K28-1</f>
        <v>0.14400333578032964</v>
      </c>
      <c r="M29" s="6">
        <f t="shared" ref="M29" si="31">M28/L28-1</f>
        <v>8.4138870351044837E-2</v>
      </c>
      <c r="N29" s="6">
        <f t="shared" ref="N29" si="32">N28/M28-1</f>
        <v>0.10100817191035438</v>
      </c>
      <c r="O29" s="6">
        <f t="shared" ref="O29" si="33">O28/N28-1</f>
        <v>0.10553482960900862</v>
      </c>
      <c r="P29" s="6">
        <f t="shared" ref="P29" si="34">P28/O28-1</f>
        <v>6.4144072006965258E-2</v>
      </c>
    </row>
    <row r="30" spans="1:16">
      <c r="A30" s="15"/>
    </row>
    <row r="31" spans="1:16">
      <c r="A31" s="13" t="s">
        <v>25</v>
      </c>
      <c r="E31" s="7">
        <v>150887.39940220397</v>
      </c>
      <c r="F31" s="7">
        <v>94225.26183814503</v>
      </c>
      <c r="G31" s="7">
        <v>115328.11075533496</v>
      </c>
      <c r="H31" s="7">
        <v>188410.25351820001</v>
      </c>
      <c r="I31" s="7">
        <v>258344.29409067371</v>
      </c>
      <c r="J31" s="7">
        <v>346519.3892238469</v>
      </c>
      <c r="K31" s="66"/>
    </row>
    <row r="32" spans="1:16">
      <c r="A32" s="13" t="s">
        <v>26</v>
      </c>
      <c r="E32" s="7">
        <v>66350.11712075262</v>
      </c>
      <c r="F32" s="7">
        <v>83631.541317637282</v>
      </c>
      <c r="G32" s="7">
        <v>96253.78546613548</v>
      </c>
      <c r="H32" s="7">
        <v>121389.18992540397</v>
      </c>
      <c r="I32" s="7">
        <v>160472.09545172966</v>
      </c>
      <c r="J32" s="7">
        <v>194735.54192914313</v>
      </c>
      <c r="K32" s="66"/>
    </row>
    <row r="33" spans="1:16">
      <c r="A33" s="13" t="s">
        <v>27</v>
      </c>
      <c r="E33" s="7">
        <v>8.4247026720001941</v>
      </c>
      <c r="F33" s="7">
        <v>126.45217244400146</v>
      </c>
      <c r="G33" s="7">
        <v>81.142222185999117</v>
      </c>
      <c r="H33" s="7">
        <v>-217.07013178600073</v>
      </c>
      <c r="I33" s="7">
        <v>-969.29498062100038</v>
      </c>
      <c r="J33" s="7">
        <v>-866.79535821400088</v>
      </c>
      <c r="K33" s="66"/>
    </row>
    <row r="34" spans="1:16">
      <c r="A34" s="13" t="s">
        <v>10</v>
      </c>
      <c r="E34" s="7">
        <v>11802.114111999997</v>
      </c>
      <c r="F34" s="7">
        <v>10825.066458999998</v>
      </c>
      <c r="G34" s="7">
        <v>11308.655343000002</v>
      </c>
      <c r="H34" s="7">
        <v>13433.780037999999</v>
      </c>
      <c r="I34" s="7">
        <v>16029.545944893245</v>
      </c>
      <c r="J34" s="7">
        <v>20494.506576999996</v>
      </c>
      <c r="K34" s="66"/>
    </row>
    <row r="35" spans="1:16">
      <c r="A35" s="13" t="s">
        <v>11</v>
      </c>
      <c r="E35" s="7">
        <v>42473.941832222888</v>
      </c>
      <c r="F35" s="7">
        <v>40645.318843432025</v>
      </c>
      <c r="G35" s="7">
        <v>50530.386623198952</v>
      </c>
      <c r="H35" s="7">
        <v>62860.634961160999</v>
      </c>
      <c r="I35" s="7">
        <v>70526.524200815766</v>
      </c>
      <c r="J35" s="7">
        <v>81708.617099596973</v>
      </c>
      <c r="K35" s="66"/>
    </row>
    <row r="36" spans="1:16">
      <c r="A36" s="13" t="s">
        <v>28</v>
      </c>
      <c r="E36" s="7">
        <v>32545.955162999995</v>
      </c>
      <c r="F36" s="7">
        <v>32459.424488999997</v>
      </c>
      <c r="G36" s="7">
        <v>32232.903818999996</v>
      </c>
      <c r="H36" s="7">
        <v>15582.978710000003</v>
      </c>
      <c r="I36" s="7">
        <v>0</v>
      </c>
      <c r="J36" s="7">
        <v>0</v>
      </c>
      <c r="K36" s="66"/>
    </row>
    <row r="37" spans="1:16">
      <c r="A37" s="13" t="s">
        <v>13</v>
      </c>
      <c r="E37" s="7">
        <v>14226.570628999998</v>
      </c>
      <c r="F37" s="7">
        <v>15722.108097999997</v>
      </c>
      <c r="G37" s="7">
        <v>18678.996106999999</v>
      </c>
      <c r="H37" s="7">
        <v>19508.213272000001</v>
      </c>
      <c r="I37" s="7">
        <v>19725.635968000002</v>
      </c>
      <c r="J37" s="7">
        <v>16063.902975000001</v>
      </c>
      <c r="K37" s="66"/>
    </row>
    <row r="38" spans="1:16">
      <c r="A38" s="13" t="s">
        <v>14</v>
      </c>
      <c r="E38" s="7">
        <v>-17503.5229618515</v>
      </c>
      <c r="F38" s="7">
        <v>-19446.173217658317</v>
      </c>
      <c r="G38" s="7">
        <v>-14903.3572905045</v>
      </c>
      <c r="H38" s="7">
        <v>-13203.920213628138</v>
      </c>
      <c r="I38" s="7">
        <v>-5374.1776301404752</v>
      </c>
      <c r="J38" s="7">
        <v>-2504.5394010221935</v>
      </c>
      <c r="K38" s="66"/>
    </row>
    <row r="39" spans="1:16" s="27" customFormat="1">
      <c r="A39" s="32" t="s">
        <v>29</v>
      </c>
      <c r="E39" s="35"/>
      <c r="F39" s="35"/>
      <c r="G39" s="35"/>
      <c r="H39" s="35"/>
      <c r="I39" s="35"/>
      <c r="J39" s="35"/>
      <c r="K39" s="68"/>
    </row>
    <row r="40" spans="1:16" s="27" customFormat="1">
      <c r="A40" s="33" t="s">
        <v>2</v>
      </c>
      <c r="E40" s="34">
        <f>SUM(E31:E39)</f>
        <v>300791</v>
      </c>
      <c r="F40" s="34">
        <f t="shared" ref="F40:J40" si="35">SUM(F31:F39)</f>
        <v>258189</v>
      </c>
      <c r="G40" s="34">
        <f t="shared" si="35"/>
        <v>309510.62304535083</v>
      </c>
      <c r="H40" s="34">
        <f t="shared" si="35"/>
        <v>407764.06007935089</v>
      </c>
      <c r="I40" s="34">
        <f t="shared" si="35"/>
        <v>518754.62304535089</v>
      </c>
      <c r="J40" s="34">
        <f t="shared" si="35"/>
        <v>656150.62304535089</v>
      </c>
      <c r="K40" s="57">
        <f>K20+K28</f>
        <v>673328.99552698783</v>
      </c>
      <c r="L40" s="57">
        <f t="shared" ref="L40:P40" si="36">L20+L28</f>
        <v>773495.78958680807</v>
      </c>
      <c r="M40" s="57">
        <f t="shared" si="36"/>
        <v>856414.61013861443</v>
      </c>
      <c r="N40" s="57">
        <f t="shared" si="36"/>
        <v>945034.58260391396</v>
      </c>
      <c r="O40" s="57">
        <f t="shared" si="36"/>
        <v>1040340.5510987053</v>
      </c>
      <c r="P40" s="57">
        <f t="shared" si="36"/>
        <v>1111400.7111153074</v>
      </c>
    </row>
    <row r="41" spans="1:16">
      <c r="A41" s="14" t="s">
        <v>16</v>
      </c>
      <c r="F41" s="6">
        <f>F40/E40-1</f>
        <v>-0.14163322705799042</v>
      </c>
      <c r="G41" s="6">
        <f t="shared" ref="G41" si="37">G40/F40-1</f>
        <v>0.19877540501474056</v>
      </c>
      <c r="H41" s="6">
        <f t="shared" ref="H41" si="38">H40/G40-1</f>
        <v>0.31744770524274868</v>
      </c>
      <c r="I41" s="6">
        <f t="shared" ref="I41" si="39">I40/H40-1</f>
        <v>0.2721930984903409</v>
      </c>
      <c r="J41" s="6">
        <f t="shared" ref="J41" si="40">J40/I40-1</f>
        <v>0.26485739865490987</v>
      </c>
      <c r="K41" s="6">
        <f t="shared" ref="K41" si="41">K40/J40-1</f>
        <v>2.6180532149627567E-2</v>
      </c>
      <c r="L41" s="6">
        <f t="shared" ref="L41" si="42">L40/K40-1</f>
        <v>0.14876352381264035</v>
      </c>
      <c r="M41" s="6">
        <f t="shared" ref="M41" si="43">M40/L40-1</f>
        <v>0.10720009296508337</v>
      </c>
      <c r="N41" s="6">
        <f t="shared" ref="N41" si="44">N40/M40-1</f>
        <v>0.1034778849124911</v>
      </c>
      <c r="O41" s="6">
        <f t="shared" ref="O41" si="45">O40/N40-1</f>
        <v>0.10084918610299809</v>
      </c>
      <c r="P41" s="6">
        <f t="shared" ref="P41" si="46">P40/O40-1</f>
        <v>6.8304710358118248E-2</v>
      </c>
    </row>
    <row r="42" spans="1:16">
      <c r="A42" s="16" t="s">
        <v>30</v>
      </c>
      <c r="F42" s="6">
        <f>F40/F20</f>
        <v>0.31743586465000651</v>
      </c>
      <c r="G42" s="6">
        <f t="shared" ref="G42:J42" si="47">G40/G20</f>
        <v>0.35356883565650832</v>
      </c>
      <c r="H42" s="6">
        <f t="shared" si="47"/>
        <v>0.39981258734228758</v>
      </c>
      <c r="I42" s="6">
        <f t="shared" si="47"/>
        <v>0.4451037505462187</v>
      </c>
      <c r="J42" s="6">
        <f t="shared" si="47"/>
        <v>0.47155957178805885</v>
      </c>
      <c r="K42" s="6">
        <f t="shared" ref="K42:P42" si="48">K40/K20</f>
        <v>0.45048172810561327</v>
      </c>
      <c r="L42" s="6">
        <f t="shared" si="48"/>
        <v>0.45150984580029035</v>
      </c>
      <c r="M42" s="6">
        <f t="shared" si="48"/>
        <v>0.45672758409262498</v>
      </c>
      <c r="N42" s="6">
        <f t="shared" si="48"/>
        <v>0.45728359861372003</v>
      </c>
      <c r="O42" s="6">
        <f t="shared" si="48"/>
        <v>0.4562297022153271</v>
      </c>
      <c r="P42" s="6">
        <f t="shared" si="48"/>
        <v>0.45719794568486544</v>
      </c>
    </row>
    <row r="43" spans="1:16">
      <c r="A43" s="15"/>
    </row>
    <row r="44" spans="1:16">
      <c r="A44" s="13" t="s">
        <v>31</v>
      </c>
      <c r="E44" s="7">
        <v>-132963</v>
      </c>
      <c r="F44" s="7">
        <v>-148632</v>
      </c>
      <c r="G44" s="7">
        <v>-171975.87583208116</v>
      </c>
      <c r="H44" s="7">
        <v>-190584.16364708397</v>
      </c>
      <c r="I44" s="7">
        <v>-218800.66327201403</v>
      </c>
      <c r="J44" s="7">
        <v>-249622.30208690162</v>
      </c>
      <c r="K44" s="52">
        <f>'tangible_intangible schedule '!K22</f>
        <v>-282573.03204531444</v>
      </c>
      <c r="L44" s="52">
        <f>'tangible_intangible schedule '!L22</f>
        <v>-326607.6586230988</v>
      </c>
      <c r="M44" s="52">
        <f>'tangible_intangible schedule '!M22</f>
        <v>-371670.22265626153</v>
      </c>
      <c r="N44" s="52">
        <f>'tangible_intangible schedule '!N22</f>
        <v>-419522.59617798496</v>
      </c>
      <c r="O44" s="52">
        <f>'tangible_intangible schedule '!O22</f>
        <v>-470322.40260562889</v>
      </c>
      <c r="P44" s="52">
        <f>'tangible_intangible schedule '!P22</f>
        <v>-522344.92360461218</v>
      </c>
    </row>
    <row r="45" spans="1:16" s="27" customFormat="1">
      <c r="A45" s="32" t="s">
        <v>32</v>
      </c>
      <c r="E45" s="30">
        <v>-59468</v>
      </c>
      <c r="F45" s="30">
        <v>-64843</v>
      </c>
      <c r="G45" s="30">
        <v>-67768.124167918839</v>
      </c>
      <c r="H45" s="30">
        <v>-68792.986224916007</v>
      </c>
      <c r="I45" s="30">
        <v>-74954.336727985967</v>
      </c>
      <c r="J45" s="30">
        <v>-77543.697913098382</v>
      </c>
      <c r="K45" s="48" cm="1">
        <f t="array" ref="K45:P45">'tangible_intangible schedule '!K36:P36</f>
        <v>-93330.231570048243</v>
      </c>
      <c r="L45" s="48">
        <v>-93793.028825317946</v>
      </c>
      <c r="M45" s="48">
        <v>-93574.887785399435</v>
      </c>
      <c r="N45" s="48">
        <v>-92623.039625466961</v>
      </c>
      <c r="O45" s="48">
        <v>-91423.987371441603</v>
      </c>
      <c r="P45" s="48">
        <v>-90381.478848462095</v>
      </c>
    </row>
    <row r="46" spans="1:16">
      <c r="A46" s="44" t="s">
        <v>33</v>
      </c>
      <c r="E46" s="5">
        <f>SUM(E44:E45)</f>
        <v>-192431</v>
      </c>
      <c r="F46" s="5">
        <f t="shared" ref="F46:J46" si="49">SUM(F44:F45)</f>
        <v>-213475</v>
      </c>
      <c r="G46" s="5">
        <f t="shared" si="49"/>
        <v>-239744</v>
      </c>
      <c r="H46" s="5">
        <f t="shared" si="49"/>
        <v>-259377.14987199998</v>
      </c>
      <c r="I46" s="5">
        <f t="shared" si="49"/>
        <v>-293755</v>
      </c>
      <c r="J46" s="5">
        <f t="shared" si="49"/>
        <v>-327166</v>
      </c>
      <c r="K46" s="51">
        <f>SUM(K44:K45)</f>
        <v>-375903.2636153627</v>
      </c>
      <c r="L46" s="51">
        <f t="shared" ref="L46:P46" si="50">SUM(L44:L45)</f>
        <v>-420400.68744841672</v>
      </c>
      <c r="M46" s="51">
        <f t="shared" si="50"/>
        <v>-465245.11044166097</v>
      </c>
      <c r="N46" s="51">
        <f t="shared" si="50"/>
        <v>-512145.63580345194</v>
      </c>
      <c r="O46" s="51">
        <f t="shared" si="50"/>
        <v>-561746.3899770705</v>
      </c>
      <c r="P46" s="51">
        <f t="shared" si="50"/>
        <v>-612726.40245307423</v>
      </c>
    </row>
    <row r="47" spans="1:16">
      <c r="A47" s="36"/>
    </row>
    <row r="48" spans="1:16" s="27" customFormat="1">
      <c r="A48" s="33" t="s">
        <v>3</v>
      </c>
      <c r="E48" s="34">
        <f>E40+E46</f>
        <v>108360</v>
      </c>
      <c r="F48" s="34">
        <f t="shared" ref="F48:P48" si="51">F40+F46</f>
        <v>44714</v>
      </c>
      <c r="G48" s="34">
        <f t="shared" si="51"/>
        <v>69766.623045350832</v>
      </c>
      <c r="H48" s="34">
        <f t="shared" si="51"/>
        <v>148386.91020735091</v>
      </c>
      <c r="I48" s="34">
        <f t="shared" si="51"/>
        <v>224999.62304535089</v>
      </c>
      <c r="J48" s="34">
        <f t="shared" si="51"/>
        <v>328984.62304535089</v>
      </c>
      <c r="K48" s="34">
        <f t="shared" si="51"/>
        <v>297425.73191162513</v>
      </c>
      <c r="L48" s="34">
        <f t="shared" si="51"/>
        <v>353095.10213839135</v>
      </c>
      <c r="M48" s="34">
        <f t="shared" si="51"/>
        <v>391169.49969695345</v>
      </c>
      <c r="N48" s="34">
        <f t="shared" si="51"/>
        <v>432888.94680046203</v>
      </c>
      <c r="O48" s="34">
        <f t="shared" si="51"/>
        <v>478594.16112163477</v>
      </c>
      <c r="P48" s="34">
        <f t="shared" si="51"/>
        <v>498674.30866223318</v>
      </c>
    </row>
    <row r="49" spans="1:16">
      <c r="A49" s="14" t="s">
        <v>16</v>
      </c>
      <c r="F49" s="6">
        <f>F48/E48-1</f>
        <v>-0.58735695828719092</v>
      </c>
      <c r="G49" s="6">
        <f t="shared" ref="G49" si="52">G48/F48-1</f>
        <v>0.5602858846301122</v>
      </c>
      <c r="H49" s="6">
        <f t="shared" ref="H49" si="53">H48/G48-1</f>
        <v>1.1269040083951611</v>
      </c>
      <c r="I49" s="6">
        <f t="shared" ref="I49" si="54">I48/H48-1</f>
        <v>0.51630371392560126</v>
      </c>
      <c r="J49" s="6">
        <f t="shared" ref="J49" si="55">J48/I48-1</f>
        <v>0.46215632983100963</v>
      </c>
      <c r="K49" s="6">
        <f t="shared" ref="K49" si="56">K48/J48-1</f>
        <v>-9.5928164792599802E-2</v>
      </c>
      <c r="L49" s="6">
        <f t="shared" ref="L49" si="57">L48/K48-1</f>
        <v>0.18717065893716089</v>
      </c>
      <c r="M49" s="6">
        <f t="shared" ref="M49" si="58">M48/L48-1</f>
        <v>0.10783043244717483</v>
      </c>
      <c r="N49" s="6">
        <f t="shared" ref="N49" si="59">N48/M48-1</f>
        <v>0.106653118752432</v>
      </c>
      <c r="O49" s="6">
        <f t="shared" ref="O49" si="60">O48/N48-1</f>
        <v>0.10558184647352609</v>
      </c>
      <c r="P49" s="6">
        <f t="shared" ref="P49" si="61">P48/O48-1</f>
        <v>4.1956524278395912E-2</v>
      </c>
    </row>
    <row r="50" spans="1:16">
      <c r="A50" s="17" t="s">
        <v>34</v>
      </c>
      <c r="F50" s="6">
        <f>F48/F20</f>
        <v>5.4974562246882679E-2</v>
      </c>
      <c r="G50" s="6">
        <f t="shared" ref="G50:J50" si="62">G48/G20</f>
        <v>7.9697761049761631E-2</v>
      </c>
      <c r="H50" s="6">
        <f t="shared" si="62"/>
        <v>0.14549333868753328</v>
      </c>
      <c r="I50" s="6">
        <f t="shared" si="62"/>
        <v>0.19305500450492544</v>
      </c>
      <c r="J50" s="6">
        <f t="shared" si="62"/>
        <v>0.23643328607705849</v>
      </c>
      <c r="K50" s="6">
        <f t="shared" ref="K50:P50" si="63">K48/K20</f>
        <v>0.19898869435997052</v>
      </c>
      <c r="L50" s="6">
        <f t="shared" si="63"/>
        <v>0.20611090230304449</v>
      </c>
      <c r="M50" s="6">
        <f t="shared" si="63"/>
        <v>0.20861145810951753</v>
      </c>
      <c r="N50" s="6">
        <f t="shared" si="63"/>
        <v>0.20946642486625824</v>
      </c>
      <c r="O50" s="6">
        <f t="shared" si="63"/>
        <v>0.20988211156425571</v>
      </c>
      <c r="P50" s="6">
        <f t="shared" si="63"/>
        <v>0.20514011481727343</v>
      </c>
    </row>
    <row r="51" spans="1:16">
      <c r="A51" s="18"/>
    </row>
    <row r="52" spans="1:16">
      <c r="A52" s="19" t="s">
        <v>35</v>
      </c>
      <c r="E52" s="7">
        <v>14988</v>
      </c>
      <c r="F52" s="7">
        <v>20175</v>
      </c>
      <c r="G52" s="7">
        <v>16291</v>
      </c>
      <c r="H52" s="7">
        <v>7625.3</v>
      </c>
      <c r="I52" s="7">
        <v>5343</v>
      </c>
      <c r="J52" s="7">
        <v>9366</v>
      </c>
      <c r="K52" s="66"/>
    </row>
    <row r="53" spans="1:16" s="27" customFormat="1">
      <c r="A53" s="37" t="s">
        <v>36</v>
      </c>
      <c r="E53" s="30">
        <v>-90956.163567914715</v>
      </c>
      <c r="F53" s="30">
        <v>-111603.18308840501</v>
      </c>
      <c r="G53" s="30">
        <v>-109513.890429885</v>
      </c>
      <c r="H53" s="30">
        <v>-123981</v>
      </c>
      <c r="I53" s="30">
        <v>-137141.125956548</v>
      </c>
      <c r="J53" s="30">
        <v>-148609.38097799901</v>
      </c>
      <c r="K53" s="57">
        <f>'debt schedule'!K15</f>
        <v>-134706.64042258883</v>
      </c>
      <c r="L53" s="57">
        <f>'debt schedule'!L15</f>
        <v>-120803.89986717865</v>
      </c>
      <c r="M53" s="57">
        <f>'debt schedule'!M15</f>
        <v>-106901.1593117685</v>
      </c>
      <c r="N53" s="57">
        <f>'debt schedule'!N15</f>
        <v>-92998.418756358325</v>
      </c>
      <c r="O53" s="57">
        <f>'debt schedule'!O15</f>
        <v>-79095.678200948139</v>
      </c>
      <c r="P53" s="57">
        <f>'debt schedule'!P15</f>
        <v>-65192.937645537975</v>
      </c>
    </row>
    <row r="54" spans="1:16">
      <c r="A54" s="20" t="s">
        <v>37</v>
      </c>
      <c r="E54" s="5">
        <f>E52+E53</f>
        <v>-75968.163567914715</v>
      </c>
      <c r="F54" s="5">
        <f t="shared" ref="F54:P54" si="64">F52+F53</f>
        <v>-91428.183088405014</v>
      </c>
      <c r="G54" s="5">
        <f t="shared" si="64"/>
        <v>-93222.890429884996</v>
      </c>
      <c r="H54" s="5">
        <f t="shared" si="64"/>
        <v>-116355.7</v>
      </c>
      <c r="I54" s="5">
        <f t="shared" si="64"/>
        <v>-131798.125956548</v>
      </c>
      <c r="J54" s="5">
        <f t="shared" si="64"/>
        <v>-139243.38097799901</v>
      </c>
      <c r="K54" s="5">
        <f t="shared" si="64"/>
        <v>-134706.64042258883</v>
      </c>
      <c r="L54" s="5">
        <f t="shared" si="64"/>
        <v>-120803.89986717865</v>
      </c>
      <c r="M54" s="5">
        <f t="shared" si="64"/>
        <v>-106901.1593117685</v>
      </c>
      <c r="N54" s="5">
        <f t="shared" si="64"/>
        <v>-92998.418756358325</v>
      </c>
      <c r="O54" s="5">
        <f t="shared" si="64"/>
        <v>-79095.678200948139</v>
      </c>
      <c r="P54" s="5">
        <f t="shared" si="64"/>
        <v>-65192.937645537975</v>
      </c>
    </row>
    <row r="55" spans="1:16">
      <c r="A55" s="20"/>
      <c r="E55" s="5"/>
      <c r="F55" s="5"/>
      <c r="G55" s="5"/>
      <c r="H55" s="5"/>
      <c r="I55" s="5"/>
      <c r="J55" s="5"/>
      <c r="K55" s="51"/>
    </row>
    <row r="56" spans="1:16">
      <c r="A56" s="20" t="s">
        <v>38</v>
      </c>
      <c r="E56" s="7">
        <v>-4746.8364320852788</v>
      </c>
      <c r="F56" s="7">
        <v>-4465.8169115949941</v>
      </c>
      <c r="G56" s="7">
        <v>-10701.109570115001</v>
      </c>
      <c r="H56" s="7">
        <v>-6614</v>
      </c>
      <c r="I56" s="7">
        <v>-9124.8740434520023</v>
      </c>
      <c r="J56" s="7">
        <v>-24493.619022000996</v>
      </c>
      <c r="K56" s="66"/>
    </row>
    <row r="57" spans="1:16">
      <c r="A57" s="20" t="s">
        <v>39</v>
      </c>
      <c r="E57" s="7">
        <v>10609</v>
      </c>
      <c r="F57" s="7">
        <v>3556</v>
      </c>
      <c r="G57" s="7">
        <v>6524</v>
      </c>
      <c r="H57" s="7">
        <v>4311</v>
      </c>
      <c r="I57" s="7">
        <v>24232</v>
      </c>
      <c r="J57" s="7">
        <v>7521</v>
      </c>
      <c r="K57" s="66"/>
    </row>
    <row r="58" spans="1:16">
      <c r="A58" s="20" t="s">
        <v>40</v>
      </c>
      <c r="E58" s="7">
        <v>2347</v>
      </c>
      <c r="F58" s="7">
        <v>1018</v>
      </c>
      <c r="G58" s="7">
        <v>1976</v>
      </c>
      <c r="H58" s="7">
        <v>0</v>
      </c>
      <c r="I58" s="7">
        <v>0</v>
      </c>
      <c r="J58" s="7">
        <v>0</v>
      </c>
      <c r="K58" s="66"/>
    </row>
    <row r="59" spans="1:16" s="27" customFormat="1">
      <c r="A59" s="39" t="s">
        <v>41</v>
      </c>
      <c r="E59" s="34">
        <f t="shared" ref="E59:P59" si="65">SUM(E54:E58)</f>
        <v>-67759</v>
      </c>
      <c r="F59" s="34">
        <f t="shared" si="65"/>
        <v>-91320.000000000015</v>
      </c>
      <c r="G59" s="34">
        <f t="shared" si="65"/>
        <v>-95424</v>
      </c>
      <c r="H59" s="34">
        <f t="shared" si="65"/>
        <v>-118658.7</v>
      </c>
      <c r="I59" s="34">
        <f t="shared" si="65"/>
        <v>-116691</v>
      </c>
      <c r="J59" s="34">
        <f t="shared" si="65"/>
        <v>-156216</v>
      </c>
      <c r="K59" s="34">
        <f t="shared" si="65"/>
        <v>-134706.64042258883</v>
      </c>
      <c r="L59" s="34">
        <f t="shared" si="65"/>
        <v>-120803.89986717865</v>
      </c>
      <c r="M59" s="34">
        <f t="shared" si="65"/>
        <v>-106901.1593117685</v>
      </c>
      <c r="N59" s="34">
        <f t="shared" si="65"/>
        <v>-92998.418756358325</v>
      </c>
      <c r="O59" s="34">
        <f t="shared" si="65"/>
        <v>-79095.678200948139</v>
      </c>
      <c r="P59" s="34">
        <f t="shared" si="65"/>
        <v>-65192.937645537975</v>
      </c>
    </row>
    <row r="60" spans="1:16">
      <c r="A60" s="38" t="s">
        <v>42</v>
      </c>
      <c r="E60" s="5">
        <f>E48+E59</f>
        <v>40601</v>
      </c>
      <c r="F60" s="5">
        <f t="shared" ref="F60:P60" si="66">F48+F59</f>
        <v>-46606.000000000015</v>
      </c>
      <c r="G60" s="5">
        <f t="shared" si="66"/>
        <v>-25657.376954649168</v>
      </c>
      <c r="H60" s="5">
        <f t="shared" si="66"/>
        <v>29728.210207350916</v>
      </c>
      <c r="I60" s="5">
        <f t="shared" si="66"/>
        <v>108308.62304535089</v>
      </c>
      <c r="J60" s="5">
        <f t="shared" si="66"/>
        <v>172768.62304535089</v>
      </c>
      <c r="K60" s="5">
        <f t="shared" si="66"/>
        <v>162719.09148903631</v>
      </c>
      <c r="L60" s="5">
        <f t="shared" si="66"/>
        <v>232291.20227121271</v>
      </c>
      <c r="M60" s="5">
        <f t="shared" si="66"/>
        <v>284268.34038518497</v>
      </c>
      <c r="N60" s="5">
        <f t="shared" si="66"/>
        <v>339890.5280441037</v>
      </c>
      <c r="O60" s="5">
        <f t="shared" si="66"/>
        <v>399498.4829206866</v>
      </c>
      <c r="P60" s="5">
        <f t="shared" si="66"/>
        <v>433481.37101669522</v>
      </c>
    </row>
    <row r="61" spans="1:16">
      <c r="A61" s="14" t="s">
        <v>16</v>
      </c>
      <c r="F61" s="6">
        <f>F60/E60-1</f>
        <v>-2.1479027610157386</v>
      </c>
      <c r="G61" s="6">
        <f t="shared" ref="G61" si="67">G60/F60-1</f>
        <v>-0.44948339366928813</v>
      </c>
      <c r="H61" s="6">
        <f t="shared" ref="H61" si="68">H60/G60-1</f>
        <v>-2.1586613183373018</v>
      </c>
      <c r="I61" s="6">
        <f t="shared" ref="I61" si="69">I60/H60-1</f>
        <v>2.6432944428847365</v>
      </c>
      <c r="J61" s="6">
        <f t="shared" ref="J61" si="70">J60/I60-1</f>
        <v>0.59515113559341781</v>
      </c>
      <c r="K61" s="6">
        <f t="shared" ref="K61" si="71">K60/J60-1</f>
        <v>-5.8167573365891956E-2</v>
      </c>
      <c r="L61" s="6">
        <f t="shared" ref="L61" si="72">L60/K60-1</f>
        <v>0.42755960683853766</v>
      </c>
      <c r="M61" s="6">
        <f t="shared" ref="M61" si="73">M60/L60-1</f>
        <v>0.22375853069668183</v>
      </c>
      <c r="N61" s="6">
        <f t="shared" ref="N61" si="74">N60/M60-1</f>
        <v>0.19566789457999567</v>
      </c>
      <c r="O61" s="6">
        <f t="shared" ref="O61" si="75">O60/N60-1</f>
        <v>0.17537398061545351</v>
      </c>
      <c r="P61" s="6">
        <f t="shared" ref="P61" si="76">P60/O60-1</f>
        <v>8.5063872702503707E-2</v>
      </c>
    </row>
    <row r="62" spans="1:16">
      <c r="A62" s="18"/>
    </row>
    <row r="63" spans="1:16">
      <c r="A63" s="13" t="s">
        <v>43</v>
      </c>
      <c r="E63" s="7">
        <v>-16515</v>
      </c>
      <c r="F63" s="7">
        <v>25021</v>
      </c>
      <c r="G63" s="7">
        <v>7601</v>
      </c>
      <c r="H63" s="7">
        <v>-18359</v>
      </c>
      <c r="I63" s="7">
        <v>-40745.950690935999</v>
      </c>
      <c r="J63" s="7">
        <v>-57558.022821751991</v>
      </c>
      <c r="K63" s="52">
        <f>'Cost Drivers'!J40</f>
        <v>-54210.012306472046</v>
      </c>
      <c r="L63" s="52">
        <f>'Cost Drivers'!K40</f>
        <v>-77388.023854939529</v>
      </c>
      <c r="M63" s="52">
        <f>'Cost Drivers'!L40</f>
        <v>-94704.254366240551</v>
      </c>
      <c r="N63" s="52">
        <f>'Cost Drivers'!M40</f>
        <v>-113234.83642585122</v>
      </c>
      <c r="O63" s="52">
        <f>'Cost Drivers'!N40</f>
        <v>-133093.28043419248</v>
      </c>
      <c r="P63" s="52">
        <f>'Cost Drivers'!O40</f>
        <v>-144414.71029860526</v>
      </c>
    </row>
    <row r="64" spans="1:16">
      <c r="A64" s="11" t="s">
        <v>44</v>
      </c>
      <c r="E64" s="7">
        <v>-10880</v>
      </c>
      <c r="F64" s="7">
        <v>-11159</v>
      </c>
      <c r="G64" s="7">
        <v>-22225</v>
      </c>
      <c r="H64" s="7">
        <v>-24325.076561000002</v>
      </c>
      <c r="I64" s="7">
        <v>-31821.907879215993</v>
      </c>
      <c r="J64" s="7">
        <v>-33191.892215899999</v>
      </c>
      <c r="K64" s="66"/>
    </row>
    <row r="65" spans="1:16" s="27" customFormat="1">
      <c r="A65" s="32" t="s">
        <v>45</v>
      </c>
      <c r="E65" s="30">
        <v>-2216</v>
      </c>
      <c r="F65" s="30">
        <v>36839</v>
      </c>
      <c r="G65" s="30">
        <v>-281087</v>
      </c>
      <c r="H65" s="30">
        <v>-136963</v>
      </c>
      <c r="I65" s="30">
        <v>6488</v>
      </c>
      <c r="J65" s="30">
        <v>78</v>
      </c>
      <c r="K65" s="67"/>
    </row>
    <row r="66" spans="1:16">
      <c r="A66" s="38" t="s">
        <v>46</v>
      </c>
      <c r="E66" s="5">
        <f>E60+E63+E64+E65</f>
        <v>10990</v>
      </c>
      <c r="F66" s="5">
        <f t="shared" ref="F66:J66" si="77">F60+F63+F64+F65</f>
        <v>4094.9999999999854</v>
      </c>
      <c r="G66" s="5">
        <f t="shared" si="77"/>
        <v>-321368.37695464917</v>
      </c>
      <c r="H66" s="5">
        <f t="shared" si="77"/>
        <v>-149918.86635364909</v>
      </c>
      <c r="I66" s="5">
        <f t="shared" si="77"/>
        <v>42228.764475198892</v>
      </c>
      <c r="J66" s="5">
        <f t="shared" si="77"/>
        <v>82096.708007698908</v>
      </c>
      <c r="K66" s="5">
        <f t="shared" ref="K66:P66" si="78">K60+K63+K64+K65</f>
        <v>108509.07918256425</v>
      </c>
      <c r="L66" s="5">
        <f t="shared" si="78"/>
        <v>154903.17841627318</v>
      </c>
      <c r="M66" s="5">
        <f t="shared" si="78"/>
        <v>189564.08601894442</v>
      </c>
      <c r="N66" s="5">
        <f t="shared" si="78"/>
        <v>226655.69161825249</v>
      </c>
      <c r="O66" s="5">
        <f t="shared" si="78"/>
        <v>266405.20248649409</v>
      </c>
      <c r="P66" s="5">
        <f t="shared" si="78"/>
        <v>289066.66071808996</v>
      </c>
    </row>
    <row r="67" spans="1:16">
      <c r="A67" s="12" t="s">
        <v>16</v>
      </c>
      <c r="F67" s="6">
        <f>F66/E66-1</f>
        <v>-0.62738853503184844</v>
      </c>
      <c r="G67" s="6">
        <f t="shared" ref="G67" si="79">G66/F66-1</f>
        <v>-79.47823613056174</v>
      </c>
      <c r="H67" s="6">
        <f t="shared" ref="H67" si="80">H66/G66-1</f>
        <v>-0.53349838657334558</v>
      </c>
      <c r="I67" s="6">
        <f t="shared" ref="I67" si="81">I66/H66-1</f>
        <v>-1.2816774532938631</v>
      </c>
      <c r="J67" s="6">
        <f t="shared" ref="J67" si="82">J66/I66-1</f>
        <v>0.94409448223176429</v>
      </c>
      <c r="K67" s="6">
        <f t="shared" ref="K67" si="83">K66/J66-1</f>
        <v>0.32172265875007344</v>
      </c>
      <c r="L67" s="6">
        <f t="shared" ref="L67" si="84">L66/K66-1</f>
        <v>0.42755960683853766</v>
      </c>
      <c r="M67" s="6">
        <f t="shared" ref="M67" si="85">M66/L66-1</f>
        <v>0.22375853069668183</v>
      </c>
      <c r="N67" s="6">
        <f t="shared" ref="N67" si="86">N66/M66-1</f>
        <v>0.19566789457999567</v>
      </c>
      <c r="O67" s="6">
        <f t="shared" ref="O67" si="87">O66/N66-1</f>
        <v>0.17537398061545351</v>
      </c>
      <c r="P67" s="6">
        <f t="shared" ref="P67" si="88">P66/O66-1</f>
        <v>8.5063872702503707E-2</v>
      </c>
    </row>
    <row r="68" spans="1:16">
      <c r="A68" s="21" t="s">
        <v>47</v>
      </c>
    </row>
    <row r="69" spans="1:16" s="27" customFormat="1">
      <c r="A69" s="40" t="s">
        <v>48</v>
      </c>
      <c r="E69" s="34">
        <f>+E66-(E56)*(1-35%)-E65</f>
        <v>16291.443680855431</v>
      </c>
      <c r="F69" s="34">
        <f t="shared" ref="F69:I69" si="89">+F66-(F56)*(1-35%)-F65</f>
        <v>-29841.219007463267</v>
      </c>
      <c r="G69" s="34">
        <f t="shared" si="89"/>
        <v>-33325.655734074418</v>
      </c>
      <c r="H69" s="34">
        <f t="shared" si="89"/>
        <v>-8656.7663536490873</v>
      </c>
      <c r="I69" s="34">
        <f t="shared" si="89"/>
        <v>41671.932603442692</v>
      </c>
      <c r="J69" s="34">
        <f>+J66-(J56)*(1-35%)-J65</f>
        <v>97939.560371999556</v>
      </c>
      <c r="K69" s="34">
        <f t="shared" ref="K69:P69" si="90">+K66-(K56)*(1-35%)-K65</f>
        <v>108509.07918256425</v>
      </c>
      <c r="L69" s="34">
        <f t="shared" si="90"/>
        <v>154903.17841627318</v>
      </c>
      <c r="M69" s="34">
        <f t="shared" si="90"/>
        <v>189564.08601894442</v>
      </c>
      <c r="N69" s="34">
        <f t="shared" si="90"/>
        <v>226655.69161825249</v>
      </c>
      <c r="O69" s="34">
        <f t="shared" si="90"/>
        <v>266405.20248649409</v>
      </c>
      <c r="P69" s="34">
        <f t="shared" si="90"/>
        <v>289066.66071808996</v>
      </c>
    </row>
    <row r="70" spans="1:16">
      <c r="A70" s="22" t="s">
        <v>16</v>
      </c>
    </row>
    <row r="71" spans="1:16">
      <c r="A71" s="23"/>
    </row>
    <row r="72" spans="1:16">
      <c r="A72" s="24" t="s">
        <v>50</v>
      </c>
      <c r="E72" s="9">
        <f>E66/E73</f>
        <v>2.4768199658592809</v>
      </c>
      <c r="F72" s="9">
        <f t="shared" ref="F72:P72" si="91">F66/F73</f>
        <v>0.92295965120947276</v>
      </c>
      <c r="G72" s="9">
        <f t="shared" si="91"/>
        <v>-62.149950292673402</v>
      </c>
      <c r="H72" s="9">
        <f t="shared" si="91"/>
        <v>-26.886520255872693</v>
      </c>
      <c r="I72" s="9">
        <f t="shared" si="91"/>
        <v>7.357329679585952</v>
      </c>
      <c r="J72" s="9">
        <f t="shared" si="91"/>
        <v>13.853953446886401</v>
      </c>
      <c r="K72" s="9">
        <f t="shared" si="91"/>
        <v>19.016663018325314</v>
      </c>
      <c r="L72" s="9">
        <f t="shared" si="91"/>
        <v>27.147419981821447</v>
      </c>
      <c r="M72" s="9">
        <f t="shared" si="91"/>
        <v>33.221886789159555</v>
      </c>
      <c r="N72" s="9">
        <f t="shared" si="91"/>
        <v>39.722343431169378</v>
      </c>
      <c r="O72" s="9">
        <f t="shared" si="91"/>
        <v>46.688608918067665</v>
      </c>
      <c r="P72" s="9">
        <f t="shared" si="91"/>
        <v>50.660122803731156</v>
      </c>
    </row>
    <row r="73" spans="1:16">
      <c r="A73" s="25" t="s">
        <v>49</v>
      </c>
      <c r="E73" s="5">
        <v>4437.1412341176156</v>
      </c>
      <c r="F73" s="5">
        <v>4436.8136728770105</v>
      </c>
      <c r="G73" s="5">
        <v>5170.8549313600006</v>
      </c>
      <c r="H73" s="5">
        <v>5575.9862163979005</v>
      </c>
      <c r="I73" s="5">
        <v>5739.6863147738404</v>
      </c>
      <c r="J73" s="5">
        <v>5925.8686209999996</v>
      </c>
      <c r="K73" s="69">
        <v>5706</v>
      </c>
      <c r="L73" s="69">
        <v>5706</v>
      </c>
      <c r="M73" s="69">
        <v>5706</v>
      </c>
      <c r="N73" s="69">
        <v>5706</v>
      </c>
      <c r="O73" s="69">
        <v>5706</v>
      </c>
      <c r="P73" s="69">
        <v>5706</v>
      </c>
    </row>
  </sheetData>
  <dataValidations disablePrompts="1" count="1">
    <dataValidation allowBlank="1" sqref="E59:P59 E69:P69" xr:uid="{4F7181F3-CC80-4453-A969-F5EAF83B7A3F}"/>
  </dataValidations>
  <pageMargins left="0.7" right="0.7" top="0.75" bottom="0.75" header="0.3" footer="0.3"/>
  <ignoredErrors>
    <ignoredError sqref="E8:J8 E17:J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7765-CD39-4A07-87DD-032D481F834B}">
  <dimension ref="A1:P66"/>
  <sheetViews>
    <sheetView showGridLines="0" zoomScaleNormal="100" workbookViewId="0">
      <pane xSplit="4" ySplit="6" topLeftCell="E37" activePane="bottomRight" state="frozen"/>
      <selection pane="topRight" activeCell="E1" sqref="E1"/>
      <selection pane="bottomLeft" activeCell="A7" sqref="A7"/>
      <selection pane="bottomRight" activeCell="K9" sqref="K9"/>
    </sheetView>
  </sheetViews>
  <sheetFormatPr defaultRowHeight="14.25"/>
  <cols>
    <col min="1" max="1" width="18" style="47" customWidth="1"/>
    <col min="4" max="4" width="14.3984375" customWidth="1"/>
    <col min="5" max="5" width="12.265625" style="1" customWidth="1"/>
    <col min="6" max="9" width="10.86328125" style="1" customWidth="1"/>
    <col min="10" max="11" width="12.59765625" style="1" bestFit="1" customWidth="1"/>
    <col min="12" max="16" width="10.3984375" style="54" bestFit="1" customWidth="1"/>
  </cols>
  <sheetData>
    <row r="1" spans="1:16" ht="36" customHeight="1">
      <c r="A1" s="47" t="s">
        <v>5</v>
      </c>
    </row>
    <row r="2" spans="1:16">
      <c r="A2" s="47" t="s">
        <v>4</v>
      </c>
    </row>
    <row r="3" spans="1:16">
      <c r="A3" s="47" t="s">
        <v>122</v>
      </c>
    </row>
    <row r="5" spans="1:16">
      <c r="A5" s="47" t="s">
        <v>0</v>
      </c>
      <c r="E5" s="2">
        <v>43190</v>
      </c>
      <c r="F5" s="2">
        <f>EDATE(E5,12)</f>
        <v>43555</v>
      </c>
      <c r="G5" s="2">
        <f t="shared" ref="G5:P5" si="0">EDATE(F5,12)</f>
        <v>43921</v>
      </c>
      <c r="H5" s="2">
        <f t="shared" si="0"/>
        <v>44286</v>
      </c>
      <c r="I5" s="2">
        <f t="shared" si="0"/>
        <v>44651</v>
      </c>
      <c r="J5" s="2">
        <f t="shared" si="0"/>
        <v>45016</v>
      </c>
      <c r="K5" s="2">
        <f t="shared" si="0"/>
        <v>45382</v>
      </c>
      <c r="L5" s="2">
        <f t="shared" si="0"/>
        <v>45747</v>
      </c>
      <c r="M5" s="2">
        <f t="shared" si="0"/>
        <v>46112</v>
      </c>
      <c r="N5" s="2">
        <f t="shared" si="0"/>
        <v>46477</v>
      </c>
      <c r="O5" s="2">
        <f t="shared" si="0"/>
        <v>46843</v>
      </c>
      <c r="P5" s="2">
        <f t="shared" si="0"/>
        <v>47208</v>
      </c>
    </row>
    <row r="6" spans="1:16">
      <c r="A6" s="47" t="s">
        <v>1</v>
      </c>
      <c r="E6" s="3">
        <f>YEAR(E5)</f>
        <v>2018</v>
      </c>
      <c r="F6" s="3">
        <f t="shared" ref="F6:O6" si="1">YEAR(F5)</f>
        <v>2019</v>
      </c>
      <c r="G6" s="3">
        <f t="shared" si="1"/>
        <v>2020</v>
      </c>
      <c r="H6" s="3">
        <f t="shared" si="1"/>
        <v>2021</v>
      </c>
      <c r="I6" s="3">
        <f t="shared" si="1"/>
        <v>2022</v>
      </c>
      <c r="J6" s="3">
        <f t="shared" si="1"/>
        <v>2023</v>
      </c>
      <c r="K6" s="3">
        <f t="shared" si="1"/>
        <v>2024</v>
      </c>
      <c r="L6" s="4">
        <f t="shared" si="1"/>
        <v>2025</v>
      </c>
      <c r="M6" s="4">
        <f t="shared" si="1"/>
        <v>2026</v>
      </c>
      <c r="N6" s="4">
        <f t="shared" si="1"/>
        <v>2027</v>
      </c>
      <c r="O6" s="4">
        <f t="shared" si="1"/>
        <v>2028</v>
      </c>
      <c r="P6" s="4">
        <f t="shared" ref="P6" si="2">YEAR(P5)</f>
        <v>2029</v>
      </c>
    </row>
    <row r="8" spans="1:16">
      <c r="A8" s="47" t="s">
        <v>51</v>
      </c>
      <c r="E8" s="7">
        <v>47886</v>
      </c>
      <c r="F8" s="7">
        <v>62121</v>
      </c>
      <c r="G8" s="7">
        <v>135507</v>
      </c>
      <c r="H8" s="7">
        <v>80859</v>
      </c>
      <c r="I8" s="7">
        <v>60959</v>
      </c>
      <c r="J8" s="7">
        <v>71794.185427429999</v>
      </c>
      <c r="K8" s="8"/>
      <c r="L8" s="8"/>
      <c r="M8" s="8"/>
      <c r="N8" s="8"/>
      <c r="O8" s="8"/>
      <c r="P8" s="8"/>
    </row>
    <row r="9" spans="1:16">
      <c r="A9" s="63" t="s">
        <v>52</v>
      </c>
      <c r="E9" s="7">
        <v>58830</v>
      </c>
      <c r="F9" s="7">
        <v>43006</v>
      </c>
      <c r="G9" s="7">
        <v>46058</v>
      </c>
      <c r="H9" s="7">
        <v>36377</v>
      </c>
      <c r="I9" s="7">
        <v>40562</v>
      </c>
      <c r="J9" s="7">
        <v>39815</v>
      </c>
      <c r="K9" s="5">
        <f>(K64/365)*IS!F20</f>
        <v>22464.41326086206</v>
      </c>
      <c r="L9" s="5">
        <f>(L64/365)*IS!G20</f>
        <v>24177.696321209158</v>
      </c>
      <c r="M9" s="5">
        <f>(M64/365)*IS!H20</f>
        <v>28168.636088652325</v>
      </c>
      <c r="N9" s="5">
        <f>(N64/365)*IS!I20</f>
        <v>32189.487604134512</v>
      </c>
      <c r="O9" s="5">
        <f>(O64/365)*IS!J20</f>
        <v>38430.879026209848</v>
      </c>
      <c r="P9" s="5">
        <f>(P64/365)*IS!K20</f>
        <v>41282.260859223847</v>
      </c>
    </row>
    <row r="10" spans="1:16">
      <c r="A10" s="63" t="s">
        <v>53</v>
      </c>
      <c r="E10" s="7">
        <v>693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5"/>
      <c r="L10" s="5"/>
      <c r="M10" s="5"/>
      <c r="N10" s="5"/>
      <c r="O10" s="5"/>
      <c r="P10" s="5"/>
    </row>
    <row r="11" spans="1:16">
      <c r="A11" s="47" t="s">
        <v>54</v>
      </c>
      <c r="E11" s="8">
        <f>SUM(E12:E16)</f>
        <v>227581</v>
      </c>
      <c r="F11" s="8">
        <f t="shared" ref="F11:J11" si="3">SUM(F12:F16)</f>
        <v>223930</v>
      </c>
      <c r="G11" s="8">
        <f t="shared" si="3"/>
        <v>584867</v>
      </c>
      <c r="H11" s="8">
        <f t="shared" si="3"/>
        <v>430293</v>
      </c>
      <c r="I11" s="8">
        <f t="shared" si="3"/>
        <v>418758</v>
      </c>
      <c r="J11" s="8">
        <f t="shared" si="3"/>
        <v>463404</v>
      </c>
      <c r="K11" s="8">
        <f>J11</f>
        <v>463404</v>
      </c>
      <c r="L11" s="8">
        <f t="shared" ref="L11:P11" si="4">K11</f>
        <v>463404</v>
      </c>
      <c r="M11" s="8">
        <f t="shared" si="4"/>
        <v>463404</v>
      </c>
      <c r="N11" s="8">
        <f t="shared" si="4"/>
        <v>463404</v>
      </c>
      <c r="O11" s="8">
        <f t="shared" si="4"/>
        <v>463404</v>
      </c>
      <c r="P11" s="8">
        <f t="shared" si="4"/>
        <v>463404</v>
      </c>
    </row>
    <row r="12" spans="1:16">
      <c r="A12" s="47" t="s">
        <v>55</v>
      </c>
      <c r="E12" s="7">
        <v>68978</v>
      </c>
      <c r="F12" s="7">
        <v>46232</v>
      </c>
      <c r="G12" s="7">
        <v>137679</v>
      </c>
      <c r="H12" s="7">
        <v>40781</v>
      </c>
      <c r="I12" s="7">
        <v>8614</v>
      </c>
      <c r="J12" s="7">
        <v>47045</v>
      </c>
      <c r="K12" s="8">
        <f t="shared" ref="K12:P16" si="5">J12</f>
        <v>47045</v>
      </c>
      <c r="L12" s="8">
        <f t="shared" si="5"/>
        <v>47045</v>
      </c>
      <c r="M12" s="8">
        <f t="shared" si="5"/>
        <v>47045</v>
      </c>
      <c r="N12" s="8">
        <f t="shared" si="5"/>
        <v>47045</v>
      </c>
      <c r="O12" s="8">
        <f t="shared" si="5"/>
        <v>47045</v>
      </c>
      <c r="P12" s="8">
        <f t="shared" si="5"/>
        <v>47045</v>
      </c>
    </row>
    <row r="13" spans="1:16">
      <c r="A13" s="47" t="s">
        <v>56</v>
      </c>
      <c r="E13" s="7">
        <v>9275</v>
      </c>
      <c r="F13" s="7">
        <v>8201</v>
      </c>
      <c r="G13" s="7">
        <v>9635</v>
      </c>
      <c r="H13" s="7">
        <v>9088</v>
      </c>
      <c r="I13" s="7">
        <v>10487</v>
      </c>
      <c r="J13" s="7">
        <v>11758</v>
      </c>
      <c r="K13" s="8">
        <f t="shared" si="5"/>
        <v>11758</v>
      </c>
      <c r="L13" s="8">
        <f t="shared" si="5"/>
        <v>11758</v>
      </c>
      <c r="M13" s="8">
        <f t="shared" si="5"/>
        <v>11758</v>
      </c>
      <c r="N13" s="8">
        <f t="shared" si="5"/>
        <v>11758</v>
      </c>
      <c r="O13" s="8">
        <f t="shared" si="5"/>
        <v>11758</v>
      </c>
      <c r="P13" s="8">
        <f t="shared" si="5"/>
        <v>11758</v>
      </c>
    </row>
    <row r="14" spans="1:16">
      <c r="A14" s="47" t="s">
        <v>57</v>
      </c>
      <c r="E14" s="7">
        <v>17642</v>
      </c>
      <c r="F14" s="7">
        <v>20436</v>
      </c>
      <c r="G14" s="7">
        <v>6725</v>
      </c>
      <c r="H14" s="7">
        <v>4744</v>
      </c>
      <c r="I14" s="7">
        <v>5714</v>
      </c>
      <c r="J14" s="7">
        <v>3504</v>
      </c>
      <c r="K14" s="8">
        <f t="shared" si="5"/>
        <v>3504</v>
      </c>
      <c r="L14" s="8">
        <f t="shared" si="5"/>
        <v>3504</v>
      </c>
      <c r="M14" s="8">
        <f t="shared" si="5"/>
        <v>3504</v>
      </c>
      <c r="N14" s="8">
        <f t="shared" si="5"/>
        <v>3504</v>
      </c>
      <c r="O14" s="8">
        <f t="shared" si="5"/>
        <v>3504</v>
      </c>
      <c r="P14" s="8">
        <f t="shared" si="5"/>
        <v>3504</v>
      </c>
    </row>
    <row r="15" spans="1:16">
      <c r="A15" s="47" t="s">
        <v>58</v>
      </c>
      <c r="E15" s="7">
        <v>74004</v>
      </c>
      <c r="F15" s="7">
        <v>105603</v>
      </c>
      <c r="G15" s="7">
        <v>135665</v>
      </c>
      <c r="H15" s="7">
        <v>112445</v>
      </c>
      <c r="I15" s="7">
        <v>77224</v>
      </c>
      <c r="J15" s="7">
        <v>77269</v>
      </c>
      <c r="K15" s="8">
        <f t="shared" si="5"/>
        <v>77269</v>
      </c>
      <c r="L15" s="8">
        <f t="shared" si="5"/>
        <v>77269</v>
      </c>
      <c r="M15" s="8">
        <f t="shared" si="5"/>
        <v>77269</v>
      </c>
      <c r="N15" s="8">
        <f t="shared" si="5"/>
        <v>77269</v>
      </c>
      <c r="O15" s="8">
        <f t="shared" si="5"/>
        <v>77269</v>
      </c>
      <c r="P15" s="8">
        <f t="shared" si="5"/>
        <v>77269</v>
      </c>
    </row>
    <row r="16" spans="1:16" s="27" customFormat="1">
      <c r="A16" s="61" t="s">
        <v>14</v>
      </c>
      <c r="E16" s="30">
        <v>57682</v>
      </c>
      <c r="F16" s="30">
        <v>43458</v>
      </c>
      <c r="G16" s="30">
        <v>295163</v>
      </c>
      <c r="H16" s="30">
        <v>263235</v>
      </c>
      <c r="I16" s="30">
        <v>316719</v>
      </c>
      <c r="J16" s="30">
        <v>323828</v>
      </c>
      <c r="K16" s="8">
        <f t="shared" si="5"/>
        <v>323828</v>
      </c>
      <c r="L16" s="8">
        <f t="shared" si="5"/>
        <v>323828</v>
      </c>
      <c r="M16" s="8">
        <f t="shared" si="5"/>
        <v>323828</v>
      </c>
      <c r="N16" s="8">
        <f t="shared" si="5"/>
        <v>323828</v>
      </c>
      <c r="O16" s="8">
        <f t="shared" si="5"/>
        <v>323828</v>
      </c>
      <c r="P16" s="8">
        <f t="shared" si="5"/>
        <v>323828</v>
      </c>
    </row>
    <row r="17" spans="1:16">
      <c r="A17" s="47" t="s">
        <v>59</v>
      </c>
      <c r="E17" s="5">
        <f>SUM(E8:E11)</f>
        <v>334990</v>
      </c>
      <c r="F17" s="5">
        <f t="shared" ref="F17:P17" si="6">SUM(F8:F11)</f>
        <v>329057</v>
      </c>
      <c r="G17" s="5">
        <f t="shared" si="6"/>
        <v>766432</v>
      </c>
      <c r="H17" s="5">
        <f t="shared" si="6"/>
        <v>547529</v>
      </c>
      <c r="I17" s="5">
        <f t="shared" si="6"/>
        <v>520279</v>
      </c>
      <c r="J17" s="5">
        <f t="shared" si="6"/>
        <v>575013.18542742997</v>
      </c>
      <c r="K17" s="5">
        <f t="shared" si="6"/>
        <v>485868.41326086206</v>
      </c>
      <c r="L17" s="5">
        <f t="shared" si="6"/>
        <v>487581.69632120914</v>
      </c>
      <c r="M17" s="5">
        <f t="shared" si="6"/>
        <v>491572.6360886523</v>
      </c>
      <c r="N17" s="5">
        <f t="shared" si="6"/>
        <v>495593.48760413448</v>
      </c>
      <c r="O17" s="5">
        <f t="shared" si="6"/>
        <v>501834.87902620982</v>
      </c>
      <c r="P17" s="5">
        <f t="shared" si="6"/>
        <v>504686.26085922384</v>
      </c>
    </row>
    <row r="18" spans="1:16">
      <c r="A18" s="47" t="s">
        <v>47</v>
      </c>
      <c r="J18" s="5"/>
      <c r="K18" s="5"/>
    </row>
    <row r="19" spans="1:16">
      <c r="A19" s="63" t="s">
        <v>60</v>
      </c>
      <c r="E19" s="7">
        <v>1625046</v>
      </c>
      <c r="F19" s="7">
        <v>1911503</v>
      </c>
      <c r="G19" s="7">
        <v>2111862</v>
      </c>
      <c r="H19" s="7">
        <v>2179703</v>
      </c>
      <c r="I19" s="7">
        <v>2404996</v>
      </c>
      <c r="J19" s="7">
        <v>2898428</v>
      </c>
      <c r="K19" s="8">
        <f>'tangible_intangible schedule '!K14</f>
        <v>3353666.0274790381</v>
      </c>
      <c r="L19" s="8">
        <f>'tangible_intangible schedule '!L14</f>
        <v>3857687.7366657145</v>
      </c>
      <c r="M19" s="8">
        <f>'tangible_intangible schedule '!M14</f>
        <v>4389938.8828461273</v>
      </c>
      <c r="N19" s="8">
        <f>'tangible_intangible schedule '!N14</f>
        <v>4955141.5338902818</v>
      </c>
      <c r="O19" s="8">
        <f>'tangible_intangible schedule '!O14</f>
        <v>5555157.4401524821</v>
      </c>
      <c r="P19" s="8">
        <f>'tangible_intangible schedule '!P14</f>
        <v>6169615.2949813008</v>
      </c>
    </row>
    <row r="20" spans="1:16" s="27" customFormat="1">
      <c r="A20" s="64" t="s">
        <v>61</v>
      </c>
      <c r="E20" s="30">
        <v>-866878</v>
      </c>
      <c r="F20" s="30">
        <v>-1007842</v>
      </c>
      <c r="G20" s="30">
        <v>-1148759</v>
      </c>
      <c r="H20" s="30">
        <v>-1203366</v>
      </c>
      <c r="I20" s="30">
        <v>-1348090</v>
      </c>
      <c r="J20" s="30">
        <v>-1502919</v>
      </c>
      <c r="K20" s="28">
        <f>'tangible_intangible schedule '!K15</f>
        <v>-1785492.0320453146</v>
      </c>
      <c r="L20" s="28">
        <f>'tangible_intangible schedule '!L15</f>
        <v>-2112099.6906684134</v>
      </c>
      <c r="M20" s="28">
        <f>'tangible_intangible schedule '!M15</f>
        <v>-2483769.9133246751</v>
      </c>
      <c r="N20" s="28">
        <f>'tangible_intangible schedule '!N15</f>
        <v>-2903292.50950266</v>
      </c>
      <c r="O20" s="28">
        <f>'tangible_intangible schedule '!O15</f>
        <v>-3373614.9121082891</v>
      </c>
      <c r="P20" s="28">
        <f>'tangible_intangible schedule '!P15</f>
        <v>-3895959.8357129013</v>
      </c>
    </row>
    <row r="21" spans="1:16">
      <c r="A21" s="63" t="s">
        <v>62</v>
      </c>
      <c r="E21" s="5">
        <f>E19+E20</f>
        <v>758168</v>
      </c>
      <c r="F21" s="5">
        <f t="shared" ref="F21:P21" si="7">F19+F20</f>
        <v>903661</v>
      </c>
      <c r="G21" s="5">
        <f t="shared" si="7"/>
        <v>963103</v>
      </c>
      <c r="H21" s="5">
        <f t="shared" si="7"/>
        <v>976337</v>
      </c>
      <c r="I21" s="5">
        <f t="shared" si="7"/>
        <v>1056906</v>
      </c>
      <c r="J21" s="5">
        <f t="shared" si="7"/>
        <v>1395509</v>
      </c>
      <c r="K21" s="5">
        <f t="shared" si="7"/>
        <v>1568173.9954337236</v>
      </c>
      <c r="L21" s="5">
        <f t="shared" si="7"/>
        <v>1745588.0459973011</v>
      </c>
      <c r="M21" s="5">
        <f t="shared" si="7"/>
        <v>1906168.9695214522</v>
      </c>
      <c r="N21" s="5">
        <f t="shared" si="7"/>
        <v>2051849.0243876218</v>
      </c>
      <c r="O21" s="5">
        <f t="shared" si="7"/>
        <v>2181542.5280441931</v>
      </c>
      <c r="P21" s="5">
        <f t="shared" si="7"/>
        <v>2273655.4592683995</v>
      </c>
    </row>
    <row r="22" spans="1:16">
      <c r="A22" s="63" t="s">
        <v>63</v>
      </c>
      <c r="E22" s="7">
        <v>1415142</v>
      </c>
      <c r="F22" s="7">
        <v>1469250</v>
      </c>
      <c r="G22" s="7">
        <v>1470819</v>
      </c>
      <c r="H22" s="7">
        <v>1485114</v>
      </c>
      <c r="I22" s="7">
        <v>1653549</v>
      </c>
      <c r="J22" s="7">
        <v>2154873</v>
      </c>
      <c r="K22" s="8">
        <f>'tangible_intangible schedule '!J29</f>
        <v>2154873</v>
      </c>
      <c r="L22" s="8">
        <f>'tangible_intangible schedule '!K29</f>
        <v>2154873</v>
      </c>
      <c r="M22" s="8">
        <f>'tangible_intangible schedule '!L29</f>
        <v>2154873</v>
      </c>
      <c r="N22" s="8">
        <f>'tangible_intangible schedule '!M29</f>
        <v>2154873</v>
      </c>
      <c r="O22" s="8">
        <f>'tangible_intangible schedule '!N29</f>
        <v>2154873</v>
      </c>
      <c r="P22" s="8">
        <f>'tangible_intangible schedule '!O29</f>
        <v>2154873</v>
      </c>
    </row>
    <row r="23" spans="1:16" s="27" customFormat="1">
      <c r="A23" s="64" t="s">
        <v>64</v>
      </c>
      <c r="E23" s="30">
        <v>-203794</v>
      </c>
      <c r="F23" s="30">
        <v>-268254</v>
      </c>
      <c r="G23" s="30">
        <v>-312035</v>
      </c>
      <c r="H23" s="30">
        <v>-382881</v>
      </c>
      <c r="I23" s="30">
        <v>-423566</v>
      </c>
      <c r="J23" s="30">
        <v>-495681</v>
      </c>
      <c r="K23" s="28">
        <f>'tangible_intangible schedule '!J30</f>
        <v>-495681</v>
      </c>
      <c r="L23" s="28">
        <f>'tangible_intangible schedule '!K30</f>
        <v>-589011.23157004826</v>
      </c>
      <c r="M23" s="28">
        <f>'tangible_intangible schedule '!L30</f>
        <v>-682804.26039536623</v>
      </c>
      <c r="N23" s="28">
        <f>'tangible_intangible schedule '!M30</f>
        <v>-776379.14818076568</v>
      </c>
      <c r="O23" s="28">
        <f>'tangible_intangible schedule '!N30</f>
        <v>-869002.1878062326</v>
      </c>
      <c r="P23" s="28">
        <f>'tangible_intangible schedule '!O30</f>
        <v>-960426.17517767416</v>
      </c>
    </row>
    <row r="24" spans="1:16">
      <c r="A24" s="63" t="s">
        <v>65</v>
      </c>
      <c r="E24" s="5">
        <f>E22+E23</f>
        <v>1211348</v>
      </c>
      <c r="F24" s="5">
        <f t="shared" ref="F24" si="8">F22+F23</f>
        <v>1200996</v>
      </c>
      <c r="G24" s="5">
        <f t="shared" ref="G24" si="9">G22+G23</f>
        <v>1158784</v>
      </c>
      <c r="H24" s="5">
        <f t="shared" ref="H24" si="10">H22+H23</f>
        <v>1102233</v>
      </c>
      <c r="I24" s="5">
        <f t="shared" ref="I24" si="11">I22+I23</f>
        <v>1229983</v>
      </c>
      <c r="J24" s="5">
        <f t="shared" ref="J24:P24" si="12">J22+J23</f>
        <v>1659192</v>
      </c>
      <c r="K24" s="5">
        <f t="shared" si="12"/>
        <v>1659192</v>
      </c>
      <c r="L24" s="5">
        <f t="shared" si="12"/>
        <v>1565861.7684299517</v>
      </c>
      <c r="M24" s="5">
        <f t="shared" si="12"/>
        <v>1472068.7396046338</v>
      </c>
      <c r="N24" s="5">
        <f t="shared" si="12"/>
        <v>1378493.8518192344</v>
      </c>
      <c r="O24" s="5">
        <f t="shared" si="12"/>
        <v>1285870.8121937674</v>
      </c>
      <c r="P24" s="5">
        <f t="shared" si="12"/>
        <v>1194446.8248223257</v>
      </c>
    </row>
    <row r="25" spans="1:16">
      <c r="A25" s="47" t="s">
        <v>66</v>
      </c>
      <c r="E25" s="7">
        <v>86839</v>
      </c>
      <c r="F25" s="7">
        <v>88937</v>
      </c>
      <c r="G25" s="7">
        <v>96808</v>
      </c>
      <c r="H25" s="7">
        <v>234346</v>
      </c>
      <c r="I25" s="7">
        <v>284268</v>
      </c>
      <c r="J25" s="7">
        <v>281838</v>
      </c>
      <c r="K25" s="8">
        <f>J25</f>
        <v>281838</v>
      </c>
      <c r="L25" s="8">
        <f t="shared" ref="L25:P25" si="13">K25</f>
        <v>281838</v>
      </c>
      <c r="M25" s="8">
        <f t="shared" si="13"/>
        <v>281838</v>
      </c>
      <c r="N25" s="8">
        <f t="shared" si="13"/>
        <v>281838</v>
      </c>
      <c r="O25" s="8">
        <f t="shared" si="13"/>
        <v>281838</v>
      </c>
      <c r="P25" s="8">
        <f t="shared" si="13"/>
        <v>281838</v>
      </c>
    </row>
    <row r="26" spans="1:16">
      <c r="A26" s="47" t="s">
        <v>67</v>
      </c>
      <c r="E26" s="45">
        <f t="shared" ref="E26:J26" si="14">SUM(E27:E29)</f>
        <v>114471</v>
      </c>
      <c r="F26" s="45">
        <f t="shared" si="14"/>
        <v>229324</v>
      </c>
      <c r="G26" s="45">
        <f t="shared" si="14"/>
        <v>409172</v>
      </c>
      <c r="H26" s="45">
        <f t="shared" si="14"/>
        <v>386342</v>
      </c>
      <c r="I26" s="45">
        <f t="shared" si="14"/>
        <v>331633</v>
      </c>
      <c r="J26" s="45">
        <f t="shared" si="14"/>
        <v>341289.00000000105</v>
      </c>
      <c r="K26" s="53">
        <f>J26</f>
        <v>341289.00000000105</v>
      </c>
      <c r="L26" s="53">
        <f t="shared" ref="L26:P26" si="15">K26</f>
        <v>341289.00000000105</v>
      </c>
      <c r="M26" s="53">
        <f t="shared" si="15"/>
        <v>341289.00000000105</v>
      </c>
      <c r="N26" s="53">
        <f t="shared" si="15"/>
        <v>341289.00000000105</v>
      </c>
      <c r="O26" s="53">
        <f t="shared" si="15"/>
        <v>341289.00000000105</v>
      </c>
      <c r="P26" s="53">
        <f t="shared" si="15"/>
        <v>341289.00000000105</v>
      </c>
    </row>
    <row r="27" spans="1:16">
      <c r="A27" s="47" t="s">
        <v>68</v>
      </c>
      <c r="E27" s="7">
        <v>5769</v>
      </c>
      <c r="F27" s="7">
        <v>21941</v>
      </c>
      <c r="G27" s="7">
        <v>20278</v>
      </c>
      <c r="H27" s="7">
        <v>377</v>
      </c>
      <c r="I27" s="7">
        <v>609</v>
      </c>
      <c r="J27" s="7">
        <v>656</v>
      </c>
      <c r="K27" s="53">
        <f t="shared" ref="K27:P29" si="16">J27</f>
        <v>656</v>
      </c>
      <c r="L27" s="53">
        <f t="shared" si="16"/>
        <v>656</v>
      </c>
      <c r="M27" s="53">
        <f t="shared" si="16"/>
        <v>656</v>
      </c>
      <c r="N27" s="53">
        <f t="shared" si="16"/>
        <v>656</v>
      </c>
      <c r="O27" s="53">
        <f t="shared" si="16"/>
        <v>656</v>
      </c>
      <c r="P27" s="53">
        <f t="shared" si="16"/>
        <v>656</v>
      </c>
    </row>
    <row r="28" spans="1:16">
      <c r="A28" s="47" t="s">
        <v>69</v>
      </c>
      <c r="E28" s="7">
        <v>29330</v>
      </c>
      <c r="F28" s="7">
        <v>107073</v>
      </c>
      <c r="G28" s="7">
        <v>291248</v>
      </c>
      <c r="H28" s="7">
        <v>222103</v>
      </c>
      <c r="I28" s="7">
        <v>216729</v>
      </c>
      <c r="J28" s="7">
        <v>209918</v>
      </c>
      <c r="K28" s="53">
        <f t="shared" si="16"/>
        <v>209918</v>
      </c>
      <c r="L28" s="53">
        <f t="shared" si="16"/>
        <v>209918</v>
      </c>
      <c r="M28" s="53">
        <f t="shared" si="16"/>
        <v>209918</v>
      </c>
      <c r="N28" s="53">
        <f t="shared" si="16"/>
        <v>209918</v>
      </c>
      <c r="O28" s="53">
        <f t="shared" si="16"/>
        <v>209918</v>
      </c>
      <c r="P28" s="53">
        <f t="shared" si="16"/>
        <v>209918</v>
      </c>
    </row>
    <row r="29" spans="1:16" s="27" customFormat="1">
      <c r="A29" s="61" t="s">
        <v>14</v>
      </c>
      <c r="E29" s="30">
        <v>79372</v>
      </c>
      <c r="F29" s="30">
        <v>100310</v>
      </c>
      <c r="G29" s="30">
        <v>97646</v>
      </c>
      <c r="H29" s="30">
        <v>163862</v>
      </c>
      <c r="I29" s="30">
        <v>114295</v>
      </c>
      <c r="J29" s="30">
        <v>130715.00000000105</v>
      </c>
      <c r="K29" s="53">
        <f t="shared" si="16"/>
        <v>130715.00000000105</v>
      </c>
      <c r="L29" s="53">
        <f t="shared" si="16"/>
        <v>130715.00000000105</v>
      </c>
      <c r="M29" s="53">
        <f t="shared" si="16"/>
        <v>130715.00000000105</v>
      </c>
      <c r="N29" s="53">
        <f t="shared" si="16"/>
        <v>130715.00000000105</v>
      </c>
      <c r="O29" s="53">
        <f t="shared" si="16"/>
        <v>130715.00000000105</v>
      </c>
      <c r="P29" s="53">
        <f t="shared" si="16"/>
        <v>130715.00000000105</v>
      </c>
    </row>
    <row r="30" spans="1:16" s="42" customFormat="1">
      <c r="A30" s="62" t="s">
        <v>70</v>
      </c>
      <c r="E30" s="43">
        <f>E21+E24+SUM(E25:E26)+E17</f>
        <v>2505816</v>
      </c>
      <c r="F30" s="43">
        <f t="shared" ref="F30:P30" si="17">F21+F24+SUM(F25:F26)+F17</f>
        <v>2751975</v>
      </c>
      <c r="G30" s="43">
        <f t="shared" si="17"/>
        <v>3394299</v>
      </c>
      <c r="H30" s="43">
        <f t="shared" si="17"/>
        <v>3246787</v>
      </c>
      <c r="I30" s="43">
        <f t="shared" si="17"/>
        <v>3423069</v>
      </c>
      <c r="J30" s="43">
        <f t="shared" si="17"/>
        <v>4252841.185427431</v>
      </c>
      <c r="K30" s="43">
        <f t="shared" si="17"/>
        <v>4336361.4086945867</v>
      </c>
      <c r="L30" s="43">
        <f t="shared" si="17"/>
        <v>4422158.5107484628</v>
      </c>
      <c r="M30" s="43">
        <f t="shared" si="17"/>
        <v>4492937.3452147394</v>
      </c>
      <c r="N30" s="43">
        <f t="shared" si="17"/>
        <v>4549063.3638109919</v>
      </c>
      <c r="O30" s="43">
        <f t="shared" si="17"/>
        <v>4592375.2192641711</v>
      </c>
      <c r="P30" s="43">
        <f t="shared" si="17"/>
        <v>4595915.5449499497</v>
      </c>
    </row>
    <row r="31" spans="1:16">
      <c r="A31" s="47" t="s">
        <v>47</v>
      </c>
    </row>
    <row r="32" spans="1:16">
      <c r="A32" s="63" t="s">
        <v>71</v>
      </c>
      <c r="E32" s="7">
        <v>277675</v>
      </c>
      <c r="F32" s="7">
        <v>280031</v>
      </c>
      <c r="G32" s="7">
        <v>250199</v>
      </c>
      <c r="H32" s="7">
        <v>278721</v>
      </c>
      <c r="I32" s="7">
        <v>292741.29774999997</v>
      </c>
      <c r="J32" s="7">
        <v>328946</v>
      </c>
      <c r="K32" s="5">
        <f>-(K65/365)*SUM(IS!K23:K25)</f>
        <v>364445.40639337711</v>
      </c>
      <c r="L32" s="5">
        <f>-(L65/365)*SUM(IS!L23:L25)</f>
        <v>422365.47024700406</v>
      </c>
      <c r="M32" s="5">
        <f>-(M65/365)*SUM(IS!M23:M25)</f>
        <v>463798.3687662317</v>
      </c>
      <c r="N32" s="5">
        <f>-(N65/365)*SUM(IS!N23:N25)</f>
        <v>509511.97949716193</v>
      </c>
      <c r="O32" s="5">
        <f>-(O65/365)*SUM(IS!O23:O25)</f>
        <v>560712.20085029805</v>
      </c>
      <c r="P32" s="5">
        <f>-(P65/365)*SUM(IS!P23:P25)</f>
        <v>594326.22050210647</v>
      </c>
    </row>
    <row r="33" spans="1:16">
      <c r="A33" s="63" t="s">
        <v>72</v>
      </c>
      <c r="E33" s="7">
        <v>263915</v>
      </c>
      <c r="F33" s="7">
        <v>360779</v>
      </c>
      <c r="G33" s="7">
        <v>265428</v>
      </c>
      <c r="H33" s="7">
        <v>192302.97884906013</v>
      </c>
      <c r="I33" s="7">
        <v>193794.66113182803</v>
      </c>
      <c r="J33" s="7">
        <v>134692.27634274587</v>
      </c>
      <c r="K33" s="8">
        <f>'debt schedule'!K10</f>
        <v>134692.27634274587</v>
      </c>
      <c r="L33" s="8">
        <f>'debt schedule'!L10</f>
        <v>134692.27634274587</v>
      </c>
      <c r="M33" s="8">
        <f>'debt schedule'!M10</f>
        <v>134692.27634274587</v>
      </c>
      <c r="N33" s="8">
        <f>'debt schedule'!N10</f>
        <v>134692.27634274587</v>
      </c>
      <c r="O33" s="8">
        <f>'debt schedule'!O10</f>
        <v>134692.27634274587</v>
      </c>
      <c r="P33" s="8">
        <f>'debt schedule'!P10</f>
        <v>134692.27634274587</v>
      </c>
    </row>
    <row r="34" spans="1:16">
      <c r="A34" s="47" t="s">
        <v>73</v>
      </c>
      <c r="E34" s="8">
        <f>SUM(E35:E38)</f>
        <v>240809</v>
      </c>
      <c r="F34" s="8">
        <f t="shared" ref="F34:P34" si="18">SUM(F35:F38)</f>
        <v>289739</v>
      </c>
      <c r="G34" s="8">
        <f t="shared" si="18"/>
        <v>781581</v>
      </c>
      <c r="H34" s="8">
        <f t="shared" si="18"/>
        <v>627667.02115093987</v>
      </c>
      <c r="I34" s="8">
        <f t="shared" si="18"/>
        <v>636056.04112017225</v>
      </c>
      <c r="J34" s="8">
        <f t="shared" si="18"/>
        <v>738331.33248025412</v>
      </c>
      <c r="K34" s="8">
        <f t="shared" si="18"/>
        <v>738331.33248025412</v>
      </c>
      <c r="L34" s="8">
        <f t="shared" si="18"/>
        <v>738331.33248025412</v>
      </c>
      <c r="M34" s="8">
        <f t="shared" si="18"/>
        <v>738331.33248025412</v>
      </c>
      <c r="N34" s="8">
        <f t="shared" si="18"/>
        <v>738331.33248025412</v>
      </c>
      <c r="O34" s="8">
        <f t="shared" si="18"/>
        <v>738331.33248025412</v>
      </c>
      <c r="P34" s="8">
        <f t="shared" si="18"/>
        <v>738331.33248025412</v>
      </c>
    </row>
    <row r="35" spans="1:16">
      <c r="A35" s="47" t="s">
        <v>74</v>
      </c>
      <c r="E35" s="7">
        <v>48666</v>
      </c>
      <c r="F35" s="7">
        <v>43993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</row>
    <row r="36" spans="1:16">
      <c r="A36" s="47" t="s">
        <v>75</v>
      </c>
      <c r="E36" s="7">
        <v>11058</v>
      </c>
      <c r="F36" s="7">
        <v>8228</v>
      </c>
      <c r="G36" s="7">
        <v>13519</v>
      </c>
      <c r="H36" s="7">
        <v>15199</v>
      </c>
      <c r="I36" s="7">
        <v>20725</v>
      </c>
      <c r="J36" s="7">
        <v>17972</v>
      </c>
      <c r="K36" s="7">
        <v>17972</v>
      </c>
      <c r="L36" s="7">
        <v>17972</v>
      </c>
      <c r="M36" s="7">
        <v>17972</v>
      </c>
      <c r="N36" s="7">
        <v>17972</v>
      </c>
      <c r="O36" s="7">
        <v>17972</v>
      </c>
      <c r="P36" s="7">
        <v>17972</v>
      </c>
    </row>
    <row r="37" spans="1:16">
      <c r="A37" s="47" t="s">
        <v>76</v>
      </c>
      <c r="E37" s="7"/>
      <c r="F37" s="7"/>
      <c r="G37" s="7"/>
      <c r="H37" s="7"/>
      <c r="I37" s="7"/>
      <c r="J37" s="7"/>
      <c r="K37" s="8"/>
      <c r="L37" s="8"/>
      <c r="M37" s="8"/>
      <c r="N37" s="8"/>
      <c r="O37" s="8"/>
      <c r="P37" s="8"/>
    </row>
    <row r="38" spans="1:16">
      <c r="A38" s="47" t="s">
        <v>14</v>
      </c>
      <c r="E38" s="7">
        <v>181085</v>
      </c>
      <c r="F38" s="7">
        <v>237518</v>
      </c>
      <c r="G38" s="7">
        <v>768062</v>
      </c>
      <c r="H38" s="7">
        <v>612468.02115093987</v>
      </c>
      <c r="I38" s="7">
        <v>615331.04112017225</v>
      </c>
      <c r="J38" s="7">
        <v>720359.33248025412</v>
      </c>
      <c r="K38" s="8">
        <f>J38</f>
        <v>720359.33248025412</v>
      </c>
      <c r="L38" s="8">
        <f t="shared" ref="L38:P38" si="19">K38</f>
        <v>720359.33248025412</v>
      </c>
      <c r="M38" s="8">
        <f t="shared" si="19"/>
        <v>720359.33248025412</v>
      </c>
      <c r="N38" s="8">
        <f t="shared" si="19"/>
        <v>720359.33248025412</v>
      </c>
      <c r="O38" s="8">
        <f t="shared" si="19"/>
        <v>720359.33248025412</v>
      </c>
      <c r="P38" s="8">
        <f t="shared" si="19"/>
        <v>720359.33248025412</v>
      </c>
    </row>
    <row r="39" spans="1:16">
      <c r="A39" s="47" t="s">
        <v>77</v>
      </c>
      <c r="E39" s="5">
        <f t="shared" ref="E39:P39" si="20">E32+E33+E34</f>
        <v>782399</v>
      </c>
      <c r="F39" s="5">
        <f t="shared" si="20"/>
        <v>930549</v>
      </c>
      <c r="G39" s="5">
        <f t="shared" si="20"/>
        <v>1297208</v>
      </c>
      <c r="H39" s="5">
        <f t="shared" si="20"/>
        <v>1098691</v>
      </c>
      <c r="I39" s="5">
        <f t="shared" si="20"/>
        <v>1122592.0000020002</v>
      </c>
      <c r="J39" s="5">
        <f t="shared" si="20"/>
        <v>1201969.608823</v>
      </c>
      <c r="K39" s="5">
        <f t="shared" si="20"/>
        <v>1237469.0152163771</v>
      </c>
      <c r="L39" s="5">
        <f t="shared" si="20"/>
        <v>1295389.0790700042</v>
      </c>
      <c r="M39" s="5">
        <f t="shared" si="20"/>
        <v>1336821.9775892317</v>
      </c>
      <c r="N39" s="5">
        <f t="shared" si="20"/>
        <v>1382535.5883201619</v>
      </c>
      <c r="O39" s="5">
        <f t="shared" si="20"/>
        <v>1433735.8096732982</v>
      </c>
      <c r="P39" s="5">
        <f t="shared" si="20"/>
        <v>1467349.8293251065</v>
      </c>
    </row>
    <row r="40" spans="1:16">
      <c r="A40" s="47" t="s">
        <v>47</v>
      </c>
      <c r="E40" s="5"/>
    </row>
    <row r="41" spans="1:16">
      <c r="A41" s="63" t="s">
        <v>78</v>
      </c>
      <c r="E41" s="7">
        <v>416125.99678799999</v>
      </c>
      <c r="F41" s="7">
        <v>407938.119267</v>
      </c>
      <c r="G41" s="7">
        <v>474199.81326700002</v>
      </c>
      <c r="H41" s="7">
        <v>421603.394254299</v>
      </c>
      <c r="I41" s="7">
        <v>424648.43368493707</v>
      </c>
      <c r="J41" s="7">
        <v>401051.57468366623</v>
      </c>
      <c r="K41" s="8">
        <f>'debt schedule'!K9</f>
        <v>360946.41721529962</v>
      </c>
      <c r="L41" s="8">
        <f>'debt schedule'!L9</f>
        <v>320841.25974693301</v>
      </c>
      <c r="M41" s="8">
        <f>'debt schedule'!M9</f>
        <v>280736.1022785664</v>
      </c>
      <c r="N41" s="8">
        <f>'debt schedule'!N9</f>
        <v>240630.94481019978</v>
      </c>
      <c r="O41" s="8">
        <f>'debt schedule'!O9</f>
        <v>200525.78734183317</v>
      </c>
      <c r="P41" s="8">
        <f>'debt schedule'!P9</f>
        <v>160420.62987346656</v>
      </c>
    </row>
    <row r="42" spans="1:16" s="27" customFormat="1">
      <c r="A42" s="61" t="s">
        <v>79</v>
      </c>
      <c r="E42" s="28">
        <f>SUM(E43:E44)</f>
        <v>523808.00321200001</v>
      </c>
      <c r="F42" s="28">
        <f t="shared" ref="F42:P42" si="21">SUM(F43:F44)</f>
        <v>564007.880733</v>
      </c>
      <c r="G42" s="28">
        <f t="shared" si="21"/>
        <v>574785.18673299998</v>
      </c>
      <c r="H42" s="28">
        <f t="shared" si="21"/>
        <v>887415.60574570054</v>
      </c>
      <c r="I42" s="28">
        <f t="shared" si="21"/>
        <v>929667.56631506223</v>
      </c>
      <c r="J42" s="28">
        <f t="shared" si="21"/>
        <v>1558565.4253163333</v>
      </c>
      <c r="K42" s="28">
        <f t="shared" si="21"/>
        <v>1443848.0757490331</v>
      </c>
      <c r="L42" s="28">
        <f t="shared" si="21"/>
        <v>1329130.7261817332</v>
      </c>
      <c r="M42" s="28">
        <f t="shared" si="21"/>
        <v>1214413.3766144332</v>
      </c>
      <c r="N42" s="28">
        <f t="shared" si="21"/>
        <v>1099696.0270471333</v>
      </c>
      <c r="O42" s="28">
        <f t="shared" si="21"/>
        <v>984978.67747983336</v>
      </c>
      <c r="P42" s="28">
        <f t="shared" si="21"/>
        <v>870261.32791253342</v>
      </c>
    </row>
    <row r="43" spans="1:16">
      <c r="A43" s="63" t="s">
        <v>76</v>
      </c>
      <c r="E43" s="7">
        <v>433294.00321200001</v>
      </c>
      <c r="F43" s="7">
        <v>440852.880733</v>
      </c>
      <c r="G43" s="7">
        <v>433493.18673299998</v>
      </c>
      <c r="H43" s="7">
        <v>681930.79793699982</v>
      </c>
      <c r="I43" s="7">
        <v>709205.00989600003</v>
      </c>
      <c r="J43" s="7">
        <v>1119197.881484</v>
      </c>
      <c r="K43" s="8">
        <f>'debt schedule'!K11</f>
        <v>1004479.5319167001</v>
      </c>
      <c r="L43" s="8">
        <f>'debt schedule'!L11</f>
        <v>889761.18234940013</v>
      </c>
      <c r="M43" s="8">
        <f>'debt schedule'!M11</f>
        <v>775042.83278210019</v>
      </c>
      <c r="N43" s="8">
        <f>'debt schedule'!N11</f>
        <v>660324.48321480025</v>
      </c>
      <c r="O43" s="8">
        <f>'debt schedule'!O11</f>
        <v>545606.1336475003</v>
      </c>
      <c r="P43" s="8">
        <f>'debt schedule'!P11</f>
        <v>430887.78408020036</v>
      </c>
    </row>
    <row r="44" spans="1:16">
      <c r="A44" s="47" t="s">
        <v>14</v>
      </c>
      <c r="E44" s="7">
        <v>90514</v>
      </c>
      <c r="F44" s="7">
        <v>123155</v>
      </c>
      <c r="G44" s="7">
        <v>141292</v>
      </c>
      <c r="H44" s="7">
        <v>205484.80780870072</v>
      </c>
      <c r="I44" s="7">
        <v>220462.5564190622</v>
      </c>
      <c r="J44" s="7">
        <v>439367.54383233329</v>
      </c>
      <c r="K44" s="7">
        <v>439368.543832333</v>
      </c>
      <c r="L44" s="7">
        <v>439369.543832333</v>
      </c>
      <c r="M44" s="7">
        <v>439370.543832333</v>
      </c>
      <c r="N44" s="7">
        <v>439371.543832333</v>
      </c>
      <c r="O44" s="7">
        <v>439372.543832333</v>
      </c>
      <c r="P44" s="7">
        <v>439373.543832333</v>
      </c>
    </row>
    <row r="45" spans="1:16">
      <c r="A45" s="47" t="s">
        <v>80</v>
      </c>
      <c r="E45" s="5">
        <f t="shared" ref="E45:J45" si="22">E41+E42+E39</f>
        <v>1722333</v>
      </c>
      <c r="F45" s="5">
        <f t="shared" si="22"/>
        <v>1902495</v>
      </c>
      <c r="G45" s="5">
        <f t="shared" si="22"/>
        <v>2346193</v>
      </c>
      <c r="H45" s="5">
        <f t="shared" si="22"/>
        <v>2407709.9999999995</v>
      </c>
      <c r="I45" s="5">
        <f t="shared" si="22"/>
        <v>2476908.0000019995</v>
      </c>
      <c r="J45" s="5">
        <f t="shared" si="22"/>
        <v>3161586.6088229995</v>
      </c>
      <c r="K45" s="5">
        <f t="shared" ref="K45:P45" si="23">K41+K42+K39</f>
        <v>3042263.5081807096</v>
      </c>
      <c r="L45" s="5">
        <f t="shared" si="23"/>
        <v>2945361.0649986705</v>
      </c>
      <c r="M45" s="5">
        <f t="shared" si="23"/>
        <v>2831971.4564822316</v>
      </c>
      <c r="N45" s="5">
        <f t="shared" si="23"/>
        <v>2722862.5601774948</v>
      </c>
      <c r="O45" s="5">
        <f t="shared" si="23"/>
        <v>2619240.2744949646</v>
      </c>
      <c r="P45" s="5">
        <f t="shared" si="23"/>
        <v>2498031.7871111063</v>
      </c>
    </row>
    <row r="46" spans="1:16">
      <c r="A46" s="47" t="s">
        <v>47</v>
      </c>
    </row>
    <row r="47" spans="1:16">
      <c r="A47" s="47" t="s">
        <v>81</v>
      </c>
      <c r="E47" s="7">
        <v>19987</v>
      </c>
      <c r="F47" s="7">
        <v>19987</v>
      </c>
      <c r="G47" s="7">
        <v>27278</v>
      </c>
      <c r="H47" s="7">
        <v>27460</v>
      </c>
      <c r="I47" s="7">
        <v>27950</v>
      </c>
      <c r="J47" s="7">
        <v>28366</v>
      </c>
      <c r="K47" s="7">
        <v>28366</v>
      </c>
      <c r="L47" s="7">
        <v>28366</v>
      </c>
      <c r="M47" s="7">
        <v>28366</v>
      </c>
      <c r="N47" s="7">
        <v>28366</v>
      </c>
      <c r="O47" s="7">
        <v>28366</v>
      </c>
      <c r="P47" s="7">
        <v>28366</v>
      </c>
    </row>
    <row r="48" spans="1:16">
      <c r="A48" s="47" t="s">
        <v>82</v>
      </c>
      <c r="E48" s="7">
        <v>-642</v>
      </c>
      <c r="F48" s="7">
        <v>-554</v>
      </c>
      <c r="G48" s="7">
        <v>-788</v>
      </c>
      <c r="H48" s="7">
        <v>-1549</v>
      </c>
      <c r="I48" s="7">
        <v>-1555</v>
      </c>
      <c r="J48" s="7">
        <v>-1733</v>
      </c>
      <c r="K48" s="7">
        <v>-1733</v>
      </c>
      <c r="L48" s="7">
        <v>-1733</v>
      </c>
      <c r="M48" s="7">
        <v>-1733</v>
      </c>
      <c r="N48" s="7">
        <v>-1733</v>
      </c>
      <c r="O48" s="7">
        <v>-1733</v>
      </c>
      <c r="P48" s="7">
        <v>-1733</v>
      </c>
    </row>
    <row r="49" spans="1:16" s="27" customFormat="1">
      <c r="A49" s="64" t="s">
        <v>83</v>
      </c>
      <c r="E49" s="30">
        <v>675999</v>
      </c>
      <c r="F49" s="30">
        <v>694789</v>
      </c>
      <c r="G49" s="30">
        <v>771786</v>
      </c>
      <c r="H49" s="30">
        <v>590444</v>
      </c>
      <c r="I49" s="30">
        <v>665976</v>
      </c>
      <c r="J49" s="30">
        <v>775824.39999999979</v>
      </c>
      <c r="K49" s="28">
        <f>J49+IS!J66</f>
        <v>857921.10800769867</v>
      </c>
      <c r="L49" s="28">
        <f>K49+IS!K66</f>
        <v>966430.18719026295</v>
      </c>
      <c r="M49" s="28">
        <f>L49+IS!L66</f>
        <v>1121333.3656065362</v>
      </c>
      <c r="N49" s="28">
        <f>M49+IS!M66</f>
        <v>1310897.4516254805</v>
      </c>
      <c r="O49" s="28">
        <f>N49+IS!N66</f>
        <v>1537553.1432437331</v>
      </c>
      <c r="P49" s="28">
        <f>O49+IS!O66</f>
        <v>1803958.3457302272</v>
      </c>
    </row>
    <row r="50" spans="1:16">
      <c r="A50" s="47" t="s">
        <v>84</v>
      </c>
      <c r="E50" s="5">
        <f>SUM(E47:E49)</f>
        <v>695344</v>
      </c>
      <c r="F50" s="5">
        <f t="shared" ref="F50:P50" si="24">SUM(F47:F49)</f>
        <v>714222</v>
      </c>
      <c r="G50" s="5">
        <f t="shared" si="24"/>
        <v>798276</v>
      </c>
      <c r="H50" s="5">
        <f t="shared" si="24"/>
        <v>616355</v>
      </c>
      <c r="I50" s="5">
        <f t="shared" si="24"/>
        <v>692371</v>
      </c>
      <c r="J50" s="51">
        <f t="shared" si="24"/>
        <v>802457.39999999979</v>
      </c>
      <c r="K50" s="51">
        <f t="shared" si="24"/>
        <v>884554.10800769867</v>
      </c>
      <c r="L50" s="51">
        <f t="shared" si="24"/>
        <v>993063.18719026295</v>
      </c>
      <c r="M50" s="51">
        <f t="shared" si="24"/>
        <v>1147966.3656065362</v>
      </c>
      <c r="N50" s="51">
        <f t="shared" si="24"/>
        <v>1337530.4516254805</v>
      </c>
      <c r="O50" s="51">
        <f t="shared" si="24"/>
        <v>1564186.1432437331</v>
      </c>
      <c r="P50" s="51">
        <f t="shared" si="24"/>
        <v>1830591.3457302272</v>
      </c>
    </row>
    <row r="51" spans="1:16">
      <c r="A51" s="47" t="s">
        <v>85</v>
      </c>
      <c r="E51" s="7">
        <v>88139</v>
      </c>
      <c r="F51" s="7">
        <v>135258</v>
      </c>
      <c r="G51" s="7">
        <v>249830</v>
      </c>
      <c r="H51" s="7">
        <v>222722</v>
      </c>
      <c r="I51" s="7">
        <v>253790</v>
      </c>
      <c r="J51" s="7">
        <v>288797.17660000001</v>
      </c>
      <c r="K51" s="7">
        <v>288797.17660000001</v>
      </c>
      <c r="L51" s="7">
        <v>288797.17660000001</v>
      </c>
      <c r="M51" s="7">
        <v>288797.17660000001</v>
      </c>
      <c r="N51" s="7">
        <v>288797.17660000001</v>
      </c>
      <c r="O51" s="7">
        <v>288797.17660000001</v>
      </c>
      <c r="P51" s="7">
        <v>288797.17660000001</v>
      </c>
    </row>
    <row r="52" spans="1:16" s="27" customFormat="1">
      <c r="A52" s="61" t="s">
        <v>86</v>
      </c>
      <c r="E52" s="34">
        <f>E50+E51</f>
        <v>783483</v>
      </c>
      <c r="F52" s="34">
        <f t="shared" ref="F52:P52" si="25">F50+F51</f>
        <v>849480</v>
      </c>
      <c r="G52" s="34">
        <f t="shared" si="25"/>
        <v>1048106</v>
      </c>
      <c r="H52" s="34">
        <f t="shared" si="25"/>
        <v>839077</v>
      </c>
      <c r="I52" s="34">
        <f t="shared" si="25"/>
        <v>946161</v>
      </c>
      <c r="J52" s="34">
        <f t="shared" si="25"/>
        <v>1091254.5765999998</v>
      </c>
      <c r="K52" s="34">
        <f t="shared" si="25"/>
        <v>1173351.2846076987</v>
      </c>
      <c r="L52" s="34">
        <f t="shared" si="25"/>
        <v>1281860.363790263</v>
      </c>
      <c r="M52" s="34">
        <f t="shared" si="25"/>
        <v>1436763.542206536</v>
      </c>
      <c r="N52" s="34">
        <f t="shared" si="25"/>
        <v>1626327.6282254807</v>
      </c>
      <c r="O52" s="34">
        <f t="shared" si="25"/>
        <v>1852983.3198437332</v>
      </c>
      <c r="P52" s="34">
        <f t="shared" si="25"/>
        <v>2119388.5223302273</v>
      </c>
    </row>
    <row r="53" spans="1:16">
      <c r="A53" s="47" t="s">
        <v>87</v>
      </c>
      <c r="E53" s="41">
        <f>E52+E45</f>
        <v>2505816</v>
      </c>
      <c r="F53" s="41">
        <f t="shared" ref="F53:P53" si="26">F52+F45</f>
        <v>2751975</v>
      </c>
      <c r="G53" s="41">
        <f t="shared" si="26"/>
        <v>3394299</v>
      </c>
      <c r="H53" s="41">
        <f t="shared" si="26"/>
        <v>3246786.9999999995</v>
      </c>
      <c r="I53" s="41">
        <f t="shared" si="26"/>
        <v>3423069.0000019995</v>
      </c>
      <c r="J53" s="41">
        <f t="shared" si="26"/>
        <v>4252841.1854229998</v>
      </c>
      <c r="K53" s="41">
        <f t="shared" si="26"/>
        <v>4215614.7927884087</v>
      </c>
      <c r="L53" s="41">
        <f t="shared" si="26"/>
        <v>4227221.4287889339</v>
      </c>
      <c r="M53" s="41">
        <f t="shared" si="26"/>
        <v>4268734.9986887677</v>
      </c>
      <c r="N53" s="41">
        <f t="shared" si="26"/>
        <v>4349190.188402975</v>
      </c>
      <c r="O53" s="41">
        <f t="shared" si="26"/>
        <v>4472223.5943386983</v>
      </c>
      <c r="P53" s="41">
        <f t="shared" si="26"/>
        <v>4617420.3094413336</v>
      </c>
    </row>
    <row r="55" spans="1:16">
      <c r="A55" s="47" t="s">
        <v>88</v>
      </c>
      <c r="E55" s="41">
        <f t="shared" ref="E55:P55" si="27">E53-E30</f>
        <v>0</v>
      </c>
      <c r="F55" s="41">
        <f t="shared" si="27"/>
        <v>0</v>
      </c>
      <c r="G55" s="41">
        <f t="shared" si="27"/>
        <v>0</v>
      </c>
      <c r="H55" s="41">
        <f t="shared" si="27"/>
        <v>0</v>
      </c>
      <c r="I55" s="41">
        <f t="shared" si="27"/>
        <v>1.9995495676994324E-6</v>
      </c>
      <c r="J55" s="41">
        <f t="shared" si="27"/>
        <v>-4.4312328100204468E-6</v>
      </c>
      <c r="K55" s="41">
        <f t="shared" si="27"/>
        <v>-120746.61590617802</v>
      </c>
      <c r="L55" s="41">
        <f t="shared" si="27"/>
        <v>-194937.08195952885</v>
      </c>
      <c r="M55" s="41">
        <f t="shared" si="27"/>
        <v>-224202.34652597178</v>
      </c>
      <c r="N55" s="41">
        <f t="shared" si="27"/>
        <v>-199873.17540801689</v>
      </c>
      <c r="O55" s="41">
        <f t="shared" si="27"/>
        <v>-120151.62492547277</v>
      </c>
      <c r="P55" s="41">
        <f t="shared" si="27"/>
        <v>21504.764491383918</v>
      </c>
    </row>
    <row r="57" spans="1:16">
      <c r="A57" s="42" t="s">
        <v>124</v>
      </c>
    </row>
    <row r="58" spans="1:16">
      <c r="A58" t="s">
        <v>125</v>
      </c>
      <c r="E58" s="46">
        <f>-SUM(IS!E23:E25)/BS!E10</f>
        <v>524.56565656565658</v>
      </c>
      <c r="F58" s="46" t="s">
        <v>129</v>
      </c>
      <c r="G58" s="46" t="s">
        <v>129</v>
      </c>
      <c r="H58" s="46" t="s">
        <v>129</v>
      </c>
      <c r="I58" s="46" t="s">
        <v>129</v>
      </c>
      <c r="J58" s="46" t="s">
        <v>129</v>
      </c>
      <c r="K58" s="46"/>
    </row>
    <row r="59" spans="1:16">
      <c r="A59" t="s">
        <v>126</v>
      </c>
      <c r="E59" s="46">
        <f>IS!E17/BS!E9</f>
        <v>15.546387897331293</v>
      </c>
      <c r="F59" s="46">
        <f>IS!F17/BS!F9</f>
        <v>20.747780388632961</v>
      </c>
      <c r="G59" s="46">
        <f>IS!G17/BS!G9</f>
        <v>20.797299057709843</v>
      </c>
      <c r="H59" s="46">
        <f>IS!H17/BS!H9</f>
        <v>29.709459593718829</v>
      </c>
      <c r="I59" s="46">
        <f>IS!I17/BS!I9</f>
        <v>29.778382097469034</v>
      </c>
      <c r="J59" s="46">
        <f>IS!J17/BS!J9</f>
        <v>36.206509849827604</v>
      </c>
      <c r="K59" s="46"/>
    </row>
    <row r="60" spans="1:16">
      <c r="A60" t="s">
        <v>127</v>
      </c>
      <c r="E60" s="46">
        <f>-SUM(IS!E23:E25)/BS!E32</f>
        <v>1.3091707931934815</v>
      </c>
      <c r="F60" s="46">
        <f>-SUM(IS!F23:F25)/BS!F32</f>
        <v>1.3814434830429487</v>
      </c>
      <c r="G60" s="46">
        <f>-SUM(IS!G23:G25)/BS!G32</f>
        <v>1.7355200338716348</v>
      </c>
      <c r="H60" s="46">
        <f>-SUM(IS!H23:H25)/BS!H32</f>
        <v>1.6914774340779817</v>
      </c>
      <c r="I60" s="46">
        <f>-SUM(IS!I23:I25)/BS!I32</f>
        <v>1.656877183651992</v>
      </c>
      <c r="J60" s="46">
        <f>-SUM(IS!J23:J25)/BS!J32</f>
        <v>1.6286605611700677</v>
      </c>
      <c r="K60" s="46"/>
    </row>
    <row r="61" spans="1:16">
      <c r="E61" s="46"/>
      <c r="F61" s="46"/>
      <c r="G61" s="46"/>
      <c r="H61" s="46"/>
      <c r="I61" s="46"/>
      <c r="J61" s="46"/>
      <c r="K61" s="46"/>
    </row>
    <row r="62" spans="1:16">
      <c r="A62" s="42" t="s">
        <v>128</v>
      </c>
    </row>
    <row r="63" spans="1:16">
      <c r="A63" t="s">
        <v>125</v>
      </c>
      <c r="E63" s="9">
        <f>365/E58</f>
        <v>0.69581375645074328</v>
      </c>
      <c r="F63" s="46" t="s">
        <v>129</v>
      </c>
      <c r="G63" s="46" t="s">
        <v>129</v>
      </c>
      <c r="H63" s="46" t="s">
        <v>129</v>
      </c>
      <c r="I63" s="46" t="s">
        <v>129</v>
      </c>
      <c r="J63" s="46" t="s">
        <v>129</v>
      </c>
      <c r="K63" s="9"/>
      <c r="L63" s="9"/>
      <c r="M63" s="9"/>
      <c r="N63" s="9"/>
      <c r="O63" s="9"/>
      <c r="P63" s="9"/>
    </row>
    <row r="64" spans="1:16">
      <c r="A64" t="s">
        <v>126</v>
      </c>
      <c r="E64" s="9">
        <f t="shared" ref="E64:J65" si="28">365/E59</f>
        <v>23.478122533058386</v>
      </c>
      <c r="F64" s="9">
        <f t="shared" si="28"/>
        <v>17.592243274368361</v>
      </c>
      <c r="G64" s="9">
        <f t="shared" si="28"/>
        <v>17.550355889347539</v>
      </c>
      <c r="H64" s="9">
        <f t="shared" si="28"/>
        <v>12.285649250825426</v>
      </c>
      <c r="I64" s="9">
        <f t="shared" si="28"/>
        <v>12.257213934769901</v>
      </c>
      <c r="J64" s="9">
        <f t="shared" si="28"/>
        <v>10.081060050082069</v>
      </c>
      <c r="K64" s="59">
        <f>J64</f>
        <v>10.081060050082069</v>
      </c>
      <c r="L64" s="59">
        <f t="shared" ref="L64:P64" si="29">K64</f>
        <v>10.081060050082069</v>
      </c>
      <c r="M64" s="59">
        <f t="shared" si="29"/>
        <v>10.081060050082069</v>
      </c>
      <c r="N64" s="59">
        <f t="shared" si="29"/>
        <v>10.081060050082069</v>
      </c>
      <c r="O64" s="59">
        <f t="shared" si="29"/>
        <v>10.081060050082069</v>
      </c>
      <c r="P64" s="59">
        <f t="shared" si="29"/>
        <v>10.081060050082069</v>
      </c>
    </row>
    <row r="65" spans="1:16">
      <c r="A65" t="s">
        <v>127</v>
      </c>
      <c r="E65" s="9">
        <f t="shared" si="28"/>
        <v>278.80243120124118</v>
      </c>
      <c r="F65" s="9">
        <f t="shared" si="28"/>
        <v>264.21638270427326</v>
      </c>
      <c r="G65" s="9">
        <f t="shared" si="28"/>
        <v>210.31160279132607</v>
      </c>
      <c r="H65" s="9">
        <f t="shared" si="28"/>
        <v>215.78768515996205</v>
      </c>
      <c r="I65" s="9">
        <f t="shared" si="28"/>
        <v>220.29393826009982</v>
      </c>
      <c r="J65" s="9">
        <f t="shared" si="28"/>
        <v>224.11054132591968</v>
      </c>
      <c r="K65" s="59">
        <f>J65</f>
        <v>224.11054132591968</v>
      </c>
      <c r="L65" s="59">
        <f t="shared" ref="L65:P65" si="30">K65</f>
        <v>224.11054132591968</v>
      </c>
      <c r="M65" s="59">
        <f t="shared" si="30"/>
        <v>224.11054132591968</v>
      </c>
      <c r="N65" s="59">
        <f t="shared" si="30"/>
        <v>224.11054132591968</v>
      </c>
      <c r="O65" s="59">
        <f t="shared" si="30"/>
        <v>224.11054132591968</v>
      </c>
      <c r="P65" s="59">
        <f t="shared" si="30"/>
        <v>224.11054132591968</v>
      </c>
    </row>
    <row r="66" spans="1:16">
      <c r="E66" s="9"/>
      <c r="F66" s="9"/>
      <c r="G66" s="9"/>
      <c r="H66" s="9"/>
      <c r="I66" s="9"/>
      <c r="J66" s="9"/>
      <c r="K66" s="9"/>
      <c r="L66" s="55"/>
      <c r="M66" s="55"/>
      <c r="N66" s="55"/>
      <c r="O66" s="55"/>
    </row>
  </sheetData>
  <dataValidations count="1">
    <dataValidation allowBlank="1" sqref="E52:P52" xr:uid="{D0FD1A57-8834-4677-BDF9-447A188D05FD}"/>
  </dataValidations>
  <pageMargins left="0.7" right="0.7" top="0.75" bottom="0.75" header="0.3" footer="0.3"/>
  <ignoredErrors>
    <ignoredError sqref="E58 E6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3F69-09A9-4322-B986-55EB772B364C}">
  <dimension ref="A1:P46"/>
  <sheetViews>
    <sheetView showGridLines="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M20" sqref="M20"/>
    </sheetView>
  </sheetViews>
  <sheetFormatPr defaultRowHeight="14.25" outlineLevelRow="1"/>
  <cols>
    <col min="1" max="1" width="18" customWidth="1"/>
    <col min="4" max="4" width="21.1328125" customWidth="1"/>
    <col min="5" max="9" width="10.86328125" style="1" customWidth="1"/>
    <col min="10" max="10" width="10.3984375" style="1" bestFit="1" customWidth="1"/>
    <col min="11" max="16" width="10.3984375" style="54" bestFit="1" customWidth="1"/>
  </cols>
  <sheetData>
    <row r="1" spans="1:16" ht="36" customHeight="1">
      <c r="A1" t="s">
        <v>5</v>
      </c>
    </row>
    <row r="2" spans="1:16">
      <c r="A2" t="s">
        <v>4</v>
      </c>
    </row>
    <row r="3" spans="1:16">
      <c r="A3" t="s">
        <v>117</v>
      </c>
    </row>
    <row r="5" spans="1:16">
      <c r="A5" t="s">
        <v>0</v>
      </c>
      <c r="E5" s="2">
        <v>43190</v>
      </c>
      <c r="F5" s="2">
        <f>EDATE(E5,12)</f>
        <v>43555</v>
      </c>
      <c r="G5" s="2">
        <f t="shared" ref="G5:P5" si="0">EDATE(F5,12)</f>
        <v>43921</v>
      </c>
      <c r="H5" s="2">
        <f t="shared" si="0"/>
        <v>44286</v>
      </c>
      <c r="I5" s="2">
        <f t="shared" si="0"/>
        <v>44651</v>
      </c>
      <c r="J5" s="2">
        <f t="shared" si="0"/>
        <v>45016</v>
      </c>
      <c r="K5" s="2">
        <f t="shared" si="0"/>
        <v>45382</v>
      </c>
      <c r="L5" s="2">
        <f t="shared" si="0"/>
        <v>45747</v>
      </c>
      <c r="M5" s="2">
        <f t="shared" si="0"/>
        <v>46112</v>
      </c>
      <c r="N5" s="2">
        <f t="shared" si="0"/>
        <v>46477</v>
      </c>
      <c r="O5" s="2">
        <f t="shared" si="0"/>
        <v>46843</v>
      </c>
      <c r="P5" s="2">
        <f t="shared" si="0"/>
        <v>47208</v>
      </c>
    </row>
    <row r="6" spans="1:16">
      <c r="A6" t="s">
        <v>1</v>
      </c>
      <c r="E6" s="3">
        <f>YEAR(E5)</f>
        <v>2018</v>
      </c>
      <c r="F6" s="3">
        <f t="shared" ref="F6:O6" si="1">YEAR(F5)</f>
        <v>2019</v>
      </c>
      <c r="G6" s="3">
        <f t="shared" si="1"/>
        <v>2020</v>
      </c>
      <c r="H6" s="3">
        <f t="shared" si="1"/>
        <v>2021</v>
      </c>
      <c r="I6" s="3">
        <f t="shared" si="1"/>
        <v>2022</v>
      </c>
      <c r="J6" s="3">
        <f t="shared" si="1"/>
        <v>2023</v>
      </c>
      <c r="K6" s="3">
        <f t="shared" si="1"/>
        <v>2024</v>
      </c>
      <c r="L6" s="4">
        <f t="shared" si="1"/>
        <v>2025</v>
      </c>
      <c r="M6" s="4">
        <f t="shared" si="1"/>
        <v>2026</v>
      </c>
      <c r="N6" s="4">
        <f t="shared" si="1"/>
        <v>2027</v>
      </c>
      <c r="O6" s="4">
        <f t="shared" si="1"/>
        <v>2028</v>
      </c>
      <c r="P6" s="4">
        <f t="shared" ref="P6" si="2">YEAR(P5)</f>
        <v>2029</v>
      </c>
    </row>
    <row r="8" spans="1:16">
      <c r="A8" t="s">
        <v>116</v>
      </c>
      <c r="E8" s="5">
        <f>IS!E66</f>
        <v>10990</v>
      </c>
      <c r="F8" s="5">
        <f>IS!F66</f>
        <v>4094.9999999999854</v>
      </c>
      <c r="G8" s="5">
        <f>IS!G66</f>
        <v>-321368.37695464917</v>
      </c>
      <c r="H8" s="5">
        <f>IS!H66</f>
        <v>-149918.86635364909</v>
      </c>
      <c r="I8" s="5">
        <f>IS!I66</f>
        <v>42228.764475198892</v>
      </c>
      <c r="J8" s="5">
        <f>IS!J66</f>
        <v>82096.708007698908</v>
      </c>
      <c r="K8" s="5">
        <f>IS!K69</f>
        <v>108509.07918256425</v>
      </c>
      <c r="L8" s="5">
        <f>IS!L69</f>
        <v>154903.17841627318</v>
      </c>
      <c r="M8" s="5">
        <f>IS!M69</f>
        <v>189564.08601894442</v>
      </c>
      <c r="N8" s="5">
        <f>IS!N69</f>
        <v>226655.69161825249</v>
      </c>
      <c r="O8" s="5">
        <f>IS!O69</f>
        <v>266405.20248649409</v>
      </c>
      <c r="P8" s="5">
        <f>IS!P69</f>
        <v>289066.66071808996</v>
      </c>
    </row>
    <row r="9" spans="1:16">
      <c r="A9" t="s">
        <v>89</v>
      </c>
      <c r="E9" s="5">
        <f>-IS!E64</f>
        <v>10880</v>
      </c>
      <c r="F9" s="5">
        <f>IS!F64</f>
        <v>-11159</v>
      </c>
      <c r="G9" s="5">
        <f>IS!G64</f>
        <v>-22225</v>
      </c>
      <c r="H9" s="5">
        <f>IS!H64</f>
        <v>-24325.076561000002</v>
      </c>
      <c r="I9" s="5">
        <f>IS!I64</f>
        <v>-31821.907879215993</v>
      </c>
      <c r="J9" s="5">
        <f>IS!J64</f>
        <v>-33191.892215899999</v>
      </c>
      <c r="K9" s="5"/>
      <c r="L9" s="5"/>
      <c r="M9" s="5"/>
      <c r="N9" s="5"/>
      <c r="O9" s="5"/>
    </row>
    <row r="10" spans="1:16">
      <c r="A10" t="s">
        <v>90</v>
      </c>
      <c r="E10" s="5">
        <f>-IS!E46</f>
        <v>192431</v>
      </c>
      <c r="F10" s="5">
        <f>-IS!F46</f>
        <v>213475</v>
      </c>
      <c r="G10" s="5">
        <f>-IS!G46</f>
        <v>239744</v>
      </c>
      <c r="H10" s="5">
        <f>-IS!H46</f>
        <v>259377.14987199998</v>
      </c>
      <c r="I10" s="5">
        <f>-IS!I46</f>
        <v>293755</v>
      </c>
      <c r="J10" s="5">
        <f>-IS!J46</f>
        <v>327166</v>
      </c>
      <c r="K10" s="5">
        <f>-IS!K46</f>
        <v>375903.2636153627</v>
      </c>
      <c r="L10" s="5">
        <f>-IS!L46</f>
        <v>420400.68744841672</v>
      </c>
      <c r="M10" s="5">
        <f>-IS!M46</f>
        <v>465245.11044166097</v>
      </c>
      <c r="N10" s="5">
        <f>-IS!N46</f>
        <v>512145.63580345194</v>
      </c>
      <c r="O10" s="5">
        <f>-IS!O46</f>
        <v>561746.3899770705</v>
      </c>
      <c r="P10" s="5">
        <f>-IS!P46</f>
        <v>612726.40245307423</v>
      </c>
    </row>
    <row r="11" spans="1:16">
      <c r="A11" t="s">
        <v>91</v>
      </c>
      <c r="E11" s="5">
        <f>-IS!E57</f>
        <v>-10609</v>
      </c>
      <c r="F11" s="5">
        <f>-IS!F57</f>
        <v>-3556</v>
      </c>
      <c r="G11" s="5">
        <f>-IS!G57</f>
        <v>-6524</v>
      </c>
      <c r="H11" s="5">
        <f>-IS!H57</f>
        <v>-4311</v>
      </c>
      <c r="I11" s="5">
        <f>-IS!I57</f>
        <v>-24232</v>
      </c>
      <c r="J11" s="5">
        <f>-IS!J57</f>
        <v>-7521</v>
      </c>
      <c r="K11" s="5"/>
      <c r="L11" s="5"/>
      <c r="M11" s="5"/>
      <c r="N11" s="5"/>
      <c r="O11" s="5"/>
    </row>
    <row r="12" spans="1:16">
      <c r="A12" t="s">
        <v>92</v>
      </c>
    </row>
    <row r="13" spans="1:16">
      <c r="A13" t="s">
        <v>93</v>
      </c>
      <c r="E13" s="5">
        <f>SUM(E14:E16)</f>
        <v>-9554</v>
      </c>
      <c r="F13" s="5">
        <f t="shared" ref="F13:P13" si="3">SUM(F14:F16)</f>
        <v>29816</v>
      </c>
      <c r="G13" s="5">
        <f t="shared" si="3"/>
        <v>-11401</v>
      </c>
      <c r="H13" s="5">
        <f t="shared" si="3"/>
        <v>2947.8241320575871</v>
      </c>
      <c r="I13" s="5">
        <f t="shared" si="3"/>
        <v>-12006.834311685632</v>
      </c>
      <c r="J13" s="5">
        <f t="shared" si="3"/>
        <v>7087.8571940726551</v>
      </c>
      <c r="K13" s="5">
        <f t="shared" si="3"/>
        <v>52849.993132515054</v>
      </c>
      <c r="L13" s="5">
        <f t="shared" si="3"/>
        <v>56206.780793279861</v>
      </c>
      <c r="M13" s="5">
        <f t="shared" si="3"/>
        <v>37441.958751784463</v>
      </c>
      <c r="N13" s="5">
        <f t="shared" si="3"/>
        <v>41692.759215448044</v>
      </c>
      <c r="O13" s="5">
        <f t="shared" si="3"/>
        <v>44958.829931060784</v>
      </c>
      <c r="P13" s="5">
        <f t="shared" si="3"/>
        <v>30762.637818794428</v>
      </c>
    </row>
    <row r="14" spans="1:16">
      <c r="A14" t="s">
        <v>94</v>
      </c>
      <c r="E14" s="7">
        <v>-24474</v>
      </c>
      <c r="F14" s="7">
        <v>8427</v>
      </c>
      <c r="G14" s="7">
        <v>-8925</v>
      </c>
      <c r="H14" s="7">
        <v>-3954.2179728619885</v>
      </c>
      <c r="I14" s="7">
        <v>-7130.8359726338804</v>
      </c>
      <c r="J14" s="7">
        <v>-5582.8425736831259</v>
      </c>
      <c r="K14" s="53">
        <f>BS!J9-BS!K9</f>
        <v>17350.58673913794</v>
      </c>
      <c r="L14" s="53">
        <f>BS!K9-BS!L9</f>
        <v>-1713.2830603470975</v>
      </c>
      <c r="M14" s="53">
        <f>BS!L9-BS!M9</f>
        <v>-3990.9397674431675</v>
      </c>
      <c r="N14" s="53">
        <f>BS!M9-BS!N9</f>
        <v>-4020.8515154821871</v>
      </c>
      <c r="O14" s="53">
        <f>BS!N9-BS!O9</f>
        <v>-6241.3914220753359</v>
      </c>
      <c r="P14" s="53">
        <f>BS!O9-BS!P9</f>
        <v>-2851.3818330139984</v>
      </c>
    </row>
    <row r="15" spans="1:16">
      <c r="A15" t="s">
        <v>95</v>
      </c>
      <c r="E15" s="7">
        <v>-202</v>
      </c>
      <c r="F15" s="7">
        <v>-191</v>
      </c>
      <c r="G15" s="7">
        <v>0</v>
      </c>
      <c r="H15" s="7">
        <v>0</v>
      </c>
      <c r="I15" s="7">
        <v>0</v>
      </c>
      <c r="J15" s="7">
        <v>0</v>
      </c>
      <c r="K15" s="53">
        <f>BS!J10-BS!K10</f>
        <v>0</v>
      </c>
      <c r="L15" s="53">
        <f>BS!K10-BS!L10</f>
        <v>0</v>
      </c>
      <c r="M15" s="53">
        <f>BS!L10-BS!M10</f>
        <v>0</v>
      </c>
      <c r="N15" s="53">
        <f>BS!M10-BS!N10</f>
        <v>0</v>
      </c>
      <c r="O15" s="53">
        <f>BS!N10-BS!O10</f>
        <v>0</v>
      </c>
      <c r="P15" s="53">
        <f>BS!O10-BS!P10</f>
        <v>0</v>
      </c>
    </row>
    <row r="16" spans="1:16">
      <c r="A16" t="s">
        <v>71</v>
      </c>
      <c r="E16" s="7">
        <v>15122</v>
      </c>
      <c r="F16" s="7">
        <v>21580</v>
      </c>
      <c r="G16" s="7">
        <v>-2476</v>
      </c>
      <c r="H16" s="7">
        <v>6902.0421049195756</v>
      </c>
      <c r="I16" s="7">
        <v>-4875.9983390517518</v>
      </c>
      <c r="J16" s="7">
        <v>12670.699767755781</v>
      </c>
      <c r="K16" s="53">
        <f>BS!K32-BS!J32</f>
        <v>35499.40639337711</v>
      </c>
      <c r="L16" s="53">
        <f>BS!L32-BS!K32</f>
        <v>57920.063853626954</v>
      </c>
      <c r="M16" s="53">
        <f>BS!M32-BS!L32</f>
        <v>41432.89851922763</v>
      </c>
      <c r="N16" s="53">
        <f>BS!N32-BS!M32</f>
        <v>45713.610730930232</v>
      </c>
      <c r="O16" s="53">
        <f>BS!O32-BS!N32</f>
        <v>51200.221353136119</v>
      </c>
      <c r="P16" s="53">
        <f>BS!P32-BS!O32</f>
        <v>33614.019651808427</v>
      </c>
    </row>
    <row r="17" spans="1:16">
      <c r="A17" t="s">
        <v>96</v>
      </c>
      <c r="E17" s="7">
        <v>60359</v>
      </c>
      <c r="F17" s="7">
        <v>-133280</v>
      </c>
      <c r="G17" s="7">
        <v>148618.37695464917</v>
      </c>
      <c r="H17" s="7">
        <v>80297.954440698173</v>
      </c>
      <c r="I17" s="7">
        <v>21121.481950919668</v>
      </c>
      <c r="J17" s="7">
        <v>71930.928673667833</v>
      </c>
    </row>
    <row r="18" spans="1:16" outlineLevel="1">
      <c r="A18" t="s">
        <v>97</v>
      </c>
    </row>
    <row r="19" spans="1:16" outlineLevel="1">
      <c r="A19" t="s">
        <v>98</v>
      </c>
    </row>
    <row r="20" spans="1:16" outlineLevel="1">
      <c r="A20" t="s">
        <v>99</v>
      </c>
      <c r="E20" s="7">
        <v>16515</v>
      </c>
      <c r="F20" s="7">
        <v>-25021</v>
      </c>
      <c r="G20" s="7">
        <v>-7601</v>
      </c>
      <c r="H20" s="7">
        <v>18359</v>
      </c>
      <c r="I20" s="7">
        <v>40745.950690935999</v>
      </c>
      <c r="J20" s="7">
        <v>57558.022821751991</v>
      </c>
      <c r="K20" s="53"/>
      <c r="L20" s="53"/>
      <c r="M20" s="53"/>
      <c r="N20" s="53"/>
      <c r="O20" s="53"/>
    </row>
    <row r="21" spans="1:16" outlineLevel="1">
      <c r="A21" t="s">
        <v>100</v>
      </c>
      <c r="E21" s="7">
        <v>-14988</v>
      </c>
      <c r="F21" s="7">
        <v>-20175</v>
      </c>
      <c r="G21" s="7">
        <v>-16291</v>
      </c>
      <c r="H21" s="7">
        <v>-7625.3</v>
      </c>
      <c r="I21" s="7">
        <v>-5343</v>
      </c>
      <c r="J21" s="7">
        <v>-9366</v>
      </c>
    </row>
    <row r="22" spans="1:16" outlineLevel="1">
      <c r="A22" t="s">
        <v>36</v>
      </c>
      <c r="E22" s="7">
        <v>90956.163567914715</v>
      </c>
      <c r="F22" s="7">
        <v>111603.18308840501</v>
      </c>
      <c r="G22" s="7">
        <v>109513.890429885</v>
      </c>
      <c r="H22" s="7">
        <v>123981</v>
      </c>
      <c r="I22" s="7">
        <v>137141.125956548</v>
      </c>
      <c r="J22" s="7">
        <v>148609.38097799901</v>
      </c>
    </row>
    <row r="23" spans="1:16" outlineLevel="1">
      <c r="A23" t="s">
        <v>101</v>
      </c>
    </row>
    <row r="24" spans="1:16" outlineLevel="1">
      <c r="A24" t="s">
        <v>99</v>
      </c>
      <c r="E24" s="7">
        <v>-13723</v>
      </c>
      <c r="F24" s="7">
        <v>-11706</v>
      </c>
      <c r="G24" s="7">
        <v>-22937</v>
      </c>
      <c r="H24" s="7">
        <v>-22327.839206043158</v>
      </c>
      <c r="I24" s="7">
        <v>-21752.347322063193</v>
      </c>
      <c r="J24" s="7">
        <v>-37914.5051983413</v>
      </c>
    </row>
    <row r="25" spans="1:16" outlineLevel="1">
      <c r="A25" t="s">
        <v>100</v>
      </c>
      <c r="E25" s="7">
        <v>5662</v>
      </c>
      <c r="F25" s="7">
        <v>4793</v>
      </c>
      <c r="G25" s="7">
        <v>4748</v>
      </c>
      <c r="H25" s="7">
        <v>3131.1065947871284</v>
      </c>
      <c r="I25" s="7">
        <v>4052.8705163583081</v>
      </c>
      <c r="J25" s="7">
        <v>3507.6320670344744</v>
      </c>
    </row>
    <row r="26" spans="1:16" outlineLevel="1">
      <c r="A26" t="s">
        <v>36</v>
      </c>
      <c r="E26" s="7">
        <v>-44041</v>
      </c>
      <c r="F26" s="7">
        <v>-76171</v>
      </c>
      <c r="G26" s="7">
        <v>-109993</v>
      </c>
      <c r="H26" s="7">
        <v>-49170.102660901415</v>
      </c>
      <c r="I26" s="7">
        <v>-131589.17043363274</v>
      </c>
      <c r="J26" s="7">
        <v>-66893.20146160353</v>
      </c>
    </row>
    <row r="27" spans="1:16">
      <c r="A27" t="s">
        <v>102</v>
      </c>
      <c r="E27" s="5">
        <v>254497</v>
      </c>
      <c r="F27" s="5">
        <v>121709</v>
      </c>
      <c r="G27" s="5">
        <v>71294</v>
      </c>
      <c r="H27" s="5">
        <v>349681.13865210663</v>
      </c>
      <c r="I27" s="5">
        <v>346200.31999364891</v>
      </c>
      <c r="J27" s="5">
        <v>513874.3860913394</v>
      </c>
      <c r="K27" s="53">
        <f>K8+K10+K13</f>
        <v>537262.33593044197</v>
      </c>
      <c r="L27" s="53">
        <f t="shared" ref="L27:P27" si="4">L8+L10+L13</f>
        <v>631510.6466579698</v>
      </c>
      <c r="M27" s="53">
        <f t="shared" si="4"/>
        <v>692251.15521238977</v>
      </c>
      <c r="N27" s="53">
        <f t="shared" si="4"/>
        <v>780494.08663715248</v>
      </c>
      <c r="O27" s="53">
        <f t="shared" si="4"/>
        <v>873110.42239462538</v>
      </c>
      <c r="P27" s="53">
        <f t="shared" si="4"/>
        <v>932555.7009899586</v>
      </c>
    </row>
    <row r="28" spans="1:16">
      <c r="A28" t="s">
        <v>47</v>
      </c>
    </row>
    <row r="29" spans="1:16">
      <c r="A29" t="s">
        <v>103</v>
      </c>
      <c r="E29" s="7">
        <v>-272917</v>
      </c>
      <c r="F29" s="7">
        <v>-294775</v>
      </c>
      <c r="G29" s="7">
        <v>-207168</v>
      </c>
      <c r="H29" s="7">
        <v>-311383</v>
      </c>
      <c r="I29" s="7">
        <v>-439888</v>
      </c>
      <c r="J29" s="7">
        <v>-384250</v>
      </c>
      <c r="K29" s="53">
        <f>BS!J19-BS!K19</f>
        <v>-455238.02747903811</v>
      </c>
      <c r="L29" s="53">
        <f>BS!K19-BS!L19</f>
        <v>-504021.70918667642</v>
      </c>
      <c r="M29" s="53">
        <f>BS!L19-BS!M19</f>
        <v>-532251.14618041273</v>
      </c>
      <c r="N29" s="53">
        <f>BS!M19-BS!N19</f>
        <v>-565202.65104415454</v>
      </c>
      <c r="O29" s="53">
        <f>BS!N19-BS!O19</f>
        <v>-600015.90626220033</v>
      </c>
      <c r="P29" s="53">
        <f>BS!O19-BS!P19</f>
        <v>-614457.8548288187</v>
      </c>
    </row>
    <row r="30" spans="1:16">
      <c r="A30" t="s">
        <v>104</v>
      </c>
      <c r="E30" s="7">
        <v>51113</v>
      </c>
      <c r="F30" s="7">
        <v>15371</v>
      </c>
      <c r="G30" s="7">
        <v>-1812</v>
      </c>
      <c r="H30" s="7">
        <v>-28992.556076872126</v>
      </c>
      <c r="I30" s="7">
        <v>-20410.64851190809</v>
      </c>
      <c r="J30" s="7">
        <v>-8117.5949959257514</v>
      </c>
    </row>
    <row r="31" spans="1:16">
      <c r="A31" t="s">
        <v>105</v>
      </c>
      <c r="E31" s="7">
        <v>-13764</v>
      </c>
      <c r="F31" s="7">
        <v>6067</v>
      </c>
      <c r="G31" s="7">
        <v>-85235</v>
      </c>
      <c r="H31" s="7">
        <v>67118.507447001874</v>
      </c>
      <c r="I31" s="7">
        <v>21297.44220202267</v>
      </c>
      <c r="J31" s="7">
        <v>-12000.451293518385</v>
      </c>
    </row>
    <row r="32" spans="1:16">
      <c r="A32" t="s">
        <v>106</v>
      </c>
      <c r="E32" s="7">
        <v>6911.9959770249843</v>
      </c>
      <c r="F32" s="7">
        <v>15406.439626665029</v>
      </c>
      <c r="G32" s="7">
        <v>115560.56439631002</v>
      </c>
      <c r="H32" s="7">
        <v>-25025.476305393968</v>
      </c>
      <c r="I32" s="7">
        <v>171387.85639828729</v>
      </c>
      <c r="J32" s="7">
        <v>157040.06603853783</v>
      </c>
    </row>
    <row r="33" spans="1:16">
      <c r="A33" t="s">
        <v>107</v>
      </c>
      <c r="E33" s="5">
        <f>SUM(E29:E32)</f>
        <v>-228656.00402297502</v>
      </c>
      <c r="F33" s="5">
        <f t="shared" ref="F33:P33" si="5">SUM(F29:F32)</f>
        <v>-257930.56037333497</v>
      </c>
      <c r="G33" s="5">
        <f t="shared" si="5"/>
        <v>-178654.43560368998</v>
      </c>
      <c r="H33" s="5">
        <f t="shared" si="5"/>
        <v>-298282.5249352642</v>
      </c>
      <c r="I33" s="5">
        <f t="shared" si="5"/>
        <v>-267613.34991159814</v>
      </c>
      <c r="J33" s="5">
        <f t="shared" si="5"/>
        <v>-247327.98025090626</v>
      </c>
      <c r="K33" s="5">
        <f t="shared" si="5"/>
        <v>-455238.02747903811</v>
      </c>
      <c r="L33" s="5">
        <f t="shared" si="5"/>
        <v>-504021.70918667642</v>
      </c>
      <c r="M33" s="5">
        <f t="shared" si="5"/>
        <v>-532251.14618041273</v>
      </c>
      <c r="N33" s="5">
        <f t="shared" si="5"/>
        <v>-565202.65104415454</v>
      </c>
      <c r="O33" s="5">
        <f t="shared" si="5"/>
        <v>-600015.90626220033</v>
      </c>
      <c r="P33" s="5">
        <f t="shared" si="5"/>
        <v>-614457.8548288187</v>
      </c>
    </row>
    <row r="35" spans="1:16">
      <c r="A35" t="s">
        <v>108</v>
      </c>
      <c r="E35" s="7">
        <v>-32652</v>
      </c>
      <c r="F35" s="7">
        <v>-46617</v>
      </c>
      <c r="G35" s="7">
        <v>-18263</v>
      </c>
      <c r="H35" s="7">
        <v>-26906.238482920431</v>
      </c>
      <c r="I35" s="7">
        <v>-14438.270761109667</v>
      </c>
      <c r="J35" s="7">
        <v>-35897.516025765974</v>
      </c>
    </row>
    <row r="36" spans="1:16">
      <c r="A36" t="s">
        <v>109</v>
      </c>
      <c r="E36" s="7">
        <v>-411</v>
      </c>
      <c r="F36" s="7">
        <v>98694</v>
      </c>
      <c r="G36" s="7">
        <v>519836</v>
      </c>
      <c r="H36" s="7">
        <v>-1139.4422120881761</v>
      </c>
      <c r="I36" s="7">
        <v>51662.735358559999</v>
      </c>
      <c r="J36" s="7">
        <v>-495.78693824999999</v>
      </c>
    </row>
    <row r="37" spans="1:16">
      <c r="A37" s="70" t="s">
        <v>110</v>
      </c>
      <c r="E37" s="7">
        <v>-26874</v>
      </c>
      <c r="F37" s="7">
        <v>98101</v>
      </c>
      <c r="G37" s="7">
        <v>-117140</v>
      </c>
      <c r="H37" s="7">
        <v>-35658.522018390002</v>
      </c>
      <c r="I37" s="7">
        <v>63647.902149770031</v>
      </c>
      <c r="J37" s="7">
        <v>-70972.46688993006</v>
      </c>
      <c r="K37" s="53">
        <f>BS!K33-BS!J33</f>
        <v>0</v>
      </c>
      <c r="L37" s="53">
        <f>BS!L33-BS!K33</f>
        <v>0</v>
      </c>
      <c r="M37" s="53">
        <f>BS!M33-BS!L33</f>
        <v>0</v>
      </c>
      <c r="N37" s="53">
        <f>BS!N33-BS!M33</f>
        <v>0</v>
      </c>
      <c r="O37" s="53">
        <f>BS!O33-BS!N33</f>
        <v>0</v>
      </c>
      <c r="P37" s="53">
        <f>BS!P33-BS!O33</f>
        <v>0</v>
      </c>
    </row>
    <row r="38" spans="1:16">
      <c r="A38" s="70" t="s">
        <v>111</v>
      </c>
      <c r="E38" s="7">
        <v>66947</v>
      </c>
      <c r="F38" s="7">
        <v>-7347</v>
      </c>
      <c r="G38" s="7">
        <v>-7470</v>
      </c>
      <c r="H38" s="7">
        <v>-82503.569991742246</v>
      </c>
      <c r="I38" s="7">
        <v>-226501.4778719212</v>
      </c>
      <c r="J38" s="7">
        <v>-42150.741238204093</v>
      </c>
      <c r="K38" s="53">
        <f>BS!K41-BS!J41</f>
        <v>-40105.157468366611</v>
      </c>
      <c r="L38" s="53">
        <f>BS!L41-BS!K41</f>
        <v>-40105.157468366611</v>
      </c>
      <c r="M38" s="53">
        <f>BS!M41-BS!L41</f>
        <v>-40105.157468366611</v>
      </c>
      <c r="N38" s="53">
        <f>BS!N41-BS!M41</f>
        <v>-40105.157468366611</v>
      </c>
      <c r="O38" s="53">
        <f>BS!O41-BS!N41</f>
        <v>-40105.157468366611</v>
      </c>
      <c r="P38" s="53">
        <f>BS!P41-BS!O41</f>
        <v>-40105.157468366611</v>
      </c>
    </row>
    <row r="39" spans="1:16">
      <c r="A39" s="70" t="s">
        <v>120</v>
      </c>
      <c r="E39" s="7"/>
      <c r="F39" s="7"/>
      <c r="G39" s="7"/>
      <c r="H39" s="7"/>
      <c r="I39" s="7"/>
      <c r="J39" s="7"/>
      <c r="K39" s="53">
        <f>BS!K43-BS!J43</f>
        <v>-114718.34956729994</v>
      </c>
      <c r="L39" s="53">
        <f>BS!L43-BS!K43</f>
        <v>-114718.34956729994</v>
      </c>
      <c r="M39" s="53">
        <f>BS!M43-BS!L43</f>
        <v>-114718.34956729994</v>
      </c>
      <c r="N39" s="53">
        <f>BS!N43-BS!M43</f>
        <v>-114718.34956729994</v>
      </c>
      <c r="O39" s="53">
        <f>BS!O43-BS!N43</f>
        <v>-114718.34956729994</v>
      </c>
      <c r="P39" s="53">
        <f>BS!P43-BS!O43</f>
        <v>-114718.34956729994</v>
      </c>
    </row>
    <row r="40" spans="1:16">
      <c r="A40" t="s">
        <v>112</v>
      </c>
      <c r="E40" s="7"/>
      <c r="F40" s="7"/>
      <c r="G40" s="7"/>
      <c r="H40" s="7"/>
      <c r="I40" s="7"/>
      <c r="J40" s="7"/>
    </row>
    <row r="41" spans="1:16">
      <c r="A41" t="s">
        <v>113</v>
      </c>
      <c r="E41" s="7">
        <v>-3911</v>
      </c>
      <c r="F41" s="7">
        <v>20</v>
      </c>
      <c r="G41" s="7">
        <v>-106216</v>
      </c>
      <c r="H41" s="7">
        <v>-55087.978595980559</v>
      </c>
      <c r="I41" s="7">
        <v>-1461.3123520709778</v>
      </c>
      <c r="J41" s="7">
        <v>-80804.589085153013</v>
      </c>
    </row>
    <row r="42" spans="1:16">
      <c r="A42" t="s">
        <v>114</v>
      </c>
      <c r="E42" s="5">
        <f>SUM(E35:E41)</f>
        <v>3099</v>
      </c>
      <c r="F42" s="5">
        <f t="shared" ref="F42:P42" si="6">SUM(F35:F41)</f>
        <v>142851</v>
      </c>
      <c r="G42" s="5">
        <f t="shared" si="6"/>
        <v>270747</v>
      </c>
      <c r="H42" s="5">
        <f t="shared" si="6"/>
        <v>-201295.75130112143</v>
      </c>
      <c r="I42" s="5">
        <f t="shared" si="6"/>
        <v>-127090.42347677182</v>
      </c>
      <c r="J42" s="5">
        <f t="shared" si="6"/>
        <v>-230321.10017730313</v>
      </c>
      <c r="K42" s="5">
        <f t="shared" si="6"/>
        <v>-154823.50703566655</v>
      </c>
      <c r="L42" s="5">
        <f t="shared" si="6"/>
        <v>-154823.50703566655</v>
      </c>
      <c r="M42" s="5">
        <f t="shared" si="6"/>
        <v>-154823.50703566655</v>
      </c>
      <c r="N42" s="5">
        <f t="shared" si="6"/>
        <v>-154823.50703566655</v>
      </c>
      <c r="O42" s="5">
        <f t="shared" si="6"/>
        <v>-154823.50703566655</v>
      </c>
      <c r="P42" s="5">
        <f t="shared" si="6"/>
        <v>-154823.50703566655</v>
      </c>
    </row>
    <row r="44" spans="1:16">
      <c r="A44" t="s">
        <v>115</v>
      </c>
      <c r="E44" s="5">
        <f>E42+E33+E27</f>
        <v>28939.995977024984</v>
      </c>
      <c r="F44" s="5">
        <f t="shared" ref="F44:P44" si="7">F42+F33+F27</f>
        <v>6629.4396266650292</v>
      </c>
      <c r="G44" s="5">
        <f t="shared" si="7"/>
        <v>163386.56439631002</v>
      </c>
      <c r="H44" s="5">
        <f t="shared" si="7"/>
        <v>-149897.137584279</v>
      </c>
      <c r="I44" s="5">
        <f t="shared" si="7"/>
        <v>-48503.453394721029</v>
      </c>
      <c r="J44" s="5">
        <f t="shared" si="7"/>
        <v>36225.305663130013</v>
      </c>
      <c r="K44" s="5">
        <f t="shared" si="7"/>
        <v>-72799.198584262747</v>
      </c>
      <c r="L44" s="5">
        <f t="shared" si="7"/>
        <v>-27334.569564373232</v>
      </c>
      <c r="M44" s="5">
        <f t="shared" si="7"/>
        <v>5176.5019963104278</v>
      </c>
      <c r="N44" s="5">
        <f t="shared" si="7"/>
        <v>60467.928557331325</v>
      </c>
      <c r="O44" s="5">
        <f t="shared" si="7"/>
        <v>118271.00909675844</v>
      </c>
      <c r="P44" s="5">
        <f t="shared" si="7"/>
        <v>163274.33912547329</v>
      </c>
    </row>
    <row r="46" spans="1:16">
      <c r="A46" t="s">
        <v>121</v>
      </c>
      <c r="E46" s="5">
        <f>BS!E8</f>
        <v>47886</v>
      </c>
      <c r="F46" s="5">
        <f>BS!F8</f>
        <v>62121</v>
      </c>
      <c r="G46" s="5">
        <f>BS!G8</f>
        <v>135507</v>
      </c>
      <c r="H46" s="5">
        <f>BS!H8</f>
        <v>80859</v>
      </c>
      <c r="I46" s="5">
        <f>BS!I8</f>
        <v>60959</v>
      </c>
      <c r="J46" s="5">
        <f>BS!J8</f>
        <v>71794.185427429999</v>
      </c>
      <c r="K46" s="53">
        <f>J46+K44</f>
        <v>-1005.0131568327488</v>
      </c>
      <c r="L46" s="53">
        <f t="shared" ref="L46:P46" si="8">K46+L44</f>
        <v>-28339.582721205981</v>
      </c>
      <c r="M46" s="53">
        <f t="shared" si="8"/>
        <v>-23163.080724895553</v>
      </c>
      <c r="N46" s="53">
        <f t="shared" si="8"/>
        <v>37304.847832435771</v>
      </c>
      <c r="O46" s="53">
        <f t="shared" si="8"/>
        <v>155575.85692919421</v>
      </c>
      <c r="P46" s="53">
        <f t="shared" si="8"/>
        <v>318850.19605466747</v>
      </c>
    </row>
  </sheetData>
  <pageMargins left="0.7" right="0.7" top="0.75" bottom="0.75" header="0.3" footer="0.3"/>
  <ignoredErrors>
    <ignoredError sqref="E13:J13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CD016-3A2D-400F-B9BC-24D7A95FFC85}">
  <dimension ref="F13:G17"/>
  <sheetViews>
    <sheetView workbookViewId="0">
      <selection activeCell="F13" sqref="F13:G17"/>
    </sheetView>
  </sheetViews>
  <sheetFormatPr defaultRowHeight="14.25"/>
  <sheetData>
    <row r="13" spans="6:7">
      <c r="G13" t="s">
        <v>132</v>
      </c>
    </row>
    <row r="14" spans="6:7">
      <c r="F14" t="s">
        <v>130</v>
      </c>
      <c r="G14" t="s">
        <v>131</v>
      </c>
    </row>
    <row r="15" spans="6:7">
      <c r="F15" t="s">
        <v>133</v>
      </c>
      <c r="G15" t="s">
        <v>134</v>
      </c>
    </row>
    <row r="16" spans="6:7">
      <c r="F16" t="s">
        <v>133</v>
      </c>
      <c r="G16" t="s">
        <v>135</v>
      </c>
    </row>
    <row r="17" spans="7:7">
      <c r="G17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37F6-71F8-4933-86F3-DC6C09EC5D83}">
  <dimension ref="A1:Q140"/>
  <sheetViews>
    <sheetView showGridLines="0" topLeftCell="A76" workbookViewId="0">
      <selection activeCell="A6" sqref="A6:A18"/>
    </sheetView>
  </sheetViews>
  <sheetFormatPr defaultRowHeight="14.25"/>
  <cols>
    <col min="1" max="1" width="36.1328125" customWidth="1"/>
    <col min="5" max="6" width="10.86328125" style="1" customWidth="1"/>
    <col min="7" max="7" width="16.53125" style="1" customWidth="1"/>
    <col min="8" max="8" width="12.46484375" style="1" customWidth="1"/>
    <col min="9" max="9" width="13.19921875" style="1" customWidth="1"/>
    <col min="10" max="10" width="13.265625" style="1" bestFit="1" customWidth="1"/>
    <col min="11" max="11" width="15.265625" customWidth="1"/>
    <col min="12" max="12" width="19.86328125" bestFit="1" customWidth="1"/>
    <col min="13" max="14" width="13.33203125" bestFit="1" customWidth="1"/>
    <col min="15" max="15" width="22.19921875" customWidth="1"/>
    <col min="16" max="16" width="13.33203125" bestFit="1" customWidth="1"/>
    <col min="17" max="17" width="10.796875" bestFit="1" customWidth="1"/>
  </cols>
  <sheetData>
    <row r="1" spans="1:16" ht="36" customHeight="1">
      <c r="A1" s="132" t="s">
        <v>118</v>
      </c>
    </row>
    <row r="2" spans="1:16">
      <c r="A2" s="132" t="s">
        <v>119</v>
      </c>
    </row>
    <row r="3" spans="1:16">
      <c r="A3" s="132" t="s">
        <v>123</v>
      </c>
    </row>
    <row r="4" spans="1:16">
      <c r="A4" s="132"/>
    </row>
    <row r="5" spans="1:16" s="81" customFormat="1">
      <c r="A5" s="133" t="s">
        <v>0</v>
      </c>
      <c r="E5" s="82">
        <v>43190</v>
      </c>
      <c r="F5" s="82">
        <f t="shared" ref="F5:P5" si="0">EDATE(E5,12)</f>
        <v>43555</v>
      </c>
      <c r="G5" s="82">
        <f t="shared" si="0"/>
        <v>43921</v>
      </c>
      <c r="H5" s="82">
        <f t="shared" si="0"/>
        <v>44286</v>
      </c>
      <c r="I5" s="82">
        <f t="shared" si="0"/>
        <v>44651</v>
      </c>
      <c r="J5" s="82">
        <f t="shared" si="0"/>
        <v>45016</v>
      </c>
      <c r="K5" s="82">
        <f t="shared" si="0"/>
        <v>45382</v>
      </c>
      <c r="L5" s="82">
        <f t="shared" si="0"/>
        <v>45747</v>
      </c>
      <c r="M5" s="82">
        <f t="shared" si="0"/>
        <v>46112</v>
      </c>
      <c r="N5" s="82">
        <f t="shared" si="0"/>
        <v>46477</v>
      </c>
      <c r="O5" s="82">
        <f t="shared" si="0"/>
        <v>46843</v>
      </c>
      <c r="P5" s="82">
        <f t="shared" si="0"/>
        <v>47208</v>
      </c>
    </row>
    <row r="6" spans="1:16" s="27" customFormat="1">
      <c r="A6" s="134" t="s">
        <v>1</v>
      </c>
      <c r="E6" s="83">
        <f t="shared" ref="E6:P6" si="1">YEAR(E5)</f>
        <v>2018</v>
      </c>
      <c r="F6" s="83">
        <f t="shared" si="1"/>
        <v>2019</v>
      </c>
      <c r="G6" s="83">
        <f t="shared" si="1"/>
        <v>2020</v>
      </c>
      <c r="H6" s="83">
        <f t="shared" si="1"/>
        <v>2021</v>
      </c>
      <c r="I6" s="83">
        <f t="shared" si="1"/>
        <v>2022</v>
      </c>
      <c r="J6" s="83">
        <f t="shared" si="1"/>
        <v>2023</v>
      </c>
      <c r="K6" s="83">
        <f t="shared" si="1"/>
        <v>2024</v>
      </c>
      <c r="L6" s="84">
        <f t="shared" si="1"/>
        <v>2025</v>
      </c>
      <c r="M6" s="84">
        <f t="shared" si="1"/>
        <v>2026</v>
      </c>
      <c r="N6" s="84">
        <f t="shared" si="1"/>
        <v>2027</v>
      </c>
      <c r="O6" s="84">
        <f t="shared" si="1"/>
        <v>2028</v>
      </c>
      <c r="P6" s="84">
        <f t="shared" si="1"/>
        <v>2029</v>
      </c>
    </row>
    <row r="7" spans="1:16">
      <c r="A7" s="132"/>
    </row>
    <row r="8" spans="1:16">
      <c r="A8" s="132"/>
    </row>
    <row r="9" spans="1:16">
      <c r="A9" s="135" t="s">
        <v>6</v>
      </c>
      <c r="E9" s="28">
        <f>SUM(E10:E12)</f>
        <v>668248</v>
      </c>
      <c r="F9" s="28">
        <f t="shared" ref="F9:P9" si="2">SUM(F10:F12)</f>
        <v>635002.04339354916</v>
      </c>
      <c r="G9" s="28">
        <f t="shared" si="2"/>
        <v>706388</v>
      </c>
      <c r="H9" s="28">
        <f t="shared" si="2"/>
        <v>848554.89870756189</v>
      </c>
      <c r="I9" s="28">
        <f t="shared" si="2"/>
        <v>984886.52736152697</v>
      </c>
      <c r="J9" s="28">
        <f t="shared" si="2"/>
        <v>1184853.8216523381</v>
      </c>
      <c r="K9" s="28">
        <f t="shared" si="2"/>
        <v>1260161</v>
      </c>
      <c r="L9" s="28">
        <f t="shared" si="2"/>
        <v>1455597.3460325098</v>
      </c>
      <c r="M9" s="28">
        <f t="shared" si="2"/>
        <v>1592922.0277052722</v>
      </c>
      <c r="N9" s="28">
        <f t="shared" si="2"/>
        <v>1757295.4917015417</v>
      </c>
      <c r="O9" s="28">
        <f t="shared" si="2"/>
        <v>1940435.0338582152</v>
      </c>
      <c r="P9" s="28">
        <f t="shared" si="2"/>
        <v>2138513.8503098101</v>
      </c>
    </row>
    <row r="10" spans="1:16">
      <c r="A10" s="136" t="s">
        <v>7</v>
      </c>
      <c r="E10" s="7">
        <v>462639</v>
      </c>
      <c r="F10" s="7">
        <v>415540</v>
      </c>
      <c r="G10" s="7">
        <v>459663</v>
      </c>
      <c r="H10" s="7">
        <v>555675.98042100004</v>
      </c>
      <c r="I10" s="7">
        <v>630404.69781557505</v>
      </c>
      <c r="J10" s="7">
        <v>759245.95304000017</v>
      </c>
      <c r="K10" s="93">
        <f>K64</f>
        <v>850488</v>
      </c>
      <c r="L10" s="93">
        <f t="shared" ref="L10:P10" si="3">L64</f>
        <v>991113.74926304817</v>
      </c>
      <c r="M10" s="93">
        <f t="shared" si="3"/>
        <v>1084676.932944814</v>
      </c>
      <c r="N10" s="93">
        <f t="shared" si="3"/>
        <v>1205068.0306609077</v>
      </c>
      <c r="O10" s="93">
        <f t="shared" si="3"/>
        <v>1338359.3080580558</v>
      </c>
      <c r="P10" s="93">
        <f t="shared" si="3"/>
        <v>1485899.9579983286</v>
      </c>
    </row>
    <row r="11" spans="1:16">
      <c r="A11" s="136" t="s">
        <v>8</v>
      </c>
      <c r="E11" s="7">
        <v>201564</v>
      </c>
      <c r="F11" s="7">
        <v>215026.04339354919</v>
      </c>
      <c r="G11" s="7">
        <v>242173</v>
      </c>
      <c r="H11" s="7">
        <v>288632.17277511995</v>
      </c>
      <c r="I11" s="7">
        <v>350613.21104285301</v>
      </c>
      <c r="J11" s="7">
        <v>422664.16404896497</v>
      </c>
      <c r="K11" s="161">
        <f>K105*K103</f>
        <v>405900</v>
      </c>
      <c r="L11" s="161">
        <f t="shared" ref="L11:P11" si="4">L105*L103</f>
        <v>460704.71675902803</v>
      </c>
      <c r="M11" s="161">
        <f t="shared" si="4"/>
        <v>504460.3255759218</v>
      </c>
      <c r="N11" s="161">
        <f t="shared" si="4"/>
        <v>548436.79350404534</v>
      </c>
      <c r="O11" s="161">
        <f t="shared" si="4"/>
        <v>598279.15071926464</v>
      </c>
      <c r="P11" s="161">
        <f t="shared" si="4"/>
        <v>648811.40047970228</v>
      </c>
    </row>
    <row r="12" spans="1:16">
      <c r="A12" s="137" t="s">
        <v>9</v>
      </c>
      <c r="E12" s="30">
        <v>4045</v>
      </c>
      <c r="F12" s="30">
        <v>4436</v>
      </c>
      <c r="G12" s="30">
        <v>4552</v>
      </c>
      <c r="H12" s="30">
        <v>4246.745511442</v>
      </c>
      <c r="I12" s="30">
        <v>3868.618503099</v>
      </c>
      <c r="J12" s="30">
        <v>2943.7045633729995</v>
      </c>
      <c r="K12" s="30">
        <v>3773</v>
      </c>
      <c r="L12" s="5">
        <f>L139</f>
        <v>3778.880010433671</v>
      </c>
      <c r="M12" s="5">
        <f t="shared" ref="M12:P12" si="5">M139</f>
        <v>3784.7691845362265</v>
      </c>
      <c r="N12" s="5">
        <f t="shared" si="5"/>
        <v>3790.6675365887336</v>
      </c>
      <c r="O12" s="5">
        <f t="shared" si="5"/>
        <v>3796.5750808945168</v>
      </c>
      <c r="P12" s="5">
        <f t="shared" si="5"/>
        <v>3802.4918317791908</v>
      </c>
    </row>
    <row r="13" spans="1:16">
      <c r="A13" s="138" t="s">
        <v>10</v>
      </c>
      <c r="E13" s="7">
        <v>25265</v>
      </c>
      <c r="F13" s="7">
        <v>22391</v>
      </c>
      <c r="G13" s="7">
        <v>22451</v>
      </c>
      <c r="H13" s="7">
        <v>23341.933045999998</v>
      </c>
      <c r="I13" s="7">
        <v>30389.929562999998</v>
      </c>
      <c r="J13" s="7">
        <v>40472.51182</v>
      </c>
      <c r="K13" s="5">
        <f>L74</f>
        <v>49701</v>
      </c>
      <c r="L13" s="5">
        <f t="shared" ref="L13:P13" si="6">M74</f>
        <v>57155.160020062205</v>
      </c>
      <c r="M13" s="5">
        <f t="shared" si="6"/>
        <v>62571.438527086691</v>
      </c>
      <c r="N13" s="5">
        <f t="shared" si="6"/>
        <v>68741.804941339011</v>
      </c>
      <c r="O13" s="5">
        <f t="shared" si="6"/>
        <v>76042.30992742216</v>
      </c>
      <c r="P13" s="5">
        <f t="shared" si="6"/>
        <v>0</v>
      </c>
    </row>
    <row r="14" spans="1:16">
      <c r="A14" s="138" t="s">
        <v>11</v>
      </c>
      <c r="E14" s="7">
        <v>113218</v>
      </c>
      <c r="F14" s="7">
        <v>124537</v>
      </c>
      <c r="G14" s="7">
        <v>132331</v>
      </c>
      <c r="H14" s="7">
        <v>144075.25696414802</v>
      </c>
      <c r="I14" s="7">
        <v>160701.52913201202</v>
      </c>
      <c r="J14" s="7">
        <v>185930.360923548</v>
      </c>
      <c r="K14" s="94">
        <f t="shared" ref="K14:P14" si="7">K89</f>
        <v>208209</v>
      </c>
      <c r="L14" s="94">
        <f t="shared" si="7"/>
        <v>230540.18892675141</v>
      </c>
      <c r="M14" s="94">
        <f t="shared" si="7"/>
        <v>255266.48084560336</v>
      </c>
      <c r="N14" s="94">
        <f t="shared" si="7"/>
        <v>282644.75945234054</v>
      </c>
      <c r="O14" s="94">
        <f t="shared" si="7"/>
        <v>312959.46017366584</v>
      </c>
      <c r="P14" s="94">
        <f t="shared" si="7"/>
        <v>346525.52519272006</v>
      </c>
    </row>
    <row r="15" spans="1:16">
      <c r="A15" s="138" t="s">
        <v>12</v>
      </c>
      <c r="E15" s="7">
        <v>66284</v>
      </c>
      <c r="F15" s="7">
        <v>68185</v>
      </c>
      <c r="G15" s="7">
        <v>67423</v>
      </c>
      <c r="H15" s="7">
        <v>34084.008104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</row>
    <row r="16" spans="1:16">
      <c r="A16" s="138" t="s">
        <v>13</v>
      </c>
      <c r="E16" s="7">
        <v>37570</v>
      </c>
      <c r="F16" s="7">
        <v>41001</v>
      </c>
      <c r="G16" s="7">
        <v>29239</v>
      </c>
      <c r="H16" s="7">
        <v>30561.914819000001</v>
      </c>
      <c r="I16" s="7">
        <v>31537.748581</v>
      </c>
      <c r="J16" s="7">
        <v>29450.495275000001</v>
      </c>
      <c r="K16" s="5">
        <f>K92</f>
        <v>30448</v>
      </c>
      <c r="L16" s="5">
        <f t="shared" ref="L16:P16" si="8">L92</f>
        <v>31538.816199376946</v>
      </c>
      <c r="M16" s="5">
        <f t="shared" si="8"/>
        <v>31884.083239875396</v>
      </c>
      <c r="N16" s="5">
        <f t="shared" si="8"/>
        <v>32376.171769470406</v>
      </c>
      <c r="O16" s="5">
        <f t="shared" si="8"/>
        <v>32990.062377258575</v>
      </c>
      <c r="P16" s="5">
        <f t="shared" si="8"/>
        <v>33407.544592180697</v>
      </c>
    </row>
    <row r="17" spans="1:16">
      <c r="A17" s="135" t="s">
        <v>14</v>
      </c>
      <c r="E17" s="30">
        <v>4009</v>
      </c>
      <c r="F17" s="30">
        <v>1163</v>
      </c>
      <c r="G17" s="30">
        <v>50</v>
      </c>
      <c r="H17" s="30">
        <v>123</v>
      </c>
      <c r="I17" s="30">
        <v>355</v>
      </c>
      <c r="J17" s="30">
        <v>855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>
      <c r="A18" s="139" t="s">
        <v>15</v>
      </c>
      <c r="E18" s="5">
        <f>E9+SUM(E13:E17)</f>
        <v>914594</v>
      </c>
      <c r="F18" s="5">
        <f t="shared" ref="F18:J18" si="9">F9+SUM(F13:F17)</f>
        <v>892279.04339354916</v>
      </c>
      <c r="G18" s="5">
        <f t="shared" si="9"/>
        <v>957882</v>
      </c>
      <c r="H18" s="5">
        <f t="shared" si="9"/>
        <v>1080741.0116407098</v>
      </c>
      <c r="I18" s="5">
        <f t="shared" si="9"/>
        <v>1207870.7346375389</v>
      </c>
      <c r="J18" s="5">
        <f t="shared" si="9"/>
        <v>1441562.1896708861</v>
      </c>
      <c r="K18" s="5">
        <f t="shared" ref="K18:P18" si="10">K9+SUM(K13:K17)</f>
        <v>1548519</v>
      </c>
      <c r="L18" s="5">
        <f t="shared" si="10"/>
        <v>1774831.5111787003</v>
      </c>
      <c r="M18" s="5">
        <f t="shared" si="10"/>
        <v>1942644.0303178376</v>
      </c>
      <c r="N18" s="5">
        <f t="shared" si="10"/>
        <v>2141058.2278646915</v>
      </c>
      <c r="O18" s="5">
        <f t="shared" si="10"/>
        <v>2362426.8663365617</v>
      </c>
      <c r="P18" s="5">
        <f t="shared" si="10"/>
        <v>2518446.9200947108</v>
      </c>
    </row>
    <row r="19" spans="1:16">
      <c r="A19" s="140" t="s">
        <v>16</v>
      </c>
      <c r="F19" s="6">
        <f>F18/E18-1</f>
        <v>-2.4398756832486157E-2</v>
      </c>
      <c r="G19" s="6">
        <f t="shared" ref="G19:J19" si="11">G18/F18-1</f>
        <v>7.3522915384123699E-2</v>
      </c>
      <c r="H19" s="6">
        <f t="shared" si="11"/>
        <v>0.12826111320675171</v>
      </c>
      <c r="I19" s="6">
        <f t="shared" si="11"/>
        <v>0.1176319965907735</v>
      </c>
      <c r="J19" s="6">
        <f t="shared" si="11"/>
        <v>0.19347389445897445</v>
      </c>
      <c r="K19" s="6">
        <f t="shared" ref="K19" si="12">K18/J18-1</f>
        <v>7.419507191259811E-2</v>
      </c>
      <c r="L19" s="6">
        <f t="shared" ref="L19" si="13">L18/K18-1</f>
        <v>0.14614771351123257</v>
      </c>
      <c r="M19" s="6">
        <f t="shared" ref="M19" si="14">M18/L18-1</f>
        <v>9.4551239417475674E-2</v>
      </c>
      <c r="N19" s="6">
        <f t="shared" ref="N19" si="15">N18/M18-1</f>
        <v>0.10213615796322251</v>
      </c>
      <c r="O19" s="6">
        <f t="shared" ref="O19" si="16">O18/N18-1</f>
        <v>0.10339216168475929</v>
      </c>
      <c r="P19" s="6">
        <f t="shared" ref="P19" si="17">P18/O18-1</f>
        <v>6.6042278802937338E-2</v>
      </c>
    </row>
    <row r="20" spans="1:16">
      <c r="A20" s="132"/>
    </row>
    <row r="21" spans="1:16">
      <c r="A21" s="132"/>
    </row>
    <row r="22" spans="1:16">
      <c r="A22" s="141" t="s">
        <v>163</v>
      </c>
    </row>
    <row r="23" spans="1:16">
      <c r="A23" s="132"/>
    </row>
    <row r="24" spans="1:16">
      <c r="A24" s="133" t="s">
        <v>137</v>
      </c>
      <c r="B24" s="81"/>
      <c r="C24" s="81"/>
      <c r="D24" s="81"/>
      <c r="E24" s="95">
        <v>1183.4100000000001</v>
      </c>
      <c r="F24" s="95">
        <v>1161.8</v>
      </c>
      <c r="G24" s="95">
        <v>1157</v>
      </c>
      <c r="H24" s="95">
        <v>1181</v>
      </c>
      <c r="I24" s="96">
        <v>1142.0899999999999</v>
      </c>
      <c r="J24" s="85">
        <v>1143.9000000000001</v>
      </c>
      <c r="K24" s="97">
        <v>1165.49</v>
      </c>
      <c r="L24" s="98">
        <f>K24+L25</f>
        <v>1155.49</v>
      </c>
      <c r="M24" s="98">
        <f t="shared" ref="M24:P24" si="18">L24+M25</f>
        <v>1178.5998</v>
      </c>
      <c r="N24" s="98">
        <f t="shared" si="18"/>
        <v>1202.1717959999999</v>
      </c>
      <c r="O24" s="98">
        <f t="shared" si="18"/>
        <v>1226.21523192</v>
      </c>
      <c r="P24" s="99">
        <f t="shared" si="18"/>
        <v>1250.7395365584</v>
      </c>
    </row>
    <row r="25" spans="1:16">
      <c r="A25" s="134" t="s">
        <v>138</v>
      </c>
      <c r="B25" s="27"/>
      <c r="C25" s="27"/>
      <c r="D25" s="27"/>
      <c r="E25" s="100"/>
      <c r="F25" s="100">
        <f>F24-E24</f>
        <v>-21.610000000000127</v>
      </c>
      <c r="G25" s="100">
        <f t="shared" ref="G25:K25" si="19">G24-F24</f>
        <v>-4.7999999999999545</v>
      </c>
      <c r="H25" s="100">
        <f t="shared" si="19"/>
        <v>24</v>
      </c>
      <c r="I25" s="100">
        <f t="shared" si="19"/>
        <v>-38.910000000000082</v>
      </c>
      <c r="J25" s="100">
        <f t="shared" si="19"/>
        <v>1.8100000000001728</v>
      </c>
      <c r="K25" s="100">
        <f t="shared" si="19"/>
        <v>21.589999999999918</v>
      </c>
      <c r="L25" s="101">
        <v>-10</v>
      </c>
      <c r="M25" s="102">
        <f>2%*L24</f>
        <v>23.1098</v>
      </c>
      <c r="N25" s="102">
        <f t="shared" ref="N25:P25" si="20">2%*M24</f>
        <v>23.571995999999999</v>
      </c>
      <c r="O25" s="102">
        <f t="shared" si="20"/>
        <v>24.043435919999997</v>
      </c>
      <c r="P25" s="103">
        <f t="shared" si="20"/>
        <v>24.5243046384</v>
      </c>
    </row>
    <row r="26" spans="1:16">
      <c r="A26" s="132"/>
      <c r="E26" s="73"/>
      <c r="F26" s="73"/>
      <c r="G26" s="73"/>
      <c r="H26" s="73"/>
      <c r="I26" s="73"/>
      <c r="J26" s="71"/>
      <c r="K26" s="72"/>
    </row>
    <row r="27" spans="1:16">
      <c r="A27" s="132" t="s">
        <v>139</v>
      </c>
      <c r="E27" s="104">
        <v>394.65</v>
      </c>
      <c r="F27" s="104">
        <v>544.9</v>
      </c>
      <c r="G27" s="104">
        <v>668.3</v>
      </c>
      <c r="H27" s="104">
        <v>755.4</v>
      </c>
      <c r="I27" s="105">
        <v>761.05</v>
      </c>
      <c r="J27" s="1">
        <v>813.1</v>
      </c>
      <c r="K27" s="106">
        <v>884.01</v>
      </c>
    </row>
    <row r="28" spans="1:16">
      <c r="A28" s="132" t="s">
        <v>138</v>
      </c>
      <c r="E28" s="104"/>
      <c r="F28" s="104">
        <f>F27-E27</f>
        <v>150.25</v>
      </c>
      <c r="G28" s="104">
        <f t="shared" ref="G28:K28" si="21">G27-F27</f>
        <v>123.39999999999998</v>
      </c>
      <c r="H28" s="104">
        <f t="shared" si="21"/>
        <v>87.100000000000023</v>
      </c>
      <c r="I28" s="104">
        <f t="shared" si="21"/>
        <v>5.6499999999999773</v>
      </c>
      <c r="J28" s="104">
        <f t="shared" si="21"/>
        <v>52.050000000000068</v>
      </c>
      <c r="K28" s="104">
        <f t="shared" si="21"/>
        <v>70.909999999999968</v>
      </c>
    </row>
    <row r="29" spans="1:16">
      <c r="A29" s="132"/>
      <c r="E29" s="104"/>
      <c r="F29" s="104"/>
      <c r="G29" s="104"/>
      <c r="H29" s="104"/>
      <c r="I29" s="104"/>
      <c r="K29" s="106"/>
    </row>
    <row r="30" spans="1:16">
      <c r="A30" s="132" t="s">
        <v>140</v>
      </c>
      <c r="E30" s="107">
        <f>E27/E24</f>
        <v>0.33348543615484061</v>
      </c>
      <c r="F30" s="107">
        <f t="shared" ref="F30:K30" si="22">F27/F24</f>
        <v>0.46901359958684802</v>
      </c>
      <c r="G30" s="107">
        <f t="shared" si="22"/>
        <v>0.57761452031114946</v>
      </c>
      <c r="H30" s="107">
        <f t="shared" si="22"/>
        <v>0.63962743437764602</v>
      </c>
      <c r="I30" s="107">
        <f t="shared" si="22"/>
        <v>0.6663660482098609</v>
      </c>
      <c r="J30" s="107">
        <f t="shared" si="22"/>
        <v>0.71081388233237164</v>
      </c>
      <c r="K30" s="107">
        <f t="shared" si="22"/>
        <v>0.75848784631356769</v>
      </c>
    </row>
    <row r="31" spans="1:16">
      <c r="A31" s="132"/>
      <c r="E31" s="73"/>
      <c r="F31" s="73"/>
      <c r="G31" s="73"/>
      <c r="H31" s="73"/>
      <c r="I31" s="73"/>
      <c r="J31" s="71"/>
      <c r="K31" s="72"/>
    </row>
    <row r="32" spans="1:16">
      <c r="A32" s="133" t="s">
        <v>141</v>
      </c>
      <c r="B32" s="81"/>
      <c r="C32" s="81"/>
      <c r="D32" s="81"/>
      <c r="E32" s="87"/>
      <c r="F32" s="87"/>
      <c r="G32" s="87"/>
      <c r="H32" s="87"/>
      <c r="I32" s="87"/>
      <c r="J32" s="88"/>
      <c r="K32" s="89"/>
      <c r="L32" s="81"/>
      <c r="M32" s="81"/>
      <c r="N32" s="81"/>
      <c r="O32" s="81"/>
      <c r="P32" s="86"/>
    </row>
    <row r="33" spans="1:16">
      <c r="A33" s="142" t="s">
        <v>142</v>
      </c>
      <c r="E33" s="104">
        <v>304.91000000000003</v>
      </c>
      <c r="F33" s="104">
        <v>325.2</v>
      </c>
      <c r="G33" s="104">
        <v>327</v>
      </c>
      <c r="H33" s="104">
        <v>352.39</v>
      </c>
      <c r="I33" s="104">
        <v>360.43</v>
      </c>
      <c r="J33" s="1">
        <v>370.9</v>
      </c>
      <c r="K33" s="106">
        <v>385.76</v>
      </c>
      <c r="L33" s="108">
        <f>L47*L$24</f>
        <v>388.22759749161293</v>
      </c>
      <c r="M33" s="108">
        <f t="shared" ref="M33:P33" si="23">M47*M$24</f>
        <v>401.88514844144521</v>
      </c>
      <c r="N33" s="108">
        <f t="shared" si="23"/>
        <v>415.93371039027409</v>
      </c>
      <c r="O33" s="108">
        <f t="shared" si="23"/>
        <v>430.38346075767959</v>
      </c>
      <c r="P33" s="109">
        <f t="shared" si="23"/>
        <v>445.24482765562522</v>
      </c>
    </row>
    <row r="34" spans="1:16">
      <c r="A34" s="142" t="s">
        <v>143</v>
      </c>
      <c r="E34" s="104">
        <v>185.96</v>
      </c>
      <c r="F34" s="104">
        <v>306.7</v>
      </c>
      <c r="G34" s="104">
        <v>382</v>
      </c>
      <c r="H34" s="104">
        <v>422.91</v>
      </c>
      <c r="I34" s="104">
        <v>403.99</v>
      </c>
      <c r="J34" s="1">
        <v>430.2</v>
      </c>
      <c r="K34" s="106">
        <v>469.73</v>
      </c>
      <c r="L34" s="108">
        <f t="shared" ref="L34:P34" si="24">L48*L$24</f>
        <v>471.47712798951517</v>
      </c>
      <c r="M34" s="108">
        <f t="shared" si="24"/>
        <v>486.79966954930546</v>
      </c>
      <c r="N34" s="108">
        <f t="shared" si="24"/>
        <v>502.54652192029158</v>
      </c>
      <c r="O34" s="108">
        <f t="shared" si="24"/>
        <v>518.72852851829748</v>
      </c>
      <c r="P34" s="109">
        <f t="shared" si="24"/>
        <v>535.35679677145538</v>
      </c>
    </row>
    <row r="35" spans="1:16">
      <c r="A35" s="134" t="s">
        <v>144</v>
      </c>
      <c r="B35" s="27"/>
      <c r="C35" s="27"/>
      <c r="D35" s="27"/>
      <c r="E35" s="100">
        <v>433.91</v>
      </c>
      <c r="F35" s="100">
        <v>394.8</v>
      </c>
      <c r="G35" s="100">
        <v>319</v>
      </c>
      <c r="H35" s="100">
        <v>283.70999999999998</v>
      </c>
      <c r="I35" s="100">
        <v>260.88</v>
      </c>
      <c r="J35" s="35">
        <v>236.8</v>
      </c>
      <c r="K35" s="110">
        <v>291.82</v>
      </c>
      <c r="L35" s="111">
        <f t="shared" ref="L35:P35" si="25">L49*L$24</f>
        <v>277.76126041321675</v>
      </c>
      <c r="M35" s="111">
        <f t="shared" si="25"/>
        <v>271.53048762148109</v>
      </c>
      <c r="N35" s="111">
        <f t="shared" si="25"/>
        <v>264.93937941391067</v>
      </c>
      <c r="O35" s="111">
        <f t="shared" si="25"/>
        <v>257.97601468298888</v>
      </c>
      <c r="P35" s="112">
        <f t="shared" si="25"/>
        <v>250.62813961106465</v>
      </c>
    </row>
    <row r="36" spans="1:16">
      <c r="A36" s="132"/>
      <c r="I36" s="71"/>
    </row>
    <row r="37" spans="1:16">
      <c r="A37" s="133" t="s">
        <v>145</v>
      </c>
      <c r="B37" s="81"/>
      <c r="C37" s="81"/>
      <c r="D37" s="81"/>
      <c r="E37" s="85"/>
      <c r="F37" s="85"/>
      <c r="G37" s="85"/>
      <c r="H37" s="85"/>
      <c r="I37" s="90"/>
      <c r="J37" s="85"/>
      <c r="K37" s="81"/>
      <c r="L37" s="81"/>
      <c r="M37" s="81"/>
      <c r="N37" s="81"/>
      <c r="O37" s="81"/>
      <c r="P37" s="86"/>
    </row>
    <row r="38" spans="1:16">
      <c r="A38" s="142" t="s">
        <v>142</v>
      </c>
      <c r="F38" s="65">
        <f>F33-E33</f>
        <v>20.289999999999964</v>
      </c>
      <c r="G38" s="65">
        <f t="shared" ref="G38:K38" si="26">G33-F33</f>
        <v>1.8000000000000114</v>
      </c>
      <c r="H38" s="65">
        <f t="shared" si="26"/>
        <v>25.389999999999986</v>
      </c>
      <c r="I38" s="65">
        <f t="shared" si="26"/>
        <v>8.0400000000000205</v>
      </c>
      <c r="J38" s="65">
        <f t="shared" si="26"/>
        <v>10.46999999999997</v>
      </c>
      <c r="K38" s="65">
        <f t="shared" si="26"/>
        <v>14.860000000000014</v>
      </c>
      <c r="L38" s="58">
        <f t="shared" ref="L38:L40" si="27">L33-K33</f>
        <v>2.4675974916129348</v>
      </c>
      <c r="M38" s="58">
        <f t="shared" ref="M38:M40" si="28">M33-L33</f>
        <v>13.657550949832284</v>
      </c>
      <c r="N38" s="58">
        <f t="shared" ref="N38:N40" si="29">N33-M33</f>
        <v>14.048561948828876</v>
      </c>
      <c r="O38" s="58">
        <f t="shared" ref="O38:O40" si="30">O33-N33</f>
        <v>14.4497503674055</v>
      </c>
      <c r="P38" s="113">
        <f t="shared" ref="P38:P40" si="31">P33-O33</f>
        <v>14.861366897945629</v>
      </c>
    </row>
    <row r="39" spans="1:16">
      <c r="A39" s="142" t="s">
        <v>143</v>
      </c>
      <c r="F39" s="65">
        <f t="shared" ref="F39:K39" si="32">F34-E34</f>
        <v>120.73999999999998</v>
      </c>
      <c r="G39" s="65">
        <f t="shared" si="32"/>
        <v>75.300000000000011</v>
      </c>
      <c r="H39" s="65">
        <f t="shared" si="32"/>
        <v>40.910000000000025</v>
      </c>
      <c r="I39" s="65">
        <f t="shared" si="32"/>
        <v>-18.920000000000016</v>
      </c>
      <c r="J39" s="65">
        <f t="shared" si="32"/>
        <v>26.20999999999998</v>
      </c>
      <c r="K39" s="65">
        <f t="shared" si="32"/>
        <v>39.53000000000003</v>
      </c>
      <c r="L39" s="58">
        <f t="shared" si="27"/>
        <v>1.7471279895151497</v>
      </c>
      <c r="M39" s="58">
        <f t="shared" si="28"/>
        <v>15.322541559790295</v>
      </c>
      <c r="N39" s="58">
        <f t="shared" si="29"/>
        <v>15.746852370986119</v>
      </c>
      <c r="O39" s="58">
        <f t="shared" si="30"/>
        <v>16.182006598005898</v>
      </c>
      <c r="P39" s="113">
        <f t="shared" si="31"/>
        <v>16.628268253157898</v>
      </c>
    </row>
    <row r="40" spans="1:16">
      <c r="A40" s="134" t="s">
        <v>144</v>
      </c>
      <c r="B40" s="27"/>
      <c r="C40" s="27"/>
      <c r="D40" s="27"/>
      <c r="E40" s="35"/>
      <c r="F40" s="68">
        <f t="shared" ref="F40:K40" si="33">F35-E35</f>
        <v>-39.110000000000014</v>
      </c>
      <c r="G40" s="68">
        <f t="shared" si="33"/>
        <v>-75.800000000000011</v>
      </c>
      <c r="H40" s="68">
        <f t="shared" si="33"/>
        <v>-35.29000000000002</v>
      </c>
      <c r="I40" s="68">
        <f t="shared" si="33"/>
        <v>-22.829999999999984</v>
      </c>
      <c r="J40" s="68">
        <f t="shared" si="33"/>
        <v>-24.079999999999984</v>
      </c>
      <c r="K40" s="68">
        <f t="shared" si="33"/>
        <v>55.019999999999982</v>
      </c>
      <c r="L40" s="114">
        <f t="shared" si="27"/>
        <v>-14.058739586783247</v>
      </c>
      <c r="M40" s="114">
        <f t="shared" si="28"/>
        <v>-6.2307727917356601</v>
      </c>
      <c r="N40" s="114">
        <f t="shared" si="29"/>
        <v>-6.5911082075704144</v>
      </c>
      <c r="O40" s="114">
        <f t="shared" si="30"/>
        <v>-6.9633647309217963</v>
      </c>
      <c r="P40" s="115">
        <f t="shared" si="31"/>
        <v>-7.3478750719242214</v>
      </c>
    </row>
    <row r="41" spans="1:16">
      <c r="A41" s="132"/>
    </row>
    <row r="42" spans="1:16">
      <c r="A42" s="132"/>
    </row>
    <row r="43" spans="1:16">
      <c r="A43" s="132"/>
    </row>
    <row r="44" spans="1:16">
      <c r="A44" s="132"/>
    </row>
    <row r="45" spans="1:16">
      <c r="A45" s="132"/>
    </row>
    <row r="46" spans="1:16">
      <c r="A46" s="133" t="s">
        <v>146</v>
      </c>
      <c r="B46" s="81"/>
      <c r="C46" s="81"/>
      <c r="D46" s="81"/>
      <c r="E46" s="85"/>
      <c r="F46" s="85"/>
      <c r="G46" s="85"/>
      <c r="H46" s="85"/>
      <c r="I46" s="85"/>
      <c r="J46" s="85"/>
      <c r="K46" s="81"/>
      <c r="L46" s="81"/>
      <c r="M46" s="81"/>
      <c r="N46" s="81"/>
      <c r="O46" s="81"/>
      <c r="P46" s="86"/>
    </row>
    <row r="47" spans="1:16">
      <c r="A47" s="142" t="s">
        <v>142</v>
      </c>
      <c r="E47" s="116">
        <f>E33/E24</f>
        <v>0.2576537294766818</v>
      </c>
      <c r="F47" s="116">
        <f t="shared" ref="F47:K47" si="34">F33/F24</f>
        <v>0.27991048373213978</v>
      </c>
      <c r="G47" s="116">
        <f t="shared" si="34"/>
        <v>0.28262748487467587</v>
      </c>
      <c r="H47" s="116">
        <f t="shared" si="34"/>
        <v>0.2983827265029636</v>
      </c>
      <c r="I47" s="116">
        <f t="shared" si="34"/>
        <v>0.31558808850440861</v>
      </c>
      <c r="J47" s="116">
        <f t="shared" si="34"/>
        <v>0.32424162951306928</v>
      </c>
      <c r="K47" s="116">
        <f t="shared" si="34"/>
        <v>0.330985250838703</v>
      </c>
      <c r="L47" s="117">
        <f>K47+0.5%</f>
        <v>0.33598525083870301</v>
      </c>
      <c r="M47" s="117">
        <f t="shared" ref="M47:P47" si="35">L47+0.5%</f>
        <v>0.34098525083870301</v>
      </c>
      <c r="N47" s="117">
        <f t="shared" si="35"/>
        <v>0.34598525083870302</v>
      </c>
      <c r="O47" s="117">
        <f t="shared" si="35"/>
        <v>0.35098525083870302</v>
      </c>
      <c r="P47" s="118">
        <f t="shared" si="35"/>
        <v>0.35598525083870303</v>
      </c>
    </row>
    <row r="48" spans="1:16">
      <c r="A48" s="142" t="s">
        <v>143</v>
      </c>
      <c r="E48" s="116">
        <f>E34/E24</f>
        <v>0.15713911493058197</v>
      </c>
      <c r="F48" s="116">
        <f t="shared" ref="F48:K48" si="36">F34/F24</f>
        <v>0.26398691685315889</v>
      </c>
      <c r="G48" s="116">
        <f t="shared" si="36"/>
        <v>0.33016421780466726</v>
      </c>
      <c r="H48" s="116">
        <f t="shared" si="36"/>
        <v>0.35809483488569011</v>
      </c>
      <c r="I48" s="116">
        <f t="shared" si="36"/>
        <v>0.35372869038341992</v>
      </c>
      <c r="J48" s="116">
        <f t="shared" si="36"/>
        <v>0.37608182533438234</v>
      </c>
      <c r="K48" s="116">
        <f t="shared" si="36"/>
        <v>0.40303220104848608</v>
      </c>
      <c r="L48" s="117">
        <f>K48+0.5%</f>
        <v>0.40803220104848609</v>
      </c>
      <c r="M48" s="117">
        <f t="shared" ref="M48:P48" si="37">L48+0.5%</f>
        <v>0.41303220104848609</v>
      </c>
      <c r="N48" s="117">
        <f t="shared" si="37"/>
        <v>0.4180322010484861</v>
      </c>
      <c r="O48" s="117">
        <f t="shared" si="37"/>
        <v>0.4230322010484861</v>
      </c>
      <c r="P48" s="118">
        <f t="shared" si="37"/>
        <v>0.42803220104848611</v>
      </c>
    </row>
    <row r="49" spans="1:16">
      <c r="A49" s="134" t="s">
        <v>144</v>
      </c>
      <c r="B49" s="27"/>
      <c r="C49" s="27"/>
      <c r="D49" s="27"/>
      <c r="E49" s="119">
        <f>E35/E24</f>
        <v>0.36666075155694139</v>
      </c>
      <c r="F49" s="119">
        <f t="shared" ref="F49:K49" si="38">F35/F24</f>
        <v>0.33981752453090036</v>
      </c>
      <c r="G49" s="119">
        <f t="shared" si="38"/>
        <v>0.27571305099394988</v>
      </c>
      <c r="H49" s="119">
        <f t="shared" si="38"/>
        <v>0.24022861981371718</v>
      </c>
      <c r="I49" s="119">
        <f t="shared" si="38"/>
        <v>0.22842332915969846</v>
      </c>
      <c r="J49" s="119">
        <f t="shared" si="38"/>
        <v>0.20701110236908821</v>
      </c>
      <c r="K49" s="119">
        <f t="shared" si="38"/>
        <v>0.25038395867832414</v>
      </c>
      <c r="L49" s="120">
        <f>K49-1%</f>
        <v>0.24038395867832413</v>
      </c>
      <c r="M49" s="120">
        <f t="shared" ref="M49:P49" si="39">L49-1%</f>
        <v>0.23038395867832412</v>
      </c>
      <c r="N49" s="120">
        <f t="shared" si="39"/>
        <v>0.22038395867832411</v>
      </c>
      <c r="O49" s="120">
        <f t="shared" si="39"/>
        <v>0.2103839586783241</v>
      </c>
      <c r="P49" s="121">
        <f t="shared" si="39"/>
        <v>0.20038395867832409</v>
      </c>
    </row>
    <row r="50" spans="1:16">
      <c r="A50" s="132"/>
    </row>
    <row r="51" spans="1:16">
      <c r="A51" s="132" t="s">
        <v>147</v>
      </c>
      <c r="E51" s="1">
        <v>670</v>
      </c>
      <c r="F51" s="1">
        <v>858</v>
      </c>
      <c r="G51" s="1">
        <v>965</v>
      </c>
      <c r="H51" s="1">
        <v>1053</v>
      </c>
      <c r="I51" s="122">
        <v>1082.7037308418614</v>
      </c>
      <c r="J51" s="1">
        <v>1122</v>
      </c>
      <c r="K51" s="1">
        <v>1158</v>
      </c>
      <c r="L51" s="1"/>
      <c r="M51" s="1"/>
      <c r="N51" s="1"/>
      <c r="O51" s="1"/>
      <c r="P51" s="1"/>
    </row>
    <row r="52" spans="1:16">
      <c r="A52" s="132" t="s">
        <v>148</v>
      </c>
      <c r="F52" s="6">
        <f>F51/E51-1</f>
        <v>0.28059701492537314</v>
      </c>
      <c r="G52" s="6">
        <f t="shared" ref="G52:K52" si="40">G51/F51-1</f>
        <v>0.12470862470862465</v>
      </c>
      <c r="H52" s="6">
        <f t="shared" si="40"/>
        <v>9.1191709844559599E-2</v>
      </c>
      <c r="I52" s="6">
        <f t="shared" si="40"/>
        <v>2.8208671264825735E-2</v>
      </c>
      <c r="J52" s="6">
        <f t="shared" si="40"/>
        <v>3.6294572595204411E-2</v>
      </c>
      <c r="K52" s="6">
        <f t="shared" si="40"/>
        <v>3.2085561497326109E-2</v>
      </c>
      <c r="L52" s="1"/>
      <c r="M52" s="1"/>
      <c r="N52" s="1"/>
      <c r="O52" s="1"/>
      <c r="P52" s="1"/>
    </row>
    <row r="53" spans="1:16">
      <c r="A53" s="132"/>
      <c r="K53" s="1"/>
      <c r="L53" s="1"/>
      <c r="M53" s="1"/>
      <c r="N53" s="1"/>
      <c r="O53" s="1"/>
      <c r="P53" s="1"/>
    </row>
    <row r="54" spans="1:16">
      <c r="A54" s="132" t="s">
        <v>149</v>
      </c>
      <c r="E54" s="75">
        <v>6.6</v>
      </c>
      <c r="F54" s="75">
        <v>11</v>
      </c>
      <c r="G54" s="75">
        <v>15</v>
      </c>
      <c r="H54" s="75">
        <v>16.8</v>
      </c>
      <c r="I54" s="76">
        <v>19.228000000000002</v>
      </c>
      <c r="J54" s="1">
        <v>20.3</v>
      </c>
      <c r="K54" s="75">
        <v>22.6</v>
      </c>
      <c r="L54" s="1"/>
      <c r="M54" s="1"/>
      <c r="N54" s="1"/>
      <c r="O54" s="1"/>
      <c r="P54" s="1"/>
    </row>
    <row r="55" spans="1:16">
      <c r="A55" s="132" t="s">
        <v>148</v>
      </c>
      <c r="F55" s="6">
        <f>F54/E54-1</f>
        <v>0.66666666666666674</v>
      </c>
      <c r="G55" s="6">
        <f t="shared" ref="G55:K55" si="41">G54/F54-1</f>
        <v>0.36363636363636354</v>
      </c>
      <c r="H55" s="6">
        <f t="shared" si="41"/>
        <v>0.12000000000000011</v>
      </c>
      <c r="I55" s="6">
        <f t="shared" si="41"/>
        <v>0.1445238095238095</v>
      </c>
      <c r="J55" s="6">
        <f t="shared" si="41"/>
        <v>5.5752028292074041E-2</v>
      </c>
      <c r="K55" s="6">
        <f t="shared" si="41"/>
        <v>0.11330049261083741</v>
      </c>
      <c r="L55" s="1"/>
      <c r="M55" s="1"/>
      <c r="N55" s="1"/>
      <c r="O55" s="1"/>
      <c r="P55" s="1"/>
    </row>
    <row r="56" spans="1:16">
      <c r="A56" s="132"/>
      <c r="K56" s="1"/>
      <c r="L56" s="1"/>
      <c r="M56" s="1"/>
      <c r="N56" s="1"/>
      <c r="O56" s="1"/>
      <c r="P56" s="1"/>
    </row>
    <row r="57" spans="1:16">
      <c r="A57" s="132" t="s">
        <v>150</v>
      </c>
      <c r="F57" s="9">
        <f>F64/F67/12</f>
        <v>118.02431265621452</v>
      </c>
      <c r="G57" s="9">
        <f t="shared" ref="G57:K57" si="42">G64/G67/12</f>
        <v>146.92115864185692</v>
      </c>
      <c r="H57" s="9">
        <f t="shared" si="42"/>
        <v>177.28305257784587</v>
      </c>
      <c r="I57" s="9">
        <f t="shared" si="42"/>
        <v>172.31432953254125</v>
      </c>
      <c r="J57" s="9">
        <f t="shared" si="42"/>
        <v>191.31044006384255</v>
      </c>
      <c r="K57" s="9">
        <f t="shared" si="42"/>
        <v>206.11894721535552</v>
      </c>
      <c r="L57" s="9">
        <f>K57*(1+L58)</f>
        <v>233.62069689402514</v>
      </c>
      <c r="M57" s="9">
        <f t="shared" ref="M57:P57" si="43">L57*(1+M58)</f>
        <v>249.97414567660692</v>
      </c>
      <c r="N57" s="9">
        <f t="shared" si="43"/>
        <v>267.47233587396943</v>
      </c>
      <c r="O57" s="9">
        <f t="shared" si="43"/>
        <v>286.19539938514731</v>
      </c>
      <c r="P57" s="9">
        <f t="shared" si="43"/>
        <v>306.22907734210764</v>
      </c>
    </row>
    <row r="58" spans="1:16">
      <c r="A58" s="132" t="s">
        <v>151</v>
      </c>
      <c r="G58" s="6">
        <f>G57/F57-1</f>
        <v>0.24483807899660626</v>
      </c>
      <c r="H58" s="6">
        <f t="shared" ref="H58:K58" si="44">H57/G57-1</f>
        <v>0.2066543322735479</v>
      </c>
      <c r="I58" s="6">
        <f t="shared" si="44"/>
        <v>-2.8027061656797803E-2</v>
      </c>
      <c r="J58" s="6">
        <f t="shared" si="44"/>
        <v>0.11024103789182504</v>
      </c>
      <c r="K58" s="6">
        <f t="shared" si="44"/>
        <v>7.7405640521088115E-2</v>
      </c>
      <c r="L58" s="91">
        <f>AVERAGE(G58:H58:J58)</f>
        <v>0.13342659687629535</v>
      </c>
      <c r="M58" s="125">
        <v>7.0000000000000007E-2</v>
      </c>
      <c r="N58" s="125">
        <f>M58</f>
        <v>7.0000000000000007E-2</v>
      </c>
      <c r="O58" s="125">
        <f t="shared" ref="O58:P58" si="45">N58</f>
        <v>7.0000000000000007E-2</v>
      </c>
      <c r="P58" s="125">
        <f t="shared" si="45"/>
        <v>7.0000000000000007E-2</v>
      </c>
    </row>
    <row r="59" spans="1:16">
      <c r="A59" s="132"/>
      <c r="K59" s="1"/>
      <c r="L59" s="1"/>
      <c r="M59" s="1"/>
      <c r="N59" s="1"/>
      <c r="O59" s="1"/>
      <c r="P59" s="1"/>
    </row>
    <row r="60" spans="1:16">
      <c r="A60" s="132" t="s">
        <v>152</v>
      </c>
      <c r="E60" s="1">
        <v>304.2</v>
      </c>
      <c r="F60" s="1">
        <v>282.60000000000002</v>
      </c>
      <c r="G60" s="1">
        <v>238.7</v>
      </c>
      <c r="H60" s="1">
        <v>283.7</v>
      </c>
      <c r="I60" s="123">
        <f>326043.254/1000</f>
        <v>326.04325399999999</v>
      </c>
      <c r="J60" s="1">
        <v>335.4</v>
      </c>
      <c r="K60" s="1">
        <v>352.3</v>
      </c>
      <c r="L60" s="9">
        <f>K60+L62</f>
        <v>354.76759749161295</v>
      </c>
      <c r="M60" s="9">
        <f t="shared" ref="M60:P60" si="46">L60+M62</f>
        <v>368.42514844144523</v>
      </c>
      <c r="N60" s="9">
        <f t="shared" si="46"/>
        <v>382.47371039027411</v>
      </c>
      <c r="O60" s="9">
        <f t="shared" si="46"/>
        <v>396.92346075767961</v>
      </c>
      <c r="P60" s="9">
        <f t="shared" si="46"/>
        <v>411.78482765562524</v>
      </c>
    </row>
    <row r="61" spans="1:16">
      <c r="A61" s="132" t="s">
        <v>153</v>
      </c>
      <c r="E61" s="1">
        <v>93.9</v>
      </c>
      <c r="F61" s="74">
        <v>0.93500000000000005</v>
      </c>
      <c r="G61" s="1">
        <v>94.85</v>
      </c>
      <c r="H61" s="74">
        <v>0.94799999999999995</v>
      </c>
      <c r="I61" s="124">
        <v>0.94539226381294794</v>
      </c>
      <c r="J61" s="74">
        <v>0.94099999999999995</v>
      </c>
      <c r="K61" s="74" t="s">
        <v>47</v>
      </c>
      <c r="L61" s="1"/>
      <c r="M61" s="1"/>
      <c r="N61" s="1"/>
      <c r="O61" s="1"/>
      <c r="P61" s="1"/>
    </row>
    <row r="62" spans="1:16">
      <c r="A62" s="132" t="s">
        <v>154</v>
      </c>
      <c r="F62" s="1">
        <f>F60-E60</f>
        <v>-21.599999999999966</v>
      </c>
      <c r="G62" s="1">
        <f t="shared" ref="G62:K62" si="47">G60-F60</f>
        <v>-43.900000000000034</v>
      </c>
      <c r="H62" s="1">
        <f t="shared" si="47"/>
        <v>45</v>
      </c>
      <c r="I62" s="1">
        <f t="shared" si="47"/>
        <v>42.343254000000002</v>
      </c>
      <c r="J62" s="1">
        <f t="shared" si="47"/>
        <v>9.3567459999999869</v>
      </c>
      <c r="K62" s="1">
        <f t="shared" si="47"/>
        <v>16.900000000000034</v>
      </c>
      <c r="L62" s="9">
        <f>L38</f>
        <v>2.4675974916129348</v>
      </c>
      <c r="M62" s="9">
        <f t="shared" ref="M62:P62" si="48">M38</f>
        <v>13.657550949832284</v>
      </c>
      <c r="N62" s="9">
        <f t="shared" si="48"/>
        <v>14.048561948828876</v>
      </c>
      <c r="O62" s="9">
        <f t="shared" si="48"/>
        <v>14.4497503674055</v>
      </c>
      <c r="P62" s="9">
        <f t="shared" si="48"/>
        <v>14.861366897945629</v>
      </c>
    </row>
    <row r="63" spans="1:16">
      <c r="A63" s="132"/>
      <c r="K63" s="1"/>
      <c r="L63" s="1"/>
      <c r="M63" s="1"/>
      <c r="N63" s="1"/>
      <c r="O63" s="1"/>
      <c r="P63" s="1"/>
    </row>
    <row r="64" spans="1:16">
      <c r="A64" s="132" t="s">
        <v>155</v>
      </c>
      <c r="E64" s="5">
        <v>462639</v>
      </c>
      <c r="F64" s="5">
        <v>415540</v>
      </c>
      <c r="G64" s="5">
        <v>459540</v>
      </c>
      <c r="H64" s="5">
        <v>555676</v>
      </c>
      <c r="I64" s="5">
        <v>630405</v>
      </c>
      <c r="J64" s="5">
        <v>759246</v>
      </c>
      <c r="K64" s="5">
        <v>850488</v>
      </c>
      <c r="L64" s="1">
        <f>L57*AVERAGE(K60:L60)*12</f>
        <v>991113.74926304817</v>
      </c>
      <c r="M64" s="1">
        <f t="shared" ref="M64:P64" si="49">M57*AVERAGE(L60:M60)*12</f>
        <v>1084676.932944814</v>
      </c>
      <c r="N64" s="1">
        <f t="shared" si="49"/>
        <v>1205068.0306609077</v>
      </c>
      <c r="O64" s="1">
        <f t="shared" si="49"/>
        <v>1338359.3080580558</v>
      </c>
      <c r="P64" s="1">
        <f t="shared" si="49"/>
        <v>1485899.9579983286</v>
      </c>
    </row>
    <row r="65" spans="1:16">
      <c r="A65" s="132"/>
      <c r="F65" s="6">
        <f>F64/E64-1</f>
        <v>-0.10180507912216652</v>
      </c>
      <c r="G65" s="6">
        <f t="shared" ref="G65:L65" si="50">G64/F64-1</f>
        <v>0.10588631660008674</v>
      </c>
      <c r="H65" s="6">
        <f t="shared" si="50"/>
        <v>0.20920050485267883</v>
      </c>
      <c r="I65" s="6">
        <f t="shared" si="50"/>
        <v>0.13448304407604428</v>
      </c>
      <c r="J65" s="6">
        <f t="shared" si="50"/>
        <v>0.20437813786375436</v>
      </c>
      <c r="K65" s="6">
        <f t="shared" si="50"/>
        <v>0.12017448890083049</v>
      </c>
      <c r="L65" s="6">
        <f t="shared" si="50"/>
        <v>0.16534712925173323</v>
      </c>
      <c r="M65" s="6">
        <f t="shared" ref="M65" si="51">M64/L64-1</f>
        <v>9.4402064093385363E-2</v>
      </c>
      <c r="N65" s="6">
        <f t="shared" ref="N65" si="52">N64/M64-1</f>
        <v>0.11099258595759132</v>
      </c>
      <c r="O65" s="6">
        <f t="shared" ref="O65" si="53">O64/N64-1</f>
        <v>0.11060892331866601</v>
      </c>
      <c r="P65" s="6">
        <f t="shared" ref="P65" si="54">P64/O64-1</f>
        <v>0.11023994009079119</v>
      </c>
    </row>
    <row r="66" spans="1:16">
      <c r="A66" s="132"/>
      <c r="K66" s="1"/>
      <c r="L66" s="1"/>
      <c r="M66" s="1"/>
      <c r="N66" s="1"/>
      <c r="O66" s="1"/>
      <c r="P66" s="1"/>
    </row>
    <row r="67" spans="1:16">
      <c r="A67" s="132" t="s">
        <v>156</v>
      </c>
      <c r="F67" s="1">
        <f>AVERAGE(E60:F60)</f>
        <v>293.39999999999998</v>
      </c>
      <c r="G67" s="1">
        <f t="shared" ref="G67:K67" si="55">AVERAGE(F60:G60)</f>
        <v>260.64999999999998</v>
      </c>
      <c r="H67" s="1">
        <f t="shared" si="55"/>
        <v>261.2</v>
      </c>
      <c r="I67" s="1">
        <f t="shared" si="55"/>
        <v>304.87162699999999</v>
      </c>
      <c r="J67" s="1">
        <f t="shared" si="55"/>
        <v>330.72162700000001</v>
      </c>
      <c r="K67" s="1">
        <f t="shared" si="55"/>
        <v>343.85</v>
      </c>
      <c r="L67" s="1"/>
      <c r="M67" s="1"/>
      <c r="N67" s="1"/>
      <c r="O67" s="1"/>
      <c r="P67" s="1"/>
    </row>
    <row r="68" spans="1:16">
      <c r="A68" s="132"/>
    </row>
    <row r="69" spans="1:16">
      <c r="A69" s="132"/>
    </row>
    <row r="70" spans="1:16">
      <c r="A70" s="132"/>
    </row>
    <row r="71" spans="1:16">
      <c r="A71" s="132"/>
    </row>
    <row r="72" spans="1:16">
      <c r="A72" s="141" t="s">
        <v>10</v>
      </c>
    </row>
    <row r="73" spans="1:16">
      <c r="A73" s="132"/>
    </row>
    <row r="74" spans="1:16">
      <c r="A74" s="132" t="s">
        <v>157</v>
      </c>
      <c r="F74" s="77">
        <v>25265</v>
      </c>
      <c r="G74" s="77">
        <v>22391</v>
      </c>
      <c r="H74" s="77">
        <v>22451</v>
      </c>
      <c r="I74" s="77">
        <v>23341.933045999998</v>
      </c>
      <c r="J74" s="77">
        <v>30389.929562999998</v>
      </c>
      <c r="K74" s="77">
        <v>40472.51182</v>
      </c>
      <c r="L74" s="77">
        <v>49701</v>
      </c>
      <c r="M74" s="75">
        <f>M80*AVERAGE(L77:M77)*12</f>
        <v>57155.160020062205</v>
      </c>
      <c r="N74" s="75">
        <f t="shared" ref="N74:P74" si="56">N80*AVERAGE(M77:N77)*12</f>
        <v>62571.438527086691</v>
      </c>
      <c r="O74" s="75">
        <f>O80*AVERAGE(N77:O77)*12</f>
        <v>68741.804941339011</v>
      </c>
      <c r="P74" s="75">
        <f t="shared" si="56"/>
        <v>76042.30992742216</v>
      </c>
    </row>
    <row r="75" spans="1:16">
      <c r="A75" s="132" t="s">
        <v>158</v>
      </c>
      <c r="F75" s="78"/>
      <c r="G75" s="79">
        <f>G74/F74-1</f>
        <v>-0.11375420542252124</v>
      </c>
      <c r="H75" s="79">
        <f t="shared" ref="H75:L75" si="57">H74/G74-1</f>
        <v>2.6796480728863425E-3</v>
      </c>
      <c r="I75" s="79">
        <f t="shared" si="57"/>
        <v>3.9683445993496935E-2</v>
      </c>
      <c r="J75" s="79">
        <f t="shared" si="57"/>
        <v>0.30194570874273774</v>
      </c>
      <c r="K75" s="79">
        <f t="shared" si="57"/>
        <v>0.33177379487169434</v>
      </c>
      <c r="L75" s="79">
        <f t="shared" si="57"/>
        <v>0.2280186666210231</v>
      </c>
      <c r="M75" s="79">
        <f t="shared" ref="M75" si="58">M74/L74-1</f>
        <v>0.14998008128734241</v>
      </c>
      <c r="N75" s="79">
        <f t="shared" ref="N75" si="59">N74/M74-1</f>
        <v>9.4764471049040955E-2</v>
      </c>
      <c r="O75" s="79">
        <f t="shared" ref="O75" si="60">O74/N74-1</f>
        <v>9.861314618140371E-2</v>
      </c>
      <c r="P75" s="79">
        <f t="shared" ref="P75" si="61">P74/O74-1</f>
        <v>0.1062018227818291</v>
      </c>
    </row>
    <row r="76" spans="1:16">
      <c r="A76" s="132"/>
      <c r="F76" s="78"/>
      <c r="G76" s="78"/>
      <c r="H76" s="78"/>
      <c r="I76" s="78"/>
      <c r="J76" s="78"/>
      <c r="K76" s="78"/>
      <c r="L76" s="78"/>
      <c r="M76" s="1"/>
      <c r="N76" s="1"/>
      <c r="O76" s="1"/>
      <c r="P76" s="1"/>
    </row>
    <row r="77" spans="1:16">
      <c r="A77" s="132" t="s">
        <v>159</v>
      </c>
      <c r="F77" s="78">
        <v>2.2000000000000002</v>
      </c>
      <c r="G77" s="78">
        <v>2.2999999999999998</v>
      </c>
      <c r="H77" s="78">
        <v>2.4</v>
      </c>
      <c r="I77" s="78">
        <v>3.1</v>
      </c>
      <c r="J77" s="78">
        <v>4.4000000000000004</v>
      </c>
      <c r="K77" s="78">
        <v>6</v>
      </c>
      <c r="L77" s="78">
        <v>7.6</v>
      </c>
      <c r="M77" s="9">
        <f>L77+M78</f>
        <v>8.8383762236672467</v>
      </c>
      <c r="N77" s="9">
        <f t="shared" ref="N77:P77" si="62">M77+N78</f>
        <v>10.076752447334494</v>
      </c>
      <c r="O77" s="9">
        <f t="shared" si="62"/>
        <v>11.315128671001741</v>
      </c>
      <c r="P77" s="9">
        <f t="shared" si="62"/>
        <v>12.553504894668988</v>
      </c>
    </row>
    <row r="78" spans="1:16">
      <c r="A78" s="132" t="s">
        <v>154</v>
      </c>
      <c r="F78" s="78"/>
      <c r="G78" s="80">
        <f>G77/F77</f>
        <v>1.0454545454545452</v>
      </c>
      <c r="H78" s="80">
        <f t="shared" ref="H78:L78" si="63">H77/G77</f>
        <v>1.0434782608695652</v>
      </c>
      <c r="I78" s="80">
        <f t="shared" si="63"/>
        <v>1.2916666666666667</v>
      </c>
      <c r="J78" s="80">
        <f t="shared" si="63"/>
        <v>1.4193548387096775</v>
      </c>
      <c r="K78" s="80">
        <f t="shared" si="63"/>
        <v>1.3636363636363635</v>
      </c>
      <c r="L78" s="80">
        <f t="shared" si="63"/>
        <v>1.2666666666666666</v>
      </c>
      <c r="M78" s="9">
        <f>AVERAGE(G78:L78)</f>
        <v>1.2383762236672475</v>
      </c>
      <c r="N78" s="9">
        <f>M78</f>
        <v>1.2383762236672475</v>
      </c>
      <c r="O78" s="9">
        <f t="shared" ref="O78:P78" si="64">N78</f>
        <v>1.2383762236672475</v>
      </c>
      <c r="P78" s="9">
        <f t="shared" si="64"/>
        <v>1.2383762236672475</v>
      </c>
    </row>
    <row r="79" spans="1:16">
      <c r="A79" s="132"/>
      <c r="F79" s="78"/>
      <c r="G79" s="78"/>
      <c r="H79" s="78"/>
      <c r="I79" s="78"/>
      <c r="J79" s="78"/>
      <c r="K79" s="78"/>
      <c r="L79" s="78"/>
      <c r="M79" s="1"/>
      <c r="N79" s="1"/>
      <c r="O79" s="1"/>
      <c r="P79" s="1"/>
    </row>
    <row r="80" spans="1:16">
      <c r="A80" s="132" t="s">
        <v>160</v>
      </c>
      <c r="F80" s="78"/>
      <c r="G80" s="78">
        <f>(G74/G83)/12</f>
        <v>829.29629629629619</v>
      </c>
      <c r="H80" s="78">
        <f t="shared" ref="H80:L80" si="65">(H74/H83)/12</f>
        <v>796.13475177304974</v>
      </c>
      <c r="I80" s="78">
        <f t="shared" si="65"/>
        <v>707.33130442424238</v>
      </c>
      <c r="J80" s="78">
        <f t="shared" si="65"/>
        <v>675.33176806666665</v>
      </c>
      <c r="K80" s="78">
        <f t="shared" si="65"/>
        <v>648.59794583333326</v>
      </c>
      <c r="L80" s="78">
        <f t="shared" si="65"/>
        <v>609.08088235294122</v>
      </c>
      <c r="M80" s="78">
        <f>L80*(1+M81)</f>
        <v>579.48910973510806</v>
      </c>
      <c r="N80" s="78">
        <f t="shared" ref="N80:P80" si="66">M80*(1+N81)</f>
        <v>551.33503288484314</v>
      </c>
      <c r="O80" s="78">
        <f t="shared" si="66"/>
        <v>535.57550300720061</v>
      </c>
      <c r="P80" s="78">
        <f t="shared" si="66"/>
        <v>530.97795843098095</v>
      </c>
    </row>
    <row r="81" spans="1:16">
      <c r="A81" s="132" t="s">
        <v>158</v>
      </c>
      <c r="F81" s="78"/>
      <c r="G81" s="78"/>
      <c r="H81" s="79">
        <f>H80/G80-1</f>
        <v>-3.9987570994044708E-2</v>
      </c>
      <c r="I81" s="79">
        <f t="shared" ref="I81:L81" si="67">I80/H80-1</f>
        <v>-0.11154323706010283</v>
      </c>
      <c r="J81" s="79">
        <f t="shared" si="67"/>
        <v>-4.5239813588659028E-2</v>
      </c>
      <c r="K81" s="79">
        <f t="shared" si="67"/>
        <v>-3.9586205621374382E-2</v>
      </c>
      <c r="L81" s="79">
        <f t="shared" si="67"/>
        <v>-6.0926901995687954E-2</v>
      </c>
      <c r="M81" s="79">
        <f>AVERAGE(J81:L81)</f>
        <v>-4.8584307068573786E-2</v>
      </c>
      <c r="N81" s="126">
        <f>M81</f>
        <v>-4.8584307068573786E-2</v>
      </c>
      <c r="O81" s="6">
        <f>N81+2%</f>
        <v>-2.8584307068573785E-2</v>
      </c>
      <c r="P81" s="6">
        <f>O81+2%</f>
        <v>-8.5843070685737849E-3</v>
      </c>
    </row>
    <row r="82" spans="1:16">
      <c r="A82" s="132"/>
      <c r="F82" s="78"/>
      <c r="G82" s="78"/>
      <c r="H82" s="78"/>
      <c r="I82" s="78"/>
      <c r="J82" s="78"/>
      <c r="K82" s="78"/>
      <c r="L82" s="78"/>
      <c r="M82" s="1"/>
      <c r="N82" s="1"/>
      <c r="O82" s="1"/>
      <c r="P82" s="1"/>
    </row>
    <row r="83" spans="1:16">
      <c r="A83" s="132" t="s">
        <v>161</v>
      </c>
      <c r="F83" s="78"/>
      <c r="G83" s="78">
        <f>AVERAGE(F77:G77)</f>
        <v>2.25</v>
      </c>
      <c r="H83" s="78">
        <f t="shared" ref="H83:L83" si="68">AVERAGE(G77:H77)</f>
        <v>2.3499999999999996</v>
      </c>
      <c r="I83" s="78">
        <f t="shared" si="68"/>
        <v>2.75</v>
      </c>
      <c r="J83" s="78">
        <f t="shared" si="68"/>
        <v>3.75</v>
      </c>
      <c r="K83" s="78">
        <f t="shared" si="68"/>
        <v>5.2</v>
      </c>
      <c r="L83" s="78">
        <f t="shared" si="68"/>
        <v>6.8</v>
      </c>
      <c r="M83" s="1"/>
      <c r="N83" s="1"/>
      <c r="O83" s="1"/>
      <c r="P83" s="1"/>
    </row>
    <row r="84" spans="1:16">
      <c r="A84" s="132"/>
      <c r="K84" s="1"/>
      <c r="L84" s="1"/>
      <c r="M84" s="1"/>
      <c r="N84" s="1"/>
      <c r="O84" s="1"/>
      <c r="P84" s="1"/>
    </row>
    <row r="85" spans="1:16">
      <c r="A85" s="132"/>
      <c r="K85" s="1"/>
      <c r="L85" s="1"/>
      <c r="M85" s="1"/>
      <c r="N85" s="1"/>
      <c r="O85" s="1"/>
      <c r="P85" s="1"/>
    </row>
    <row r="86" spans="1:16">
      <c r="A86" s="132"/>
      <c r="K86" s="1"/>
      <c r="L86" s="1"/>
      <c r="M86" s="1"/>
      <c r="N86" s="1"/>
      <c r="O86" s="1"/>
      <c r="P86" s="1"/>
    </row>
    <row r="87" spans="1:16">
      <c r="A87" s="132" t="s">
        <v>11</v>
      </c>
      <c r="K87" s="1"/>
      <c r="L87" s="1"/>
      <c r="M87" s="1"/>
      <c r="N87" s="1"/>
      <c r="O87" s="1"/>
      <c r="P87" s="1"/>
    </row>
    <row r="88" spans="1:16">
      <c r="A88" s="132"/>
      <c r="K88" s="1"/>
      <c r="L88" s="1"/>
      <c r="M88" s="1"/>
      <c r="N88" s="1"/>
      <c r="O88" s="1"/>
      <c r="P88" s="1"/>
    </row>
    <row r="89" spans="1:16">
      <c r="A89" s="132" t="s">
        <v>162</v>
      </c>
      <c r="E89" s="5">
        <v>113218</v>
      </c>
      <c r="F89" s="5">
        <v>124537</v>
      </c>
      <c r="G89" s="5">
        <v>132331</v>
      </c>
      <c r="H89" s="5">
        <v>144075</v>
      </c>
      <c r="I89" s="5">
        <v>160702</v>
      </c>
      <c r="J89" s="5">
        <v>185930</v>
      </c>
      <c r="K89" s="5">
        <v>208209</v>
      </c>
      <c r="L89" s="130">
        <f>K89*(1+L90)</f>
        <v>230540.18892675141</v>
      </c>
      <c r="M89" s="130">
        <f t="shared" ref="M89:P89" si="69">L89*(1+M90)</f>
        <v>255266.48084560336</v>
      </c>
      <c r="N89" s="130">
        <f t="shared" si="69"/>
        <v>282644.75945234054</v>
      </c>
      <c r="O89" s="130">
        <f t="shared" si="69"/>
        <v>312959.46017366584</v>
      </c>
      <c r="P89" s="130">
        <f t="shared" si="69"/>
        <v>346525.52519272006</v>
      </c>
    </row>
    <row r="90" spans="1:16">
      <c r="A90" s="132" t="s">
        <v>158</v>
      </c>
      <c r="F90" s="79">
        <f>F89/E89-1</f>
        <v>9.9975268950166951E-2</v>
      </c>
      <c r="G90" s="79">
        <f t="shared" ref="G90" si="70">G89/F89-1</f>
        <v>6.2583810433846976E-2</v>
      </c>
      <c r="H90" s="79">
        <f>H89/G89-1</f>
        <v>8.8747156750874634E-2</v>
      </c>
      <c r="I90" s="79">
        <f t="shared" ref="I90" si="71">I89/H89-1</f>
        <v>0.11540517091792468</v>
      </c>
      <c r="J90" s="79">
        <f t="shared" ref="J90" si="72">J89/I89-1</f>
        <v>0.15698622294682085</v>
      </c>
      <c r="K90" s="79">
        <f t="shared" ref="K90" si="73">K89/J89-1</f>
        <v>0.11982466519657931</v>
      </c>
      <c r="L90" s="126">
        <f>AVERAGE(F90:K90)</f>
        <v>0.10725371586603556</v>
      </c>
      <c r="M90" s="126">
        <f>L90</f>
        <v>0.10725371586603556</v>
      </c>
      <c r="N90" s="126">
        <f t="shared" ref="N90:P90" si="74">M90</f>
        <v>0.10725371586603556</v>
      </c>
      <c r="O90" s="126">
        <f t="shared" si="74"/>
        <v>0.10725371586603556</v>
      </c>
      <c r="P90" s="126">
        <f t="shared" si="74"/>
        <v>0.10725371586603556</v>
      </c>
    </row>
    <row r="91" spans="1:16">
      <c r="A91" s="132"/>
      <c r="K91" s="1"/>
      <c r="L91" s="1"/>
      <c r="M91" s="1"/>
      <c r="N91" s="1"/>
      <c r="O91" s="1"/>
      <c r="P91" s="1"/>
    </row>
    <row r="92" spans="1:16">
      <c r="A92" s="132" t="s">
        <v>13</v>
      </c>
      <c r="E92" s="7">
        <v>37570</v>
      </c>
      <c r="F92" s="7">
        <v>41001</v>
      </c>
      <c r="G92" s="7">
        <v>29239</v>
      </c>
      <c r="H92" s="7">
        <v>30561.914819000001</v>
      </c>
      <c r="I92" s="7">
        <v>31537.748581</v>
      </c>
      <c r="J92" s="7">
        <v>29450.495275000001</v>
      </c>
      <c r="K92" s="5">
        <v>30448</v>
      </c>
      <c r="L92" s="131">
        <f>L98*AVERAGE(K95:L95)*12</f>
        <v>31538.816199376946</v>
      </c>
      <c r="M92" s="131">
        <f t="shared" ref="M92:P92" si="75">M98*AVERAGE(L95:M95)*12</f>
        <v>31884.083239875396</v>
      </c>
      <c r="N92" s="131">
        <f t="shared" si="75"/>
        <v>32376.171769470406</v>
      </c>
      <c r="O92" s="131">
        <f t="shared" si="75"/>
        <v>32990.062377258575</v>
      </c>
      <c r="P92" s="131">
        <f t="shared" si="75"/>
        <v>33407.544592180697</v>
      </c>
    </row>
    <row r="93" spans="1:16">
      <c r="A93" s="132" t="s">
        <v>164</v>
      </c>
      <c r="F93" s="6">
        <f>F92/E92-1</f>
        <v>9.132286398722389E-2</v>
      </c>
      <c r="G93" s="6">
        <f t="shared" ref="G93:K93" si="76">G92/F92-1</f>
        <v>-0.28687105192556284</v>
      </c>
      <c r="H93" s="6">
        <f t="shared" si="76"/>
        <v>4.5244872225452371E-2</v>
      </c>
      <c r="I93" s="6">
        <f t="shared" si="76"/>
        <v>3.1929732406470013E-2</v>
      </c>
      <c r="J93" s="6">
        <f t="shared" si="76"/>
        <v>-6.618269850934988E-2</v>
      </c>
      <c r="K93" s="6">
        <f t="shared" si="76"/>
        <v>3.3870558565674225E-2</v>
      </c>
      <c r="L93" s="92">
        <f t="shared" ref="L93" si="77">L92/K92-1</f>
        <v>3.5825545171339623E-2</v>
      </c>
      <c r="M93" s="92">
        <f t="shared" ref="M93" si="78">M92/L92-1</f>
        <v>1.0947368421052817E-2</v>
      </c>
      <c r="N93" s="92">
        <f t="shared" ref="N93" si="79">N92/M92-1</f>
        <v>1.5433673469387621E-2</v>
      </c>
      <c r="O93" s="92">
        <f t="shared" ref="O93" si="80">O92/N92-1</f>
        <v>1.8961185780681067E-2</v>
      </c>
      <c r="P93" s="92">
        <f t="shared" ref="P93" si="81">P92/O92-1</f>
        <v>1.2654787073391738E-2</v>
      </c>
    </row>
    <row r="94" spans="1:16">
      <c r="A94" s="132"/>
      <c r="K94" s="1"/>
      <c r="L94" s="54"/>
      <c r="M94" s="54"/>
      <c r="N94" s="54"/>
      <c r="O94" s="54"/>
      <c r="P94" s="54"/>
    </row>
    <row r="95" spans="1:16">
      <c r="A95" s="132" t="s">
        <v>165</v>
      </c>
      <c r="E95" s="1">
        <v>14.2</v>
      </c>
      <c r="F95" s="1">
        <v>15.4</v>
      </c>
      <c r="G95" s="1">
        <v>16.600000000000001</v>
      </c>
      <c r="H95" s="1">
        <v>17.7</v>
      </c>
      <c r="I95" s="1">
        <v>17.5</v>
      </c>
      <c r="J95" s="1">
        <v>16</v>
      </c>
      <c r="K95" s="1">
        <v>16.100000000000001</v>
      </c>
      <c r="L95" s="108">
        <f>K95+L96</f>
        <v>15.566666666666668</v>
      </c>
      <c r="M95" s="108">
        <f t="shared" ref="M95:P95" si="82">L95+M96</f>
        <v>14.922222222222224</v>
      </c>
      <c r="N95" s="108">
        <f t="shared" si="82"/>
        <v>14.562962962962965</v>
      </c>
      <c r="O95" s="108">
        <f t="shared" si="82"/>
        <v>14.05061728395062</v>
      </c>
      <c r="P95" s="108">
        <f t="shared" si="82"/>
        <v>13.545267489711938</v>
      </c>
    </row>
    <row r="96" spans="1:16">
      <c r="A96" s="132" t="s">
        <v>166</v>
      </c>
      <c r="F96" s="1">
        <f>F95-E95</f>
        <v>1.2000000000000011</v>
      </c>
      <c r="G96" s="1">
        <f t="shared" ref="G96:K96" si="83">G95-F95</f>
        <v>1.2000000000000011</v>
      </c>
      <c r="H96" s="1">
        <f t="shared" si="83"/>
        <v>1.0999999999999979</v>
      </c>
      <c r="I96" s="1">
        <f t="shared" si="83"/>
        <v>-0.19999999999999929</v>
      </c>
      <c r="J96" s="1">
        <f t="shared" si="83"/>
        <v>-1.5</v>
      </c>
      <c r="K96" s="1">
        <f t="shared" si="83"/>
        <v>0.10000000000000142</v>
      </c>
      <c r="L96" s="55">
        <f>AVERAGE(I96:K96)</f>
        <v>-0.53333333333333266</v>
      </c>
      <c r="M96" s="55">
        <f t="shared" ref="M96:P96" si="84">AVERAGE(J96:L96)</f>
        <v>-0.64444444444444382</v>
      </c>
      <c r="N96" s="55">
        <f t="shared" si="84"/>
        <v>-0.35925925925925833</v>
      </c>
      <c r="O96" s="55">
        <f t="shared" si="84"/>
        <v>-0.51234567901234496</v>
      </c>
      <c r="P96" s="55">
        <f t="shared" si="84"/>
        <v>-0.50534979423868231</v>
      </c>
    </row>
    <row r="97" spans="1:17">
      <c r="A97" s="132"/>
      <c r="K97" s="1"/>
      <c r="L97" s="54"/>
      <c r="M97" s="54"/>
      <c r="N97" s="54"/>
      <c r="O97" s="54"/>
      <c r="P97" s="54"/>
    </row>
    <row r="98" spans="1:17">
      <c r="A98" s="132" t="s">
        <v>167</v>
      </c>
      <c r="F98" s="127">
        <f>F92/AVERAGE(E95:F95)/12</f>
        <v>230.86148648648648</v>
      </c>
      <c r="G98" s="127">
        <f t="shared" ref="G98:K98" si="85">G92/AVERAGE(F95:G95)/12</f>
        <v>152.28645833333334</v>
      </c>
      <c r="H98" s="127">
        <f t="shared" si="85"/>
        <v>148.50298745869779</v>
      </c>
      <c r="I98" s="127">
        <f t="shared" si="85"/>
        <v>149.32646108428028</v>
      </c>
      <c r="J98" s="127">
        <f t="shared" si="85"/>
        <v>146.51987699004977</v>
      </c>
      <c r="K98" s="127">
        <f t="shared" si="85"/>
        <v>158.08930425752854</v>
      </c>
      <c r="L98" s="129">
        <f>K98*(1+L99)</f>
        <v>165.99376947040497</v>
      </c>
      <c r="M98" s="129">
        <f t="shared" ref="M98:P98" si="86">L98*(1+M99)</f>
        <v>174.29345794392523</v>
      </c>
      <c r="N98" s="129">
        <f t="shared" si="86"/>
        <v>183.0081308411215</v>
      </c>
      <c r="O98" s="129">
        <f t="shared" si="86"/>
        <v>192.15853738317759</v>
      </c>
      <c r="P98" s="129">
        <f t="shared" si="86"/>
        <v>201.76646425233648</v>
      </c>
    </row>
    <row r="99" spans="1:17">
      <c r="A99" s="132" t="s">
        <v>168</v>
      </c>
      <c r="F99" s="79"/>
      <c r="G99" s="79">
        <f t="shared" ref="G99" si="87">G98/F98-1</f>
        <v>-0.34035572303114559</v>
      </c>
      <c r="H99" s="79">
        <f>H98/G98-1</f>
        <v>-2.4844434075379729E-2</v>
      </c>
      <c r="I99" s="79">
        <f t="shared" ref="I99" si="88">I98/H98-1</f>
        <v>5.5451653847133908E-3</v>
      </c>
      <c r="J99" s="79">
        <f t="shared" ref="J99" si="89">J98/I98-1</f>
        <v>-1.8794954851615198E-2</v>
      </c>
      <c r="K99" s="79">
        <f t="shared" ref="K99" si="90">K98/J98-1</f>
        <v>7.896148635358502E-2</v>
      </c>
      <c r="L99" s="128">
        <v>0.05</v>
      </c>
      <c r="M99" s="128">
        <f>L99</f>
        <v>0.05</v>
      </c>
      <c r="N99" s="128">
        <f t="shared" ref="N99:P99" si="91">M99</f>
        <v>0.05</v>
      </c>
      <c r="O99" s="128">
        <f t="shared" si="91"/>
        <v>0.05</v>
      </c>
      <c r="P99" s="128">
        <f t="shared" si="91"/>
        <v>0.05</v>
      </c>
    </row>
    <row r="100" spans="1:17">
      <c r="A100" s="132"/>
      <c r="K100" s="1"/>
      <c r="L100" s="1"/>
      <c r="M100" s="1"/>
      <c r="N100" s="1"/>
      <c r="O100" s="1"/>
      <c r="P100" s="1"/>
      <c r="Q100" s="1"/>
    </row>
    <row r="101" spans="1:17">
      <c r="A101" s="141" t="s">
        <v>169</v>
      </c>
    </row>
    <row r="102" spans="1:17">
      <c r="A102" s="132"/>
    </row>
    <row r="103" spans="1:17">
      <c r="A103" s="143" t="s">
        <v>176</v>
      </c>
      <c r="E103" s="1">
        <v>64.400000000000006</v>
      </c>
      <c r="F103" s="1">
        <v>69.900000000000006</v>
      </c>
      <c r="G103" s="1">
        <v>70.8</v>
      </c>
      <c r="H103" s="1">
        <v>74.2</v>
      </c>
      <c r="I103" s="1">
        <v>74.400000000000006</v>
      </c>
      <c r="J103" s="1">
        <v>80.3</v>
      </c>
      <c r="K103" s="1">
        <v>82.5</v>
      </c>
      <c r="L103" s="1">
        <v>84</v>
      </c>
      <c r="M103" s="1">
        <v>84</v>
      </c>
      <c r="N103" s="1">
        <v>84</v>
      </c>
      <c r="O103" s="1">
        <v>84</v>
      </c>
      <c r="P103" s="1">
        <v>84</v>
      </c>
    </row>
    <row r="104" spans="1:17">
      <c r="A104" s="143"/>
      <c r="J104"/>
    </row>
    <row r="105" spans="1:17">
      <c r="A105" s="143" t="s">
        <v>177</v>
      </c>
      <c r="E105" s="153">
        <f t="shared" ref="E105" si="92">E112+E117+E133</f>
        <v>0</v>
      </c>
      <c r="F105" s="153">
        <f t="shared" ref="F105:K105" si="93">F112+F117+F134</f>
        <v>2904.3</v>
      </c>
      <c r="G105" s="153">
        <f t="shared" si="93"/>
        <v>3261</v>
      </c>
      <c r="H105" s="153">
        <f t="shared" si="93"/>
        <v>3665</v>
      </c>
      <c r="I105" s="153">
        <f t="shared" si="93"/>
        <v>4404</v>
      </c>
      <c r="J105" s="153">
        <f t="shared" si="93"/>
        <v>5191</v>
      </c>
      <c r="K105" s="153">
        <f t="shared" si="93"/>
        <v>4920</v>
      </c>
      <c r="L105" s="153">
        <f t="shared" ref="L105:P105" si="94">L112+L117+L134</f>
        <v>5484.579961417</v>
      </c>
      <c r="M105" s="153">
        <f t="shared" si="94"/>
        <v>6005.4800663800215</v>
      </c>
      <c r="N105" s="153">
        <f t="shared" si="94"/>
        <v>6529.0094464767299</v>
      </c>
      <c r="O105" s="153">
        <f t="shared" si="94"/>
        <v>7122.3708418960077</v>
      </c>
      <c r="P105" s="153">
        <f t="shared" si="94"/>
        <v>7723.9452438059798</v>
      </c>
    </row>
    <row r="106" spans="1:17">
      <c r="A106" s="143" t="s">
        <v>158</v>
      </c>
      <c r="G106" s="6">
        <f t="shared" ref="G106" si="95">G105/F105-1</f>
        <v>0.12281789071376914</v>
      </c>
      <c r="H106" s="6">
        <f t="shared" ref="H106" si="96">H105/G105-1</f>
        <v>0.12388837779822137</v>
      </c>
      <c r="I106" s="6">
        <f t="shared" ref="I106" si="97">I105/H105-1</f>
        <v>0.20163710777626198</v>
      </c>
      <c r="J106" s="6">
        <f t="shared" ref="J106" si="98">J105/I105-1</f>
        <v>0.17870118074477737</v>
      </c>
      <c r="K106" s="6">
        <f t="shared" ref="K106:L106" si="99">K105/J105-1</f>
        <v>-5.220574070506645E-2</v>
      </c>
      <c r="L106" s="6">
        <f t="shared" si="99"/>
        <v>0.11475202467825207</v>
      </c>
      <c r="M106" s="6">
        <f t="shared" ref="M106" si="100">M105/L105-1</f>
        <v>9.4975387108485299E-2</v>
      </c>
      <c r="N106" s="6">
        <f t="shared" ref="N106" si="101">N105/M105-1</f>
        <v>8.7175275633256888E-2</v>
      </c>
      <c r="O106" s="6">
        <f t="shared" ref="O106" si="102">O105/N105-1</f>
        <v>9.088076840499526E-2</v>
      </c>
      <c r="P106" s="6">
        <f t="shared" ref="P106" si="103">P105/O105-1</f>
        <v>8.4462662119658694E-2</v>
      </c>
    </row>
    <row r="107" spans="1:17">
      <c r="A107" s="143"/>
      <c r="J107"/>
    </row>
    <row r="108" spans="1:17">
      <c r="A108" s="143" t="s">
        <v>178</v>
      </c>
      <c r="E108" s="1">
        <v>89.26</v>
      </c>
      <c r="F108" s="1">
        <v>98.85</v>
      </c>
      <c r="G108" s="1">
        <v>110.6</v>
      </c>
      <c r="H108" s="1">
        <v>118.19</v>
      </c>
      <c r="I108" s="1">
        <v>128.41999999999999</v>
      </c>
      <c r="J108" s="1">
        <v>140.05000000000001</v>
      </c>
      <c r="K108">
        <v>152.72</v>
      </c>
      <c r="L108" s="158">
        <f>K108+L109</f>
        <v>163.29666666666665</v>
      </c>
      <c r="M108" s="158">
        <f t="shared" ref="M108:P108" si="104">L108+M109</f>
        <v>173.87333333333331</v>
      </c>
      <c r="N108" s="158">
        <f t="shared" si="104"/>
        <v>184.44999999999996</v>
      </c>
      <c r="O108" s="158">
        <f t="shared" si="104"/>
        <v>195.02666666666661</v>
      </c>
      <c r="P108" s="158">
        <f t="shared" si="104"/>
        <v>205.60333333333327</v>
      </c>
    </row>
    <row r="109" spans="1:17">
      <c r="A109" s="143" t="s">
        <v>154</v>
      </c>
      <c r="F109" s="1">
        <f>F108-E108</f>
        <v>9.5899999999999892</v>
      </c>
      <c r="G109" s="1">
        <f t="shared" ref="G109:K109" si="105">G108-F108</f>
        <v>11.75</v>
      </c>
      <c r="H109" s="1">
        <f t="shared" si="105"/>
        <v>7.5900000000000034</v>
      </c>
      <c r="I109" s="1">
        <f t="shared" si="105"/>
        <v>10.22999999999999</v>
      </c>
      <c r="J109" s="1">
        <f t="shared" si="105"/>
        <v>11.630000000000024</v>
      </c>
      <c r="K109" s="1">
        <f t="shared" si="105"/>
        <v>12.669999999999987</v>
      </c>
      <c r="L109" s="9">
        <f>AVERAGE(F109:K109)</f>
        <v>10.576666666666666</v>
      </c>
      <c r="M109" s="9">
        <f>L109</f>
        <v>10.576666666666666</v>
      </c>
      <c r="N109" s="9">
        <f t="shared" ref="N109:P109" si="106">M109</f>
        <v>10.576666666666666</v>
      </c>
      <c r="O109" s="9">
        <f t="shared" si="106"/>
        <v>10.576666666666666</v>
      </c>
      <c r="P109" s="9">
        <f t="shared" si="106"/>
        <v>10.576666666666666</v>
      </c>
    </row>
    <row r="110" spans="1:17">
      <c r="A110" s="132"/>
      <c r="J110"/>
    </row>
    <row r="111" spans="1:17">
      <c r="A111" s="149" t="s">
        <v>170</v>
      </c>
      <c r="J111"/>
    </row>
    <row r="112" spans="1:17">
      <c r="A112" s="144" t="s">
        <v>171</v>
      </c>
      <c r="F112" s="130">
        <v>1961</v>
      </c>
      <c r="G112" s="130">
        <v>1999</v>
      </c>
      <c r="H112" s="130">
        <v>2096</v>
      </c>
      <c r="I112" s="130">
        <v>2352</v>
      </c>
      <c r="J112" s="130">
        <v>2609</v>
      </c>
      <c r="K112" s="153">
        <v>2254</v>
      </c>
      <c r="L112" s="159">
        <f>L113*AVERAGE(K108:L108)*12</f>
        <v>2294.2809999999999</v>
      </c>
      <c r="M112" s="159">
        <f t="shared" ref="M112:P112" si="107">M113*AVERAGE(L108:M108)*12</f>
        <v>2326.4729999999995</v>
      </c>
      <c r="N112" s="159">
        <f t="shared" si="107"/>
        <v>2321.9351999999994</v>
      </c>
      <c r="O112" s="159">
        <f t="shared" si="107"/>
        <v>2345.1657999999993</v>
      </c>
      <c r="P112" s="159">
        <f t="shared" si="107"/>
        <v>2331.6665999999991</v>
      </c>
    </row>
    <row r="113" spans="1:16">
      <c r="A113" s="144" t="s">
        <v>172</v>
      </c>
      <c r="F113" s="154">
        <f>F112/AVERAGE(E108:F108)/12</f>
        <v>1.7374585792001132</v>
      </c>
      <c r="G113" s="154">
        <f t="shared" ref="G113:K113" si="108">G112/AVERAGE(F108:G108)/12</f>
        <v>1.5906739874273894</v>
      </c>
      <c r="H113" s="154">
        <f t="shared" si="108"/>
        <v>1.5268732607777149</v>
      </c>
      <c r="I113" s="154">
        <f t="shared" si="108"/>
        <v>1.5895543570820323</v>
      </c>
      <c r="J113" s="154">
        <f t="shared" si="108"/>
        <v>1.6196719683142746</v>
      </c>
      <c r="K113" s="154">
        <f t="shared" si="108"/>
        <v>1.2831460418303333</v>
      </c>
      <c r="L113" s="159">
        <v>1.21</v>
      </c>
      <c r="M113" s="159">
        <v>1.1499999999999999</v>
      </c>
      <c r="N113" s="159">
        <v>1.08</v>
      </c>
      <c r="O113" s="159">
        <v>1.03</v>
      </c>
      <c r="P113" s="159">
        <v>0.97</v>
      </c>
    </row>
    <row r="114" spans="1:16">
      <c r="A114" s="144" t="s">
        <v>158</v>
      </c>
      <c r="G114" s="6">
        <f>G113/F113-1</f>
        <v>-8.4482354589598407E-2</v>
      </c>
      <c r="H114" s="6">
        <f t="shared" ref="H114:K114" si="109">H113/G113-1</f>
        <v>-4.0109241210928404E-2</v>
      </c>
      <c r="I114" s="6">
        <f t="shared" si="109"/>
        <v>4.1051931364880057E-2</v>
      </c>
      <c r="J114" s="6">
        <f t="shared" si="109"/>
        <v>1.8947204351998259E-2</v>
      </c>
      <c r="K114" s="6">
        <f t="shared" si="109"/>
        <v>-0.20777412529661266</v>
      </c>
      <c r="L114" s="9">
        <v>-5</v>
      </c>
      <c r="M114" s="158">
        <f>L114</f>
        <v>-5</v>
      </c>
      <c r="N114" s="158">
        <f t="shared" ref="N114:P114" si="110">M114</f>
        <v>-5</v>
      </c>
      <c r="O114" s="158">
        <f t="shared" si="110"/>
        <v>-5</v>
      </c>
      <c r="P114" s="158">
        <f t="shared" si="110"/>
        <v>-5</v>
      </c>
    </row>
    <row r="115" spans="1:16">
      <c r="A115" s="145"/>
      <c r="J115"/>
    </row>
    <row r="116" spans="1:16">
      <c r="A116" s="148" t="s">
        <v>173</v>
      </c>
      <c r="J116"/>
    </row>
    <row r="117" spans="1:16">
      <c r="A117" s="146" t="s">
        <v>174</v>
      </c>
      <c r="F117" s="1">
        <v>700</v>
      </c>
      <c r="G117" s="1">
        <v>944</v>
      </c>
      <c r="H117" s="1">
        <v>1166</v>
      </c>
      <c r="I117" s="1">
        <v>1519</v>
      </c>
      <c r="J117" s="1">
        <v>1869</v>
      </c>
      <c r="K117">
        <v>1797</v>
      </c>
      <c r="L117" s="159">
        <f>L118*AVERAGE(K122:L122)*12</f>
        <v>2126.7225342104362</v>
      </c>
      <c r="M117" s="159">
        <f t="shared" ref="M117:P117" si="111">M118*AVERAGE(L122:M122)*12</f>
        <v>2430.3843533007039</v>
      </c>
      <c r="N117" s="159">
        <f t="shared" si="111"/>
        <v>2755.6031996224201</v>
      </c>
      <c r="O117" s="159">
        <f t="shared" si="111"/>
        <v>3103.6459832735027</v>
      </c>
      <c r="P117" s="159">
        <f t="shared" si="111"/>
        <v>3475.8476686599988</v>
      </c>
    </row>
    <row r="118" spans="1:16">
      <c r="A118" s="147" t="s">
        <v>186</v>
      </c>
      <c r="F118" s="93">
        <f>F117/AVERAGE(E122:F122)/12</f>
        <v>2.1250758955676989</v>
      </c>
      <c r="G118" s="93">
        <f t="shared" ref="G118:K118" si="112">G117/AVERAGE(F122:G122)/12</f>
        <v>2.4430641821946169</v>
      </c>
      <c r="H118" s="93">
        <f t="shared" si="112"/>
        <v>2.5911111111111111</v>
      </c>
      <c r="I118" s="93">
        <f t="shared" si="112"/>
        <v>2.8999618174875903</v>
      </c>
      <c r="J118" s="93">
        <f t="shared" si="112"/>
        <v>3.0719921104536492</v>
      </c>
      <c r="K118" s="93">
        <f t="shared" si="112"/>
        <v>2.5157496850062997</v>
      </c>
      <c r="L118" s="159">
        <f>K118*(1+L119)</f>
        <v>2.6202458377507996</v>
      </c>
      <c r="M118" s="159">
        <f t="shared" ref="M118:P118" si="113">L118*(1+M119)</f>
        <v>2.7290824246821668</v>
      </c>
      <c r="N118" s="159">
        <f t="shared" si="113"/>
        <v>2.8424397334802416</v>
      </c>
      <c r="O118" s="159">
        <f t="shared" si="113"/>
        <v>2.9605055403953853</v>
      </c>
      <c r="P118" s="159">
        <f t="shared" si="113"/>
        <v>3.0834754212996218</v>
      </c>
    </row>
    <row r="119" spans="1:16">
      <c r="A119" s="147" t="s">
        <v>158</v>
      </c>
      <c r="G119" s="6">
        <f>G118/F118-1</f>
        <v>0.14963620230700969</v>
      </c>
      <c r="H119" s="6">
        <f>H118/G118-1</f>
        <v>6.0598870056497223E-2</v>
      </c>
      <c r="I119" s="6">
        <f>I118/H118-1</f>
        <v>0.1191962417404937</v>
      </c>
      <c r="J119" s="6">
        <f>J118/I118-1</f>
        <v>5.9321571728519817E-2</v>
      </c>
      <c r="K119" s="6">
        <f>K118/J118-1</f>
        <v>-0.18106896289040519</v>
      </c>
      <c r="L119" s="160">
        <f>AVERAGE(G119:K119)</f>
        <v>4.1536784588423047E-2</v>
      </c>
      <c r="M119" s="160">
        <f>L119</f>
        <v>4.1536784588423047E-2</v>
      </c>
      <c r="N119" s="160">
        <f t="shared" ref="N119:P119" si="114">M119</f>
        <v>4.1536784588423047E-2</v>
      </c>
      <c r="O119" s="160">
        <f t="shared" si="114"/>
        <v>4.1536784588423047E-2</v>
      </c>
      <c r="P119" s="160">
        <f t="shared" si="114"/>
        <v>4.1536784588423047E-2</v>
      </c>
    </row>
    <row r="121" spans="1:16">
      <c r="A121" s="156" t="s">
        <v>175</v>
      </c>
      <c r="E121" s="1">
        <v>1</v>
      </c>
      <c r="F121" s="1">
        <v>1.4</v>
      </c>
      <c r="G121" s="1">
        <v>2.1</v>
      </c>
      <c r="H121" s="1">
        <v>2.9</v>
      </c>
      <c r="I121" s="1">
        <v>3.7</v>
      </c>
      <c r="J121" s="1">
        <v>4.7</v>
      </c>
      <c r="K121">
        <v>5.7</v>
      </c>
    </row>
    <row r="122" spans="1:16">
      <c r="A122" s="155" t="s">
        <v>187</v>
      </c>
      <c r="E122" s="1">
        <v>24.9</v>
      </c>
      <c r="F122" s="1">
        <v>30</v>
      </c>
      <c r="G122" s="1">
        <v>34.4</v>
      </c>
      <c r="H122" s="1">
        <v>40.6</v>
      </c>
      <c r="I122" s="1">
        <v>46.7</v>
      </c>
      <c r="J122" s="1">
        <v>54.7</v>
      </c>
      <c r="K122">
        <v>64.349999999999994</v>
      </c>
      <c r="L122">
        <f>K122+L123</f>
        <v>70.924999999999997</v>
      </c>
      <c r="M122">
        <f t="shared" ref="M122:P122" si="115">L122+M123</f>
        <v>77.5</v>
      </c>
      <c r="N122">
        <f t="shared" si="115"/>
        <v>84.075000000000003</v>
      </c>
      <c r="O122">
        <f t="shared" si="115"/>
        <v>90.65</v>
      </c>
      <c r="P122">
        <f t="shared" si="115"/>
        <v>97.225000000000009</v>
      </c>
    </row>
    <row r="123" spans="1:16">
      <c r="A123" s="157" t="s">
        <v>184</v>
      </c>
      <c r="F123" s="1">
        <f>F122-E122</f>
        <v>5.1000000000000014</v>
      </c>
      <c r="G123" s="1">
        <f t="shared" ref="G123" si="116">G122-F122</f>
        <v>4.3999999999999986</v>
      </c>
      <c r="H123" s="1">
        <f t="shared" ref="H123" si="117">H122-G122</f>
        <v>6.2000000000000028</v>
      </c>
      <c r="I123" s="1">
        <f t="shared" ref="I123" si="118">I122-H122</f>
        <v>6.1000000000000014</v>
      </c>
      <c r="J123" s="1">
        <f t="shared" ref="J123" si="119">J122-I122</f>
        <v>8</v>
      </c>
      <c r="K123" s="1">
        <f t="shared" ref="K123" si="120">K122-J122</f>
        <v>9.6499999999999915</v>
      </c>
      <c r="L123" s="1">
        <f>AVERAGE(F123:K123)</f>
        <v>6.5749999999999993</v>
      </c>
      <c r="M123" s="1">
        <f>L123</f>
        <v>6.5749999999999993</v>
      </c>
      <c r="N123" s="1">
        <f t="shared" ref="N123:P123" si="121">M123</f>
        <v>6.5749999999999993</v>
      </c>
      <c r="O123" s="1">
        <f t="shared" si="121"/>
        <v>6.5749999999999993</v>
      </c>
      <c r="P123" s="1">
        <f t="shared" si="121"/>
        <v>6.5749999999999993</v>
      </c>
    </row>
    <row r="124" spans="1:16">
      <c r="J124"/>
    </row>
    <row r="125" spans="1:16">
      <c r="A125" s="150" t="s">
        <v>179</v>
      </c>
      <c r="J125"/>
    </row>
    <row r="126" spans="1:16">
      <c r="A126" s="151" t="s">
        <v>180</v>
      </c>
      <c r="F126" s="1">
        <v>26158</v>
      </c>
      <c r="G126" s="1">
        <v>32485</v>
      </c>
      <c r="H126" s="1">
        <v>46419</v>
      </c>
      <c r="I126" s="1">
        <v>62117</v>
      </c>
      <c r="J126" s="1">
        <v>90737</v>
      </c>
      <c r="K126">
        <v>116015</v>
      </c>
    </row>
    <row r="127" spans="1:16">
      <c r="A127" s="151" t="s">
        <v>181</v>
      </c>
      <c r="F127" s="9">
        <f>F126/AVERAGE(E132:F132)/12</f>
        <v>169.76895119418484</v>
      </c>
      <c r="G127" s="9">
        <f t="shared" ref="G127:K127" si="122">G126/AVERAGE(F132:G132)/12</f>
        <v>166.53850097405927</v>
      </c>
      <c r="H127" s="9">
        <f t="shared" si="122"/>
        <v>193.60610610610613</v>
      </c>
      <c r="I127" s="9">
        <f t="shared" si="122"/>
        <v>216.45062373684576</v>
      </c>
      <c r="J127" s="9">
        <f t="shared" si="122"/>
        <v>262.32148019658865</v>
      </c>
      <c r="K127" s="9">
        <f t="shared" si="122"/>
        <v>278.29351372097483</v>
      </c>
    </row>
    <row r="128" spans="1:16">
      <c r="A128" s="152"/>
      <c r="F128" s="9"/>
      <c r="G128" s="9"/>
      <c r="H128" s="9"/>
      <c r="I128" s="9"/>
      <c r="J128" s="158"/>
      <c r="K128" s="158"/>
    </row>
    <row r="129" spans="1:16">
      <c r="A129" s="152"/>
      <c r="F129" s="9"/>
      <c r="G129" s="9"/>
      <c r="H129" s="9"/>
      <c r="I129" s="9"/>
      <c r="J129" s="158"/>
      <c r="K129" s="158"/>
    </row>
    <row r="130" spans="1:16">
      <c r="A130" s="151" t="s">
        <v>183</v>
      </c>
      <c r="F130" s="9">
        <f>F134/AVERAGE(E132:F132)/12</f>
        <v>1.5790498442367602</v>
      </c>
      <c r="G130" s="9">
        <f t="shared" ref="G130:K130" si="123">G134/AVERAGE(F132:G132)/12</f>
        <v>1.6302676099661644</v>
      </c>
      <c r="H130" s="9">
        <f t="shared" si="123"/>
        <v>1.6808475141808474</v>
      </c>
      <c r="I130" s="9">
        <f t="shared" si="123"/>
        <v>1.8572722837828419</v>
      </c>
      <c r="J130" s="9">
        <f t="shared" si="123"/>
        <v>2.0612893899971092</v>
      </c>
      <c r="K130" s="9">
        <f t="shared" si="123"/>
        <v>2.0845327192477447</v>
      </c>
      <c r="L130" s="159">
        <f>K130*(1+L131)</f>
        <v>2.2047147181993814</v>
      </c>
      <c r="M130" s="159">
        <f t="shared" ref="M130" si="124">L130*(1+M131)</f>
        <v>2.3318257102719433</v>
      </c>
      <c r="N130" s="159">
        <f t="shared" ref="N130" si="125">M130*(1+N131)</f>
        <v>2.4662651807967499</v>
      </c>
      <c r="O130" s="159">
        <f t="shared" ref="O130" si="126">N130*(1+O131)</f>
        <v>2.6084556470994023</v>
      </c>
      <c r="P130" s="159">
        <f t="shared" ref="P130" si="127">O130*(1+P131)</f>
        <v>2.7588439863902439</v>
      </c>
    </row>
    <row r="131" spans="1:16">
      <c r="A131" s="151" t="s">
        <v>158</v>
      </c>
      <c r="F131" s="6"/>
      <c r="G131" s="6">
        <f>G130/F130-1</f>
        <v>3.2435813167227989E-2</v>
      </c>
      <c r="H131" s="6">
        <f>H130/G130-1</f>
        <v>3.1025522377723602E-2</v>
      </c>
      <c r="I131" s="6">
        <f>I130/H130-1</f>
        <v>0.10496179344857115</v>
      </c>
      <c r="J131" s="6">
        <f>J130/I130-1</f>
        <v>0.1098477094584811</v>
      </c>
      <c r="K131" s="160">
        <v>0.01</v>
      </c>
      <c r="L131" s="160">
        <f>AVERAGE(G131:K131)</f>
        <v>5.765416769040077E-2</v>
      </c>
      <c r="M131" s="160">
        <f>L131</f>
        <v>5.765416769040077E-2</v>
      </c>
      <c r="N131" s="160">
        <f t="shared" ref="N131:P131" si="128">M131</f>
        <v>5.765416769040077E-2</v>
      </c>
      <c r="O131" s="160">
        <f t="shared" si="128"/>
        <v>5.765416769040077E-2</v>
      </c>
      <c r="P131" s="160">
        <f t="shared" si="128"/>
        <v>5.765416769040077E-2</v>
      </c>
    </row>
    <row r="132" spans="1:16">
      <c r="A132" s="151" t="s">
        <v>182</v>
      </c>
      <c r="E132" s="1">
        <v>11.46</v>
      </c>
      <c r="F132" s="1">
        <v>14.22</v>
      </c>
      <c r="G132" s="1">
        <v>18.29</v>
      </c>
      <c r="H132" s="1">
        <v>21.67</v>
      </c>
      <c r="I132" s="1">
        <v>26.16</v>
      </c>
      <c r="J132" s="1">
        <v>31.49</v>
      </c>
      <c r="K132">
        <v>37.99</v>
      </c>
      <c r="L132" s="158">
        <f>K132+L133</f>
        <v>42.411666666666669</v>
      </c>
      <c r="M132" s="158">
        <f t="shared" ref="M132:P132" si="129">L132+M133</f>
        <v>46.833333333333336</v>
      </c>
      <c r="N132" s="158">
        <f t="shared" si="129"/>
        <v>51.255000000000003</v>
      </c>
      <c r="O132" s="158">
        <f t="shared" si="129"/>
        <v>55.676666666666669</v>
      </c>
      <c r="P132" s="158">
        <f t="shared" si="129"/>
        <v>60.098333333333336</v>
      </c>
    </row>
    <row r="133" spans="1:16">
      <c r="A133" s="151" t="s">
        <v>184</v>
      </c>
      <c r="F133" s="1">
        <f>F132-E132</f>
        <v>2.76</v>
      </c>
      <c r="G133" s="1">
        <f t="shared" ref="G133" si="130">G132-F132</f>
        <v>4.0699999999999985</v>
      </c>
      <c r="H133" s="1">
        <f t="shared" ref="H133" si="131">H132-G132</f>
        <v>3.3800000000000026</v>
      </c>
      <c r="I133" s="1">
        <f t="shared" ref="I133" si="132">I132-H132</f>
        <v>4.4899999999999984</v>
      </c>
      <c r="J133" s="1">
        <f t="shared" ref="J133" si="133">J132-I132</f>
        <v>5.3299999999999983</v>
      </c>
      <c r="K133" s="1">
        <f t="shared" ref="K133" si="134">K132-J132</f>
        <v>6.5000000000000036</v>
      </c>
      <c r="L133" s="9">
        <f>AVERAGE(F133:K133)</f>
        <v>4.4216666666666669</v>
      </c>
      <c r="M133" s="9">
        <f>L133</f>
        <v>4.4216666666666669</v>
      </c>
      <c r="N133" s="9">
        <f t="shared" ref="N133:P133" si="135">M133</f>
        <v>4.4216666666666669</v>
      </c>
      <c r="O133" s="9">
        <f t="shared" si="135"/>
        <v>4.4216666666666669</v>
      </c>
      <c r="P133" s="9">
        <f t="shared" si="135"/>
        <v>4.4216666666666669</v>
      </c>
    </row>
    <row r="134" spans="1:16">
      <c r="A134" s="151" t="s">
        <v>185</v>
      </c>
      <c r="F134" s="1">
        <v>243.3</v>
      </c>
      <c r="G134" s="1">
        <v>318</v>
      </c>
      <c r="H134" s="1">
        <v>403</v>
      </c>
      <c r="I134" s="1">
        <v>533</v>
      </c>
      <c r="J134" s="1">
        <v>713</v>
      </c>
      <c r="K134" s="1">
        <v>869</v>
      </c>
      <c r="L134" s="159">
        <f>L130*AVERAGE(K132:L132)*12</f>
        <v>1063.5764272065635</v>
      </c>
      <c r="M134" s="159">
        <f t="shared" ref="M134:P134" si="136">M130*AVERAGE(L132:M132)*12</f>
        <v>1248.6227130793175</v>
      </c>
      <c r="N134" s="159">
        <f t="shared" si="136"/>
        <v>1451.4710468543112</v>
      </c>
      <c r="O134" s="159">
        <f t="shared" si="136"/>
        <v>1673.5590586225053</v>
      </c>
      <c r="P134" s="159">
        <f t="shared" si="136"/>
        <v>1916.4309751459828</v>
      </c>
    </row>
    <row r="137" spans="1:16">
      <c r="A137" s="162" t="s">
        <v>9</v>
      </c>
    </row>
    <row r="139" spans="1:16">
      <c r="A139" t="s">
        <v>188</v>
      </c>
      <c r="E139" s="5">
        <f>E12</f>
        <v>4045</v>
      </c>
      <c r="F139" s="5">
        <f t="shared" ref="F139:K139" si="137">F12</f>
        <v>4436</v>
      </c>
      <c r="G139" s="5">
        <f t="shared" si="137"/>
        <v>4552</v>
      </c>
      <c r="H139" s="5">
        <f t="shared" si="137"/>
        <v>4246.745511442</v>
      </c>
      <c r="I139" s="5">
        <f t="shared" si="137"/>
        <v>3868.618503099</v>
      </c>
      <c r="J139" s="5">
        <f t="shared" si="137"/>
        <v>2943.7045633729995</v>
      </c>
      <c r="K139" s="5">
        <f t="shared" si="137"/>
        <v>3773</v>
      </c>
      <c r="L139" s="5">
        <f>K139*(1+L140)</f>
        <v>3778.880010433671</v>
      </c>
      <c r="M139" s="5">
        <f t="shared" ref="M139:P139" si="138">L139*(1+M140)</f>
        <v>3784.7691845362265</v>
      </c>
      <c r="N139" s="5">
        <f t="shared" si="138"/>
        <v>3790.6675365887336</v>
      </c>
      <c r="O139" s="5">
        <f t="shared" si="138"/>
        <v>3796.5750808945168</v>
      </c>
      <c r="P139" s="5">
        <f t="shared" si="138"/>
        <v>3802.4918317791908</v>
      </c>
    </row>
    <row r="140" spans="1:16">
      <c r="A140" t="s">
        <v>158</v>
      </c>
      <c r="F140" s="6">
        <f>F139/E139-1</f>
        <v>9.6662546353522893E-2</v>
      </c>
      <c r="G140" s="6">
        <f>G139/F139-1</f>
        <v>2.6149684400360584E-2</v>
      </c>
      <c r="H140" s="6">
        <f>H139/G139-1</f>
        <v>-6.7059421915202089E-2</v>
      </c>
      <c r="I140" s="6">
        <f>I139/H139-1</f>
        <v>-8.9039243657104694E-2</v>
      </c>
      <c r="J140" s="6">
        <f t="shared" ref="J140:K140" si="139">J139/I139-1</f>
        <v>-0.23908119629399693</v>
      </c>
      <c r="K140" s="6">
        <f t="shared" si="139"/>
        <v>0.28171829705517903</v>
      </c>
      <c r="L140" s="160">
        <f>AVERAGE(F140:K140)</f>
        <v>1.5584443237931327E-3</v>
      </c>
      <c r="M140" s="160">
        <f>L140</f>
        <v>1.5584443237931327E-3</v>
      </c>
      <c r="N140" s="160">
        <f t="shared" ref="N140:P140" si="140">M140</f>
        <v>1.5584443237931327E-3</v>
      </c>
      <c r="O140" s="160">
        <f t="shared" si="140"/>
        <v>1.5584443237931327E-3</v>
      </c>
      <c r="P140" s="160">
        <f t="shared" si="140"/>
        <v>1.5584443237931327E-3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B37F-8F5E-49EC-BEE7-914ABFDAD838}">
  <dimension ref="A1:P41"/>
  <sheetViews>
    <sheetView showGridLines="0" workbookViewId="0">
      <pane ySplit="6" topLeftCell="A7" activePane="bottomLeft" state="frozen"/>
      <selection pane="bottomLeft" activeCell="J39" sqref="J39"/>
    </sheetView>
  </sheetViews>
  <sheetFormatPr defaultRowHeight="14.25"/>
  <cols>
    <col min="1" max="1" width="18" customWidth="1"/>
    <col min="5" max="9" width="10.86328125" style="1" customWidth="1"/>
    <col min="10" max="10" width="10.3984375" style="1" bestFit="1" customWidth="1"/>
    <col min="11" max="16" width="10.3984375" bestFit="1" customWidth="1"/>
  </cols>
  <sheetData>
    <row r="1" spans="1:16" ht="36" customHeight="1">
      <c r="A1" t="s">
        <v>118</v>
      </c>
    </row>
    <row r="2" spans="1:16">
      <c r="A2" t="s">
        <v>119</v>
      </c>
    </row>
    <row r="3" spans="1:16">
      <c r="A3" t="s">
        <v>123</v>
      </c>
    </row>
    <row r="5" spans="1:16">
      <c r="A5" t="s">
        <v>0</v>
      </c>
      <c r="E5" s="2">
        <v>43190</v>
      </c>
      <c r="F5" s="2">
        <f t="shared" ref="F5:P5" si="0">EDATE(E5,12)</f>
        <v>43555</v>
      </c>
      <c r="G5" s="2">
        <f t="shared" si="0"/>
        <v>43921</v>
      </c>
      <c r="H5" s="2">
        <f t="shared" si="0"/>
        <v>44286</v>
      </c>
      <c r="I5" s="2">
        <f t="shared" si="0"/>
        <v>44651</v>
      </c>
      <c r="J5" s="2">
        <f t="shared" si="0"/>
        <v>45016</v>
      </c>
      <c r="K5" s="2">
        <f t="shared" si="0"/>
        <v>45382</v>
      </c>
      <c r="L5" s="2">
        <f t="shared" si="0"/>
        <v>45747</v>
      </c>
      <c r="M5" s="2">
        <f t="shared" si="0"/>
        <v>46112</v>
      </c>
      <c r="N5" s="2">
        <f t="shared" si="0"/>
        <v>46477</v>
      </c>
      <c r="O5" s="2">
        <f t="shared" si="0"/>
        <v>46843</v>
      </c>
      <c r="P5" s="2">
        <f t="shared" si="0"/>
        <v>47208</v>
      </c>
    </row>
    <row r="6" spans="1:16">
      <c r="A6" t="s">
        <v>1</v>
      </c>
      <c r="E6" s="3">
        <f t="shared" ref="E6:P6" si="1">YEAR(E5)</f>
        <v>2018</v>
      </c>
      <c r="F6" s="3">
        <f t="shared" si="1"/>
        <v>2019</v>
      </c>
      <c r="G6" s="3">
        <f t="shared" si="1"/>
        <v>2020</v>
      </c>
      <c r="H6" s="3">
        <f t="shared" si="1"/>
        <v>2021</v>
      </c>
      <c r="I6" s="3">
        <f t="shared" si="1"/>
        <v>2022</v>
      </c>
      <c r="J6" s="3">
        <f t="shared" si="1"/>
        <v>2023</v>
      </c>
      <c r="K6" s="3">
        <f t="shared" si="1"/>
        <v>2024</v>
      </c>
      <c r="L6" s="4">
        <f t="shared" si="1"/>
        <v>2025</v>
      </c>
      <c r="M6" s="4">
        <f t="shared" si="1"/>
        <v>2026</v>
      </c>
      <c r="N6" s="4">
        <f t="shared" si="1"/>
        <v>2027</v>
      </c>
      <c r="O6" s="4">
        <f t="shared" si="1"/>
        <v>2028</v>
      </c>
      <c r="P6" s="4">
        <f t="shared" si="1"/>
        <v>2029</v>
      </c>
    </row>
    <row r="9" spans="1:16">
      <c r="A9" s="31" t="s">
        <v>15</v>
      </c>
      <c r="E9" s="5">
        <f>IS!E17</f>
        <v>914594</v>
      </c>
      <c r="F9" s="5">
        <f>IS!F17</f>
        <v>892279.04339354916</v>
      </c>
      <c r="G9" s="5">
        <f>IS!G17</f>
        <v>957882</v>
      </c>
      <c r="H9" s="5">
        <f>IS!H17</f>
        <v>1080741.0116407098</v>
      </c>
      <c r="I9" s="5">
        <f>IS!I17</f>
        <v>1207870.7346375389</v>
      </c>
      <c r="J9" s="5">
        <f>IS!J17</f>
        <v>1441562.1896708861</v>
      </c>
      <c r="K9" s="5">
        <f>IS!K17</f>
        <v>1548519</v>
      </c>
      <c r="L9" s="5">
        <f>IS!L17</f>
        <v>1774831.5111787003</v>
      </c>
      <c r="M9" s="5">
        <f>IS!M17</f>
        <v>1942644.0303178376</v>
      </c>
      <c r="N9" s="5">
        <f>IS!N17</f>
        <v>2141058.2278646915</v>
      </c>
      <c r="O9" s="5">
        <f>IS!O17</f>
        <v>2362426.8663365617</v>
      </c>
      <c r="P9" s="5">
        <f>IS!P17</f>
        <v>2518446.9200947108</v>
      </c>
    </row>
    <row r="10" spans="1:16">
      <c r="A10" s="12" t="s">
        <v>16</v>
      </c>
      <c r="F10" s="6">
        <f>F9/E9-1</f>
        <v>-2.4398756832486157E-2</v>
      </c>
      <c r="G10" s="6">
        <f t="shared" ref="G10:P10" si="2">G9/F9-1</f>
        <v>7.3522915384123699E-2</v>
      </c>
      <c r="H10" s="6">
        <f t="shared" si="2"/>
        <v>0.12826111320675171</v>
      </c>
      <c r="I10" s="6">
        <f t="shared" si="2"/>
        <v>0.1176319965907735</v>
      </c>
      <c r="J10" s="6">
        <f t="shared" si="2"/>
        <v>0.19347389445897445</v>
      </c>
      <c r="K10" s="6">
        <f t="shared" si="2"/>
        <v>7.419507191259811E-2</v>
      </c>
      <c r="L10" s="6">
        <f t="shared" si="2"/>
        <v>0.14614771351123257</v>
      </c>
      <c r="M10" s="6">
        <f t="shared" si="2"/>
        <v>9.4551239417475674E-2</v>
      </c>
      <c r="N10" s="6">
        <f t="shared" si="2"/>
        <v>0.10213615796322251</v>
      </c>
      <c r="O10" s="6">
        <f t="shared" si="2"/>
        <v>0.10339216168475929</v>
      </c>
      <c r="P10" s="6">
        <f t="shared" si="2"/>
        <v>6.6042278802937338E-2</v>
      </c>
    </row>
    <row r="11" spans="1:16">
      <c r="A11" s="32" t="s">
        <v>17</v>
      </c>
      <c r="E11" s="5">
        <f>IS!E19</f>
        <v>-77715</v>
      </c>
      <c r="F11" s="5">
        <f>IS!F19</f>
        <v>-78921.043393549218</v>
      </c>
      <c r="G11" s="5">
        <f>IS!G19</f>
        <v>-82492</v>
      </c>
      <c r="H11" s="5">
        <f>IS!H19</f>
        <v>-60853.011640710058</v>
      </c>
      <c r="I11" s="5">
        <f>IS!I19</f>
        <v>-42401.734637539077</v>
      </c>
      <c r="J11" s="5">
        <f>IS!J19</f>
        <v>-50114.189670886204</v>
      </c>
      <c r="K11" s="5">
        <f>IS!K19</f>
        <v>-53832.415577359192</v>
      </c>
      <c r="L11" s="5">
        <f>IS!L19</f>
        <v>-61699.900026776697</v>
      </c>
      <c r="M11" s="5">
        <f>IS!M19</f>
        <v>-67533.702046242775</v>
      </c>
      <c r="N11" s="5">
        <f>IS!N19</f>
        <v>-74431.334906279037</v>
      </c>
      <c r="O11" s="5">
        <f>IS!O19</f>
        <v>-82126.951519321505</v>
      </c>
      <c r="P11" s="5">
        <f>IS!P19</f>
        <v>-87550.802548795866</v>
      </c>
    </row>
    <row r="12" spans="1:16">
      <c r="A12" s="31" t="s">
        <v>18</v>
      </c>
      <c r="E12" s="5">
        <f>E9+E11</f>
        <v>836879</v>
      </c>
      <c r="F12" s="5">
        <f t="shared" ref="F12:P12" si="3">F9+F11</f>
        <v>813358</v>
      </c>
      <c r="G12" s="5">
        <f t="shared" si="3"/>
        <v>875390</v>
      </c>
      <c r="H12" s="5">
        <f t="shared" si="3"/>
        <v>1019887.9999999998</v>
      </c>
      <c r="I12" s="5">
        <f t="shared" si="3"/>
        <v>1165468.9999999998</v>
      </c>
      <c r="J12" s="5">
        <f t="shared" si="3"/>
        <v>1391448</v>
      </c>
      <c r="K12" s="5">
        <f t="shared" si="3"/>
        <v>1494686.5844226407</v>
      </c>
      <c r="L12" s="5">
        <f t="shared" si="3"/>
        <v>1713131.6111519237</v>
      </c>
      <c r="M12" s="5">
        <f t="shared" si="3"/>
        <v>1875110.3282715948</v>
      </c>
      <c r="N12" s="5">
        <f t="shared" si="3"/>
        <v>2066626.8929584124</v>
      </c>
      <c r="O12" s="5">
        <f t="shared" si="3"/>
        <v>2280299.9148172401</v>
      </c>
      <c r="P12" s="5">
        <f t="shared" si="3"/>
        <v>2430896.1175459148</v>
      </c>
    </row>
    <row r="13" spans="1:16">
      <c r="A13" s="14" t="s">
        <v>16</v>
      </c>
      <c r="F13" s="6">
        <f>F12/E12-1</f>
        <v>-2.8105616224089691E-2</v>
      </c>
      <c r="G13" s="6">
        <f t="shared" ref="G13:P13" si="4">G12/F12-1</f>
        <v>7.6266539457409799E-2</v>
      </c>
      <c r="H13" s="6">
        <f t="shared" si="4"/>
        <v>0.16506699870914643</v>
      </c>
      <c r="I13" s="6">
        <f t="shared" si="4"/>
        <v>0.14274214423544551</v>
      </c>
      <c r="J13" s="6">
        <f t="shared" si="4"/>
        <v>0.19389533312340368</v>
      </c>
      <c r="K13" s="6">
        <f t="shared" si="4"/>
        <v>7.419507191259811E-2</v>
      </c>
      <c r="L13" s="6">
        <f t="shared" si="4"/>
        <v>0.14614771351123257</v>
      </c>
      <c r="M13" s="6">
        <f t="shared" si="4"/>
        <v>9.4551239417475452E-2</v>
      </c>
      <c r="N13" s="6">
        <f t="shared" si="4"/>
        <v>0.10213615796322251</v>
      </c>
      <c r="O13" s="6">
        <f t="shared" si="4"/>
        <v>0.10339216168475929</v>
      </c>
      <c r="P13" s="6">
        <f t="shared" si="4"/>
        <v>6.604227880293756E-2</v>
      </c>
    </row>
    <row r="14" spans="1:16">
      <c r="K14" s="1"/>
      <c r="L14" s="1"/>
      <c r="M14" s="1"/>
      <c r="N14" s="1"/>
      <c r="O14" s="1"/>
      <c r="P14" s="1"/>
    </row>
    <row r="15" spans="1:16">
      <c r="A15" t="s">
        <v>19</v>
      </c>
      <c r="E15" s="5">
        <f>IS!E23</f>
        <v>-90446</v>
      </c>
      <c r="F15" s="5">
        <f>IS!F23</f>
        <v>-93521</v>
      </c>
      <c r="G15" s="5">
        <f>IS!G23</f>
        <v>-107395</v>
      </c>
      <c r="H15" s="5">
        <f>IS!H23</f>
        <v>-103521</v>
      </c>
      <c r="I15" s="5">
        <f>IS!I23</f>
        <v>-67611</v>
      </c>
      <c r="J15" s="5">
        <f>IS!J23</f>
        <v>-76207</v>
      </c>
      <c r="K15" s="5">
        <f>K$9*K26</f>
        <v>-84270.04667827388</v>
      </c>
      <c r="L15" s="5">
        <f t="shared" ref="L15:P15" si="5">L$9*L26</f>
        <v>-95205.465003668389</v>
      </c>
      <c r="M15" s="5">
        <f t="shared" si="5"/>
        <v>-104962.74980387323</v>
      </c>
      <c r="N15" s="5">
        <f t="shared" si="5"/>
        <v>-115266.91532838045</v>
      </c>
      <c r="O15" s="5">
        <f t="shared" si="5"/>
        <v>-127414.29655660874</v>
      </c>
      <c r="P15" s="5">
        <f t="shared" si="5"/>
        <v>-135706.5997295203</v>
      </c>
    </row>
    <row r="16" spans="1:16">
      <c r="A16" t="s">
        <v>20</v>
      </c>
      <c r="E16" s="5">
        <f>IS!E24</f>
        <v>-75558</v>
      </c>
      <c r="F16" s="5">
        <f>IS!F24</f>
        <v>-69426</v>
      </c>
      <c r="G16" s="5">
        <f>IS!G24</f>
        <v>-72561</v>
      </c>
      <c r="H16" s="5">
        <f>IS!H24</f>
        <v>-91086.904949000003</v>
      </c>
      <c r="I16" s="5">
        <f>IS!I24</f>
        <v>-110636</v>
      </c>
      <c r="J16" s="5">
        <f>IS!J24</f>
        <v>-117517</v>
      </c>
      <c r="K16" s="5">
        <f t="shared" ref="K16:P16" si="6">K$9*K27</f>
        <v>-127384.0349259154</v>
      </c>
      <c r="L16" s="5">
        <f t="shared" si="6"/>
        <v>-145896.83892904411</v>
      </c>
      <c r="M16" s="5">
        <f t="shared" si="6"/>
        <v>-161114.78156375699</v>
      </c>
      <c r="N16" s="5">
        <f t="shared" si="6"/>
        <v>-180134.10138496957</v>
      </c>
      <c r="O16" s="5">
        <f t="shared" si="6"/>
        <v>-198700.01095788184</v>
      </c>
      <c r="P16" s="5">
        <f t="shared" si="6"/>
        <v>-208679.81495873028</v>
      </c>
    </row>
    <row r="17" spans="1:16">
      <c r="A17" t="s">
        <v>21</v>
      </c>
      <c r="E17" s="5">
        <f>IS!E25</f>
        <v>-197520</v>
      </c>
      <c r="F17" s="5">
        <f>IS!F25</f>
        <v>-223900</v>
      </c>
      <c r="G17" s="5">
        <f>IS!G25</f>
        <v>-254269.37695464917</v>
      </c>
      <c r="H17" s="5">
        <f>IS!H25</f>
        <v>-276842.37695464917</v>
      </c>
      <c r="I17" s="5">
        <f>IS!I25</f>
        <v>-306789.37695464917</v>
      </c>
      <c r="J17" s="5">
        <f>IS!J25</f>
        <v>-342017.37695464917</v>
      </c>
      <c r="K17" s="5">
        <f t="shared" ref="K17:P17" si="7">K$9*K28</f>
        <v>-381903.77848830156</v>
      </c>
      <c r="L17" s="5">
        <f t="shared" si="7"/>
        <v>-446787.67985863268</v>
      </c>
      <c r="M17" s="5">
        <f t="shared" si="7"/>
        <v>-489292.58017694263</v>
      </c>
      <c r="N17" s="5">
        <f t="shared" si="7"/>
        <v>-534421.04973736976</v>
      </c>
      <c r="O17" s="5">
        <f t="shared" si="7"/>
        <v>-587095.54017725959</v>
      </c>
      <c r="P17" s="5">
        <f t="shared" si="7"/>
        <v>-623569.26111279556</v>
      </c>
    </row>
    <row r="18" spans="1:16">
      <c r="A18" t="s">
        <v>22</v>
      </c>
      <c r="E18" s="5">
        <f>IS!E26</f>
        <v>-39771</v>
      </c>
      <c r="F18" s="5">
        <f>IS!F26</f>
        <v>-37975</v>
      </c>
      <c r="G18" s="5">
        <f>IS!G26</f>
        <v>-38072</v>
      </c>
      <c r="H18" s="5">
        <f>IS!H26</f>
        <v>-42823</v>
      </c>
      <c r="I18" s="5">
        <f>IS!I26</f>
        <v>-44333</v>
      </c>
      <c r="J18" s="5">
        <f>IS!J26</f>
        <v>-48308</v>
      </c>
      <c r="K18" s="5">
        <f t="shared" ref="K18:P18" si="8">K$9*K29</f>
        <v>-51892.215533953793</v>
      </c>
      <c r="L18" s="5">
        <f t="shared" si="8"/>
        <v>-59476.144183273202</v>
      </c>
      <c r="M18" s="5">
        <f t="shared" si="8"/>
        <v>-65099.687331574169</v>
      </c>
      <c r="N18" s="5">
        <f t="shared" si="8"/>
        <v>-71748.719280228222</v>
      </c>
      <c r="O18" s="5">
        <f t="shared" si="8"/>
        <v>-79166.974464723986</v>
      </c>
      <c r="P18" s="5">
        <f t="shared" si="8"/>
        <v>-84395.341864308313</v>
      </c>
    </row>
    <row r="19" spans="1:16">
      <c r="A19" t="s">
        <v>23</v>
      </c>
      <c r="E19" s="5">
        <f>IS!E27</f>
        <v>-132793</v>
      </c>
      <c r="F19" s="5">
        <f>IS!F27</f>
        <v>-130347</v>
      </c>
      <c r="G19" s="5">
        <f>IS!G27</f>
        <v>-93582</v>
      </c>
      <c r="H19" s="5">
        <f>IS!H27</f>
        <v>-97850.658017000009</v>
      </c>
      <c r="I19" s="5">
        <f>IS!I27</f>
        <v>-117345</v>
      </c>
      <c r="J19" s="5">
        <f>IS!J27</f>
        <v>-151248</v>
      </c>
      <c r="K19" s="5">
        <f t="shared" ref="K19:P19" si="9">K$9*K30</f>
        <v>-175907.51326920828</v>
      </c>
      <c r="L19" s="5">
        <f t="shared" si="9"/>
        <v>-192269.69359049722</v>
      </c>
      <c r="M19" s="5">
        <f t="shared" si="9"/>
        <v>-198225.91925683341</v>
      </c>
      <c r="N19" s="5">
        <f t="shared" si="9"/>
        <v>-220021.52462355056</v>
      </c>
      <c r="O19" s="5">
        <f t="shared" si="9"/>
        <v>-247582.54156206065</v>
      </c>
      <c r="P19" s="5">
        <f t="shared" si="9"/>
        <v>-267144.38876525284</v>
      </c>
    </row>
    <row r="20" spans="1:16">
      <c r="A20" t="s">
        <v>24</v>
      </c>
      <c r="E20" s="5">
        <f>IS!E28</f>
        <v>-536088</v>
      </c>
      <c r="F20" s="5">
        <f>IS!F28</f>
        <v>-555169</v>
      </c>
      <c r="G20" s="5">
        <f>IS!G28</f>
        <v>-565879.37695464911</v>
      </c>
      <c r="H20" s="5">
        <f>IS!H28</f>
        <v>-612123.93992064917</v>
      </c>
      <c r="I20" s="5">
        <f>IS!I28</f>
        <v>-646714.37695464911</v>
      </c>
      <c r="J20" s="5">
        <f>IS!J28</f>
        <v>-735297.37695464911</v>
      </c>
      <c r="K20" s="5">
        <f t="shared" ref="K20:P20" si="10">K$9*K31</f>
        <v>-821357.58889565291</v>
      </c>
      <c r="L20" s="5">
        <f t="shared" si="10"/>
        <v>-939635.82156511559</v>
      </c>
      <c r="M20" s="5">
        <f t="shared" si="10"/>
        <v>-1018695.7181329804</v>
      </c>
      <c r="N20" s="5">
        <f t="shared" si="10"/>
        <v>-1121592.3103544984</v>
      </c>
      <c r="O20" s="5">
        <f t="shared" si="10"/>
        <v>-1239959.3637185346</v>
      </c>
      <c r="P20" s="5">
        <f t="shared" si="10"/>
        <v>-1319495.4064306072</v>
      </c>
    </row>
    <row r="21" spans="1:16">
      <c r="A21" t="s">
        <v>16</v>
      </c>
      <c r="F21" s="6">
        <f>F20/E20-1</f>
        <v>3.5593036964080449E-2</v>
      </c>
      <c r="G21" s="6">
        <f t="shared" ref="G21" si="11">G20/F20-1</f>
        <v>1.9292101962914199E-2</v>
      </c>
      <c r="H21" s="6">
        <f t="shared" ref="H21" si="12">H20/G20-1</f>
        <v>8.1721590941997269E-2</v>
      </c>
      <c r="I21" s="6">
        <f t="shared" ref="I21" si="13">I20/H20-1</f>
        <v>5.6508877987166972E-2</v>
      </c>
      <c r="J21" s="6">
        <f t="shared" ref="J21" si="14">J20/I20-1</f>
        <v>0.13697391484805643</v>
      </c>
      <c r="K21" s="6">
        <f t="shared" ref="K21" si="15">K20/J20-1</f>
        <v>0.11704136943536492</v>
      </c>
      <c r="L21" s="6">
        <f t="shared" ref="L21" si="16">L20/K20-1</f>
        <v>0.14400333578032964</v>
      </c>
      <c r="M21" s="6">
        <f t="shared" ref="M21" si="17">M20/L20-1</f>
        <v>8.4138870351044837E-2</v>
      </c>
      <c r="N21" s="6">
        <f t="shared" ref="N21" si="18">N20/M20-1</f>
        <v>0.10100817191035438</v>
      </c>
      <c r="O21" s="6">
        <f t="shared" ref="O21" si="19">O20/N20-1</f>
        <v>0.1055348296090084</v>
      </c>
      <c r="P21" s="6">
        <f t="shared" ref="P21" si="20">P20/O20-1</f>
        <v>6.4144072006965258E-2</v>
      </c>
    </row>
    <row r="22" spans="1:16">
      <c r="K22" s="1"/>
      <c r="L22" s="1"/>
      <c r="M22" s="1"/>
      <c r="N22" s="1"/>
      <c r="O22" s="1"/>
      <c r="P22" s="1"/>
    </row>
    <row r="23" spans="1:16">
      <c r="K23" s="1"/>
      <c r="L23" s="1"/>
      <c r="M23" s="1"/>
      <c r="N23" s="1"/>
      <c r="O23" s="1"/>
      <c r="P23" s="1"/>
    </row>
    <row r="24" spans="1:16">
      <c r="K24" s="1"/>
      <c r="L24" s="1"/>
      <c r="M24" s="1"/>
      <c r="N24" s="1"/>
      <c r="O24" s="1"/>
      <c r="P24" s="1"/>
    </row>
    <row r="25" spans="1:16">
      <c r="A25" s="31" t="s">
        <v>15</v>
      </c>
      <c r="K25" s="1"/>
      <c r="L25" s="1"/>
      <c r="M25" s="1"/>
      <c r="N25" s="1"/>
      <c r="O25" s="1"/>
      <c r="P25" s="1"/>
    </row>
    <row r="26" spans="1:16">
      <c r="A26" t="s">
        <v>19</v>
      </c>
      <c r="E26" s="6">
        <f>E15/E$9</f>
        <v>-9.8891967364754196E-2</v>
      </c>
      <c r="F26" s="6">
        <f t="shared" ref="F26:J26" si="21">F15/F$9</f>
        <v>-0.10481138237239936</v>
      </c>
      <c r="G26" s="6">
        <f t="shared" si="21"/>
        <v>-0.11211715012913907</v>
      </c>
      <c r="H26" s="6">
        <f t="shared" si="21"/>
        <v>-9.5787056181796268E-2</v>
      </c>
      <c r="I26" s="6">
        <f t="shared" si="21"/>
        <v>-5.597536065834801E-2</v>
      </c>
      <c r="J26" s="6">
        <f t="shared" si="21"/>
        <v>-5.286417786623436E-2</v>
      </c>
      <c r="K26" s="125">
        <f>AVERAGE(I26:J26)</f>
        <v>-5.4419769262291182E-2</v>
      </c>
      <c r="L26" s="125">
        <f t="shared" ref="L26:P26" si="22">AVERAGE(J26:K26)</f>
        <v>-5.3641973564262771E-2</v>
      </c>
      <c r="M26" s="125">
        <f t="shared" si="22"/>
        <v>-5.4030871413276976E-2</v>
      </c>
      <c r="N26" s="125">
        <f t="shared" si="22"/>
        <v>-5.3836422488769874E-2</v>
      </c>
      <c r="O26" s="125">
        <f t="shared" si="22"/>
        <v>-5.3933646951023428E-2</v>
      </c>
      <c r="P26" s="125">
        <f t="shared" si="22"/>
        <v>-5.3885034719896654E-2</v>
      </c>
    </row>
    <row r="27" spans="1:16">
      <c r="A27" t="s">
        <v>20</v>
      </c>
      <c r="E27" s="6">
        <f t="shared" ref="E27:J30" si="23">E16/E$9</f>
        <v>-8.2613706190943742E-2</v>
      </c>
      <c r="F27" s="6">
        <f t="shared" si="23"/>
        <v>-7.7807498129684224E-2</v>
      </c>
      <c r="G27" s="6">
        <f t="shared" si="23"/>
        <v>-7.5751501750737568E-2</v>
      </c>
      <c r="H27" s="6">
        <f t="shared" si="23"/>
        <v>-8.4281899148731174E-2</v>
      </c>
      <c r="I27" s="6">
        <f t="shared" si="23"/>
        <v>-9.1595894185812807E-2</v>
      </c>
      <c r="J27" s="6">
        <f t="shared" si="23"/>
        <v>-8.1520589844847113E-2</v>
      </c>
      <c r="K27" s="125">
        <f>AVERAGE(E27:J27)</f>
        <v>-8.2261848208459443E-2</v>
      </c>
      <c r="L27" s="125">
        <f t="shared" ref="L27:P27" si="24">AVERAGE(F27:K27)</f>
        <v>-8.2203205211378721E-2</v>
      </c>
      <c r="M27" s="125">
        <f t="shared" si="24"/>
        <v>-8.2935823058327807E-2</v>
      </c>
      <c r="N27" s="125">
        <f t="shared" si="24"/>
        <v>-8.4133209942926182E-2</v>
      </c>
      <c r="O27" s="125">
        <f t="shared" si="24"/>
        <v>-8.4108428408625355E-2</v>
      </c>
      <c r="P27" s="125">
        <f t="shared" si="24"/>
        <v>-8.286051744576077E-2</v>
      </c>
    </row>
    <row r="28" spans="1:16">
      <c r="A28" t="s">
        <v>21</v>
      </c>
      <c r="E28" s="6">
        <f t="shared" si="23"/>
        <v>-0.21596467940966155</v>
      </c>
      <c r="F28" s="6">
        <f t="shared" si="23"/>
        <v>-0.25093047030271509</v>
      </c>
      <c r="G28" s="6">
        <f t="shared" si="23"/>
        <v>-0.26544958246908196</v>
      </c>
      <c r="H28" s="6">
        <f t="shared" si="23"/>
        <v>-0.25615977738678142</v>
      </c>
      <c r="I28" s="6">
        <f t="shared" si="23"/>
        <v>-0.25399189512337289</v>
      </c>
      <c r="J28" s="6">
        <f t="shared" si="23"/>
        <v>-0.23725468065497263</v>
      </c>
      <c r="K28" s="125">
        <f>AVERAGE(E28:J28)</f>
        <v>-0.24662518089109761</v>
      </c>
      <c r="L28" s="125">
        <f t="shared" ref="L28:P28" si="25">AVERAGE(F28:K28)</f>
        <v>-0.25173526447133693</v>
      </c>
      <c r="M28" s="125">
        <f t="shared" si="25"/>
        <v>-0.25186939683277387</v>
      </c>
      <c r="N28" s="125">
        <f t="shared" si="25"/>
        <v>-0.2496060325600559</v>
      </c>
      <c r="O28" s="125">
        <f t="shared" si="25"/>
        <v>-0.24851374175560167</v>
      </c>
      <c r="P28" s="125">
        <f t="shared" si="25"/>
        <v>-0.24760071619430643</v>
      </c>
    </row>
    <row r="29" spans="1:16">
      <c r="A29" t="s">
        <v>22</v>
      </c>
      <c r="E29" s="6">
        <f t="shared" si="23"/>
        <v>-4.348486869583662E-2</v>
      </c>
      <c r="F29" s="6">
        <f t="shared" si="23"/>
        <v>-4.2559556095335439E-2</v>
      </c>
      <c r="G29" s="6">
        <f t="shared" si="23"/>
        <v>-3.9746022996569513E-2</v>
      </c>
      <c r="H29" s="6">
        <f t="shared" si="23"/>
        <v>-3.9623739211107518E-2</v>
      </c>
      <c r="I29" s="6">
        <f t="shared" si="23"/>
        <v>-3.6703430862826202E-2</v>
      </c>
      <c r="J29" s="6">
        <f t="shared" si="23"/>
        <v>-3.3510867825292293E-2</v>
      </c>
      <c r="K29" s="125">
        <f>J29</f>
        <v>-3.3510867825292293E-2</v>
      </c>
      <c r="L29" s="125">
        <f t="shared" ref="L29:P29" si="26">K29</f>
        <v>-3.3510867825292293E-2</v>
      </c>
      <c r="M29" s="125">
        <f t="shared" si="26"/>
        <v>-3.3510867825292293E-2</v>
      </c>
      <c r="N29" s="125">
        <f t="shared" si="26"/>
        <v>-3.3510867825292293E-2</v>
      </c>
      <c r="O29" s="125">
        <f t="shared" si="26"/>
        <v>-3.3510867825292293E-2</v>
      </c>
      <c r="P29" s="125">
        <f t="shared" si="26"/>
        <v>-3.3510867825292293E-2</v>
      </c>
    </row>
    <row r="30" spans="1:16">
      <c r="A30" t="s">
        <v>23</v>
      </c>
      <c r="E30" s="6">
        <f t="shared" si="23"/>
        <v>-0.14519338635503842</v>
      </c>
      <c r="F30" s="6">
        <f t="shared" si="23"/>
        <v>-0.1460832247099062</v>
      </c>
      <c r="G30" s="6">
        <f t="shared" si="23"/>
        <v>-9.7696793550771391E-2</v>
      </c>
      <c r="H30" s="6">
        <f t="shared" si="23"/>
        <v>-9.0540339418090171E-2</v>
      </c>
      <c r="I30" s="6">
        <f t="shared" si="23"/>
        <v>-9.7150296496928704E-2</v>
      </c>
      <c r="J30" s="6">
        <f t="shared" si="23"/>
        <v>-0.10491951098865215</v>
      </c>
      <c r="K30" s="125">
        <f>AVERAGE(E30:J30)</f>
        <v>-0.11359725858656451</v>
      </c>
      <c r="L30" s="125">
        <f t="shared" ref="L30:P30" si="27">AVERAGE(F30:K30)</f>
        <v>-0.10833123729181886</v>
      </c>
      <c r="M30" s="125">
        <f t="shared" si="27"/>
        <v>-0.10203923938880428</v>
      </c>
      <c r="N30" s="125">
        <f t="shared" si="27"/>
        <v>-0.10276298036180979</v>
      </c>
      <c r="O30" s="125">
        <f t="shared" si="27"/>
        <v>-0.10480008718576304</v>
      </c>
      <c r="P30" s="125">
        <f t="shared" si="27"/>
        <v>-0.10607505230056878</v>
      </c>
    </row>
    <row r="31" spans="1:16">
      <c r="A31" s="42" t="s">
        <v>24</v>
      </c>
      <c r="E31" s="126">
        <f>SUM(E26:E30)</f>
        <v>-0.58614860801623458</v>
      </c>
      <c r="F31" s="126">
        <f t="shared" ref="F31:J31" si="28">SUM(F26:F30)</f>
        <v>-0.62219213161004028</v>
      </c>
      <c r="G31" s="126">
        <f t="shared" si="28"/>
        <v>-0.59076105089629949</v>
      </c>
      <c r="H31" s="126">
        <f t="shared" si="28"/>
        <v>-0.56639281134650654</v>
      </c>
      <c r="I31" s="126">
        <f t="shared" si="28"/>
        <v>-0.5354168773272886</v>
      </c>
      <c r="J31" s="126">
        <f t="shared" si="28"/>
        <v>-0.5100698271799986</v>
      </c>
      <c r="K31" s="126">
        <f t="shared" ref="K31" si="29">SUM(K26:K30)</f>
        <v>-0.530414924773705</v>
      </c>
      <c r="L31" s="126">
        <f t="shared" ref="L31" si="30">SUM(L26:L30)</f>
        <v>-0.52942254836408953</v>
      </c>
      <c r="M31" s="126">
        <f t="shared" ref="M31" si="31">SUM(M26:M30)</f>
        <v>-0.52438619851847523</v>
      </c>
      <c r="N31" s="126">
        <f t="shared" ref="N31" si="32">SUM(N26:N30)</f>
        <v>-0.52384951317885398</v>
      </c>
      <c r="O31" s="126">
        <f t="shared" ref="O31" si="33">SUM(O26:O30)</f>
        <v>-0.52486677212630573</v>
      </c>
      <c r="P31" s="126">
        <f t="shared" ref="P31" si="34">SUM(P26:P30)</f>
        <v>-0.5239321884858249</v>
      </c>
    </row>
    <row r="32" spans="1:16">
      <c r="K32" s="1"/>
      <c r="L32" s="1"/>
      <c r="M32" s="1"/>
      <c r="N32" s="1"/>
      <c r="O32" s="1"/>
      <c r="P32" s="1"/>
    </row>
    <row r="33" spans="1:16">
      <c r="K33" s="1"/>
      <c r="L33" s="1"/>
      <c r="M33" s="1"/>
      <c r="N33" s="1"/>
      <c r="O33" s="1"/>
      <c r="P33" s="1"/>
    </row>
    <row r="34" spans="1:16">
      <c r="A34" s="33" t="s">
        <v>2</v>
      </c>
      <c r="E34" s="5">
        <f>E12+E20</f>
        <v>300791</v>
      </c>
      <c r="F34" s="5">
        <f t="shared" ref="F34:P34" si="35">F12+F20</f>
        <v>258189</v>
      </c>
      <c r="G34" s="5">
        <f t="shared" si="35"/>
        <v>309510.62304535089</v>
      </c>
      <c r="H34" s="5">
        <f t="shared" si="35"/>
        <v>407764.0600793506</v>
      </c>
      <c r="I34" s="5">
        <f t="shared" si="35"/>
        <v>518754.62304535066</v>
      </c>
      <c r="J34" s="5">
        <f t="shared" si="35"/>
        <v>656150.62304535089</v>
      </c>
      <c r="K34" s="5">
        <f t="shared" si="35"/>
        <v>673328.99552698783</v>
      </c>
      <c r="L34" s="5">
        <f t="shared" si="35"/>
        <v>773495.78958680807</v>
      </c>
      <c r="M34" s="5">
        <f t="shared" si="35"/>
        <v>856414.61013861443</v>
      </c>
      <c r="N34" s="5">
        <f t="shared" si="35"/>
        <v>945034.58260391396</v>
      </c>
      <c r="O34" s="5">
        <f t="shared" si="35"/>
        <v>1040340.5510987055</v>
      </c>
      <c r="P34" s="5">
        <f t="shared" si="35"/>
        <v>1111400.7111153076</v>
      </c>
    </row>
    <row r="35" spans="1:16">
      <c r="A35" s="14" t="s">
        <v>16</v>
      </c>
      <c r="F35" s="6">
        <f>F34/E34-1</f>
        <v>-0.14163322705799042</v>
      </c>
      <c r="G35" s="6">
        <f t="shared" ref="G35" si="36">G34/F34-1</f>
        <v>0.19877540501474078</v>
      </c>
      <c r="H35" s="6">
        <f t="shared" ref="H35" si="37">H34/G34-1</f>
        <v>0.31744770524274757</v>
      </c>
      <c r="I35" s="6">
        <f t="shared" ref="I35" si="38">I34/H34-1</f>
        <v>0.27219309849034112</v>
      </c>
      <c r="J35" s="6">
        <f t="shared" ref="J35" si="39">J34/I34-1</f>
        <v>0.26485739865491054</v>
      </c>
      <c r="K35" s="6">
        <f t="shared" ref="K35" si="40">K34/J34-1</f>
        <v>2.6180532149627567E-2</v>
      </c>
      <c r="L35" s="6">
        <f t="shared" ref="L35" si="41">L34/K34-1</f>
        <v>0.14876352381264035</v>
      </c>
      <c r="M35" s="6">
        <f t="shared" ref="M35" si="42">M34/L34-1</f>
        <v>0.10720009296508337</v>
      </c>
      <c r="N35" s="6">
        <f t="shared" ref="N35" si="43">N34/M34-1</f>
        <v>0.1034778849124911</v>
      </c>
      <c r="O35" s="6">
        <f t="shared" ref="O35" si="44">O34/N34-1</f>
        <v>0.10084918610299831</v>
      </c>
      <c r="P35" s="6">
        <f t="shared" ref="P35" si="45">P34/O34-1</f>
        <v>6.8304710358118248E-2</v>
      </c>
    </row>
    <row r="36" spans="1:16">
      <c r="A36" s="16" t="s">
        <v>30</v>
      </c>
      <c r="F36" s="6">
        <f>F34/F12</f>
        <v>0.31743586465000651</v>
      </c>
      <c r="G36" s="6">
        <f t="shared" ref="G36:J36" si="46">G34/G12</f>
        <v>0.35356883565650843</v>
      </c>
      <c r="H36" s="6">
        <f t="shared" si="46"/>
        <v>0.39981258734228731</v>
      </c>
      <c r="I36" s="6">
        <f t="shared" si="46"/>
        <v>0.44510375054621854</v>
      </c>
      <c r="J36" s="6">
        <f t="shared" si="46"/>
        <v>0.47155957178805885</v>
      </c>
      <c r="K36" s="6">
        <f t="shared" ref="K36:P36" si="47">K34/K12</f>
        <v>0.45048172810561327</v>
      </c>
      <c r="L36" s="6">
        <f t="shared" si="47"/>
        <v>0.45150984580029035</v>
      </c>
      <c r="M36" s="6">
        <f t="shared" si="47"/>
        <v>0.45672758409262498</v>
      </c>
      <c r="N36" s="6">
        <f t="shared" si="47"/>
        <v>0.45728359861372003</v>
      </c>
      <c r="O36" s="6">
        <f t="shared" si="47"/>
        <v>0.45622970221532722</v>
      </c>
      <c r="P36" s="6">
        <f t="shared" si="47"/>
        <v>0.45719794568486555</v>
      </c>
    </row>
    <row r="39" spans="1:16">
      <c r="A39" t="s">
        <v>214</v>
      </c>
      <c r="E39" s="5">
        <f>-IS!F60</f>
        <v>46606.000000000015</v>
      </c>
      <c r="F39" s="5">
        <f>-IS!G60</f>
        <v>25657.376954649168</v>
      </c>
      <c r="G39" s="5">
        <f>-IS!H60</f>
        <v>-29728.210207350916</v>
      </c>
      <c r="H39" s="5">
        <f>-IS!I60</f>
        <v>-108308.62304535089</v>
      </c>
      <c r="I39" s="5">
        <f>-IS!J60</f>
        <v>-172768.62304535089</v>
      </c>
      <c r="J39" s="5">
        <f>-IS!K60</f>
        <v>-162719.09148903631</v>
      </c>
      <c r="K39" s="5">
        <f>-IS!L60</f>
        <v>-232291.20227121271</v>
      </c>
      <c r="L39" s="5">
        <f>-IS!M60</f>
        <v>-284268.34038518497</v>
      </c>
      <c r="M39" s="5">
        <f>-IS!N60</f>
        <v>-339890.5280441037</v>
      </c>
      <c r="N39" s="5">
        <f>-IS!O60</f>
        <v>-399498.4829206866</v>
      </c>
      <c r="O39" s="5">
        <f>-IS!P60</f>
        <v>-433481.37101669522</v>
      </c>
      <c r="P39" s="5">
        <f>-IS!Q60</f>
        <v>0</v>
      </c>
    </row>
    <row r="40" spans="1:16">
      <c r="A40" t="s">
        <v>215</v>
      </c>
      <c r="E40" s="5">
        <f>IS!F63</f>
        <v>25021</v>
      </c>
      <c r="F40" s="5">
        <f>IS!G63</f>
        <v>7601</v>
      </c>
      <c r="G40" s="5">
        <f>IS!H63</f>
        <v>-18359</v>
      </c>
      <c r="H40" s="5">
        <f>IS!I63</f>
        <v>-40745.950690935999</v>
      </c>
      <c r="I40" s="5">
        <f>IS!J63</f>
        <v>-57558.022821751991</v>
      </c>
      <c r="J40" s="5">
        <f>J39*J41</f>
        <v>-54210.012306472046</v>
      </c>
      <c r="K40" s="5">
        <f t="shared" ref="K40:P40" si="48">K39*K41</f>
        <v>-77388.023854939529</v>
      </c>
      <c r="L40" s="5">
        <f t="shared" si="48"/>
        <v>-94704.254366240551</v>
      </c>
      <c r="M40" s="5">
        <f t="shared" si="48"/>
        <v>-113234.83642585122</v>
      </c>
      <c r="N40" s="5">
        <f t="shared" si="48"/>
        <v>-133093.28043419248</v>
      </c>
      <c r="O40" s="5">
        <f t="shared" si="48"/>
        <v>-144414.71029860526</v>
      </c>
      <c r="P40" s="5">
        <f t="shared" si="48"/>
        <v>0</v>
      </c>
    </row>
    <row r="41" spans="1:16">
      <c r="A41" t="s">
        <v>216</v>
      </c>
      <c r="E41" s="6">
        <f>E40/E39</f>
        <v>0.53686220658284323</v>
      </c>
      <c r="F41" s="6">
        <f t="shared" ref="F41:I41" si="49">F40/F39</f>
        <v>0.29625008095859479</v>
      </c>
      <c r="G41" s="6">
        <f t="shared" si="49"/>
        <v>0.6175615643171265</v>
      </c>
      <c r="H41" s="6">
        <f t="shared" si="49"/>
        <v>0.37620227776208448</v>
      </c>
      <c r="I41" s="6">
        <f t="shared" si="49"/>
        <v>0.33315090325540941</v>
      </c>
      <c r="J41" s="126">
        <f>I41</f>
        <v>0.33315090325540941</v>
      </c>
      <c r="K41" s="126">
        <f t="shared" ref="K41:P41" si="50">J41</f>
        <v>0.33315090325540941</v>
      </c>
      <c r="L41" s="126">
        <f t="shared" si="50"/>
        <v>0.33315090325540941</v>
      </c>
      <c r="M41" s="126">
        <f t="shared" si="50"/>
        <v>0.33315090325540941</v>
      </c>
      <c r="N41" s="126">
        <f t="shared" si="50"/>
        <v>0.33315090325540941</v>
      </c>
      <c r="O41" s="126">
        <f t="shared" si="50"/>
        <v>0.33315090325540941</v>
      </c>
      <c r="P41" s="126">
        <f t="shared" si="50"/>
        <v>0.33315090325540941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6E17-A158-4CCD-A6ED-FD21E11DCA84}">
  <dimension ref="A1:P37"/>
  <sheetViews>
    <sheetView showGridLines="0" workbookViewId="0">
      <selection activeCell="I34" sqref="I34"/>
    </sheetView>
  </sheetViews>
  <sheetFormatPr defaultRowHeight="14.25"/>
  <cols>
    <col min="1" max="1" width="18" customWidth="1"/>
    <col min="5" max="9" width="10.86328125" style="1" customWidth="1"/>
    <col min="10" max="10" width="10.3984375" style="1" bestFit="1" customWidth="1"/>
    <col min="11" max="11" width="10.3984375" bestFit="1" customWidth="1"/>
    <col min="12" max="12" width="20.33203125" bestFit="1" customWidth="1"/>
    <col min="13" max="16" width="10.3984375" bestFit="1" customWidth="1"/>
  </cols>
  <sheetData>
    <row r="1" spans="1:16" ht="36" customHeight="1">
      <c r="A1" t="s">
        <v>118</v>
      </c>
    </row>
    <row r="2" spans="1:16">
      <c r="A2" t="s">
        <v>119</v>
      </c>
    </row>
    <row r="3" spans="1:16">
      <c r="A3" t="s">
        <v>123</v>
      </c>
    </row>
    <row r="5" spans="1:16">
      <c r="A5" t="s">
        <v>0</v>
      </c>
      <c r="E5" s="2">
        <v>43190</v>
      </c>
      <c r="F5" s="2">
        <f t="shared" ref="F5:P5" si="0">EDATE(E5,12)</f>
        <v>43555</v>
      </c>
      <c r="G5" s="2">
        <f t="shared" si="0"/>
        <v>43921</v>
      </c>
      <c r="H5" s="2">
        <f t="shared" si="0"/>
        <v>44286</v>
      </c>
      <c r="I5" s="2">
        <f t="shared" si="0"/>
        <v>44651</v>
      </c>
      <c r="J5" s="2">
        <f t="shared" si="0"/>
        <v>45016</v>
      </c>
      <c r="K5" s="2">
        <f t="shared" si="0"/>
        <v>45382</v>
      </c>
      <c r="L5" s="2">
        <f t="shared" si="0"/>
        <v>45747</v>
      </c>
      <c r="M5" s="2">
        <f t="shared" si="0"/>
        <v>46112</v>
      </c>
      <c r="N5" s="2">
        <f t="shared" si="0"/>
        <v>46477</v>
      </c>
      <c r="O5" s="2">
        <f t="shared" si="0"/>
        <v>46843</v>
      </c>
      <c r="P5" s="2">
        <f t="shared" si="0"/>
        <v>47208</v>
      </c>
    </row>
    <row r="6" spans="1:16">
      <c r="A6" t="s">
        <v>1</v>
      </c>
      <c r="E6" s="3">
        <f t="shared" ref="E6:P6" si="1">YEAR(E5)</f>
        <v>2018</v>
      </c>
      <c r="F6" s="3">
        <f t="shared" si="1"/>
        <v>2019</v>
      </c>
      <c r="G6" s="3">
        <f t="shared" si="1"/>
        <v>2020</v>
      </c>
      <c r="H6" s="3">
        <f t="shared" si="1"/>
        <v>2021</v>
      </c>
      <c r="I6" s="3">
        <f t="shared" si="1"/>
        <v>2022</v>
      </c>
      <c r="J6" s="3">
        <f t="shared" si="1"/>
        <v>2023</v>
      </c>
      <c r="K6" s="3">
        <f t="shared" si="1"/>
        <v>2024</v>
      </c>
      <c r="L6" s="4">
        <f t="shared" si="1"/>
        <v>2025</v>
      </c>
      <c r="M6" s="4">
        <f t="shared" si="1"/>
        <v>2026</v>
      </c>
      <c r="N6" s="4">
        <f t="shared" si="1"/>
        <v>2027</v>
      </c>
      <c r="O6" s="4">
        <f t="shared" si="1"/>
        <v>2028</v>
      </c>
      <c r="P6" s="4">
        <f t="shared" si="1"/>
        <v>2029</v>
      </c>
    </row>
    <row r="9" spans="1:16">
      <c r="A9" t="s">
        <v>189</v>
      </c>
      <c r="E9" s="5">
        <f>IS!E17</f>
        <v>914594</v>
      </c>
      <c r="F9" s="5">
        <f>IS!F17</f>
        <v>892279.04339354916</v>
      </c>
      <c r="G9" s="5">
        <f>IS!G17</f>
        <v>957882</v>
      </c>
      <c r="H9" s="5">
        <f>IS!H17</f>
        <v>1080741.0116407098</v>
      </c>
      <c r="I9" s="5">
        <f>IS!I17</f>
        <v>1207870.7346375389</v>
      </c>
      <c r="J9" s="5">
        <f>IS!J17</f>
        <v>1441562.1896708861</v>
      </c>
      <c r="K9" s="5">
        <f>IS!K17</f>
        <v>1548519</v>
      </c>
      <c r="L9" s="5">
        <f>IS!L17</f>
        <v>1774831.5111787003</v>
      </c>
      <c r="M9" s="5">
        <f>IS!M17</f>
        <v>1942644.0303178376</v>
      </c>
      <c r="N9" s="5">
        <f>IS!N17</f>
        <v>2141058.2278646915</v>
      </c>
      <c r="O9" s="5">
        <f>IS!O17</f>
        <v>2362426.8663365617</v>
      </c>
      <c r="P9" s="5">
        <f>IS!P17</f>
        <v>2518446.9200947108</v>
      </c>
    </row>
    <row r="11" spans="1:16">
      <c r="A11" t="s">
        <v>190</v>
      </c>
    </row>
    <row r="14" spans="1:16">
      <c r="A14" t="s">
        <v>191</v>
      </c>
      <c r="E14" s="7">
        <v>1625046</v>
      </c>
      <c r="F14" s="7">
        <v>1911503</v>
      </c>
      <c r="G14" s="7">
        <v>2111862</v>
      </c>
      <c r="H14" s="7">
        <v>2179703</v>
      </c>
      <c r="I14" s="7">
        <v>2404996</v>
      </c>
      <c r="J14" s="7">
        <v>2898428</v>
      </c>
      <c r="K14" s="164">
        <f>J14-K19</f>
        <v>3353666.0274790381</v>
      </c>
      <c r="L14" s="164">
        <f t="shared" ref="L14:P14" si="2">K14-L19</f>
        <v>3857687.7366657145</v>
      </c>
      <c r="M14" s="164">
        <f t="shared" si="2"/>
        <v>4389938.8828461273</v>
      </c>
      <c r="N14" s="164">
        <f t="shared" si="2"/>
        <v>4955141.5338902818</v>
      </c>
      <c r="O14" s="164">
        <f t="shared" si="2"/>
        <v>5555157.4401524821</v>
      </c>
      <c r="P14" s="164">
        <f t="shared" si="2"/>
        <v>6169615.2949813008</v>
      </c>
    </row>
    <row r="15" spans="1:16">
      <c r="A15" t="s">
        <v>192</v>
      </c>
      <c r="E15" s="30">
        <v>-866878</v>
      </c>
      <c r="F15" s="30">
        <v>-1007842</v>
      </c>
      <c r="G15" s="30">
        <v>-1148759</v>
      </c>
      <c r="H15" s="30">
        <v>-1203366</v>
      </c>
      <c r="I15" s="30">
        <v>-1348090</v>
      </c>
      <c r="J15" s="30">
        <v>-1502919</v>
      </c>
      <c r="K15" s="164">
        <f>J15+K22</f>
        <v>-1785492.0320453146</v>
      </c>
      <c r="L15" s="164">
        <f t="shared" ref="L15:P15" si="3">K15+L22</f>
        <v>-2112099.6906684134</v>
      </c>
      <c r="M15" s="164">
        <f t="shared" si="3"/>
        <v>-2483769.9133246751</v>
      </c>
      <c r="N15" s="164">
        <f t="shared" si="3"/>
        <v>-2903292.50950266</v>
      </c>
      <c r="O15" s="164">
        <f t="shared" si="3"/>
        <v>-3373614.9121082891</v>
      </c>
      <c r="P15" s="164">
        <f t="shared" si="3"/>
        <v>-3895959.8357129013</v>
      </c>
    </row>
    <row r="16" spans="1:16">
      <c r="A16" t="s">
        <v>193</v>
      </c>
      <c r="E16" s="5">
        <f>E14+E15</f>
        <v>758168</v>
      </c>
      <c r="F16" s="5">
        <f t="shared" ref="F16:P16" si="4">F14+F15</f>
        <v>903661</v>
      </c>
      <c r="G16" s="5">
        <f t="shared" si="4"/>
        <v>963103</v>
      </c>
      <c r="H16" s="5">
        <f t="shared" si="4"/>
        <v>976337</v>
      </c>
      <c r="I16" s="5">
        <f t="shared" si="4"/>
        <v>1056906</v>
      </c>
      <c r="J16" s="5">
        <f t="shared" si="4"/>
        <v>1395509</v>
      </c>
      <c r="K16" s="5">
        <f t="shared" si="4"/>
        <v>1568173.9954337236</v>
      </c>
      <c r="L16" s="5">
        <f t="shared" si="4"/>
        <v>1745588.0459973011</v>
      </c>
      <c r="M16" s="5">
        <f t="shared" si="4"/>
        <v>1906168.9695214522</v>
      </c>
      <c r="N16" s="5">
        <f t="shared" si="4"/>
        <v>2051849.0243876218</v>
      </c>
      <c r="O16" s="5">
        <f t="shared" si="4"/>
        <v>2181542.5280441931</v>
      </c>
      <c r="P16" s="5">
        <f t="shared" si="4"/>
        <v>2273655.4592683995</v>
      </c>
    </row>
    <row r="19" spans="1:16">
      <c r="A19" t="s">
        <v>194</v>
      </c>
      <c r="E19" s="5">
        <f>CFS!E29</f>
        <v>-272917</v>
      </c>
      <c r="F19" s="5">
        <f>CFS!F29</f>
        <v>-294775</v>
      </c>
      <c r="G19" s="5">
        <f>CFS!G29</f>
        <v>-207168</v>
      </c>
      <c r="H19" s="5">
        <f>CFS!H29</f>
        <v>-311383</v>
      </c>
      <c r="I19" s="5">
        <f>CFS!I29</f>
        <v>-439888</v>
      </c>
      <c r="J19" s="5">
        <f>CFS!J29</f>
        <v>-384250</v>
      </c>
      <c r="K19">
        <f>K20*K9</f>
        <v>-455238.02747903822</v>
      </c>
      <c r="L19">
        <f t="shared" ref="L19:P19" si="5">L20*L9</f>
        <v>-504021.70918667631</v>
      </c>
      <c r="M19">
        <f t="shared" si="5"/>
        <v>-532251.14618041262</v>
      </c>
      <c r="N19">
        <f t="shared" si="5"/>
        <v>-565202.65104415454</v>
      </c>
      <c r="O19">
        <f t="shared" si="5"/>
        <v>-600015.90626220067</v>
      </c>
      <c r="P19">
        <f t="shared" si="5"/>
        <v>-614457.85482881893</v>
      </c>
    </row>
    <row r="20" spans="1:16">
      <c r="A20" t="s">
        <v>195</v>
      </c>
      <c r="E20" s="6">
        <f>E19/E9</f>
        <v>-0.29840235120720232</v>
      </c>
      <c r="F20" s="6">
        <f t="shared" ref="F20:J20" si="6">F19/F9</f>
        <v>-0.33036189988156694</v>
      </c>
      <c r="G20" s="6">
        <f t="shared" si="6"/>
        <v>-0.21627716148753187</v>
      </c>
      <c r="H20" s="6">
        <f t="shared" si="6"/>
        <v>-0.28811990721743669</v>
      </c>
      <c r="I20" s="6">
        <f t="shared" si="6"/>
        <v>-0.3641846659460648</v>
      </c>
      <c r="J20" s="6">
        <f t="shared" si="6"/>
        <v>-0.26655110875773291</v>
      </c>
      <c r="K20" s="160">
        <f>AVERAGE(E20:J20)</f>
        <v>-0.2939828490829226</v>
      </c>
      <c r="L20" s="163">
        <f>K20+1%</f>
        <v>-0.28398284908292259</v>
      </c>
      <c r="M20" s="163">
        <f t="shared" ref="M20:P20" si="7">L20+1%</f>
        <v>-0.27398284908292259</v>
      </c>
      <c r="N20" s="163">
        <f t="shared" si="7"/>
        <v>-0.26398284908292258</v>
      </c>
      <c r="O20" s="163">
        <f t="shared" si="7"/>
        <v>-0.25398284908292257</v>
      </c>
      <c r="P20" s="163">
        <f t="shared" si="7"/>
        <v>-0.24398284908292256</v>
      </c>
    </row>
    <row r="22" spans="1:16">
      <c r="A22" t="s">
        <v>196</v>
      </c>
      <c r="E22" s="5">
        <f>IS!E44</f>
        <v>-132963</v>
      </c>
      <c r="F22" s="5">
        <f>IS!F44</f>
        <v>-148632</v>
      </c>
      <c r="G22" s="5">
        <f>IS!G44</f>
        <v>-171975.87583208116</v>
      </c>
      <c r="H22" s="5">
        <f>IS!H44</f>
        <v>-190584.16364708397</v>
      </c>
      <c r="I22" s="5">
        <f>IS!I44</f>
        <v>-218800.66327201403</v>
      </c>
      <c r="J22" s="5">
        <f>IS!J44</f>
        <v>-249622.30208690162</v>
      </c>
      <c r="K22">
        <f>K14*K23</f>
        <v>-282573.03204531444</v>
      </c>
      <c r="L22">
        <f t="shared" ref="L22:P22" si="8">L14*L23</f>
        <v>-326607.6586230988</v>
      </c>
      <c r="M22">
        <f t="shared" si="8"/>
        <v>-371670.22265626153</v>
      </c>
      <c r="N22">
        <f t="shared" si="8"/>
        <v>-419522.59617798496</v>
      </c>
      <c r="O22">
        <f t="shared" si="8"/>
        <v>-470322.40260562889</v>
      </c>
      <c r="P22">
        <f t="shared" si="8"/>
        <v>-522344.92360461218</v>
      </c>
    </row>
    <row r="23" spans="1:16">
      <c r="A23" s="27" t="s">
        <v>197</v>
      </c>
      <c r="B23" s="27"/>
      <c r="C23" s="27"/>
      <c r="D23" s="27"/>
      <c r="E23" s="165">
        <f>E22/E14</f>
        <v>-8.1821068449754647E-2</v>
      </c>
      <c r="F23" s="165">
        <f t="shared" ref="F23:J23" si="9">F22/F14</f>
        <v>-7.775661351303137E-2</v>
      </c>
      <c r="G23" s="165">
        <f t="shared" si="9"/>
        <v>-8.1433292436760146E-2</v>
      </c>
      <c r="H23" s="165">
        <f t="shared" si="9"/>
        <v>-8.7435840409030019E-2</v>
      </c>
      <c r="I23" s="165">
        <f t="shared" si="9"/>
        <v>-9.0977558079936113E-2</v>
      </c>
      <c r="J23" s="165">
        <f t="shared" si="9"/>
        <v>-8.6123340682225547E-2</v>
      </c>
      <c r="K23" s="166">
        <f>AVERAGE(E23:J23)</f>
        <v>-8.4257952261789629E-2</v>
      </c>
      <c r="L23" s="166">
        <f t="shared" ref="L23" si="10">AVERAGE(F23:K23)</f>
        <v>-8.4664099563795461E-2</v>
      </c>
      <c r="M23" s="166">
        <f>L23</f>
        <v>-8.4664099563795461E-2</v>
      </c>
      <c r="N23" s="166">
        <f t="shared" ref="N23:P23" si="11">M23</f>
        <v>-8.4664099563795461E-2</v>
      </c>
      <c r="O23" s="166">
        <f t="shared" si="11"/>
        <v>-8.4664099563795461E-2</v>
      </c>
      <c r="P23" s="166">
        <f t="shared" si="11"/>
        <v>-8.4664099563795461E-2</v>
      </c>
    </row>
    <row r="24" spans="1:16">
      <c r="A24" s="167"/>
      <c r="B24" s="167"/>
      <c r="C24" s="167"/>
      <c r="D24" s="167"/>
      <c r="E24" s="168"/>
      <c r="F24" s="168"/>
      <c r="G24" s="168"/>
      <c r="H24" s="168"/>
      <c r="I24" s="168"/>
      <c r="J24" s="168"/>
      <c r="K24" s="167"/>
      <c r="L24" s="167"/>
      <c r="M24" s="167"/>
      <c r="N24" s="167"/>
      <c r="O24" s="167"/>
      <c r="P24" s="167"/>
    </row>
    <row r="27" spans="1:16">
      <c r="A27" t="s">
        <v>198</v>
      </c>
    </row>
    <row r="29" spans="1:16">
      <c r="A29" t="s">
        <v>199</v>
      </c>
      <c r="E29" s="5">
        <f>BS!E22</f>
        <v>1415142</v>
      </c>
      <c r="F29" s="5">
        <f>BS!F22</f>
        <v>1469250</v>
      </c>
      <c r="G29" s="5">
        <f>BS!G22</f>
        <v>1470819</v>
      </c>
      <c r="H29" s="5">
        <f>BS!H22</f>
        <v>1485114</v>
      </c>
      <c r="I29" s="5">
        <f>BS!I22</f>
        <v>1653549</v>
      </c>
      <c r="J29" s="5">
        <f>BS!J22</f>
        <v>2154873</v>
      </c>
      <c r="K29" s="5">
        <f>J29-K33</f>
        <v>2154873</v>
      </c>
      <c r="L29" s="164">
        <f>K29-L33</f>
        <v>2154873</v>
      </c>
      <c r="M29" s="164">
        <f t="shared" ref="M29:P29" si="12">L29-M33</f>
        <v>2154873</v>
      </c>
      <c r="N29" s="164">
        <f t="shared" si="12"/>
        <v>2154873</v>
      </c>
      <c r="O29" s="164">
        <f t="shared" si="12"/>
        <v>2154873</v>
      </c>
      <c r="P29" s="164">
        <f t="shared" si="12"/>
        <v>2154873</v>
      </c>
    </row>
    <row r="30" spans="1:16">
      <c r="A30" t="s">
        <v>64</v>
      </c>
      <c r="E30" s="5">
        <f>BS!E23</f>
        <v>-203794</v>
      </c>
      <c r="F30" s="5">
        <f>BS!F23</f>
        <v>-268254</v>
      </c>
      <c r="G30" s="5">
        <f>BS!G23</f>
        <v>-312035</v>
      </c>
      <c r="H30" s="5">
        <f>BS!H23</f>
        <v>-382881</v>
      </c>
      <c r="I30" s="5">
        <f>BS!I23</f>
        <v>-423566</v>
      </c>
      <c r="J30" s="5">
        <f>BS!J23</f>
        <v>-495681</v>
      </c>
      <c r="K30" s="5">
        <f>J30+K36</f>
        <v>-589011.23157004826</v>
      </c>
      <c r="L30" s="5">
        <f t="shared" ref="L30:P30" si="13">K30+L36</f>
        <v>-682804.26039536623</v>
      </c>
      <c r="M30" s="5">
        <f t="shared" si="13"/>
        <v>-776379.14818076568</v>
      </c>
      <c r="N30" s="5">
        <f t="shared" si="13"/>
        <v>-869002.1878062326</v>
      </c>
      <c r="O30" s="5">
        <f t="shared" si="13"/>
        <v>-960426.17517767416</v>
      </c>
      <c r="P30" s="5">
        <f t="shared" si="13"/>
        <v>-1050807.6540261363</v>
      </c>
    </row>
    <row r="31" spans="1:16">
      <c r="A31" t="s">
        <v>200</v>
      </c>
      <c r="E31" s="5">
        <f>BS!E24</f>
        <v>1211348</v>
      </c>
      <c r="F31" s="5">
        <f>BS!F24</f>
        <v>1200996</v>
      </c>
      <c r="G31" s="5">
        <f>BS!G24</f>
        <v>1158784</v>
      </c>
      <c r="H31" s="5">
        <f>BS!H24</f>
        <v>1102233</v>
      </c>
      <c r="I31" s="5">
        <f>BS!I24</f>
        <v>1229983</v>
      </c>
      <c r="J31" s="5">
        <f>BS!J24</f>
        <v>1659192</v>
      </c>
      <c r="K31" s="5">
        <f>SUM(K29:K30)</f>
        <v>1565861.7684299517</v>
      </c>
      <c r="L31" s="5">
        <f t="shared" ref="L31:P31" si="14">SUM(L29:L30)</f>
        <v>1472068.7396046338</v>
      </c>
      <c r="M31" s="5">
        <f t="shared" si="14"/>
        <v>1378493.8518192344</v>
      </c>
      <c r="N31" s="5">
        <f t="shared" si="14"/>
        <v>1285870.8121937674</v>
      </c>
      <c r="O31" s="5">
        <f t="shared" si="14"/>
        <v>1194446.8248223257</v>
      </c>
      <c r="P31" s="5">
        <f t="shared" si="14"/>
        <v>1104065.3459738637</v>
      </c>
    </row>
    <row r="33" spans="1:16">
      <c r="A33" t="s">
        <v>201</v>
      </c>
      <c r="F33" s="5">
        <f>E29-F29</f>
        <v>-54108</v>
      </c>
      <c r="G33" s="5">
        <f t="shared" ref="G33:J33" si="15">F29-G29</f>
        <v>-1569</v>
      </c>
      <c r="H33" s="5">
        <f t="shared" si="15"/>
        <v>-14295</v>
      </c>
      <c r="I33" s="5">
        <f t="shared" si="15"/>
        <v>-168435</v>
      </c>
      <c r="J33" s="5">
        <f t="shared" si="15"/>
        <v>-501324</v>
      </c>
      <c r="K33" s="5">
        <v>0</v>
      </c>
      <c r="L33" s="5">
        <f>K33</f>
        <v>0</v>
      </c>
      <c r="M33" s="5">
        <f t="shared" ref="M33:P33" si="16">L33</f>
        <v>0</v>
      </c>
      <c r="N33" s="5">
        <f t="shared" si="16"/>
        <v>0</v>
      </c>
      <c r="O33" s="5">
        <f t="shared" si="16"/>
        <v>0</v>
      </c>
      <c r="P33" s="5">
        <f t="shared" si="16"/>
        <v>0</v>
      </c>
    </row>
    <row r="34" spans="1:16">
      <c r="A34" t="s">
        <v>202</v>
      </c>
      <c r="F34" s="6">
        <f>F33/F9</f>
        <v>-6.0640222809912048E-2</v>
      </c>
      <c r="G34" s="6">
        <f t="shared" ref="G34:J34" si="17">G33/G9</f>
        <v>-1.6379888128182803E-3</v>
      </c>
      <c r="H34" s="6">
        <f t="shared" si="17"/>
        <v>-1.3227035752347616E-2</v>
      </c>
      <c r="I34" s="6">
        <f t="shared" si="17"/>
        <v>-0.13944786902262718</v>
      </c>
      <c r="J34" s="6">
        <f t="shared" si="17"/>
        <v>-0.34776439309528095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6" spans="1:16">
      <c r="A36" t="s">
        <v>203</v>
      </c>
      <c r="E36" s="5">
        <f>IS!E45</f>
        <v>-59468</v>
      </c>
      <c r="F36" s="5">
        <f>IS!F45</f>
        <v>-64843</v>
      </c>
      <c r="G36" s="5">
        <f>IS!G45</f>
        <v>-67768.124167918839</v>
      </c>
      <c r="H36" s="5">
        <f>IS!H45</f>
        <v>-68792.986224916007</v>
      </c>
      <c r="I36" s="5">
        <f>IS!I45</f>
        <v>-74954.336727985967</v>
      </c>
      <c r="J36" s="5">
        <f>IS!J45</f>
        <v>-77543.697913098382</v>
      </c>
      <c r="K36" s="169">
        <f>K29*K37</f>
        <v>-93330.231570048243</v>
      </c>
      <c r="L36" s="169">
        <f t="shared" ref="L36:P36" si="18">L29*L37</f>
        <v>-93793.028825317946</v>
      </c>
      <c r="M36" s="169">
        <f t="shared" si="18"/>
        <v>-93574.887785399435</v>
      </c>
      <c r="N36" s="169">
        <f t="shared" si="18"/>
        <v>-92623.039625466961</v>
      </c>
      <c r="O36" s="169">
        <f t="shared" si="18"/>
        <v>-91423.987371441603</v>
      </c>
      <c r="P36" s="169">
        <f t="shared" si="18"/>
        <v>-90381.478848462095</v>
      </c>
    </row>
    <row r="37" spans="1:16">
      <c r="A37" t="s">
        <v>204</v>
      </c>
      <c r="E37" s="6">
        <f>E36/E29</f>
        <v>-4.2022638010885127E-2</v>
      </c>
      <c r="F37" s="6">
        <f t="shared" ref="F37:J37" si="19">F36/F29</f>
        <v>-4.4133401395269695E-2</v>
      </c>
      <c r="G37" s="6">
        <f t="shared" si="19"/>
        <v>-4.6075094330382489E-2</v>
      </c>
      <c r="H37" s="6">
        <f t="shared" si="19"/>
        <v>-4.6321687240788251E-2</v>
      </c>
      <c r="I37" s="6">
        <f t="shared" si="19"/>
        <v>-4.5329371387231927E-2</v>
      </c>
      <c r="J37" s="6">
        <f t="shared" si="19"/>
        <v>-3.5985275193989801E-2</v>
      </c>
      <c r="K37" s="160">
        <f>AVERAGE(E37:J37)</f>
        <v>-4.3311244593091214E-2</v>
      </c>
      <c r="L37" s="160">
        <f t="shared" ref="L37:P37" si="20">AVERAGE(F37:K37)</f>
        <v>-4.3526012356792231E-2</v>
      </c>
      <c r="M37" s="160">
        <f t="shared" si="20"/>
        <v>-4.3424780850379319E-2</v>
      </c>
      <c r="N37" s="160">
        <f t="shared" si="20"/>
        <v>-4.2983061937045458E-2</v>
      </c>
      <c r="O37" s="160">
        <f t="shared" si="20"/>
        <v>-4.2426624386421662E-2</v>
      </c>
      <c r="P37" s="160">
        <f t="shared" si="20"/>
        <v>-4.1942833219619946E-2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6413-7EEB-4D92-9F89-5466DFE56A39}">
  <dimension ref="A1:P22"/>
  <sheetViews>
    <sheetView showGridLines="0" workbookViewId="0">
      <selection activeCell="K16" sqref="K16"/>
    </sheetView>
  </sheetViews>
  <sheetFormatPr defaultRowHeight="14.25"/>
  <cols>
    <col min="1" max="1" width="18" customWidth="1"/>
    <col min="5" max="9" width="10.86328125" style="1" customWidth="1"/>
    <col min="10" max="10" width="10.3984375" style="1" bestFit="1" customWidth="1"/>
    <col min="11" max="11" width="24.59765625" customWidth="1"/>
    <col min="12" max="12" width="13.33203125" customWidth="1"/>
    <col min="13" max="13" width="15.73046875" customWidth="1"/>
    <col min="14" max="14" width="16" customWidth="1"/>
    <col min="15" max="15" width="16.796875" customWidth="1"/>
    <col min="16" max="16" width="12.6640625" customWidth="1"/>
  </cols>
  <sheetData>
    <row r="1" spans="1:16" ht="36" customHeight="1">
      <c r="A1" t="s">
        <v>118</v>
      </c>
    </row>
    <row r="2" spans="1:16">
      <c r="A2" t="s">
        <v>119</v>
      </c>
    </row>
    <row r="3" spans="1:16">
      <c r="A3" t="s">
        <v>123</v>
      </c>
    </row>
    <row r="5" spans="1:16">
      <c r="A5" t="s">
        <v>0</v>
      </c>
      <c r="E5" s="2">
        <v>43190</v>
      </c>
      <c r="F5" s="2">
        <f t="shared" ref="F5:P5" si="0">EDATE(E5,12)</f>
        <v>43555</v>
      </c>
      <c r="G5" s="2">
        <f t="shared" si="0"/>
        <v>43921</v>
      </c>
      <c r="H5" s="2">
        <f t="shared" si="0"/>
        <v>44286</v>
      </c>
      <c r="I5" s="2">
        <f t="shared" si="0"/>
        <v>44651</v>
      </c>
      <c r="J5" s="2">
        <f t="shared" si="0"/>
        <v>45016</v>
      </c>
      <c r="K5" s="2">
        <f t="shared" si="0"/>
        <v>45382</v>
      </c>
      <c r="L5" s="2">
        <f t="shared" si="0"/>
        <v>45747</v>
      </c>
      <c r="M5" s="2">
        <f t="shared" si="0"/>
        <v>46112</v>
      </c>
      <c r="N5" s="2">
        <f t="shared" si="0"/>
        <v>46477</v>
      </c>
      <c r="O5" s="2">
        <f t="shared" si="0"/>
        <v>46843</v>
      </c>
      <c r="P5" s="2">
        <f t="shared" si="0"/>
        <v>47208</v>
      </c>
    </row>
    <row r="6" spans="1:16">
      <c r="A6" t="s">
        <v>1</v>
      </c>
      <c r="E6" s="3">
        <f t="shared" ref="E6:P6" si="1">YEAR(E5)</f>
        <v>2018</v>
      </c>
      <c r="F6" s="3">
        <f t="shared" si="1"/>
        <v>2019</v>
      </c>
      <c r="G6" s="3">
        <f t="shared" si="1"/>
        <v>2020</v>
      </c>
      <c r="H6" s="3">
        <f t="shared" si="1"/>
        <v>2021</v>
      </c>
      <c r="I6" s="3">
        <f t="shared" si="1"/>
        <v>2022</v>
      </c>
      <c r="J6" s="3">
        <f t="shared" si="1"/>
        <v>2023</v>
      </c>
      <c r="K6" s="3">
        <f t="shared" si="1"/>
        <v>2024</v>
      </c>
      <c r="L6" s="4">
        <f t="shared" si="1"/>
        <v>2025</v>
      </c>
      <c r="M6" s="4">
        <f t="shared" si="1"/>
        <v>2026</v>
      </c>
      <c r="N6" s="4">
        <f t="shared" si="1"/>
        <v>2027</v>
      </c>
      <c r="O6" s="4">
        <f t="shared" si="1"/>
        <v>2028</v>
      </c>
      <c r="P6" s="4">
        <f t="shared" si="1"/>
        <v>2029</v>
      </c>
    </row>
    <row r="9" spans="1:16">
      <c r="A9" t="s">
        <v>205</v>
      </c>
      <c r="E9" s="5">
        <f>BS!E41</f>
        <v>416125.99678799999</v>
      </c>
      <c r="F9" s="5">
        <f>BS!F41</f>
        <v>407938.119267</v>
      </c>
      <c r="G9" s="5">
        <f>BS!G41</f>
        <v>474199.81326700002</v>
      </c>
      <c r="H9" s="5">
        <f>BS!H41</f>
        <v>421603.394254299</v>
      </c>
      <c r="I9" s="5">
        <f>BS!I41</f>
        <v>424648.43368493707</v>
      </c>
      <c r="J9" s="5">
        <f>BS!J41</f>
        <v>401051.57468366623</v>
      </c>
      <c r="K9" s="5">
        <f>J9+K19</f>
        <v>360946.41721529962</v>
      </c>
      <c r="L9" s="5">
        <f>K9+L19</f>
        <v>320841.25974693301</v>
      </c>
      <c r="M9" s="5">
        <f t="shared" ref="M9:P9" si="2">L9+M19</f>
        <v>280736.1022785664</v>
      </c>
      <c r="N9" s="5">
        <f t="shared" si="2"/>
        <v>240630.94481019978</v>
      </c>
      <c r="O9" s="5">
        <f t="shared" si="2"/>
        <v>200525.78734183317</v>
      </c>
      <c r="P9" s="5">
        <f t="shared" si="2"/>
        <v>160420.62987346656</v>
      </c>
    </row>
    <row r="10" spans="1:16">
      <c r="A10" t="s">
        <v>206</v>
      </c>
      <c r="E10" s="5">
        <f>BS!E33</f>
        <v>263915</v>
      </c>
      <c r="F10" s="5">
        <f>BS!F33</f>
        <v>360779</v>
      </c>
      <c r="G10" s="5">
        <f>BS!G33</f>
        <v>265428</v>
      </c>
      <c r="H10" s="5">
        <f>BS!H33</f>
        <v>192302.97884906013</v>
      </c>
      <c r="I10" s="5">
        <f>BS!I33</f>
        <v>193794.66113182803</v>
      </c>
      <c r="J10" s="5">
        <f>BS!J33</f>
        <v>134692.27634274587</v>
      </c>
      <c r="K10" s="5">
        <f>J10</f>
        <v>134692.27634274587</v>
      </c>
      <c r="L10" s="5">
        <f t="shared" ref="L10:P10" si="3">K10</f>
        <v>134692.27634274587</v>
      </c>
      <c r="M10" s="5">
        <f t="shared" si="3"/>
        <v>134692.27634274587</v>
      </c>
      <c r="N10" s="5">
        <f t="shared" si="3"/>
        <v>134692.27634274587</v>
      </c>
      <c r="O10" s="5">
        <f t="shared" si="3"/>
        <v>134692.27634274587</v>
      </c>
      <c r="P10" s="5">
        <f t="shared" si="3"/>
        <v>134692.27634274587</v>
      </c>
    </row>
    <row r="11" spans="1:16">
      <c r="A11" s="27" t="s">
        <v>207</v>
      </c>
      <c r="B11" s="27"/>
      <c r="C11" s="27"/>
      <c r="D11" s="27"/>
      <c r="E11" s="34">
        <f>BS!E43</f>
        <v>433294.00321200001</v>
      </c>
      <c r="F11" s="34">
        <f>BS!F43</f>
        <v>440852.880733</v>
      </c>
      <c r="G11" s="34">
        <f>BS!G43</f>
        <v>433493.18673299998</v>
      </c>
      <c r="H11" s="34">
        <f>BS!H43</f>
        <v>681930.79793699982</v>
      </c>
      <c r="I11" s="34">
        <f>BS!I43</f>
        <v>709205.00989600003</v>
      </c>
      <c r="J11" s="34">
        <f>BS!J43</f>
        <v>1119197.881484</v>
      </c>
      <c r="K11" s="5">
        <f>J11+K22</f>
        <v>1004479.5319167001</v>
      </c>
      <c r="L11" s="5">
        <f t="shared" ref="L11:P11" si="4">K11+L22</f>
        <v>889761.18234940013</v>
      </c>
      <c r="M11" s="5">
        <f t="shared" si="4"/>
        <v>775042.83278210019</v>
      </c>
      <c r="N11" s="5">
        <f t="shared" si="4"/>
        <v>660324.48321480025</v>
      </c>
      <c r="O11" s="5">
        <f t="shared" si="4"/>
        <v>545606.1336475003</v>
      </c>
      <c r="P11" s="5">
        <f t="shared" si="4"/>
        <v>430887.78408020036</v>
      </c>
    </row>
    <row r="12" spans="1:16">
      <c r="A12" t="s">
        <v>208</v>
      </c>
      <c r="E12" s="5">
        <f>SUM(E9:E11)</f>
        <v>1113335</v>
      </c>
      <c r="F12" s="5">
        <f t="shared" ref="F12:K12" si="5">SUM(F9:F11)</f>
        <v>1209570</v>
      </c>
      <c r="G12" s="5">
        <f t="shared" si="5"/>
        <v>1173121</v>
      </c>
      <c r="H12" s="5">
        <f t="shared" si="5"/>
        <v>1295837.171040359</v>
      </c>
      <c r="I12" s="5">
        <f t="shared" si="5"/>
        <v>1327648.1047127652</v>
      </c>
      <c r="J12" s="5">
        <f t="shared" si="5"/>
        <v>1654941.7325104121</v>
      </c>
      <c r="K12" s="5">
        <f t="shared" si="5"/>
        <v>1500118.2254747455</v>
      </c>
      <c r="L12" s="5">
        <f t="shared" ref="L12:P12" si="6">SUM(L9:L11)</f>
        <v>1345294.7184390789</v>
      </c>
      <c r="M12" s="5">
        <f t="shared" si="6"/>
        <v>1190471.2114034125</v>
      </c>
      <c r="N12" s="5">
        <f t="shared" si="6"/>
        <v>1035647.7043677459</v>
      </c>
      <c r="O12" s="5">
        <f t="shared" si="6"/>
        <v>880824.19733207929</v>
      </c>
      <c r="P12" s="5">
        <f t="shared" si="6"/>
        <v>726000.69029641279</v>
      </c>
    </row>
    <row r="15" spans="1:16">
      <c r="A15" t="s">
        <v>36</v>
      </c>
      <c r="E15" s="5">
        <f>IS!E53</f>
        <v>-90956.163567914715</v>
      </c>
      <c r="F15" s="5">
        <f>IS!F53</f>
        <v>-111603.18308840501</v>
      </c>
      <c r="G15" s="5">
        <f>IS!G53</f>
        <v>-109513.890429885</v>
      </c>
      <c r="H15" s="5">
        <f>IS!H53</f>
        <v>-123981</v>
      </c>
      <c r="I15" s="5">
        <f>IS!I53</f>
        <v>-137141.125956548</v>
      </c>
      <c r="J15" s="5">
        <f>IS!J53</f>
        <v>-148609.38097799901</v>
      </c>
      <c r="K15" s="5">
        <f>K16*K12</f>
        <v>-134706.64042258883</v>
      </c>
      <c r="L15" s="5">
        <f t="shared" ref="L15:P15" si="7">L16*L12</f>
        <v>-120803.89986717865</v>
      </c>
      <c r="M15" s="5">
        <f t="shared" si="7"/>
        <v>-106901.1593117685</v>
      </c>
      <c r="N15" s="5">
        <f t="shared" si="7"/>
        <v>-92998.418756358325</v>
      </c>
      <c r="O15" s="5">
        <f t="shared" si="7"/>
        <v>-79095.678200948139</v>
      </c>
      <c r="P15" s="5">
        <f t="shared" si="7"/>
        <v>-65192.937645537975</v>
      </c>
    </row>
    <row r="16" spans="1:16">
      <c r="A16" t="s">
        <v>209</v>
      </c>
      <c r="E16" s="6">
        <f>E15/E12</f>
        <v>-8.1697030604368601E-2</v>
      </c>
      <c r="F16" s="6">
        <f t="shared" ref="F16:J16" si="8">F15/F12</f>
        <v>-9.2266824647110141E-2</v>
      </c>
      <c r="G16" s="6">
        <f t="shared" si="8"/>
        <v>-9.3352595708273062E-2</v>
      </c>
      <c r="H16" s="6">
        <f t="shared" si="8"/>
        <v>-9.5676372595842607E-2</v>
      </c>
      <c r="I16" s="6">
        <f t="shared" si="8"/>
        <v>-0.10329629174307321</v>
      </c>
      <c r="J16" s="6">
        <f t="shared" si="8"/>
        <v>-8.9797349392217368E-2</v>
      </c>
      <c r="K16" s="160">
        <f>J16</f>
        <v>-8.9797349392217368E-2</v>
      </c>
      <c r="L16" s="160">
        <f t="shared" ref="L16:P16" si="9">K16</f>
        <v>-8.9797349392217368E-2</v>
      </c>
      <c r="M16" s="160">
        <f t="shared" si="9"/>
        <v>-8.9797349392217368E-2</v>
      </c>
      <c r="N16" s="160">
        <f t="shared" si="9"/>
        <v>-8.9797349392217368E-2</v>
      </c>
      <c r="O16" s="160">
        <f t="shared" si="9"/>
        <v>-8.9797349392217368E-2</v>
      </c>
      <c r="P16" s="160">
        <f t="shared" si="9"/>
        <v>-8.9797349392217368E-2</v>
      </c>
    </row>
    <row r="18" spans="1:16">
      <c r="A18" t="s">
        <v>210</v>
      </c>
    </row>
    <row r="19" spans="1:16">
      <c r="A19" t="s">
        <v>213</v>
      </c>
      <c r="K19" s="153">
        <f>-$J$9/10</f>
        <v>-40105.157468366626</v>
      </c>
      <c r="L19" s="153">
        <f t="shared" ref="L19:P19" si="10">-$J$9/10</f>
        <v>-40105.157468366626</v>
      </c>
      <c r="M19" s="153">
        <f t="shared" si="10"/>
        <v>-40105.157468366626</v>
      </c>
      <c r="N19" s="153">
        <f t="shared" si="10"/>
        <v>-40105.157468366626</v>
      </c>
      <c r="O19" s="153">
        <f t="shared" si="10"/>
        <v>-40105.157468366626</v>
      </c>
      <c r="P19" s="153">
        <f t="shared" si="10"/>
        <v>-40105.157468366626</v>
      </c>
    </row>
    <row r="20" spans="1:16">
      <c r="A20" t="s">
        <v>212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27" t="s">
        <v>211</v>
      </c>
      <c r="B21" s="27"/>
      <c r="C21" s="27"/>
      <c r="D21" s="27"/>
      <c r="E21" s="35"/>
      <c r="F21" s="35"/>
      <c r="G21" s="35"/>
      <c r="H21" s="35"/>
      <c r="I21" s="35"/>
      <c r="J21" s="35"/>
      <c r="K21" s="170">
        <f>-$J$11/15</f>
        <v>-74613.19209893333</v>
      </c>
      <c r="L21" s="170">
        <f t="shared" ref="L21:P21" si="11">-$J$11/15</f>
        <v>-74613.19209893333</v>
      </c>
      <c r="M21" s="170">
        <f t="shared" si="11"/>
        <v>-74613.19209893333</v>
      </c>
      <c r="N21" s="170">
        <f t="shared" si="11"/>
        <v>-74613.19209893333</v>
      </c>
      <c r="O21" s="170">
        <f t="shared" si="11"/>
        <v>-74613.19209893333</v>
      </c>
      <c r="P21" s="170">
        <f t="shared" si="11"/>
        <v>-74613.19209893333</v>
      </c>
    </row>
    <row r="22" spans="1:16">
      <c r="A22" t="s">
        <v>208</v>
      </c>
      <c r="K22" s="171">
        <f>SUM(K19:K21)</f>
        <v>-114718.34956729996</v>
      </c>
      <c r="L22" s="171">
        <f t="shared" ref="L22:P22" si="12">SUM(L19:L21)</f>
        <v>-114718.34956729996</v>
      </c>
      <c r="M22" s="171">
        <f t="shared" si="12"/>
        <v>-114718.34956729996</v>
      </c>
      <c r="N22" s="171">
        <f t="shared" si="12"/>
        <v>-114718.34956729996</v>
      </c>
      <c r="O22" s="171">
        <f t="shared" si="12"/>
        <v>-114718.34956729996</v>
      </c>
      <c r="P22" s="171">
        <f t="shared" si="12"/>
        <v>-114718.34956729996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880C-F452-4DA7-8A5A-6B532AD349E7}">
  <dimension ref="A1:Q25"/>
  <sheetViews>
    <sheetView showGridLines="0" tabSelected="1" workbookViewId="0">
      <selection activeCell="H15" sqref="H15"/>
    </sheetView>
  </sheetViews>
  <sheetFormatPr defaultRowHeight="14.25"/>
  <cols>
    <col min="1" max="1" width="18" customWidth="1"/>
    <col min="4" max="4" width="19.1328125" style="1" customWidth="1"/>
    <col min="6" max="9" width="10.86328125" style="1" customWidth="1"/>
    <col min="10" max="10" width="10.3984375" style="1" bestFit="1" customWidth="1"/>
    <col min="11" max="11" width="10.73046875" bestFit="1" customWidth="1"/>
    <col min="12" max="16" width="10.3984375" bestFit="1" customWidth="1"/>
    <col min="17" max="17" width="19.73046875" bestFit="1" customWidth="1"/>
  </cols>
  <sheetData>
    <row r="1" spans="1:17" ht="36" customHeight="1">
      <c r="A1" t="s">
        <v>118</v>
      </c>
    </row>
    <row r="2" spans="1:17">
      <c r="A2" t="s">
        <v>119</v>
      </c>
    </row>
    <row r="3" spans="1:17">
      <c r="A3" t="s">
        <v>123</v>
      </c>
    </row>
    <row r="5" spans="1:17">
      <c r="A5" t="s">
        <v>0</v>
      </c>
      <c r="D5" s="2">
        <v>43190</v>
      </c>
      <c r="F5" s="2">
        <f>EDATE(D5,12)</f>
        <v>43555</v>
      </c>
      <c r="G5" s="2">
        <f t="shared" ref="G5:P5" si="0">EDATE(F5,12)</f>
        <v>43921</v>
      </c>
      <c r="H5" s="2">
        <f t="shared" si="0"/>
        <v>44286</v>
      </c>
      <c r="I5" s="2">
        <f t="shared" si="0"/>
        <v>44651</v>
      </c>
      <c r="J5" s="2">
        <f t="shared" si="0"/>
        <v>45016</v>
      </c>
      <c r="K5" s="2">
        <f t="shared" si="0"/>
        <v>45382</v>
      </c>
      <c r="L5" s="2">
        <f t="shared" si="0"/>
        <v>45747</v>
      </c>
      <c r="M5" s="2">
        <f t="shared" si="0"/>
        <v>46112</v>
      </c>
      <c r="N5" s="2">
        <f t="shared" si="0"/>
        <v>46477</v>
      </c>
      <c r="O5" s="2">
        <f t="shared" si="0"/>
        <v>46843</v>
      </c>
      <c r="P5" s="2">
        <f t="shared" si="0"/>
        <v>47208</v>
      </c>
    </row>
    <row r="6" spans="1:17">
      <c r="A6" t="s">
        <v>1</v>
      </c>
      <c r="D6" s="3">
        <f>YEAR(D5)</f>
        <v>2018</v>
      </c>
      <c r="F6" s="3">
        <f t="shared" ref="F6:O6" si="1">YEAR(F5)</f>
        <v>2019</v>
      </c>
      <c r="G6" s="3">
        <f t="shared" si="1"/>
        <v>2020</v>
      </c>
      <c r="H6" s="3">
        <f t="shared" si="1"/>
        <v>2021</v>
      </c>
      <c r="I6" s="3">
        <f t="shared" si="1"/>
        <v>2022</v>
      </c>
      <c r="J6" s="3">
        <f t="shared" si="1"/>
        <v>2023</v>
      </c>
      <c r="K6" s="3">
        <f t="shared" si="1"/>
        <v>2024</v>
      </c>
      <c r="L6" s="4">
        <f t="shared" si="1"/>
        <v>2025</v>
      </c>
      <c r="M6" s="4">
        <f t="shared" si="1"/>
        <v>2026</v>
      </c>
      <c r="N6" s="4">
        <f t="shared" si="1"/>
        <v>2027</v>
      </c>
      <c r="O6" s="4">
        <f t="shared" si="1"/>
        <v>2028</v>
      </c>
      <c r="P6" s="4">
        <f t="shared" ref="P6" si="2">YEAR(P5)</f>
        <v>2029</v>
      </c>
    </row>
    <row r="9" spans="1:17">
      <c r="A9" t="s">
        <v>217</v>
      </c>
      <c r="D9" s="74">
        <v>6.8500000000000005E-2</v>
      </c>
    </row>
    <row r="10" spans="1:17">
      <c r="A10" t="s">
        <v>218</v>
      </c>
      <c r="D10" s="1">
        <v>0.8</v>
      </c>
      <c r="F10" s="1" t="s">
        <v>1</v>
      </c>
      <c r="K10">
        <v>1</v>
      </c>
      <c r="L10">
        <v>2</v>
      </c>
      <c r="M10">
        <v>3</v>
      </c>
      <c r="N10">
        <v>4</v>
      </c>
      <c r="O10">
        <v>5</v>
      </c>
      <c r="P10">
        <v>6</v>
      </c>
      <c r="Q10">
        <f>P10</f>
        <v>6</v>
      </c>
    </row>
    <row r="11" spans="1:17">
      <c r="A11" t="s">
        <v>219</v>
      </c>
      <c r="D11" s="126">
        <v>0.12</v>
      </c>
    </row>
    <row r="12" spans="1:17">
      <c r="A12" t="s">
        <v>220</v>
      </c>
      <c r="D12" s="126">
        <v>0.09</v>
      </c>
    </row>
    <row r="13" spans="1:17">
      <c r="A13" t="s">
        <v>221</v>
      </c>
      <c r="D13" s="130">
        <f>IS!K73*1539/1000</f>
        <v>8781.5339999999997</v>
      </c>
      <c r="F13" t="s">
        <v>132</v>
      </c>
      <c r="K13" s="164">
        <f>IS!K48*(1-D20)</f>
        <v>198338.08067386597</v>
      </c>
      <c r="L13" s="164">
        <f>IS!L48*(1-E20)</f>
        <v>353095.10213839135</v>
      </c>
      <c r="M13" s="164">
        <f>IS!M48*(1-F20)</f>
        <v>391169.49969695345</v>
      </c>
      <c r="N13" s="164">
        <f>IS!N48*(1-G20)</f>
        <v>432888.94680046203</v>
      </c>
      <c r="O13" s="164">
        <f>IS!O48*(1-H20)</f>
        <v>478594.16112163477</v>
      </c>
      <c r="P13" s="164">
        <f>IS!P48*(1-I20)</f>
        <v>498674.30866223318</v>
      </c>
    </row>
    <row r="14" spans="1:17">
      <c r="A14" t="s">
        <v>222</v>
      </c>
      <c r="D14" s="5">
        <f>'debt schedule'!J12/1000</f>
        <v>1654.9417325104121</v>
      </c>
      <c r="E14" t="s">
        <v>130</v>
      </c>
      <c r="F14" t="s">
        <v>131</v>
      </c>
      <c r="K14" s="164">
        <f>-IS!K46</f>
        <v>375903.2636153627</v>
      </c>
      <c r="L14" s="164">
        <f>-IS!L46</f>
        <v>420400.68744841672</v>
      </c>
      <c r="M14" s="164">
        <f>-IS!M46</f>
        <v>465245.11044166097</v>
      </c>
      <c r="N14" s="164">
        <f>-IS!N46</f>
        <v>512145.63580345194</v>
      </c>
      <c r="O14" s="164">
        <f>-IS!O46</f>
        <v>561746.3899770705</v>
      </c>
      <c r="P14" s="164">
        <f>-IS!P46</f>
        <v>612726.40245307423</v>
      </c>
    </row>
    <row r="15" spans="1:17">
      <c r="A15" t="s">
        <v>223</v>
      </c>
      <c r="D15" s="5">
        <f>BS!J8/1000</f>
        <v>71.794185427429994</v>
      </c>
      <c r="E15" t="s">
        <v>133</v>
      </c>
      <c r="F15" t="s">
        <v>134</v>
      </c>
      <c r="K15" s="164">
        <f>-CFS!K29</f>
        <v>455238.02747903811</v>
      </c>
      <c r="L15" s="164">
        <f>-CFS!L29</f>
        <v>504021.70918667642</v>
      </c>
      <c r="M15" s="164">
        <f>-CFS!M29</f>
        <v>532251.14618041273</v>
      </c>
      <c r="N15" s="164">
        <f>-CFS!N29</f>
        <v>565202.65104415454</v>
      </c>
      <c r="O15" s="164">
        <f>-CFS!O29</f>
        <v>600015.90626220033</v>
      </c>
      <c r="P15" s="164">
        <f>-CFS!P29</f>
        <v>614457.8548288187</v>
      </c>
    </row>
    <row r="16" spans="1:17">
      <c r="A16" t="s">
        <v>224</v>
      </c>
      <c r="D16" s="5">
        <f>D14-D15</f>
        <v>1583.1475470829821</v>
      </c>
      <c r="E16" t="s">
        <v>133</v>
      </c>
      <c r="F16" t="s">
        <v>135</v>
      </c>
      <c r="K16" s="164">
        <f>CFS!K13</f>
        <v>52849.993132515054</v>
      </c>
      <c r="L16" s="164">
        <f>CFS!L13</f>
        <v>56206.780793279861</v>
      </c>
      <c r="M16" s="164">
        <f>CFS!M13</f>
        <v>37441.958751784463</v>
      </c>
      <c r="N16" s="164">
        <f>CFS!N13</f>
        <v>41692.759215448044</v>
      </c>
      <c r="O16" s="164">
        <f>CFS!O13</f>
        <v>44958.829931060784</v>
      </c>
      <c r="P16" s="164">
        <f>CFS!P13</f>
        <v>30762.637818794428</v>
      </c>
    </row>
    <row r="17" spans="1:17">
      <c r="A17" t="s">
        <v>225</v>
      </c>
      <c r="D17" s="154">
        <f>D16+D13</f>
        <v>10364.681547082982</v>
      </c>
      <c r="F17" t="s">
        <v>136</v>
      </c>
      <c r="K17" s="164">
        <f>K13+K14-K15+K16</f>
        <v>171853.30994270561</v>
      </c>
      <c r="L17" s="164">
        <f t="shared" ref="L17:P17" si="3">L13+L14-L15+L16</f>
        <v>325680.86119341152</v>
      </c>
      <c r="M17" s="164">
        <f t="shared" si="3"/>
        <v>361605.42270998616</v>
      </c>
      <c r="N17" s="164">
        <f t="shared" si="3"/>
        <v>421524.69077520748</v>
      </c>
      <c r="O17" s="164">
        <f t="shared" si="3"/>
        <v>485283.47476756573</v>
      </c>
      <c r="P17" s="164">
        <f t="shared" si="3"/>
        <v>527705.49410528317</v>
      </c>
      <c r="Q17" s="153">
        <f>P17*(1+D21)/D24-D21</f>
        <v>19040318.381830115</v>
      </c>
    </row>
    <row r="18" spans="1:17">
      <c r="A18" t="s">
        <v>226</v>
      </c>
      <c r="D18" s="6">
        <f>D16/D17</f>
        <v>0.15274444659889627</v>
      </c>
    </row>
    <row r="19" spans="1:17">
      <c r="A19" t="s">
        <v>229</v>
      </c>
      <c r="D19" s="6">
        <f>D13/D17</f>
        <v>0.8472555534011037</v>
      </c>
    </row>
    <row r="20" spans="1:17">
      <c r="A20" t="s">
        <v>227</v>
      </c>
      <c r="D20" s="126">
        <f>'Cost Drivers'!P41</f>
        <v>0.33315090325540941</v>
      </c>
    </row>
    <row r="21" spans="1:17">
      <c r="A21" t="s">
        <v>228</v>
      </c>
      <c r="D21" s="126">
        <v>0.04</v>
      </c>
      <c r="F21" s="1" t="s">
        <v>232</v>
      </c>
      <c r="K21">
        <f>K17/(1+$D$24)^K10</f>
        <v>167038.62736171781</v>
      </c>
      <c r="L21">
        <f t="shared" ref="L21:Q21" si="4">L17/(1+$D$24)^L10</f>
        <v>307687.78858668735</v>
      </c>
      <c r="M21">
        <f t="shared" si="4"/>
        <v>332056.48675432557</v>
      </c>
      <c r="N21">
        <f t="shared" si="4"/>
        <v>376234.88706518715</v>
      </c>
      <c r="O21">
        <f t="shared" si="4"/>
        <v>421008.20450899779</v>
      </c>
      <c r="P21">
        <f t="shared" si="4"/>
        <v>444985.31990307412</v>
      </c>
      <c r="Q21">
        <f t="shared" si="4"/>
        <v>16055664.117274975</v>
      </c>
    </row>
    <row r="22" spans="1:17">
      <c r="A22" t="s">
        <v>231</v>
      </c>
      <c r="D22" s="6">
        <f>D9+D10*(D11-D9)</f>
        <v>0.10969999999999999</v>
      </c>
    </row>
    <row r="23" spans="1:17">
      <c r="F23" s="1" t="s">
        <v>233</v>
      </c>
      <c r="K23">
        <f>SUM(K21:P21)</f>
        <v>2049011.3141799897</v>
      </c>
    </row>
    <row r="24" spans="1:17">
      <c r="A24" t="s">
        <v>230</v>
      </c>
      <c r="D24" s="172">
        <f>D11*D18*(1+D20)+D21*D22</f>
        <v>2.8823767634067944E-2</v>
      </c>
      <c r="F24" s="1" t="s">
        <v>234</v>
      </c>
      <c r="K24">
        <f>Q21</f>
        <v>16055664.117274975</v>
      </c>
    </row>
    <row r="25" spans="1:17">
      <c r="F25" s="1" t="s">
        <v>235</v>
      </c>
      <c r="K25">
        <f>SUM(K23:K24)</f>
        <v>18104675.431454964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</vt:lpstr>
      <vt:lpstr>BS</vt:lpstr>
      <vt:lpstr>CFS</vt:lpstr>
      <vt:lpstr>Sheet1</vt:lpstr>
      <vt:lpstr>Revenue Drivers</vt:lpstr>
      <vt:lpstr>Cost Drivers</vt:lpstr>
      <vt:lpstr>tangible_intangible schedule </vt:lpstr>
      <vt:lpstr>debt schedule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Hake</dc:creator>
  <cp:lastModifiedBy>priyankashekhawat182003@gmail.com</cp:lastModifiedBy>
  <dcterms:created xsi:type="dcterms:W3CDTF">2023-12-10T02:12:56Z</dcterms:created>
  <dcterms:modified xsi:type="dcterms:W3CDTF">2025-07-26T13:36:00Z</dcterms:modified>
</cp:coreProperties>
</file>