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codeName="ThisWorkbook" defaultThemeVersion="124226"/>
  <mc:AlternateContent xmlns:mc="http://schemas.openxmlformats.org/markup-compatibility/2006">
    <mc:Choice Requires="x15">
      <x15ac:absPath xmlns:x15ac="http://schemas.microsoft.com/office/spreadsheetml/2010/11/ac" url="C:\Users\priya\Desktop\Financial modelling and valuation\5.Project finance\"/>
    </mc:Choice>
  </mc:AlternateContent>
  <xr:revisionPtr revIDLastSave="0" documentId="13_ncr:1_{A4ECE443-C980-4516-937F-EFB807902000}" xr6:coauthVersionLast="47" xr6:coauthVersionMax="47" xr10:uidLastSave="{00000000-0000-0000-0000-000000000000}"/>
  <bookViews>
    <workbookView xWindow="47880" yWindow="-120" windowWidth="29040" windowHeight="15720" xr2:uid="{00000000-000D-0000-FFFF-FFFF00000000}"/>
  </bookViews>
  <sheets>
    <sheet name="Overview - Fin_Mod_Case" sheetId="2" r:id="rId1"/>
    <sheet name="Sheet1" sheetId="3" r:id="rId2"/>
  </sheets>
  <definedNames>
    <definedName name="_xlnm.Print_Area" localSheetId="0">'Overview - Fin_Mod_Case'!$A$4:$Q$96</definedName>
    <definedName name="solver_typ" localSheetId="0" hidden="1">2</definedName>
    <definedName name="solver_ver" localSheetId="0" hidden="1">10</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3" i="2" l="1"/>
  <c r="F93" i="2"/>
  <c r="G93" i="2"/>
  <c r="G94" i="2" s="1"/>
  <c r="H93" i="2"/>
  <c r="E94" i="2"/>
  <c r="F94" i="2"/>
  <c r="H94" i="2"/>
  <c r="E95" i="2"/>
  <c r="F95" i="2"/>
  <c r="G95" i="2"/>
  <c r="H95" i="2"/>
  <c r="E31" i="2"/>
  <c r="D93" i="2"/>
  <c r="D91" i="2"/>
  <c r="H82" i="2"/>
  <c r="G82" i="2"/>
  <c r="F82" i="2"/>
  <c r="E82" i="2"/>
  <c r="H81" i="2"/>
  <c r="G81" i="2"/>
  <c r="F81" i="2"/>
  <c r="E81" i="2"/>
  <c r="D82" i="2"/>
  <c r="D83" i="2"/>
  <c r="D84" i="2"/>
  <c r="D81" i="2"/>
  <c r="E83" i="2"/>
  <c r="F83" i="2"/>
  <c r="G83" i="2"/>
  <c r="H83" i="2"/>
  <c r="D80" i="2"/>
  <c r="D43" i="2"/>
  <c r="D73" i="2"/>
  <c r="E72" i="2" s="1"/>
  <c r="D72" i="2"/>
  <c r="D70" i="2"/>
  <c r="D66" i="2"/>
  <c r="H68" i="2"/>
  <c r="G68" i="2"/>
  <c r="F68" i="2"/>
  <c r="E68" i="2"/>
  <c r="D68" i="2"/>
  <c r="H67" i="2"/>
  <c r="G67" i="2"/>
  <c r="F67" i="2"/>
  <c r="E67" i="2"/>
  <c r="D67" i="2"/>
  <c r="H66" i="2"/>
  <c r="G66" i="2"/>
  <c r="F66" i="2"/>
  <c r="E66" i="2"/>
  <c r="H64" i="2"/>
  <c r="G64" i="2"/>
  <c r="F64" i="2"/>
  <c r="E64" i="2"/>
  <c r="D64" i="2"/>
  <c r="H63" i="2"/>
  <c r="G63" i="2"/>
  <c r="F63" i="2"/>
  <c r="E63" i="2"/>
  <c r="D63" i="2"/>
  <c r="D61" i="2"/>
  <c r="H60" i="2"/>
  <c r="G60" i="2"/>
  <c r="F60" i="2"/>
  <c r="E60" i="2"/>
  <c r="D60" i="2"/>
  <c r="D59" i="2"/>
  <c r="D53" i="2"/>
  <c r="D52" i="2"/>
  <c r="H51" i="2"/>
  <c r="G51" i="2"/>
  <c r="F51" i="2"/>
  <c r="E51" i="2"/>
  <c r="D51" i="2"/>
  <c r="H50" i="2"/>
  <c r="G50" i="2"/>
  <c r="F50" i="2"/>
  <c r="E50" i="2"/>
  <c r="D50" i="2"/>
  <c r="L46" i="2"/>
  <c r="D47" i="2"/>
  <c r="H46" i="2"/>
  <c r="G46" i="2"/>
  <c r="F46" i="2"/>
  <c r="E46" i="2"/>
  <c r="D46" i="2"/>
  <c r="F45" i="2"/>
  <c r="G45" i="2" s="1"/>
  <c r="H45" i="2" s="1"/>
  <c r="E45" i="2"/>
  <c r="D45" i="2"/>
  <c r="H44" i="2"/>
  <c r="G44" i="2"/>
  <c r="F44" i="2"/>
  <c r="E44" i="2"/>
  <c r="D44" i="2"/>
  <c r="E34" i="2"/>
  <c r="F34" i="2"/>
  <c r="G34" i="2"/>
  <c r="H34" i="2"/>
  <c r="M44" i="2"/>
  <c r="M48" i="2"/>
  <c r="M46" i="2" s="1"/>
  <c r="N43" i="2" s="1"/>
  <c r="P45" i="2"/>
  <c r="O45" i="2"/>
  <c r="N45" i="2"/>
  <c r="M45" i="2"/>
  <c r="M43" i="2"/>
  <c r="E35" i="2"/>
  <c r="E37" i="2" s="1"/>
  <c r="H33" i="2"/>
  <c r="G33" i="2"/>
  <c r="F33" i="2"/>
  <c r="E33" i="2"/>
  <c r="H25" i="2"/>
  <c r="G25" i="2"/>
  <c r="F25" i="2"/>
  <c r="E25" i="2"/>
  <c r="E29" i="2"/>
  <c r="H29" i="2"/>
  <c r="G29" i="2"/>
  <c r="F29" i="2"/>
  <c r="H28" i="2"/>
  <c r="G28" i="2"/>
  <c r="F28" i="2"/>
  <c r="E28" i="2"/>
  <c r="G27" i="2"/>
  <c r="H27" i="2" s="1"/>
  <c r="F27" i="2"/>
  <c r="E27" i="2"/>
  <c r="G26" i="2"/>
  <c r="H26" i="2" s="1"/>
  <c r="F26" i="2"/>
  <c r="E26" i="2"/>
  <c r="G24" i="2"/>
  <c r="H24" i="2" s="1"/>
  <c r="F24" i="2"/>
  <c r="E24" i="2"/>
  <c r="G22" i="2"/>
  <c r="H22" i="2" s="1"/>
  <c r="F22" i="2"/>
  <c r="E22" i="2"/>
  <c r="A20" i="3"/>
  <c r="B18" i="3"/>
  <c r="B16" i="3"/>
  <c r="D6" i="3"/>
  <c r="B6" i="3"/>
  <c r="D7" i="3" s="1"/>
  <c r="D8" i="3" s="1"/>
  <c r="E38" i="2" l="1"/>
  <c r="N44" i="2"/>
  <c r="N48" i="2" s="1"/>
  <c r="N46" i="2" s="1"/>
  <c r="O43" i="2" s="1"/>
  <c r="E14" i="2"/>
  <c r="H7" i="2"/>
  <c r="E52" i="2" l="1"/>
  <c r="E80" i="2"/>
  <c r="E84" i="2" s="1"/>
  <c r="E91" i="2" s="1"/>
  <c r="E59" i="2"/>
  <c r="E61" i="2" s="1"/>
  <c r="E70" i="2" s="1"/>
  <c r="E73" i="2" s="1"/>
  <c r="O44" i="2"/>
  <c r="O48" i="2" s="1"/>
  <c r="O46" i="2" s="1"/>
  <c r="P43" i="2" s="1"/>
  <c r="D54" i="2"/>
  <c r="F72" i="2" l="1"/>
  <c r="E43" i="2"/>
  <c r="E47" i="2" s="1"/>
  <c r="E53" i="2"/>
  <c r="P44" i="2"/>
  <c r="P48" i="2" s="1"/>
  <c r="P46" i="2" s="1"/>
  <c r="E54" i="2" l="1"/>
  <c r="F23" i="2"/>
  <c r="F31" i="2" s="1"/>
  <c r="F35" i="2" l="1"/>
  <c r="F37" i="2" s="1"/>
  <c r="F38" i="2" s="1"/>
  <c r="I31" i="2"/>
  <c r="F59" i="2" l="1"/>
  <c r="F61" i="2" s="1"/>
  <c r="F70" i="2" s="1"/>
  <c r="F73" i="2" s="1"/>
  <c r="F80" i="2"/>
  <c r="F84" i="2" s="1"/>
  <c r="F91" i="2" s="1"/>
  <c r="F52" i="2"/>
  <c r="F53" i="2" l="1"/>
  <c r="G72" i="2"/>
  <c r="F43" i="2"/>
  <c r="F47" i="2" s="1"/>
  <c r="F54" i="2" s="1"/>
  <c r="G23" i="2" l="1"/>
  <c r="G31" i="2" s="1"/>
  <c r="G35" i="2" s="1"/>
  <c r="G37" i="2" s="1"/>
  <c r="G38" i="2" s="1"/>
  <c r="G59" i="2" l="1"/>
  <c r="G61" i="2" s="1"/>
  <c r="G70" i="2" s="1"/>
  <c r="G73" i="2" s="1"/>
  <c r="G80" i="2"/>
  <c r="G84" i="2" s="1"/>
  <c r="G91" i="2" s="1"/>
  <c r="G52" i="2"/>
  <c r="G53" i="2" l="1"/>
  <c r="H72" i="2"/>
  <c r="G43" i="2"/>
  <c r="G47" i="2" s="1"/>
  <c r="G54" i="2" s="1"/>
  <c r="H23" i="2" l="1"/>
  <c r="H31" i="2" s="1"/>
  <c r="H35" i="2" s="1"/>
  <c r="H37" i="2" s="1"/>
  <c r="H38" i="2" s="1"/>
  <c r="H80" i="2" l="1"/>
  <c r="H84" i="2" s="1"/>
  <c r="H91" i="2" s="1"/>
  <c r="H59" i="2"/>
  <c r="H61" i="2" s="1"/>
  <c r="H70" i="2" s="1"/>
  <c r="H73" i="2" s="1"/>
  <c r="H43" i="2" s="1"/>
  <c r="H47" i="2" s="1"/>
  <c r="H52" i="2"/>
  <c r="H53" i="2" s="1"/>
  <c r="H54" i="2" l="1"/>
  <c r="D95" i="2"/>
  <c r="D9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sameer</author>
    <author>Sameer</author>
    <author>Hunk</author>
  </authors>
  <commentList>
    <comment ref="B2" authorId="0" shapeId="0" xr:uid="{00000000-0006-0000-0000-000001000000}">
      <text>
        <r>
          <rPr>
            <b/>
            <sz val="9"/>
            <color indexed="81"/>
            <rFont val="Tahoma"/>
            <family val="2"/>
          </rPr>
          <t>sameer:</t>
        </r>
        <r>
          <rPr>
            <sz val="9"/>
            <color indexed="81"/>
            <rFont val="Tahoma"/>
            <family val="2"/>
          </rPr>
          <t xml:space="preserve">
</t>
        </r>
      </text>
    </comment>
    <comment ref="B6" authorId="1" shapeId="0" xr:uid="{00000000-0006-0000-0000-000002000000}">
      <text>
        <r>
          <rPr>
            <b/>
            <sz val="8"/>
            <color indexed="81"/>
            <rFont val="Tahoma"/>
            <family val="2"/>
          </rPr>
          <t>Sameer:</t>
        </r>
        <r>
          <rPr>
            <sz val="8"/>
            <color indexed="81"/>
            <rFont val="Tahoma"/>
            <family val="2"/>
          </rPr>
          <t xml:space="preserve">
Cost assumed here is taken for a Single Axle Bus made by Volvo - B7R (Model Number). The actual Bus costs around Rs.70,00,000. However along with the vehicle there are additional charges levied like - Registration, Insurance, Taxes, etc.
Also since the bus will be used for hire purpose, we leave some margin for the accessories that mght get added to it.
Some amount will have to be spent on acquiring All India Permit, to use the bus for transportation purpose. This cost for state of Maharashtra (case in point) is Rs.5,000.
Source: </t>
        </r>
        <r>
          <rPr>
            <u/>
            <sz val="8"/>
            <color indexed="81"/>
            <rFont val="Tahoma"/>
            <family val="2"/>
          </rPr>
          <t>http://transport.delhigovt.nic.in/transport/tr8.htm</t>
        </r>
        <r>
          <rPr>
            <sz val="8"/>
            <color indexed="81"/>
            <rFont val="Tahoma"/>
            <family val="2"/>
          </rPr>
          <t xml:space="preserve">
</t>
        </r>
      </text>
    </comment>
    <comment ref="F8" authorId="1" shapeId="0" xr:uid="{00000000-0006-0000-0000-000003000000}">
      <text>
        <r>
          <rPr>
            <b/>
            <sz val="8"/>
            <color indexed="81"/>
            <rFont val="Tahoma"/>
            <family val="2"/>
          </rPr>
          <t>Sameer:</t>
        </r>
        <r>
          <rPr>
            <sz val="8"/>
            <color indexed="81"/>
            <rFont val="Tahoma"/>
            <family val="2"/>
          </rPr>
          <t xml:space="preserve">
Interest rate value if expected to be high as the vehicle will be used for commercial purposes.</t>
        </r>
      </text>
    </comment>
    <comment ref="B9" authorId="2" shapeId="0" xr:uid="{00000000-0006-0000-0000-000004000000}">
      <text>
        <r>
          <rPr>
            <b/>
            <sz val="8"/>
            <color indexed="81"/>
            <rFont val="Tahoma"/>
            <family val="2"/>
          </rPr>
          <t>Sameer:</t>
        </r>
        <r>
          <rPr>
            <sz val="8"/>
            <color indexed="81"/>
            <rFont val="Tahoma"/>
            <family val="2"/>
          </rPr>
          <t xml:space="preserve">
The Income Tax Department follows the written down value method of depreciation.
The specified rate for depreciation is 40% as per the IT ACT.
The Company Act prescribes a rate of 16.21% for the depreciation of the bus used for hire purpose.
This translates into an asumption of 6 years for the usefule life of the bus.
However looking at the working conditions and usages we assume a usefule life of the bus at 4 years.</t>
        </r>
      </text>
    </comment>
    <comment ref="F10" authorId="1" shapeId="0" xr:uid="{00000000-0006-0000-0000-000005000000}">
      <text>
        <r>
          <rPr>
            <b/>
            <sz val="8"/>
            <color indexed="81"/>
            <rFont val="Tahoma"/>
            <family val="2"/>
          </rPr>
          <t>Sameer:</t>
        </r>
        <r>
          <rPr>
            <sz val="8"/>
            <color indexed="81"/>
            <rFont val="Tahoma"/>
            <family val="2"/>
          </rPr>
          <t xml:space="preserve">
High yield assumed. This is done on purpose to check if this project lies higher up on the Investment Opportunity schedule.</t>
        </r>
      </text>
    </comment>
    <comment ref="K11" authorId="1" shapeId="0" xr:uid="{00000000-0006-0000-0000-000006000000}">
      <text>
        <r>
          <rPr>
            <b/>
            <sz val="8"/>
            <color indexed="81"/>
            <rFont val="Tahoma"/>
            <family val="2"/>
          </rPr>
          <t>Sameer:</t>
        </r>
        <r>
          <rPr>
            <sz val="8"/>
            <color indexed="81"/>
            <rFont val="Tahoma"/>
            <family val="2"/>
          </rPr>
          <t xml:space="preserve">
Figures assumed for the driver cost  and miscellaneous expenditures</t>
        </r>
      </text>
    </comment>
    <comment ref="F16" authorId="1" shapeId="0" xr:uid="{00000000-0006-0000-0000-000007000000}">
      <text>
        <r>
          <rPr>
            <b/>
            <sz val="8"/>
            <color indexed="81"/>
            <rFont val="Tahoma"/>
            <family val="2"/>
          </rPr>
          <t>Sameer:</t>
        </r>
        <r>
          <rPr>
            <sz val="8"/>
            <color indexed="81"/>
            <rFont val="Tahoma"/>
            <family val="2"/>
          </rPr>
          <t xml:space="preserve">
Miscellaneous costs will include, the costs for parking the bus in a shade.
Amount acts as a buffer and also takes into consideration the costs associated with the co-driver</t>
        </r>
      </text>
    </comment>
    <comment ref="E22" authorId="1" shapeId="0" xr:uid="{00000000-0006-0000-0000-000008000000}">
      <text>
        <r>
          <rPr>
            <b/>
            <sz val="8"/>
            <color indexed="81"/>
            <rFont val="Tahoma"/>
            <family val="2"/>
          </rPr>
          <t>Sameer:</t>
        </r>
        <r>
          <rPr>
            <sz val="8"/>
            <color indexed="81"/>
            <rFont val="Tahoma"/>
            <family val="2"/>
          </rPr>
          <t xml:space="preserve">
Assumed that the bus service is available for all 365 days of the year</t>
        </r>
      </text>
    </comment>
    <comment ref="F22" authorId="1" shapeId="0" xr:uid="{00000000-0006-0000-0000-000009000000}">
      <text>
        <r>
          <rPr>
            <b/>
            <sz val="8"/>
            <color indexed="81"/>
            <rFont val="Tahoma"/>
            <family val="2"/>
          </rPr>
          <t>Sameer:</t>
        </r>
        <r>
          <rPr>
            <sz val="8"/>
            <color indexed="81"/>
            <rFont val="Tahoma"/>
            <family val="2"/>
          </rPr>
          <t xml:space="preserve">
Assumed that the bus service is available for all 365 days of the year</t>
        </r>
      </text>
    </comment>
    <comment ref="G22" authorId="1" shapeId="0" xr:uid="{43E3B1B2-4F57-4F92-93B9-23DD7F47806E}">
      <text>
        <r>
          <rPr>
            <b/>
            <sz val="8"/>
            <color indexed="81"/>
            <rFont val="Tahoma"/>
            <family val="2"/>
          </rPr>
          <t>Sameer:</t>
        </r>
        <r>
          <rPr>
            <sz val="8"/>
            <color indexed="81"/>
            <rFont val="Tahoma"/>
            <family val="2"/>
          </rPr>
          <t xml:space="preserve">
Assumed that the bus service is available for all 365 days of the year</t>
        </r>
      </text>
    </comment>
    <comment ref="H22" authorId="1" shapeId="0" xr:uid="{31B1E303-B29F-46BA-B3A7-8C0AD4E5EA6B}">
      <text>
        <r>
          <rPr>
            <b/>
            <sz val="8"/>
            <color indexed="81"/>
            <rFont val="Tahoma"/>
            <family val="2"/>
          </rPr>
          <t>Sameer:</t>
        </r>
        <r>
          <rPr>
            <sz val="8"/>
            <color indexed="81"/>
            <rFont val="Tahoma"/>
            <family val="2"/>
          </rPr>
          <t xml:space="preserve">
Assumed that the bus service is available for all 365 days of the year</t>
        </r>
      </text>
    </comment>
    <comment ref="B23" authorId="0" shapeId="0" xr:uid="{00000000-0006-0000-0000-00000C000000}">
      <text>
        <r>
          <rPr>
            <b/>
            <sz val="9"/>
            <color indexed="81"/>
            <rFont val="Tahoma"/>
            <family val="2"/>
          </rPr>
          <t>sameer:</t>
        </r>
        <r>
          <rPr>
            <sz val="9"/>
            <color indexed="81"/>
            <rFont val="Tahoma"/>
            <family val="2"/>
          </rPr>
          <t xml:space="preserve">
Interest Income on Surplus Cash.
Find out as % of Opening Cash Balance</t>
        </r>
      </text>
    </comment>
  </commentList>
</comments>
</file>

<file path=xl/sharedStrings.xml><?xml version="1.0" encoding="utf-8"?>
<sst xmlns="http://schemas.openxmlformats.org/spreadsheetml/2006/main" count="138" uniqueCount="102">
  <si>
    <t>Seating Capacity</t>
  </si>
  <si>
    <t>Load Factor</t>
  </si>
  <si>
    <t>Debt</t>
  </si>
  <si>
    <t>Equity</t>
  </si>
  <si>
    <t>Interest on Debt</t>
  </si>
  <si>
    <t>Route</t>
  </si>
  <si>
    <t>Cost of Bus</t>
  </si>
  <si>
    <t>Assumptions - Bus</t>
  </si>
  <si>
    <t>Maintenance / year</t>
  </si>
  <si>
    <t>Life of Bus (years)</t>
  </si>
  <si>
    <t>Deprecation Rate</t>
  </si>
  <si>
    <t>Assumptions - Financing</t>
  </si>
  <si>
    <t>Tenure of loan (years)</t>
  </si>
  <si>
    <t>Cost of Equity</t>
  </si>
  <si>
    <t>Assumptions - Operating Costs</t>
  </si>
  <si>
    <t>Assumptions - Operating Revenues</t>
  </si>
  <si>
    <t>Escalation Rate - Tariff</t>
  </si>
  <si>
    <t>Tariff (Rs./Ticket)</t>
  </si>
  <si>
    <t>Fuel Efficiency ( Km / L )</t>
  </si>
  <si>
    <t>Driver Cost (Rs./ Trip)</t>
  </si>
  <si>
    <t>Toll Amount (Rs. / Trip)</t>
  </si>
  <si>
    <t>Miscellaneous (Rs. / Trip)</t>
  </si>
  <si>
    <t>Assumptions - Operating General</t>
  </si>
  <si>
    <t>Distance (Kms)</t>
  </si>
  <si>
    <t>Mumbai - Pune</t>
  </si>
  <si>
    <t>Income Statement</t>
  </si>
  <si>
    <t>Tax Rate</t>
  </si>
  <si>
    <t>Assumptions - General</t>
  </si>
  <si>
    <t>Fuel Costs</t>
  </si>
  <si>
    <t>Driver Costs</t>
  </si>
  <si>
    <t>Miscellaneous Costs</t>
  </si>
  <si>
    <t>Toll Amount</t>
  </si>
  <si>
    <t>Cost of Revenues</t>
  </si>
  <si>
    <t>Depreciation</t>
  </si>
  <si>
    <t>Interest Expense</t>
  </si>
  <si>
    <t>Profit Before Tax</t>
  </si>
  <si>
    <t>Income Taxes</t>
  </si>
  <si>
    <t>Profit After Tax</t>
  </si>
  <si>
    <t>Balance Sheet</t>
  </si>
  <si>
    <t>Assets</t>
  </si>
  <si>
    <t>Cash</t>
  </si>
  <si>
    <t>PPE, Gross</t>
  </si>
  <si>
    <t>Total Assets</t>
  </si>
  <si>
    <t>Liabilities</t>
  </si>
  <si>
    <t>Retained Profit</t>
  </si>
  <si>
    <t>Total Liabilities</t>
  </si>
  <si>
    <t>Checksum</t>
  </si>
  <si>
    <t>Cash Flow Statement</t>
  </si>
  <si>
    <t>Net Income (PAT)</t>
  </si>
  <si>
    <t>Cash Flow From Operations</t>
  </si>
  <si>
    <t>Cash Flow from Investing</t>
  </si>
  <si>
    <t>Debt (Repayment)/Issuance</t>
  </si>
  <si>
    <t>Equity Addition</t>
  </si>
  <si>
    <t>Cash Flow from Financing</t>
  </si>
  <si>
    <t>Net change in Cash</t>
  </si>
  <si>
    <t>Cash - BOP</t>
  </si>
  <si>
    <t>Cash - EOP</t>
  </si>
  <si>
    <t>Debt is to be repaid in 4 equal annual installments at the end of every year</t>
  </si>
  <si>
    <t>Diesel rate (Rs./Lit)</t>
  </si>
  <si>
    <t>Diesel Price escalation</t>
  </si>
  <si>
    <t>Inflation</t>
  </si>
  <si>
    <t>Free Cash Flow - Equity</t>
  </si>
  <si>
    <t>Net Income</t>
  </si>
  <si>
    <t>Cash Flow to Equity</t>
  </si>
  <si>
    <t>NPV</t>
  </si>
  <si>
    <t>IRR</t>
  </si>
  <si>
    <t>Year - 0</t>
  </si>
  <si>
    <t>Year - 1</t>
  </si>
  <si>
    <t>Year - 2</t>
  </si>
  <si>
    <t>Year - 3</t>
  </si>
  <si>
    <t>Year - 4</t>
  </si>
  <si>
    <t>Estimated Time Hours/Trip</t>
  </si>
  <si>
    <t>Trips / Day</t>
  </si>
  <si>
    <t>Capex</t>
  </si>
  <si>
    <t>Financial Modeling Case - Premium Bus Service</t>
  </si>
  <si>
    <t>Interest Income</t>
  </si>
  <si>
    <t>Other Income</t>
  </si>
  <si>
    <t>Gross Pofit / (EBITDA)</t>
  </si>
  <si>
    <t>Maintenance Expenses</t>
  </si>
  <si>
    <t>EAI</t>
  </si>
  <si>
    <t>Returns Analysis - Equity</t>
  </si>
  <si>
    <t>FCFE</t>
  </si>
  <si>
    <t>Toll amount remains constant</t>
  </si>
  <si>
    <t>Increase at inflation rate</t>
  </si>
  <si>
    <t>All inflation/escalation happens from year 2</t>
  </si>
  <si>
    <t>Flag</t>
  </si>
  <si>
    <t>Principle Repaid</t>
  </si>
  <si>
    <t>+ Depreciation</t>
  </si>
  <si>
    <t>- Capital Expenses</t>
  </si>
  <si>
    <t>- Debt Repayment/+ raised</t>
  </si>
  <si>
    <t>SLM</t>
  </si>
  <si>
    <t xml:space="preserve"> </t>
  </si>
  <si>
    <t>Revenue</t>
  </si>
  <si>
    <t>BOP - Debt</t>
  </si>
  <si>
    <t>EOP - Debt</t>
  </si>
  <si>
    <t>Int Expense</t>
  </si>
  <si>
    <t>Acc Depreciation</t>
  </si>
  <si>
    <t>PPE, Net</t>
  </si>
  <si>
    <t>Loan</t>
  </si>
  <si>
    <t>Rate</t>
  </si>
  <si>
    <t>N</t>
  </si>
  <si>
    <t>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</si>
</sst>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quot;£&quot;#,##0.00;[Red]\-&quot;£&quot;#,##0.00"/>
    <numFmt numFmtId="166" formatCode="_(* #,##0_);_(* \(#,##0\);_(* &quot;-&quot;??_);_(@_)"/>
    <numFmt numFmtId="167" formatCode="0.0%"/>
    <numFmt numFmtId="168" formatCode="_(* #,###.00\x;_(* \(#,##0.00\);_(* &quot;-&quot;??_);_(@_)"/>
    <numFmt numFmtId="169" formatCode="\1\x"/>
    <numFmt numFmtId="170" formatCode="General\x"/>
    <numFmt numFmtId="171" formatCode="0.00\ &quot;x&quot;"/>
    <numFmt numFmtId="172" formatCode="0.000%"/>
  </numFmts>
  <fonts count="16" x14ac:knownFonts="1">
    <font>
      <sz val="11"/>
      <color theme="1"/>
      <name val="Calibri"/>
      <family val="2"/>
      <scheme val="minor"/>
    </font>
    <font>
      <sz val="8"/>
      <color indexed="81"/>
      <name val="Tahoma"/>
      <family val="2"/>
    </font>
    <font>
      <b/>
      <sz val="8"/>
      <color indexed="81"/>
      <name val="Tahoma"/>
      <family val="2"/>
    </font>
    <font>
      <u/>
      <sz val="8"/>
      <color indexed="81"/>
      <name val="Tahoma"/>
      <family val="2"/>
    </font>
    <font>
      <sz val="9"/>
      <color indexed="81"/>
      <name val="Tahoma"/>
      <family val="2"/>
    </font>
    <font>
      <b/>
      <sz val="9"/>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u/>
      <sz val="11"/>
      <color theme="10"/>
      <name val="Calibri"/>
      <family val="2"/>
    </font>
    <font>
      <b/>
      <sz val="11"/>
      <color theme="1"/>
      <name val="Calibri"/>
      <family val="2"/>
      <scheme val="minor"/>
    </font>
    <font>
      <sz val="11"/>
      <color rgb="FFFF0000"/>
      <name val="Calibri"/>
      <family val="2"/>
      <scheme val="minor"/>
    </font>
    <font>
      <sz val="11"/>
      <color theme="0" tint="-0.249977111117893"/>
      <name val="Calibri"/>
      <family val="2"/>
      <scheme val="minor"/>
    </font>
    <font>
      <b/>
      <u/>
      <sz val="11"/>
      <color theme="1"/>
      <name val="Calibri"/>
      <family val="2"/>
      <scheme val="minor"/>
    </font>
    <font>
      <b/>
      <sz val="14"/>
      <color theme="1"/>
      <name val="Calibri"/>
      <family val="2"/>
      <scheme val="minor"/>
    </font>
    <font>
      <sz val="11"/>
      <name val="Calibri"/>
      <family val="2"/>
      <scheme val="minor"/>
    </font>
  </fonts>
  <fills count="7">
    <fill>
      <patternFill patternType="none"/>
    </fill>
    <fill>
      <patternFill patternType="gray125"/>
    </fill>
    <fill>
      <patternFill patternType="solid">
        <fgColor theme="3"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3">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top/>
      <bottom style="medium">
        <color indexed="64"/>
      </bottom>
      <diagonal/>
    </border>
    <border>
      <left/>
      <right style="medium">
        <color theme="0"/>
      </right>
      <top style="medium">
        <color rgb="FFFFC000"/>
      </top>
      <bottom/>
      <diagonal/>
    </border>
    <border>
      <left style="medium">
        <color theme="0"/>
      </left>
      <right style="medium">
        <color theme="0"/>
      </right>
      <top style="medium">
        <color rgb="FFFFC000"/>
      </top>
      <bottom/>
      <diagonal/>
    </border>
    <border>
      <left style="medium">
        <color theme="0"/>
      </left>
      <right/>
      <top style="medium">
        <color rgb="FFFFC000"/>
      </top>
      <bottom/>
      <diagonal/>
    </border>
    <border>
      <left/>
      <right/>
      <top/>
      <bottom style="medium">
        <color rgb="FFFFC000"/>
      </bottom>
      <diagonal/>
    </border>
    <border>
      <left style="medium">
        <color rgb="FFFFC000"/>
      </left>
      <right/>
      <top style="medium">
        <color rgb="FFFFC000"/>
      </top>
      <bottom/>
      <diagonal/>
    </border>
    <border>
      <left/>
      <right/>
      <top style="medium">
        <color rgb="FFFFC000"/>
      </top>
      <bottom/>
      <diagonal/>
    </border>
    <border>
      <left style="medium">
        <color rgb="FFFFC000"/>
      </left>
      <right/>
      <top/>
      <bottom/>
      <diagonal/>
    </border>
  </borders>
  <cellStyleXfs count="4">
    <xf numFmtId="0" fontId="0" fillId="0" borderId="0"/>
    <xf numFmtId="164" fontId="6" fillId="0" borderId="0" applyFont="0" applyFill="0" applyBorder="0" applyAlignment="0" applyProtection="0"/>
    <xf numFmtId="0" fontId="9" fillId="0" borderId="0" applyNumberFormat="0" applyFill="0" applyBorder="0" applyAlignment="0" applyProtection="0">
      <alignment vertical="top"/>
      <protection locked="0"/>
    </xf>
    <xf numFmtId="9" fontId="6" fillId="0" borderId="0" applyFont="0" applyFill="0" applyBorder="0" applyAlignment="0" applyProtection="0"/>
  </cellStyleXfs>
  <cellXfs count="75">
    <xf numFmtId="0" fontId="0" fillId="0" borderId="0" xfId="0"/>
    <xf numFmtId="166" fontId="6" fillId="0" borderId="0" xfId="1" applyNumberFormat="1" applyFont="1"/>
    <xf numFmtId="9" fontId="6" fillId="0" borderId="0" xfId="3" applyFont="1"/>
    <xf numFmtId="0" fontId="8" fillId="2" borderId="6" xfId="0" applyFont="1" applyFill="1" applyBorder="1" applyAlignment="1">
      <alignment horizontal="center"/>
    </xf>
    <xf numFmtId="0" fontId="8" fillId="2" borderId="7" xfId="0" applyFont="1" applyFill="1" applyBorder="1" applyAlignment="1">
      <alignment horizontal="center"/>
    </xf>
    <xf numFmtId="0" fontId="8" fillId="2" borderId="8" xfId="0" applyFont="1" applyFill="1" applyBorder="1" applyAlignment="1">
      <alignment horizontal="center"/>
    </xf>
    <xf numFmtId="0" fontId="12" fillId="0" borderId="0" xfId="0" applyFont="1" applyAlignment="1">
      <alignment horizontal="center"/>
    </xf>
    <xf numFmtId="166" fontId="6" fillId="0" borderId="1" xfId="1" applyNumberFormat="1" applyFont="1" applyBorder="1"/>
    <xf numFmtId="166" fontId="6" fillId="0" borderId="2" xfId="1" applyNumberFormat="1" applyFont="1" applyBorder="1"/>
    <xf numFmtId="166" fontId="6" fillId="0" borderId="3" xfId="1" applyNumberFormat="1" applyFont="1" applyBorder="1"/>
    <xf numFmtId="0" fontId="11" fillId="0" borderId="0" xfId="0" applyFont="1"/>
    <xf numFmtId="166" fontId="11" fillId="0" borderId="0" xfId="1" applyNumberFormat="1" applyFont="1"/>
    <xf numFmtId="0" fontId="13" fillId="0" borderId="0" xfId="0" applyFont="1"/>
    <xf numFmtId="0" fontId="14" fillId="3" borderId="0" xfId="0" applyFont="1" applyFill="1" applyAlignment="1">
      <alignment vertical="center"/>
    </xf>
    <xf numFmtId="166" fontId="0" fillId="0" borderId="0" xfId="0" applyNumberFormat="1"/>
    <xf numFmtId="0" fontId="10" fillId="3" borderId="0" xfId="0" applyFont="1" applyFill="1"/>
    <xf numFmtId="9" fontId="0" fillId="0" borderId="0" xfId="0" applyNumberFormat="1"/>
    <xf numFmtId="0" fontId="0" fillId="0" borderId="0" xfId="0" applyAlignment="1">
      <alignment horizontal="right"/>
    </xf>
    <xf numFmtId="0" fontId="0" fillId="0" borderId="9" xfId="0" applyBorder="1"/>
    <xf numFmtId="0" fontId="0" fillId="0" borderId="0" xfId="0" applyAlignment="1">
      <alignment horizontal="left" indent="1"/>
    </xf>
    <xf numFmtId="0" fontId="0" fillId="0" borderId="1" xfId="0" applyBorder="1"/>
    <xf numFmtId="0" fontId="0" fillId="0" borderId="2" xfId="0" applyBorder="1"/>
    <xf numFmtId="0" fontId="0" fillId="0" borderId="3" xfId="0" applyBorder="1"/>
    <xf numFmtId="167" fontId="0" fillId="0" borderId="0" xfId="0" applyNumberFormat="1"/>
    <xf numFmtId="0" fontId="0" fillId="0" borderId="4" xfId="0" applyBorder="1"/>
    <xf numFmtId="164" fontId="0" fillId="0" borderId="0" xfId="0" applyNumberFormat="1"/>
    <xf numFmtId="0" fontId="0" fillId="0" borderId="5" xfId="0" applyBorder="1"/>
    <xf numFmtId="0" fontId="9" fillId="0" borderId="0" xfId="2" applyAlignment="1" applyProtection="1"/>
    <xf numFmtId="0" fontId="8" fillId="0" borderId="0" xfId="0" applyFont="1" applyAlignment="1">
      <alignment horizontal="center"/>
    </xf>
    <xf numFmtId="0" fontId="8" fillId="0" borderId="0" xfId="0" applyFont="1"/>
    <xf numFmtId="166" fontId="6" fillId="0" borderId="0" xfId="1" applyNumberFormat="1" applyFont="1" applyFill="1" applyBorder="1"/>
    <xf numFmtId="166" fontId="6" fillId="0" borderId="0" xfId="1" applyNumberFormat="1" applyFont="1" applyFill="1" applyBorder="1" applyAlignment="1"/>
    <xf numFmtId="168" fontId="0" fillId="0" borderId="0" xfId="0" applyNumberFormat="1"/>
    <xf numFmtId="0" fontId="0" fillId="0" borderId="0" xfId="0" applyAlignment="1">
      <alignment wrapText="1"/>
    </xf>
    <xf numFmtId="166" fontId="6" fillId="4" borderId="0" xfId="1" applyNumberFormat="1" applyFont="1" applyFill="1"/>
    <xf numFmtId="166" fontId="6" fillId="4" borderId="1" xfId="1" applyNumberFormat="1" applyFont="1" applyFill="1" applyBorder="1"/>
    <xf numFmtId="166" fontId="6" fillId="4" borderId="2" xfId="1" applyNumberFormat="1" applyFont="1" applyFill="1" applyBorder="1"/>
    <xf numFmtId="166" fontId="6" fillId="4" borderId="3" xfId="1" applyNumberFormat="1" applyFont="1" applyFill="1" applyBorder="1"/>
    <xf numFmtId="166" fontId="0" fillId="4" borderId="0" xfId="0" applyNumberFormat="1" applyFill="1"/>
    <xf numFmtId="166" fontId="0" fillId="4" borderId="3" xfId="0" applyNumberFormat="1" applyFill="1" applyBorder="1"/>
    <xf numFmtId="9" fontId="0" fillId="0" borderId="0" xfId="0" applyNumberFormat="1" applyAlignment="1">
      <alignment wrapText="1"/>
    </xf>
    <xf numFmtId="169" fontId="0" fillId="0" borderId="0" xfId="0" applyNumberFormat="1"/>
    <xf numFmtId="170" fontId="0" fillId="0" borderId="0" xfId="0" applyNumberFormat="1"/>
    <xf numFmtId="164" fontId="6" fillId="0" borderId="0" xfId="1" applyFont="1"/>
    <xf numFmtId="0" fontId="0" fillId="0" borderId="0" xfId="0" applyAlignment="1">
      <alignment horizontal="left" indent="2"/>
    </xf>
    <xf numFmtId="171" fontId="0" fillId="0" borderId="0" xfId="0" applyNumberFormat="1"/>
    <xf numFmtId="166" fontId="6" fillId="0" borderId="0" xfId="1" applyNumberFormat="1" applyFont="1" applyFill="1"/>
    <xf numFmtId="167" fontId="6" fillId="4" borderId="0" xfId="3" applyNumberFormat="1" applyFont="1" applyFill="1" applyAlignment="1">
      <alignment horizontal="right"/>
    </xf>
    <xf numFmtId="166" fontId="6" fillId="4" borderId="4" xfId="1" applyNumberFormat="1" applyFont="1" applyFill="1" applyBorder="1"/>
    <xf numFmtId="9" fontId="15" fillId="0" borderId="0" xfId="3" applyFont="1" applyFill="1" applyBorder="1"/>
    <xf numFmtId="164" fontId="15" fillId="0" borderId="0" xfId="1" applyFont="1" applyFill="1" applyBorder="1"/>
    <xf numFmtId="10" fontId="0" fillId="5" borderId="0" xfId="0" applyNumberFormat="1" applyFill="1"/>
    <xf numFmtId="0" fontId="0" fillId="0" borderId="0" xfId="0" quotePrefix="1" applyAlignment="1">
      <alignment horizontal="left" indent="1"/>
    </xf>
    <xf numFmtId="166" fontId="0" fillId="0" borderId="0" xfId="1" applyNumberFormat="1" applyFont="1"/>
    <xf numFmtId="0" fontId="0" fillId="0" borderId="1" xfId="0" applyBorder="1" applyAlignment="1">
      <alignment horizontal="left" indent="1"/>
    </xf>
    <xf numFmtId="165" fontId="0" fillId="0" borderId="0" xfId="0" applyNumberFormat="1"/>
    <xf numFmtId="166" fontId="0" fillId="4" borderId="0" xfId="1" applyNumberFormat="1" applyFont="1" applyFill="1"/>
    <xf numFmtId="10" fontId="0" fillId="0" borderId="0" xfId="0" applyNumberFormat="1"/>
    <xf numFmtId="172" fontId="0" fillId="0" borderId="0" xfId="3" applyNumberFormat="1" applyFont="1"/>
    <xf numFmtId="9" fontId="0" fillId="0" borderId="0" xfId="3" applyFont="1" applyAlignment="1">
      <alignment horizontal="center"/>
    </xf>
    <xf numFmtId="9" fontId="6" fillId="4" borderId="0" xfId="3" applyFont="1" applyFill="1" applyBorder="1"/>
    <xf numFmtId="2" fontId="0" fillId="0" borderId="0" xfId="0" applyNumberFormat="1"/>
    <xf numFmtId="10" fontId="6" fillId="0" borderId="0" xfId="3" applyNumberFormat="1" applyFont="1"/>
    <xf numFmtId="0" fontId="0" fillId="6" borderId="0" xfId="0" applyFill="1"/>
    <xf numFmtId="9" fontId="11" fillId="6" borderId="0" xfId="0" applyNumberFormat="1" applyFont="1" applyFill="1"/>
    <xf numFmtId="9" fontId="0" fillId="6" borderId="0" xfId="0" applyNumberFormat="1" applyFill="1"/>
    <xf numFmtId="167" fontId="15" fillId="6" borderId="10" xfId="3" applyNumberFormat="1" applyFont="1" applyFill="1" applyBorder="1"/>
    <xf numFmtId="167" fontId="15" fillId="6" borderId="11" xfId="3" applyNumberFormat="1" applyFont="1" applyFill="1" applyBorder="1"/>
    <xf numFmtId="167" fontId="15" fillId="6" borderId="12" xfId="3" applyNumberFormat="1" applyFont="1" applyFill="1" applyBorder="1"/>
    <xf numFmtId="167" fontId="15" fillId="6" borderId="0" xfId="3" applyNumberFormat="1" applyFont="1" applyFill="1" applyBorder="1"/>
    <xf numFmtId="0" fontId="10" fillId="3" borderId="0" xfId="0" applyFont="1" applyFill="1" applyAlignment="1">
      <alignment horizontal="center"/>
    </xf>
    <xf numFmtId="0" fontId="7" fillId="6" borderId="0" xfId="0" applyFont="1" applyFill="1" applyAlignment="1">
      <alignment horizontal="center" vertical="center" textRotation="90"/>
    </xf>
    <xf numFmtId="0" fontId="10" fillId="3" borderId="9" xfId="0" applyFont="1" applyFill="1" applyBorder="1" applyAlignment="1">
      <alignment horizontal="left"/>
    </xf>
    <xf numFmtId="0" fontId="7" fillId="0" borderId="0" xfId="0" applyFont="1" applyAlignment="1">
      <alignment horizontal="center" vertical="center" textRotation="90"/>
    </xf>
    <xf numFmtId="0" fontId="8" fillId="6" borderId="0" xfId="0" applyFont="1" applyFill="1" applyAlignment="1">
      <alignment horizontal="center"/>
    </xf>
  </cellXfs>
  <cellStyles count="4">
    <cellStyle name="Comma" xfId="1" builtinId="3"/>
    <cellStyle name="Hyperlink" xfId="2" builtinId="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V140"/>
  <sheetViews>
    <sheetView showGridLines="0" tabSelected="1" topLeftCell="A22" zoomScale="140" zoomScaleNormal="140" workbookViewId="0">
      <selection activeCell="J31" sqref="J31"/>
    </sheetView>
  </sheetViews>
  <sheetFormatPr defaultColWidth="9.1328125" defaultRowHeight="14.25" x14ac:dyDescent="0.45"/>
  <cols>
    <col min="1" max="1" width="2" customWidth="1"/>
    <col min="2" max="2" width="12.6640625" customWidth="1"/>
    <col min="3" max="3" width="13.1328125" customWidth="1"/>
    <col min="4" max="4" width="15.46484375" customWidth="1"/>
    <col min="5" max="5" width="11.6640625" customWidth="1"/>
    <col min="6" max="8" width="12.6640625" customWidth="1"/>
    <col min="9" max="9" width="4.33203125" customWidth="1"/>
    <col min="10" max="10" width="9.33203125" bestFit="1" customWidth="1"/>
    <col min="11" max="11" width="10.6640625" customWidth="1"/>
    <col min="12" max="12" width="13.53125" customWidth="1"/>
    <col min="13" max="13" width="12.1328125" customWidth="1"/>
    <col min="14" max="16" width="12.33203125" customWidth="1"/>
    <col min="17" max="20" width="13.33203125" bestFit="1" customWidth="1"/>
    <col min="22" max="25" width="10.53125" bestFit="1" customWidth="1"/>
    <col min="27" max="27" width="10.53125" bestFit="1" customWidth="1"/>
  </cols>
  <sheetData>
    <row r="1" spans="2:14" s="15" customFormat="1" ht="35.25" customHeight="1" x14ac:dyDescent="0.45">
      <c r="B1" s="13" t="s">
        <v>74</v>
      </c>
    </row>
    <row r="2" spans="2:14" x14ac:dyDescent="0.45">
      <c r="H2" s="16"/>
    </row>
    <row r="3" spans="2:14" x14ac:dyDescent="0.45">
      <c r="H3" s="14"/>
    </row>
    <row r="4" spans="2:14" x14ac:dyDescent="0.45">
      <c r="B4" s="70" t="s">
        <v>7</v>
      </c>
      <c r="C4" s="70"/>
      <c r="D4" s="70"/>
      <c r="F4" s="70" t="s">
        <v>11</v>
      </c>
      <c r="G4" s="70"/>
      <c r="H4" s="70"/>
      <c r="K4" s="70" t="s">
        <v>27</v>
      </c>
      <c r="L4" s="70"/>
      <c r="M4" s="70"/>
      <c r="N4" s="70"/>
    </row>
    <row r="6" spans="2:14" x14ac:dyDescent="0.45">
      <c r="B6" t="s">
        <v>6</v>
      </c>
      <c r="D6" s="1">
        <v>7500000</v>
      </c>
      <c r="F6" t="s">
        <v>2</v>
      </c>
      <c r="H6" s="16">
        <v>0.75</v>
      </c>
      <c r="K6" t="s">
        <v>26</v>
      </c>
      <c r="N6" s="16">
        <v>0.33</v>
      </c>
    </row>
    <row r="7" spans="2:14" ht="15" customHeight="1" x14ac:dyDescent="0.45">
      <c r="B7" t="s">
        <v>8</v>
      </c>
      <c r="D7" s="16">
        <v>0.1</v>
      </c>
      <c r="F7" t="s">
        <v>3</v>
      </c>
      <c r="H7" s="16">
        <f>1-H6</f>
        <v>0.25</v>
      </c>
      <c r="K7" s="33" t="s">
        <v>57</v>
      </c>
      <c r="L7" s="33"/>
      <c r="N7" s="33"/>
    </row>
    <row r="8" spans="2:14" x14ac:dyDescent="0.45">
      <c r="D8" s="16"/>
      <c r="F8" t="s">
        <v>4</v>
      </c>
      <c r="H8" s="16">
        <v>0.15</v>
      </c>
      <c r="K8" t="s">
        <v>75</v>
      </c>
      <c r="L8" s="33"/>
      <c r="N8" s="40">
        <v>0.05</v>
      </c>
    </row>
    <row r="9" spans="2:14" x14ac:dyDescent="0.45">
      <c r="B9" t="s">
        <v>9</v>
      </c>
      <c r="D9" s="1">
        <v>4</v>
      </c>
      <c r="F9" t="s">
        <v>12</v>
      </c>
      <c r="H9" s="1">
        <v>4</v>
      </c>
      <c r="K9" t="s">
        <v>58</v>
      </c>
      <c r="N9">
        <v>42</v>
      </c>
    </row>
    <row r="10" spans="2:14" x14ac:dyDescent="0.45">
      <c r="B10" t="s">
        <v>10</v>
      </c>
      <c r="D10" s="16">
        <v>0.25</v>
      </c>
      <c r="E10" t="s">
        <v>90</v>
      </c>
      <c r="F10" t="s">
        <v>13</v>
      </c>
      <c r="H10" s="2">
        <v>0.2</v>
      </c>
      <c r="K10" t="s">
        <v>59</v>
      </c>
      <c r="N10" s="16">
        <v>0.15</v>
      </c>
    </row>
    <row r="11" spans="2:14" x14ac:dyDescent="0.45">
      <c r="D11" s="16"/>
      <c r="K11" t="s">
        <v>60</v>
      </c>
      <c r="N11" s="16">
        <v>0.1</v>
      </c>
    </row>
    <row r="12" spans="2:14" x14ac:dyDescent="0.45">
      <c r="B12" s="70" t="s">
        <v>15</v>
      </c>
      <c r="C12" s="70"/>
      <c r="D12" s="70"/>
      <c r="F12" s="70" t="s">
        <v>14</v>
      </c>
      <c r="G12" s="70"/>
      <c r="H12" s="70"/>
      <c r="K12" s="70" t="s">
        <v>22</v>
      </c>
      <c r="L12" s="70"/>
      <c r="M12" s="70"/>
      <c r="N12" s="70"/>
    </row>
    <row r="14" spans="2:14" x14ac:dyDescent="0.45">
      <c r="B14" t="s">
        <v>0</v>
      </c>
      <c r="D14">
        <v>35</v>
      </c>
      <c r="E14">
        <f>D14*1.1</f>
        <v>38.5</v>
      </c>
      <c r="F14" t="s">
        <v>18</v>
      </c>
      <c r="H14">
        <v>5</v>
      </c>
      <c r="K14" t="s">
        <v>5</v>
      </c>
      <c r="N14" s="17" t="s">
        <v>24</v>
      </c>
    </row>
    <row r="15" spans="2:14" x14ac:dyDescent="0.45">
      <c r="B15" t="s">
        <v>1</v>
      </c>
      <c r="D15" s="16">
        <v>0.5</v>
      </c>
      <c r="F15" t="s">
        <v>19</v>
      </c>
      <c r="H15">
        <v>500</v>
      </c>
      <c r="K15" t="s">
        <v>23</v>
      </c>
      <c r="N15">
        <v>155</v>
      </c>
    </row>
    <row r="16" spans="2:14" x14ac:dyDescent="0.45">
      <c r="B16" t="s">
        <v>17</v>
      </c>
      <c r="D16" s="43">
        <v>300</v>
      </c>
      <c r="F16" t="s">
        <v>21</v>
      </c>
      <c r="H16">
        <v>500</v>
      </c>
      <c r="K16" t="s">
        <v>71</v>
      </c>
      <c r="N16" s="17">
        <v>3</v>
      </c>
    </row>
    <row r="17" spans="2:14" x14ac:dyDescent="0.45">
      <c r="B17" t="s">
        <v>16</v>
      </c>
      <c r="D17" s="16">
        <v>0.1</v>
      </c>
      <c r="F17" t="s">
        <v>20</v>
      </c>
      <c r="H17">
        <v>500</v>
      </c>
      <c r="K17" t="s">
        <v>72</v>
      </c>
      <c r="N17">
        <v>4</v>
      </c>
    </row>
    <row r="19" spans="2:14" ht="14.65" thickBot="1" x14ac:dyDescent="0.5">
      <c r="B19" s="72" t="s">
        <v>25</v>
      </c>
      <c r="C19" s="72"/>
      <c r="D19" s="72"/>
      <c r="E19" s="18"/>
      <c r="F19" s="18"/>
      <c r="G19" s="18"/>
      <c r="H19" s="18"/>
    </row>
    <row r="20" spans="2:14" x14ac:dyDescent="0.45">
      <c r="D20" s="3" t="s">
        <v>66</v>
      </c>
      <c r="E20" s="4" t="s">
        <v>67</v>
      </c>
      <c r="F20" s="4" t="s">
        <v>68</v>
      </c>
      <c r="G20" s="4" t="s">
        <v>69</v>
      </c>
      <c r="H20" s="5" t="s">
        <v>70</v>
      </c>
    </row>
    <row r="21" spans="2:14" x14ac:dyDescent="0.45">
      <c r="B21" t="s">
        <v>85</v>
      </c>
      <c r="D21" s="6">
        <v>0</v>
      </c>
      <c r="E21" s="6">
        <v>1</v>
      </c>
      <c r="F21" s="6">
        <v>2</v>
      </c>
      <c r="G21" s="6">
        <v>3</v>
      </c>
      <c r="H21" s="6">
        <v>4</v>
      </c>
    </row>
    <row r="22" spans="2:14" x14ac:dyDescent="0.45">
      <c r="B22" t="s">
        <v>92</v>
      </c>
      <c r="D22" s="1"/>
      <c r="E22" s="34">
        <f>D14*D15*D16*365*N17</f>
        <v>7665000</v>
      </c>
      <c r="F22" s="34">
        <f>E22*(1+$D$17)</f>
        <v>8431500</v>
      </c>
      <c r="G22" s="34">
        <f t="shared" ref="G22:H22" si="0">F22*(1+$D$17)</f>
        <v>9274650</v>
      </c>
      <c r="H22" s="34">
        <f t="shared" si="0"/>
        <v>10202115</v>
      </c>
      <c r="I22" t="s">
        <v>16</v>
      </c>
    </row>
    <row r="23" spans="2:14" ht="12.75" customHeight="1" x14ac:dyDescent="0.45">
      <c r="B23" t="s">
        <v>76</v>
      </c>
      <c r="D23" s="1"/>
      <c r="E23" s="34"/>
      <c r="F23" s="34">
        <f>F72*$N$8</f>
        <v>40953.924865071225</v>
      </c>
      <c r="G23" s="34">
        <f t="shared" ref="G23:H23" si="1">G72*$N$8</f>
        <v>91726.364021443325</v>
      </c>
      <c r="H23" s="34">
        <f t="shared" si="1"/>
        <v>152873.88386912306</v>
      </c>
      <c r="I23" s="1"/>
      <c r="M23" t="s">
        <v>84</v>
      </c>
    </row>
    <row r="24" spans="2:14" x14ac:dyDescent="0.45">
      <c r="B24" s="19" t="s">
        <v>28</v>
      </c>
      <c r="D24" s="1"/>
      <c r="E24" s="34">
        <f>N15*N17*365/H14*N9</f>
        <v>1900920</v>
      </c>
      <c r="F24" s="34">
        <f>E24*(1+$N$10)</f>
        <v>2186058</v>
      </c>
      <c r="G24" s="34">
        <f t="shared" ref="G24:H24" si="2">F24*(1+$N$10)</f>
        <v>2513966.6999999997</v>
      </c>
      <c r="H24" s="34">
        <f t="shared" si="2"/>
        <v>2891061.7049999996</v>
      </c>
      <c r="I24" t="s">
        <v>59</v>
      </c>
    </row>
    <row r="25" spans="2:14" x14ac:dyDescent="0.45">
      <c r="B25" s="19" t="s">
        <v>78</v>
      </c>
      <c r="D25" s="1"/>
      <c r="E25" s="34">
        <f>$D$6*$D$7</f>
        <v>750000</v>
      </c>
      <c r="F25" s="34">
        <f t="shared" ref="F25:H25" si="3">$D$6*$D$7</f>
        <v>750000</v>
      </c>
      <c r="G25" s="34">
        <f t="shared" si="3"/>
        <v>750000</v>
      </c>
      <c r="H25" s="34">
        <f t="shared" si="3"/>
        <v>750000</v>
      </c>
    </row>
    <row r="26" spans="2:14" x14ac:dyDescent="0.45">
      <c r="B26" s="19" t="s">
        <v>29</v>
      </c>
      <c r="D26" s="1"/>
      <c r="E26" s="34">
        <f>H15*N17*365</f>
        <v>730000</v>
      </c>
      <c r="F26" s="34">
        <f>E26*(1+$N$11)</f>
        <v>803000.00000000012</v>
      </c>
      <c r="G26" s="34">
        <f t="shared" ref="G26:H26" si="4">F26*(1+$N$11)</f>
        <v>883300.00000000023</v>
      </c>
      <c r="H26" s="34">
        <f t="shared" si="4"/>
        <v>971630.00000000035</v>
      </c>
      <c r="I26" t="s">
        <v>83</v>
      </c>
      <c r="L26" s="14"/>
      <c r="N26" s="14"/>
    </row>
    <row r="27" spans="2:14" x14ac:dyDescent="0.45">
      <c r="B27" s="19" t="s">
        <v>30</v>
      </c>
      <c r="D27" s="1"/>
      <c r="E27" s="34">
        <f>H16*N17*365</f>
        <v>730000</v>
      </c>
      <c r="F27" s="34">
        <f>E27*(1+$N$11)</f>
        <v>803000.00000000012</v>
      </c>
      <c r="G27" s="34">
        <f t="shared" ref="G27:H27" si="5">F27*(1+$N$11)</f>
        <v>883300.00000000023</v>
      </c>
      <c r="H27" s="34">
        <f t="shared" si="5"/>
        <v>971630.00000000035</v>
      </c>
      <c r="I27" t="s">
        <v>83</v>
      </c>
      <c r="L27" s="14"/>
      <c r="N27" s="14"/>
    </row>
    <row r="28" spans="2:14" x14ac:dyDescent="0.45">
      <c r="B28" s="19" t="s">
        <v>31</v>
      </c>
      <c r="D28" s="1"/>
      <c r="E28" s="34">
        <f>$H$17*$N$17*365</f>
        <v>730000</v>
      </c>
      <c r="F28" s="34">
        <f t="shared" ref="F28:H28" si="6">$H$17*$N$17*365</f>
        <v>730000</v>
      </c>
      <c r="G28" s="34">
        <f t="shared" si="6"/>
        <v>730000</v>
      </c>
      <c r="H28" s="34">
        <f t="shared" si="6"/>
        <v>730000</v>
      </c>
      <c r="I28" t="s">
        <v>82</v>
      </c>
    </row>
    <row r="29" spans="2:14" x14ac:dyDescent="0.45">
      <c r="B29" s="20" t="s">
        <v>32</v>
      </c>
      <c r="C29" s="20"/>
      <c r="D29" s="7"/>
      <c r="E29" s="35">
        <f>SUM(E24:E28)</f>
        <v>4840920</v>
      </c>
      <c r="F29" s="35">
        <f t="shared" ref="F29:H29" si="7">SUM(F24:F28)</f>
        <v>5272058</v>
      </c>
      <c r="G29" s="35">
        <f t="shared" si="7"/>
        <v>5760566.7000000002</v>
      </c>
      <c r="H29" s="35">
        <f t="shared" si="7"/>
        <v>6314321.7050000001</v>
      </c>
    </row>
    <row r="30" spans="2:14" ht="6" customHeight="1" x14ac:dyDescent="0.45">
      <c r="D30" s="1"/>
      <c r="E30" s="46"/>
      <c r="F30" s="46"/>
      <c r="G30" s="46"/>
      <c r="H30" s="46"/>
    </row>
    <row r="31" spans="2:14" x14ac:dyDescent="0.45">
      <c r="B31" s="21" t="s">
        <v>77</v>
      </c>
      <c r="C31" s="21"/>
      <c r="D31" s="8"/>
      <c r="E31" s="36">
        <f>E22+E23-E29</f>
        <v>2824080</v>
      </c>
      <c r="F31" s="36">
        <f t="shared" ref="F31:H31" si="8">F22+F23-F29</f>
        <v>3200395.9248650707</v>
      </c>
      <c r="G31" s="36">
        <f t="shared" si="8"/>
        <v>3605809.6640214426</v>
      </c>
      <c r="H31" s="36">
        <f t="shared" si="8"/>
        <v>4040667.1788691226</v>
      </c>
      <c r="I31" s="60">
        <f>F31/E31-1</f>
        <v>0.13325257247141398</v>
      </c>
      <c r="J31" s="14"/>
      <c r="K31" s="14"/>
      <c r="L31" s="14"/>
    </row>
    <row r="32" spans="2:14" ht="6" customHeight="1" x14ac:dyDescent="0.45">
      <c r="D32" s="1"/>
      <c r="E32" s="46"/>
      <c r="F32" s="46"/>
      <c r="G32" s="46"/>
      <c r="H32" s="46"/>
    </row>
    <row r="33" spans="2:21" x14ac:dyDescent="0.45">
      <c r="B33" s="19" t="s">
        <v>33</v>
      </c>
      <c r="D33" s="1"/>
      <c r="E33" s="34">
        <f>$D$6/$D$9</f>
        <v>1875000</v>
      </c>
      <c r="F33" s="34">
        <f t="shared" ref="F33:H33" si="9">$D$6/$D$9</f>
        <v>1875000</v>
      </c>
      <c r="G33" s="34">
        <f t="shared" si="9"/>
        <v>1875000</v>
      </c>
      <c r="H33" s="34">
        <f t="shared" si="9"/>
        <v>1875000</v>
      </c>
      <c r="O33" s="14"/>
    </row>
    <row r="34" spans="2:21" x14ac:dyDescent="0.45">
      <c r="B34" s="19" t="s">
        <v>34</v>
      </c>
      <c r="D34" s="1"/>
      <c r="E34" s="34">
        <f>M44</f>
        <v>843750</v>
      </c>
      <c r="F34" s="34">
        <f t="shared" ref="F34:H34" si="10">N44</f>
        <v>674776.10959521367</v>
      </c>
      <c r="G34" s="34">
        <f t="shared" si="10"/>
        <v>480456.13562970929</v>
      </c>
      <c r="H34" s="34">
        <f t="shared" si="10"/>
        <v>256988.16556937934</v>
      </c>
      <c r="M34" s="14"/>
      <c r="O34" s="14"/>
    </row>
    <row r="35" spans="2:21" x14ac:dyDescent="0.45">
      <c r="B35" s="21" t="s">
        <v>35</v>
      </c>
      <c r="C35" s="21"/>
      <c r="D35" s="8"/>
      <c r="E35" s="36">
        <f>E31-E33-E34</f>
        <v>105330</v>
      </c>
      <c r="F35" s="36">
        <f t="shared" ref="F35:H35" si="11">F31-F33-F34</f>
        <v>650619.81526985706</v>
      </c>
      <c r="G35" s="36">
        <f t="shared" si="11"/>
        <v>1250353.5283917333</v>
      </c>
      <c r="H35" s="36">
        <f t="shared" si="11"/>
        <v>1908679.0132997432</v>
      </c>
      <c r="M35" s="14"/>
    </row>
    <row r="36" spans="2:21" ht="6" customHeight="1" x14ac:dyDescent="0.45">
      <c r="D36" s="1"/>
      <c r="E36" s="34"/>
      <c r="F36" s="34"/>
      <c r="G36" s="34"/>
      <c r="H36" s="34"/>
    </row>
    <row r="37" spans="2:21" x14ac:dyDescent="0.45">
      <c r="B37" s="19" t="s">
        <v>36</v>
      </c>
      <c r="D37" s="1"/>
      <c r="E37" s="34">
        <f>IF(E35&gt;0,E35*$N$6)</f>
        <v>34758.9</v>
      </c>
      <c r="F37" s="34">
        <f t="shared" ref="F37:H37" si="12">IF(F35&gt;0,F35*$N$6)</f>
        <v>214704.53903905285</v>
      </c>
      <c r="G37" s="34">
        <f t="shared" si="12"/>
        <v>412616.66436927201</v>
      </c>
      <c r="H37" s="34">
        <f t="shared" si="12"/>
        <v>629864.07438891532</v>
      </c>
      <c r="M37" s="14"/>
    </row>
    <row r="38" spans="2:21" ht="14.65" thickBot="1" x14ac:dyDescent="0.5">
      <c r="B38" s="22" t="s">
        <v>37</v>
      </c>
      <c r="C38" s="22"/>
      <c r="D38" s="9"/>
      <c r="E38" s="37">
        <f>E35-E37</f>
        <v>70571.100000000006</v>
      </c>
      <c r="F38" s="37">
        <f t="shared" ref="F38:H38" si="13">F35-F37</f>
        <v>435915.27623080421</v>
      </c>
      <c r="G38" s="37">
        <f t="shared" si="13"/>
        <v>837736.86402246123</v>
      </c>
      <c r="H38" s="37">
        <f t="shared" si="13"/>
        <v>1278814.938910828</v>
      </c>
      <c r="J38" s="14"/>
      <c r="K38" s="14"/>
      <c r="L38" s="14"/>
      <c r="M38" s="14"/>
    </row>
    <row r="39" spans="2:21" ht="14.65" thickTop="1" x14ac:dyDescent="0.45">
      <c r="D39" s="1"/>
      <c r="E39" s="1"/>
      <c r="F39" s="62"/>
      <c r="G39" s="1"/>
      <c r="H39" s="1"/>
      <c r="L39" s="43"/>
      <c r="M39" s="14"/>
    </row>
    <row r="40" spans="2:21" ht="14.65" thickBot="1" x14ac:dyDescent="0.5">
      <c r="B40" s="72" t="s">
        <v>38</v>
      </c>
      <c r="C40" s="72"/>
      <c r="D40" s="72"/>
      <c r="E40" s="18"/>
      <c r="F40" s="18"/>
      <c r="G40" s="18"/>
      <c r="H40" s="18"/>
      <c r="J40" s="16"/>
      <c r="K40" s="16"/>
      <c r="L40" s="16"/>
      <c r="M40" s="25"/>
      <c r="N40" s="14"/>
      <c r="O40" s="14"/>
      <c r="P40" s="61"/>
      <c r="Q40" s="61"/>
      <c r="R40" s="23"/>
      <c r="S40" s="23"/>
      <c r="T40" s="23"/>
      <c r="U40" s="23"/>
    </row>
    <row r="41" spans="2:21" ht="14.65" thickBot="1" x14ac:dyDescent="0.5">
      <c r="D41" s="3" t="s">
        <v>66</v>
      </c>
      <c r="E41" s="4" t="s">
        <v>67</v>
      </c>
      <c r="F41" s="4" t="s">
        <v>68</v>
      </c>
      <c r="G41" s="4" t="s">
        <v>69</v>
      </c>
      <c r="H41" s="5" t="s">
        <v>70</v>
      </c>
      <c r="J41" s="1"/>
      <c r="K41" s="53"/>
      <c r="L41" s="1"/>
      <c r="M41" s="1"/>
      <c r="N41" s="1"/>
      <c r="O41" s="2"/>
      <c r="P41" s="1"/>
      <c r="Q41" s="1"/>
      <c r="R41" s="1"/>
      <c r="S41" s="1"/>
      <c r="T41" s="1"/>
    </row>
    <row r="42" spans="2:21" x14ac:dyDescent="0.45">
      <c r="B42" s="12" t="s">
        <v>39</v>
      </c>
      <c r="D42" s="1"/>
      <c r="E42" s="1"/>
      <c r="F42" s="1"/>
      <c r="G42" s="1"/>
      <c r="H42" s="1"/>
      <c r="J42" s="1"/>
      <c r="K42" s="1"/>
      <c r="L42" s="3" t="s">
        <v>66</v>
      </c>
      <c r="M42" s="4" t="s">
        <v>67</v>
      </c>
      <c r="N42" s="4" t="s">
        <v>68</v>
      </c>
      <c r="O42" s="4" t="s">
        <v>69</v>
      </c>
      <c r="P42" s="5" t="s">
        <v>70</v>
      </c>
      <c r="Q42" s="1"/>
      <c r="R42" s="1"/>
      <c r="S42" s="1"/>
      <c r="T42" s="1"/>
    </row>
    <row r="43" spans="2:21" x14ac:dyDescent="0.45">
      <c r="B43" s="19" t="s">
        <v>40</v>
      </c>
      <c r="D43" s="34">
        <f>D73</f>
        <v>0</v>
      </c>
      <c r="E43" s="34">
        <f t="shared" ref="E43:H43" si="14">E73</f>
        <v>819078.49730142439</v>
      </c>
      <c r="F43" s="34">
        <f t="shared" si="14"/>
        <v>1834527.2804288664</v>
      </c>
      <c r="G43" s="34">
        <f t="shared" si="14"/>
        <v>3057477.6773824613</v>
      </c>
      <c r="H43" s="34">
        <f t="shared" si="14"/>
        <v>4498038.179164093</v>
      </c>
      <c r="J43" s="1"/>
      <c r="K43" s="53" t="s">
        <v>93</v>
      </c>
      <c r="M43" s="34">
        <f>L46</f>
        <v>5625000</v>
      </c>
      <c r="N43" s="34">
        <f t="shared" ref="N43:P43" si="15">M46</f>
        <v>4498507.3973014243</v>
      </c>
      <c r="O43" s="34">
        <f t="shared" si="15"/>
        <v>3203040.9041980621</v>
      </c>
      <c r="P43" s="34">
        <f t="shared" si="15"/>
        <v>1713254.4371291958</v>
      </c>
      <c r="Q43" s="1"/>
      <c r="R43" s="1"/>
      <c r="S43" s="1"/>
      <c r="T43" s="1"/>
    </row>
    <row r="44" spans="2:21" x14ac:dyDescent="0.45">
      <c r="B44" s="19" t="s">
        <v>41</v>
      </c>
      <c r="D44" s="34">
        <f>$D$6</f>
        <v>7500000</v>
      </c>
      <c r="E44" s="34">
        <f t="shared" ref="E44:H44" si="16">$D$6</f>
        <v>7500000</v>
      </c>
      <c r="F44" s="34">
        <f t="shared" si="16"/>
        <v>7500000</v>
      </c>
      <c r="G44" s="34">
        <f t="shared" si="16"/>
        <v>7500000</v>
      </c>
      <c r="H44" s="34">
        <f t="shared" si="16"/>
        <v>7500000</v>
      </c>
      <c r="J44" s="1"/>
      <c r="K44" s="53" t="s">
        <v>95</v>
      </c>
      <c r="L44" s="1"/>
      <c r="M44" s="34">
        <f>M43*$H$8</f>
        <v>843750</v>
      </c>
      <c r="N44" s="34">
        <f t="shared" ref="N44:P44" si="17">N43*$H$8</f>
        <v>674776.10959521367</v>
      </c>
      <c r="O44" s="34">
        <f t="shared" si="17"/>
        <v>480456.13562970929</v>
      </c>
      <c r="P44" s="34">
        <f t="shared" si="17"/>
        <v>256988.16556937934</v>
      </c>
      <c r="Q44" s="1"/>
      <c r="R44" s="1"/>
      <c r="S44" s="1"/>
      <c r="T44" s="1"/>
    </row>
    <row r="45" spans="2:21" x14ac:dyDescent="0.45">
      <c r="B45" s="44" t="s">
        <v>96</v>
      </c>
      <c r="D45" s="34">
        <f>D33</f>
        <v>0</v>
      </c>
      <c r="E45" s="34">
        <f>D45+E33</f>
        <v>1875000</v>
      </c>
      <c r="F45" s="34">
        <f t="shared" ref="F45:H45" si="18">E45+F33</f>
        <v>3750000</v>
      </c>
      <c r="G45" s="34">
        <f t="shared" si="18"/>
        <v>5625000</v>
      </c>
      <c r="H45" s="34">
        <f t="shared" si="18"/>
        <v>7500000</v>
      </c>
      <c r="J45" s="1"/>
      <c r="K45" s="1" t="s">
        <v>79</v>
      </c>
      <c r="L45" s="1"/>
      <c r="M45" s="34">
        <f>PMT(H8,H9,L46,0)</f>
        <v>-1970242.6026985757</v>
      </c>
      <c r="N45" s="34">
        <f>M45</f>
        <v>-1970242.6026985757</v>
      </c>
      <c r="O45" s="34">
        <f>N45</f>
        <v>-1970242.6026985757</v>
      </c>
      <c r="P45" s="34">
        <f>O45</f>
        <v>-1970242.6026985757</v>
      </c>
      <c r="Q45" s="1"/>
      <c r="R45" s="1"/>
      <c r="S45" s="1"/>
      <c r="T45" s="1"/>
    </row>
    <row r="46" spans="2:21" x14ac:dyDescent="0.45">
      <c r="B46" s="54" t="s">
        <v>97</v>
      </c>
      <c r="C46" s="20"/>
      <c r="D46" s="35">
        <f>D44-D45</f>
        <v>7500000</v>
      </c>
      <c r="E46" s="35">
        <f t="shared" ref="E46:H46" si="19">E44-E45</f>
        <v>5625000</v>
      </c>
      <c r="F46" s="35">
        <f t="shared" si="19"/>
        <v>3750000</v>
      </c>
      <c r="G46" s="35">
        <f t="shared" si="19"/>
        <v>1875000</v>
      </c>
      <c r="H46" s="35">
        <f t="shared" si="19"/>
        <v>0</v>
      </c>
      <c r="J46" s="1"/>
      <c r="K46" s="53" t="s">
        <v>94</v>
      </c>
      <c r="L46" s="34">
        <f>D6*H6</f>
        <v>5625000</v>
      </c>
      <c r="M46" s="34">
        <f>M43+M48</f>
        <v>4498507.3973014243</v>
      </c>
      <c r="N46" s="34">
        <f t="shared" ref="N46:P46" si="20">N43+N48</f>
        <v>3203040.9041980621</v>
      </c>
      <c r="O46" s="34">
        <f t="shared" si="20"/>
        <v>1713254.4371291958</v>
      </c>
      <c r="P46" s="34">
        <f t="shared" si="20"/>
        <v>0</v>
      </c>
      <c r="Q46" s="1"/>
      <c r="R46" s="1"/>
      <c r="S46" s="1"/>
      <c r="T46" s="1"/>
    </row>
    <row r="47" spans="2:21" ht="14.65" thickBot="1" x14ac:dyDescent="0.5">
      <c r="B47" s="22" t="s">
        <v>42</v>
      </c>
      <c r="C47" s="22"/>
      <c r="D47" s="37">
        <f>D43+D46</f>
        <v>7500000</v>
      </c>
      <c r="E47" s="37">
        <f t="shared" ref="E47:H47" si="21">E43+E46</f>
        <v>6444078.4973014239</v>
      </c>
      <c r="F47" s="37">
        <f t="shared" si="21"/>
        <v>5584527.2804288659</v>
      </c>
      <c r="G47" s="37">
        <f t="shared" si="21"/>
        <v>4932477.6773824617</v>
      </c>
      <c r="H47" s="37">
        <f t="shared" si="21"/>
        <v>4498038.179164093</v>
      </c>
      <c r="J47" s="1"/>
      <c r="K47" s="1"/>
      <c r="L47" s="1"/>
      <c r="M47" s="1"/>
      <c r="N47" s="1"/>
      <c r="O47" s="1"/>
      <c r="P47" s="1"/>
      <c r="Q47" s="1"/>
    </row>
    <row r="48" spans="2:21" ht="14.65" thickTop="1" x14ac:dyDescent="0.45">
      <c r="B48" t="s">
        <v>91</v>
      </c>
      <c r="D48" s="1"/>
      <c r="E48" s="1"/>
      <c r="F48" s="1"/>
      <c r="G48" s="1"/>
      <c r="H48" s="1"/>
      <c r="J48" s="1"/>
      <c r="K48" s="1" t="s">
        <v>86</v>
      </c>
      <c r="L48" s="1"/>
      <c r="M48" s="34">
        <f>M45+M44</f>
        <v>-1126492.6026985757</v>
      </c>
      <c r="N48" s="34">
        <f t="shared" ref="N48:P48" si="22">N45+N44</f>
        <v>-1295466.4931033622</v>
      </c>
      <c r="O48" s="34">
        <f t="shared" si="22"/>
        <v>-1489786.4670688664</v>
      </c>
      <c r="P48" s="34">
        <f t="shared" si="22"/>
        <v>-1713254.4371291962</v>
      </c>
      <c r="Q48" s="1"/>
    </row>
    <row r="49" spans="2:17" x14ac:dyDescent="0.45">
      <c r="B49" s="12" t="s">
        <v>43</v>
      </c>
      <c r="D49" s="1"/>
      <c r="E49" s="1"/>
      <c r="F49" s="1"/>
      <c r="G49" s="1"/>
      <c r="H49" s="1"/>
      <c r="J49" s="1"/>
      <c r="K49" s="1"/>
      <c r="L49" s="1"/>
      <c r="M49" s="1"/>
      <c r="N49" s="1"/>
      <c r="O49" s="1"/>
      <c r="P49" s="1"/>
    </row>
    <row r="50" spans="2:17" x14ac:dyDescent="0.45">
      <c r="B50" s="19" t="s">
        <v>2</v>
      </c>
      <c r="D50" s="34">
        <f>L46</f>
        <v>5625000</v>
      </c>
      <c r="E50" s="34">
        <f t="shared" ref="E50:H50" si="23">M46</f>
        <v>4498507.3973014243</v>
      </c>
      <c r="F50" s="34">
        <f t="shared" si="23"/>
        <v>3203040.9041980621</v>
      </c>
      <c r="G50" s="34">
        <f t="shared" si="23"/>
        <v>1713254.4371291958</v>
      </c>
      <c r="H50" s="34">
        <f t="shared" si="23"/>
        <v>0</v>
      </c>
      <c r="N50" s="14"/>
      <c r="O50" s="14"/>
      <c r="P50" s="14"/>
      <c r="Q50" s="14"/>
    </row>
    <row r="51" spans="2:17" x14ac:dyDescent="0.45">
      <c r="B51" s="19" t="s">
        <v>3</v>
      </c>
      <c r="D51" s="34">
        <f>$D$6*$H$7</f>
        <v>1875000</v>
      </c>
      <c r="E51" s="34">
        <f t="shared" ref="E51:H51" si="24">$D$6*$H$7</f>
        <v>1875000</v>
      </c>
      <c r="F51" s="34">
        <f t="shared" si="24"/>
        <v>1875000</v>
      </c>
      <c r="G51" s="34">
        <f t="shared" si="24"/>
        <v>1875000</v>
      </c>
      <c r="H51" s="34">
        <f t="shared" si="24"/>
        <v>1875000</v>
      </c>
      <c r="J51" s="16"/>
      <c r="K51" s="16"/>
      <c r="N51" s="14"/>
      <c r="O51" s="14"/>
      <c r="P51" s="14"/>
      <c r="Q51" s="14"/>
    </row>
    <row r="52" spans="2:17" x14ac:dyDescent="0.45">
      <c r="B52" s="19" t="s">
        <v>44</v>
      </c>
      <c r="D52" s="1">
        <f>C52+D38</f>
        <v>0</v>
      </c>
      <c r="E52" s="1">
        <f t="shared" ref="E52:H52" si="25">D52+E38</f>
        <v>70571.100000000006</v>
      </c>
      <c r="F52" s="1">
        <f t="shared" si="25"/>
        <v>506486.37623080425</v>
      </c>
      <c r="G52" s="1">
        <f t="shared" si="25"/>
        <v>1344223.2402532655</v>
      </c>
      <c r="H52" s="1">
        <f t="shared" si="25"/>
        <v>2623038.1791640935</v>
      </c>
    </row>
    <row r="53" spans="2:17" ht="14.65" thickBot="1" x14ac:dyDescent="0.5">
      <c r="B53" s="22" t="s">
        <v>45</v>
      </c>
      <c r="C53" s="22"/>
      <c r="D53" s="37">
        <f>D50+D51+D52</f>
        <v>7500000</v>
      </c>
      <c r="E53" s="37">
        <f t="shared" ref="E53:H53" si="26">E50+E51+E52</f>
        <v>6444078.4973014239</v>
      </c>
      <c r="F53" s="37">
        <f t="shared" si="26"/>
        <v>5584527.2804288659</v>
      </c>
      <c r="G53" s="37">
        <f t="shared" si="26"/>
        <v>4932477.6773824617</v>
      </c>
      <c r="H53" s="37">
        <f t="shared" si="26"/>
        <v>4498038.179164093</v>
      </c>
      <c r="J53" s="16"/>
      <c r="K53" s="16"/>
      <c r="N53" s="14"/>
      <c r="O53" s="14"/>
      <c r="P53" s="14"/>
      <c r="Q53" s="14"/>
    </row>
    <row r="54" spans="2:17" ht="14.65" thickTop="1" x14ac:dyDescent="0.45">
      <c r="B54" s="10" t="s">
        <v>46</v>
      </c>
      <c r="C54" s="10"/>
      <c r="D54" s="11">
        <f>D53-D47</f>
        <v>0</v>
      </c>
      <c r="E54" s="11">
        <f>E53-E47</f>
        <v>0</v>
      </c>
      <c r="F54" s="11">
        <f>F53-F47</f>
        <v>0</v>
      </c>
      <c r="G54" s="11">
        <f>G53-G47</f>
        <v>0</v>
      </c>
      <c r="H54" s="11">
        <f>H53-H47</f>
        <v>0</v>
      </c>
      <c r="N54" s="14"/>
      <c r="O54" s="14"/>
      <c r="P54" s="14"/>
      <c r="Q54" s="14"/>
    </row>
    <row r="55" spans="2:17" x14ac:dyDescent="0.45">
      <c r="D55" s="1"/>
      <c r="E55" s="1"/>
      <c r="F55" s="1"/>
      <c r="G55" s="1"/>
      <c r="H55" s="1"/>
    </row>
    <row r="56" spans="2:17" ht="14.65" thickBot="1" x14ac:dyDescent="0.5">
      <c r="B56" s="72" t="s">
        <v>47</v>
      </c>
      <c r="C56" s="72"/>
      <c r="D56" s="72"/>
      <c r="E56" s="18"/>
      <c r="F56" s="18"/>
      <c r="G56" s="18"/>
      <c r="H56" s="18"/>
    </row>
    <row r="57" spans="2:17" x14ac:dyDescent="0.45">
      <c r="D57" s="3" t="s">
        <v>66</v>
      </c>
      <c r="E57" s="4" t="s">
        <v>67</v>
      </c>
      <c r="F57" s="4" t="s">
        <v>68</v>
      </c>
      <c r="G57" s="4" t="s">
        <v>69</v>
      </c>
      <c r="H57" s="5" t="s">
        <v>70</v>
      </c>
    </row>
    <row r="59" spans="2:17" x14ac:dyDescent="0.45">
      <c r="B59" s="19" t="s">
        <v>48</v>
      </c>
      <c r="D59" s="34">
        <f>D38</f>
        <v>0</v>
      </c>
      <c r="E59" s="34">
        <f t="shared" ref="E59:H59" si="27">E38</f>
        <v>70571.100000000006</v>
      </c>
      <c r="F59" s="34">
        <f t="shared" si="27"/>
        <v>435915.27623080421</v>
      </c>
      <c r="G59" s="34">
        <f t="shared" si="27"/>
        <v>837736.86402246123</v>
      </c>
      <c r="H59" s="34">
        <f t="shared" si="27"/>
        <v>1278814.938910828</v>
      </c>
    </row>
    <row r="60" spans="2:17" x14ac:dyDescent="0.45">
      <c r="B60" s="19" t="s">
        <v>33</v>
      </c>
      <c r="D60" s="34">
        <f>D33</f>
        <v>0</v>
      </c>
      <c r="E60" s="34">
        <f t="shared" ref="E60:H60" si="28">E33</f>
        <v>1875000</v>
      </c>
      <c r="F60" s="34">
        <f t="shared" si="28"/>
        <v>1875000</v>
      </c>
      <c r="G60" s="34">
        <f t="shared" si="28"/>
        <v>1875000</v>
      </c>
      <c r="H60" s="34">
        <f t="shared" si="28"/>
        <v>1875000</v>
      </c>
    </row>
    <row r="61" spans="2:17" x14ac:dyDescent="0.45">
      <c r="B61" s="21" t="s">
        <v>49</v>
      </c>
      <c r="C61" s="21"/>
      <c r="D61" s="36">
        <f>D59+D60</f>
        <v>0</v>
      </c>
      <c r="E61" s="36">
        <f t="shared" ref="E61:H61" si="29">E59+E60</f>
        <v>1945571.1</v>
      </c>
      <c r="F61" s="36">
        <f t="shared" si="29"/>
        <v>2310915.2762308042</v>
      </c>
      <c r="G61" s="36">
        <f t="shared" si="29"/>
        <v>2712736.8640224612</v>
      </c>
      <c r="H61" s="36">
        <f t="shared" si="29"/>
        <v>3153814.938910828</v>
      </c>
      <c r="N61" s="42"/>
    </row>
    <row r="62" spans="2:17" ht="5.25" customHeight="1" x14ac:dyDescent="0.45">
      <c r="D62" s="1"/>
      <c r="E62" s="1"/>
      <c r="F62" s="1"/>
      <c r="G62" s="1"/>
      <c r="H62" s="1"/>
    </row>
    <row r="63" spans="2:17" x14ac:dyDescent="0.45">
      <c r="B63" s="19" t="s">
        <v>73</v>
      </c>
      <c r="D63" s="34">
        <f>C44-D44</f>
        <v>-7500000</v>
      </c>
      <c r="E63" s="34">
        <f t="shared" ref="E63:H63" si="30">D44-E44</f>
        <v>0</v>
      </c>
      <c r="F63" s="34">
        <f t="shared" si="30"/>
        <v>0</v>
      </c>
      <c r="G63" s="34">
        <f t="shared" si="30"/>
        <v>0</v>
      </c>
      <c r="H63" s="34">
        <f t="shared" si="30"/>
        <v>0</v>
      </c>
    </row>
    <row r="64" spans="2:17" x14ac:dyDescent="0.45">
      <c r="B64" s="21" t="s">
        <v>50</v>
      </c>
      <c r="C64" s="21"/>
      <c r="D64" s="36">
        <f>D63</f>
        <v>-7500000</v>
      </c>
      <c r="E64" s="36">
        <f t="shared" ref="E64:H64" si="31">E63</f>
        <v>0</v>
      </c>
      <c r="F64" s="36">
        <f t="shared" si="31"/>
        <v>0</v>
      </c>
      <c r="G64" s="36">
        <f t="shared" si="31"/>
        <v>0</v>
      </c>
      <c r="H64" s="36">
        <f t="shared" si="31"/>
        <v>0</v>
      </c>
    </row>
    <row r="65" spans="2:17" ht="5.25" customHeight="1" x14ac:dyDescent="0.45">
      <c r="D65" s="1"/>
      <c r="E65" s="1"/>
      <c r="F65" s="1"/>
      <c r="G65" s="1"/>
      <c r="H65" s="1"/>
    </row>
    <row r="66" spans="2:17" x14ac:dyDescent="0.45">
      <c r="B66" s="19" t="s">
        <v>51</v>
      </c>
      <c r="D66" s="34">
        <f>L46</f>
        <v>5625000</v>
      </c>
      <c r="E66" s="34">
        <f t="shared" ref="E66:H66" si="32">M48</f>
        <v>-1126492.6026985757</v>
      </c>
      <c r="F66" s="34">
        <f t="shared" si="32"/>
        <v>-1295466.4931033622</v>
      </c>
      <c r="G66" s="34">
        <f t="shared" si="32"/>
        <v>-1489786.4670688664</v>
      </c>
      <c r="H66" s="34">
        <f t="shared" si="32"/>
        <v>-1713254.4371291962</v>
      </c>
    </row>
    <row r="67" spans="2:17" x14ac:dyDescent="0.45">
      <c r="B67" s="19" t="s">
        <v>52</v>
      </c>
      <c r="D67" s="34">
        <f>D51-C51</f>
        <v>1875000</v>
      </c>
      <c r="E67" s="34">
        <f t="shared" ref="E67:H67" si="33">E51-D51</f>
        <v>0</v>
      </c>
      <c r="F67" s="34">
        <f t="shared" si="33"/>
        <v>0</v>
      </c>
      <c r="G67" s="34">
        <f t="shared" si="33"/>
        <v>0</v>
      </c>
      <c r="H67" s="34">
        <f t="shared" si="33"/>
        <v>0</v>
      </c>
    </row>
    <row r="68" spans="2:17" x14ac:dyDescent="0.45">
      <c r="B68" s="21" t="s">
        <v>53</v>
      </c>
      <c r="C68" s="21"/>
      <c r="D68" s="36">
        <f>D66+D67</f>
        <v>7500000</v>
      </c>
      <c r="E68" s="36">
        <f t="shared" ref="E68:H68" si="34">E66+E67</f>
        <v>-1126492.6026985757</v>
      </c>
      <c r="F68" s="36">
        <f t="shared" si="34"/>
        <v>-1295466.4931033622</v>
      </c>
      <c r="G68" s="36">
        <f t="shared" si="34"/>
        <v>-1489786.4670688664</v>
      </c>
      <c r="H68" s="36">
        <f t="shared" si="34"/>
        <v>-1713254.4371291962</v>
      </c>
    </row>
    <row r="69" spans="2:17" ht="5.25" customHeight="1" x14ac:dyDescent="0.45">
      <c r="D69" s="1"/>
      <c r="E69" s="1"/>
      <c r="F69" s="1"/>
      <c r="G69" s="1"/>
      <c r="H69" s="1"/>
    </row>
    <row r="70" spans="2:17" x14ac:dyDescent="0.45">
      <c r="B70" s="21" t="s">
        <v>54</v>
      </c>
      <c r="C70" s="21"/>
      <c r="D70" s="36">
        <f>D61+D64+D68</f>
        <v>0</v>
      </c>
      <c r="E70" s="36">
        <f t="shared" ref="E70:H70" si="35">E61+E64+E68</f>
        <v>819078.49730142439</v>
      </c>
      <c r="F70" s="36">
        <f t="shared" si="35"/>
        <v>1015448.783127442</v>
      </c>
      <c r="G70" s="36">
        <f t="shared" si="35"/>
        <v>1222950.3969535949</v>
      </c>
      <c r="H70" s="36">
        <f t="shared" si="35"/>
        <v>1440560.5017816317</v>
      </c>
    </row>
    <row r="71" spans="2:17" ht="5.25" customHeight="1" x14ac:dyDescent="0.45">
      <c r="D71" s="1"/>
      <c r="E71" s="1"/>
      <c r="F71" s="1"/>
      <c r="G71" s="1"/>
      <c r="H71" s="1"/>
    </row>
    <row r="72" spans="2:17" x14ac:dyDescent="0.45">
      <c r="B72" s="21" t="s">
        <v>55</v>
      </c>
      <c r="C72" s="21"/>
      <c r="D72" s="36">
        <f>C73</f>
        <v>0</v>
      </c>
      <c r="E72" s="36">
        <f t="shared" ref="E72:H72" si="36">D73</f>
        <v>0</v>
      </c>
      <c r="F72" s="36">
        <f t="shared" si="36"/>
        <v>819078.49730142439</v>
      </c>
      <c r="G72" s="36">
        <f t="shared" si="36"/>
        <v>1834527.2804288664</v>
      </c>
      <c r="H72" s="36">
        <f t="shared" si="36"/>
        <v>3057477.6773824613</v>
      </c>
      <c r="N72" s="45"/>
    </row>
    <row r="73" spans="2:17" ht="14.65" thickBot="1" x14ac:dyDescent="0.5">
      <c r="B73" s="24" t="s">
        <v>56</v>
      </c>
      <c r="C73" s="24"/>
      <c r="D73" s="48">
        <f>D72+D70</f>
        <v>0</v>
      </c>
      <c r="E73" s="48">
        <f t="shared" ref="E73:H73" si="37">E72+E70</f>
        <v>819078.49730142439</v>
      </c>
      <c r="F73" s="48">
        <f t="shared" si="37"/>
        <v>1834527.2804288664</v>
      </c>
      <c r="G73" s="48">
        <f t="shared" si="37"/>
        <v>3057477.6773824613</v>
      </c>
      <c r="H73" s="48">
        <f t="shared" si="37"/>
        <v>4498038.179164093</v>
      </c>
    </row>
    <row r="74" spans="2:17" s="10" customFormat="1" ht="14.65" thickTop="1" x14ac:dyDescent="0.45">
      <c r="B74" s="10" t="s">
        <v>46</v>
      </c>
      <c r="D74" s="11"/>
      <c r="E74" s="11"/>
      <c r="F74" s="11"/>
      <c r="G74" s="11"/>
      <c r="H74" s="11"/>
      <c r="L74" s="10" t="s">
        <v>91</v>
      </c>
    </row>
    <row r="75" spans="2:17" x14ac:dyDescent="0.45">
      <c r="D75" s="1"/>
      <c r="E75" s="1"/>
      <c r="F75" s="1"/>
      <c r="G75" s="1"/>
      <c r="H75" s="1"/>
    </row>
    <row r="76" spans="2:17" x14ac:dyDescent="0.45">
      <c r="E76" s="41"/>
      <c r="K76" s="73"/>
      <c r="M76" s="49"/>
      <c r="N76" s="49"/>
      <c r="O76" s="49"/>
      <c r="P76" s="49"/>
      <c r="Q76" s="49"/>
    </row>
    <row r="77" spans="2:17" ht="14.65" thickBot="1" x14ac:dyDescent="0.5">
      <c r="B77" s="72" t="s">
        <v>61</v>
      </c>
      <c r="C77" s="72"/>
      <c r="D77" s="72"/>
      <c r="E77" s="18"/>
      <c r="F77" s="18"/>
      <c r="G77" s="18"/>
      <c r="H77" s="18"/>
      <c r="K77" s="73"/>
      <c r="M77" s="49"/>
      <c r="N77" s="49"/>
      <c r="O77" s="49"/>
      <c r="P77" s="49"/>
      <c r="Q77" s="49"/>
    </row>
    <row r="78" spans="2:17" x14ac:dyDescent="0.45">
      <c r="D78" s="3" t="s">
        <v>66</v>
      </c>
      <c r="E78" s="4" t="s">
        <v>67</v>
      </c>
      <c r="F78" s="4" t="s">
        <v>68</v>
      </c>
      <c r="G78" s="4" t="s">
        <v>69</v>
      </c>
      <c r="H78" s="5" t="s">
        <v>70</v>
      </c>
      <c r="K78" s="73"/>
      <c r="M78" s="50"/>
      <c r="N78" s="50"/>
      <c r="O78" s="50"/>
      <c r="P78" s="50"/>
      <c r="Q78" s="50"/>
    </row>
    <row r="79" spans="2:17" x14ac:dyDescent="0.45">
      <c r="K79" s="73"/>
      <c r="M79" s="49"/>
      <c r="N79" s="49"/>
      <c r="O79" s="49"/>
      <c r="P79" s="49"/>
      <c r="Q79" s="49"/>
    </row>
    <row r="80" spans="2:17" x14ac:dyDescent="0.45">
      <c r="B80" s="19" t="s">
        <v>62</v>
      </c>
      <c r="D80" s="38">
        <f>D38</f>
        <v>0</v>
      </c>
      <c r="E80" s="38">
        <f t="shared" ref="E80:H80" si="38">E38</f>
        <v>70571.100000000006</v>
      </c>
      <c r="F80" s="38">
        <f t="shared" si="38"/>
        <v>435915.27623080421</v>
      </c>
      <c r="G80" s="38">
        <f t="shared" si="38"/>
        <v>837736.86402246123</v>
      </c>
      <c r="H80" s="38">
        <f t="shared" si="38"/>
        <v>1278814.938910828</v>
      </c>
    </row>
    <row r="81" spans="2:18" x14ac:dyDescent="0.45">
      <c r="B81" s="52" t="s">
        <v>87</v>
      </c>
      <c r="D81" s="38">
        <f>D60</f>
        <v>0</v>
      </c>
      <c r="E81" s="38">
        <f t="shared" ref="E81:H81" si="39">E60</f>
        <v>1875000</v>
      </c>
      <c r="F81" s="38">
        <f t="shared" si="39"/>
        <v>1875000</v>
      </c>
      <c r="G81" s="38">
        <f t="shared" si="39"/>
        <v>1875000</v>
      </c>
      <c r="H81" s="38">
        <f t="shared" si="39"/>
        <v>1875000</v>
      </c>
      <c r="K81" s="63"/>
      <c r="L81" s="74"/>
      <c r="M81" s="74"/>
      <c r="N81" s="74"/>
      <c r="O81" s="74"/>
      <c r="P81" s="74"/>
      <c r="Q81" s="74"/>
    </row>
    <row r="82" spans="2:18" ht="14.65" thickBot="1" x14ac:dyDescent="0.5">
      <c r="B82" s="52" t="s">
        <v>88</v>
      </c>
      <c r="D82" s="38">
        <f>D64</f>
        <v>-7500000</v>
      </c>
      <c r="E82" s="38">
        <f t="shared" ref="E82:H82" si="40">E64</f>
        <v>0</v>
      </c>
      <c r="F82" s="38">
        <f t="shared" si="40"/>
        <v>0</v>
      </c>
      <c r="G82" s="38">
        <f t="shared" si="40"/>
        <v>0</v>
      </c>
      <c r="H82" s="38">
        <f t="shared" si="40"/>
        <v>0</v>
      </c>
      <c r="K82" s="71"/>
      <c r="L82" s="64"/>
      <c r="M82" s="65"/>
      <c r="N82" s="65"/>
      <c r="O82" s="65"/>
      <c r="P82" s="65"/>
      <c r="Q82" s="65"/>
    </row>
    <row r="83" spans="2:18" x14ac:dyDescent="0.45">
      <c r="B83" s="52" t="s">
        <v>89</v>
      </c>
      <c r="D83" s="38">
        <f>L46</f>
        <v>5625000</v>
      </c>
      <c r="E83" s="38">
        <f>M48</f>
        <v>-1126492.6026985757</v>
      </c>
      <c r="F83" s="38">
        <f t="shared" ref="F83:H83" si="41">N48</f>
        <v>-1295466.4931033622</v>
      </c>
      <c r="G83" s="38">
        <f t="shared" si="41"/>
        <v>-1489786.4670688664</v>
      </c>
      <c r="H83" s="38">
        <f t="shared" si="41"/>
        <v>-1713254.4371291962</v>
      </c>
      <c r="K83" s="71"/>
      <c r="L83" s="65"/>
      <c r="M83" s="66"/>
      <c r="N83" s="67"/>
      <c r="O83" s="67"/>
      <c r="P83" s="67"/>
      <c r="Q83" s="67"/>
    </row>
    <row r="84" spans="2:18" ht="14.65" thickBot="1" x14ac:dyDescent="0.5">
      <c r="B84" s="22" t="s">
        <v>63</v>
      </c>
      <c r="C84" s="22"/>
      <c r="D84" s="39">
        <f>D80+D81+D82+D83</f>
        <v>-1875000</v>
      </c>
      <c r="E84" s="39">
        <f t="shared" ref="E84:H84" si="42">E80+E81+E82+E83</f>
        <v>819078.49730142439</v>
      </c>
      <c r="F84" s="39">
        <f t="shared" si="42"/>
        <v>1015448.783127442</v>
      </c>
      <c r="G84" s="39">
        <f t="shared" si="42"/>
        <v>1222950.3969535949</v>
      </c>
      <c r="H84" s="39">
        <f t="shared" si="42"/>
        <v>1440560.5017816317</v>
      </c>
      <c r="K84" s="71"/>
      <c r="L84" s="65"/>
      <c r="M84" s="68"/>
      <c r="N84" s="69"/>
      <c r="O84" s="69"/>
      <c r="P84" s="69"/>
      <c r="Q84" s="69"/>
    </row>
    <row r="85" spans="2:18" ht="14.65" thickTop="1" x14ac:dyDescent="0.45">
      <c r="B85" s="19"/>
      <c r="D85" s="14"/>
      <c r="E85" s="14"/>
      <c r="F85" s="14"/>
      <c r="G85" s="14"/>
      <c r="H85" s="14"/>
      <c r="K85" s="71"/>
      <c r="L85" s="65"/>
      <c r="M85" s="68"/>
      <c r="N85" s="69"/>
      <c r="O85" s="69"/>
      <c r="P85" s="69"/>
      <c r="Q85" s="69"/>
    </row>
    <row r="86" spans="2:18" x14ac:dyDescent="0.45">
      <c r="B86" s="19"/>
      <c r="D86" s="14"/>
      <c r="E86" s="58"/>
      <c r="F86" s="58"/>
      <c r="G86" s="58"/>
      <c r="H86" s="58"/>
      <c r="K86" s="71"/>
      <c r="L86" s="65"/>
      <c r="M86" s="68"/>
      <c r="N86" s="69"/>
      <c r="O86" s="69"/>
      <c r="P86" s="69"/>
      <c r="Q86" s="69"/>
    </row>
    <row r="87" spans="2:18" x14ac:dyDescent="0.45">
      <c r="E87" s="59"/>
      <c r="F87" s="59"/>
      <c r="G87" s="59"/>
      <c r="H87" s="59"/>
      <c r="K87" s="71"/>
      <c r="L87" s="65"/>
      <c r="M87" s="68"/>
      <c r="N87" s="69"/>
      <c r="O87" s="69"/>
      <c r="P87" s="69"/>
      <c r="Q87" s="69"/>
    </row>
    <row r="88" spans="2:18" ht="14.65" thickBot="1" x14ac:dyDescent="0.5">
      <c r="B88" s="72" t="s">
        <v>80</v>
      </c>
      <c r="C88" s="72"/>
      <c r="D88" s="72"/>
      <c r="E88" s="18"/>
      <c r="F88" s="18"/>
      <c r="G88" s="18"/>
      <c r="H88" s="18"/>
      <c r="K88" s="71"/>
      <c r="L88" s="65"/>
      <c r="M88" s="68"/>
      <c r="N88" s="69"/>
      <c r="O88" s="69"/>
      <c r="P88" s="69"/>
      <c r="Q88" s="69"/>
    </row>
    <row r="89" spans="2:18" x14ac:dyDescent="0.45">
      <c r="D89" s="3" t="s">
        <v>66</v>
      </c>
      <c r="E89" s="4" t="s">
        <v>67</v>
      </c>
      <c r="F89" s="4" t="s">
        <v>68</v>
      </c>
      <c r="G89" s="4" t="s">
        <v>69</v>
      </c>
      <c r="H89" s="5" t="s">
        <v>70</v>
      </c>
    </row>
    <row r="91" spans="2:18" x14ac:dyDescent="0.45">
      <c r="B91" t="s">
        <v>81</v>
      </c>
      <c r="D91" s="38">
        <f>D84</f>
        <v>-1875000</v>
      </c>
      <c r="E91" s="38">
        <f t="shared" ref="E91:H91" si="43">E84</f>
        <v>819078.49730142439</v>
      </c>
      <c r="F91" s="38">
        <f t="shared" si="43"/>
        <v>1015448.783127442</v>
      </c>
      <c r="G91" s="38">
        <f t="shared" si="43"/>
        <v>1222950.3969535949</v>
      </c>
      <c r="H91" s="38">
        <f t="shared" si="43"/>
        <v>1440560.5017816317</v>
      </c>
    </row>
    <row r="93" spans="2:18" x14ac:dyDescent="0.45">
      <c r="B93" t="s">
        <v>13</v>
      </c>
      <c r="D93" s="47">
        <f>H10</f>
        <v>0.2</v>
      </c>
      <c r="E93" s="47">
        <f t="shared" ref="E93:H93" si="44">I10</f>
        <v>0</v>
      </c>
      <c r="F93" s="47">
        <f t="shared" si="44"/>
        <v>0</v>
      </c>
      <c r="G93" s="47" t="str">
        <f t="shared" si="44"/>
        <v>Diesel Price escalation</v>
      </c>
      <c r="H93" s="47">
        <f t="shared" si="44"/>
        <v>0</v>
      </c>
    </row>
    <row r="94" spans="2:18" x14ac:dyDescent="0.45">
      <c r="B94" t="s">
        <v>64</v>
      </c>
      <c r="D94" s="56">
        <f>NPV(D93,E91:H91)+D91</f>
        <v>915178.85280011781</v>
      </c>
      <c r="E94" s="56">
        <f t="shared" ref="E94:H94" si="45">NPV(E93,F91:I91)+E91</f>
        <v>4498038.179164093</v>
      </c>
      <c r="F94" s="56">
        <f t="shared" si="45"/>
        <v>3678959.6818626686</v>
      </c>
      <c r="G94" s="56" t="e">
        <f t="shared" si="45"/>
        <v>#VALUE!</v>
      </c>
      <c r="H94" s="56">
        <f t="shared" si="45"/>
        <v>1440560.5017816317</v>
      </c>
    </row>
    <row r="95" spans="2:18" x14ac:dyDescent="0.45">
      <c r="B95" t="s">
        <v>65</v>
      </c>
      <c r="D95" s="51">
        <f>IRR(D91:H91)</f>
        <v>0.4156588090536697</v>
      </c>
      <c r="E95" s="51" t="e">
        <f t="shared" ref="E95:H95" si="46">IRR(E91:I91)</f>
        <v>#NUM!</v>
      </c>
      <c r="F95" s="51" t="e">
        <f t="shared" si="46"/>
        <v>#NUM!</v>
      </c>
      <c r="G95" s="51" t="e">
        <f t="shared" si="46"/>
        <v>#NUM!</v>
      </c>
      <c r="H95" s="51" t="e">
        <f t="shared" si="46"/>
        <v>#NUM!</v>
      </c>
    </row>
    <row r="96" spans="2:18" ht="14.65" thickBot="1" x14ac:dyDescent="0.5">
      <c r="B96" s="26"/>
      <c r="C96" s="26"/>
      <c r="D96" s="26"/>
      <c r="E96" s="26"/>
      <c r="F96" s="26"/>
      <c r="G96" s="26"/>
      <c r="H96" s="26"/>
      <c r="Q96" s="16"/>
      <c r="R96" s="25"/>
    </row>
    <row r="97" spans="5:17" x14ac:dyDescent="0.45">
      <c r="M97" s="16"/>
      <c r="N97" s="25"/>
    </row>
    <row r="98" spans="5:17" x14ac:dyDescent="0.45">
      <c r="E98" s="14"/>
      <c r="G98" s="14"/>
    </row>
    <row r="99" spans="5:17" x14ac:dyDescent="0.45">
      <c r="E99" s="14"/>
      <c r="G99" s="14"/>
      <c r="M99" s="28"/>
      <c r="N99" s="28"/>
      <c r="O99" s="28"/>
      <c r="P99" s="28"/>
      <c r="Q99" s="29"/>
    </row>
    <row r="100" spans="5:17" x14ac:dyDescent="0.45">
      <c r="N100" s="30"/>
      <c r="O100" s="30"/>
      <c r="P100" s="30"/>
      <c r="Q100" s="31"/>
    </row>
    <row r="101" spans="5:17" x14ac:dyDescent="0.45">
      <c r="N101" s="30"/>
      <c r="O101" s="30"/>
      <c r="P101" s="30"/>
      <c r="Q101" s="31"/>
    </row>
    <row r="102" spans="5:17" x14ac:dyDescent="0.45">
      <c r="N102" s="30"/>
      <c r="O102" s="30"/>
      <c r="P102" s="30"/>
      <c r="Q102" s="31"/>
    </row>
    <row r="103" spans="5:17" x14ac:dyDescent="0.45">
      <c r="N103" s="32"/>
      <c r="O103" s="32"/>
      <c r="P103" s="32"/>
      <c r="Q103" s="32"/>
    </row>
    <row r="104" spans="5:17" x14ac:dyDescent="0.45">
      <c r="K104" s="31"/>
      <c r="L104" s="31"/>
    </row>
    <row r="122" spans="22:22" x14ac:dyDescent="0.45">
      <c r="V122" s="27"/>
    </row>
    <row r="140" spans="22:22" x14ac:dyDescent="0.45">
      <c r="V140" s="2"/>
    </row>
  </sheetData>
  <dataConsolidate/>
  <mergeCells count="14">
    <mergeCell ref="K82:K88"/>
    <mergeCell ref="B19:D19"/>
    <mergeCell ref="K76:K79"/>
    <mergeCell ref="L81:Q81"/>
    <mergeCell ref="B40:D40"/>
    <mergeCell ref="B56:D56"/>
    <mergeCell ref="B77:D77"/>
    <mergeCell ref="B88:D88"/>
    <mergeCell ref="B4:D4"/>
    <mergeCell ref="F4:H4"/>
    <mergeCell ref="B12:D12"/>
    <mergeCell ref="F12:H12"/>
    <mergeCell ref="K12:N12"/>
    <mergeCell ref="K4:N4"/>
  </mergeCells>
  <pageMargins left="0.7" right="0.7" top="0.75" bottom="0.75" header="0.3" footer="0.3"/>
  <pageSetup scale="49"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20"/>
  <sheetViews>
    <sheetView zoomScale="160" zoomScaleNormal="160" workbookViewId="0">
      <selection activeCell="D12" sqref="D12"/>
    </sheetView>
  </sheetViews>
  <sheetFormatPr defaultRowHeight="14.25" x14ac:dyDescent="0.45"/>
  <cols>
    <col min="2" max="2" width="21.796875" bestFit="1" customWidth="1"/>
    <col min="4" max="4" width="11.53125" bestFit="1" customWidth="1"/>
  </cols>
  <sheetData>
    <row r="2" spans="1:4" x14ac:dyDescent="0.45">
      <c r="A2" t="s">
        <v>98</v>
      </c>
      <c r="B2">
        <v>500000</v>
      </c>
    </row>
    <row r="3" spans="1:4" x14ac:dyDescent="0.45">
      <c r="A3" t="s">
        <v>99</v>
      </c>
      <c r="B3" s="16">
        <v>0.12</v>
      </c>
    </row>
    <row r="4" spans="1:4" x14ac:dyDescent="0.45">
      <c r="A4" t="s">
        <v>100</v>
      </c>
      <c r="B4">
        <v>5</v>
      </c>
    </row>
    <row r="6" spans="1:4" x14ac:dyDescent="0.45">
      <c r="A6" t="s">
        <v>79</v>
      </c>
      <c r="B6" s="55">
        <f>PMT(B3,B4,B2,0,0)</f>
        <v>-138704.86597052444</v>
      </c>
      <c r="C6" t="s">
        <v>101</v>
      </c>
      <c r="D6">
        <f>B2*B3</f>
        <v>60000</v>
      </c>
    </row>
    <row r="7" spans="1:4" x14ac:dyDescent="0.45">
      <c r="C7" t="s">
        <v>86</v>
      </c>
      <c r="D7" s="55">
        <f>B6+D6</f>
        <v>-78704.865970524435</v>
      </c>
    </row>
    <row r="8" spans="1:4" x14ac:dyDescent="0.45">
      <c r="D8" s="55">
        <f>D7+B2</f>
        <v>421295.13402947556</v>
      </c>
    </row>
    <row r="12" spans="1:4" x14ac:dyDescent="0.45">
      <c r="A12">
        <v>0</v>
      </c>
      <c r="B12">
        <v>-100</v>
      </c>
    </row>
    <row r="13" spans="1:4" x14ac:dyDescent="0.45">
      <c r="A13">
        <v>1</v>
      </c>
      <c r="B13">
        <v>25</v>
      </c>
    </row>
    <row r="14" spans="1:4" x14ac:dyDescent="0.45">
      <c r="A14">
        <v>2</v>
      </c>
      <c r="B14">
        <v>50</v>
      </c>
    </row>
    <row r="15" spans="1:4" x14ac:dyDescent="0.45">
      <c r="A15">
        <v>3</v>
      </c>
      <c r="B15">
        <v>75</v>
      </c>
    </row>
    <row r="16" spans="1:4" x14ac:dyDescent="0.45">
      <c r="B16" s="16">
        <f>NPV(9%,B13:B15)+B12</f>
        <v>22.933540484421556</v>
      </c>
    </row>
    <row r="18" spans="1:2" x14ac:dyDescent="0.45">
      <c r="B18" s="57">
        <f>NPV(9%,B13:B15)+B12</f>
        <v>22.933540484421556</v>
      </c>
    </row>
    <row r="20" spans="1:2" x14ac:dyDescent="0.45">
      <c r="A20" s="16">
        <f>IRR(B12:B15)</f>
        <v>0.19437709962747851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Overview - Fin_Mod_Case</vt:lpstr>
      <vt:lpstr>Sheet1</vt:lpstr>
      <vt:lpstr>'Overview - Fin_Mod_Case'!Print_Area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Hunk</dc:creator>
  <cp:lastModifiedBy>priyankashekhawat182003@gmail.com</cp:lastModifiedBy>
  <cp:lastPrinted>2010-10-11T05:09:05Z</cp:lastPrinted>
  <dcterms:created xsi:type="dcterms:W3CDTF">2010-10-07T12:34:35Z</dcterms:created>
  <dcterms:modified xsi:type="dcterms:W3CDTF">2025-09-19T09:14:06Z</dcterms:modified>
</cp:coreProperties>
</file>