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drawings/drawing15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vestmet valuation\Costco\"/>
    </mc:Choice>
  </mc:AlternateContent>
  <xr:revisionPtr revIDLastSave="0" documentId="13_ncr:1_{E0FFFF0D-AE5D-4D15-8502-A5632351A7A4}" xr6:coauthVersionLast="47" xr6:coauthVersionMax="47" xr10:uidLastSave="{00000000-0000-0000-0000-000000000000}"/>
  <bookViews>
    <workbookView xWindow="-120" yWindow="-120" windowWidth="20730" windowHeight="11760" tabRatio="594" activeTab="2" xr2:uid="{00000000-000D-0000-FFFF-FFFF00000000}"/>
  </bookViews>
  <sheets>
    <sheet name="Income Statement" sheetId="1" r:id="rId1"/>
    <sheet name="Cash Flow Statement" sheetId="4" r:id="rId2"/>
    <sheet name="Balance Sheet" sheetId="5" r:id="rId3"/>
    <sheet name="Depreciation" sheetId="6" r:id="rId4"/>
    <sheet name="Operating Working Capital" sheetId="7" r:id="rId5"/>
    <sheet name="Debt Schedule" sheetId="8" r:id="rId6"/>
    <sheet name="---&gt; Valuation" sheetId="18" r:id="rId7"/>
    <sheet name="DCF Analysis" sheetId="9" r:id="rId8"/>
    <sheet name="Comparable Companies" sheetId="19" r:id="rId9"/>
    <sheet name="Costco Comp" sheetId="14" r:id="rId10"/>
    <sheet name="Wal-Mart Comp" sheetId="20" r:id="rId11"/>
    <sheet name="Target Comp" sheetId="15" r:id="rId12"/>
    <sheet name="Dollar General" sheetId="22" r:id="rId13"/>
    <sheet name="Dollar Tree" sheetId="23" r:id="rId14"/>
    <sheet name="Family Dollar Store" sheetId="24" r:id="rId15"/>
    <sheet name="Precedent Transactions" sheetId="29" r:id="rId16"/>
    <sheet name="A&amp;P - Pathmark" sheetId="27" r:id="rId17"/>
    <sheet name="WFM - Wild Oats" sheetId="28" r:id="rId18"/>
    <sheet name="Football field" sheetId="17" r:id="rId19"/>
  </sheets>
  <definedNames>
    <definedName name="M_to_MM">'WFM - Wild Oats'!$L$54</definedName>
    <definedName name="_xlnm.Print_Area" localSheetId="2">'Balance Sheet'!$B$1:$K$35</definedName>
    <definedName name="_xlnm.Print_Area" localSheetId="1">'Cash Flow Statement'!$B$1:$K$40</definedName>
    <definedName name="_xlnm.Print_Area" localSheetId="8">'Comparable Companies'!$A$1:$O$5</definedName>
    <definedName name="_xlnm.Print_Area" localSheetId="9">'Costco Comp'!$B$1:$P$57</definedName>
    <definedName name="_xlnm.Print_Area" localSheetId="5">'Debt Schedule'!$A$1:$K$49</definedName>
    <definedName name="_xlnm.Print_Area" localSheetId="3">Depreciation!$A$1:$K$37</definedName>
    <definedName name="_xlnm.Print_Area" localSheetId="13">'Dollar Tree'!$B$1:$K$42</definedName>
    <definedName name="_xlnm.Print_Area" localSheetId="18">'Football field'!$B$3:$R$16,'Football field'!$B$20:$R$41</definedName>
    <definedName name="_xlnm.Print_Area" localSheetId="0">'Income Statement'!$B$1:$K$52</definedName>
    <definedName name="_xlnm.Print_Area" localSheetId="4">'Operating Working Capital'!$A$1:$K$23</definedName>
    <definedName name="_xlnm.Print_Area" localSheetId="15">'Precedent Transactions'!$A$1:$I$5</definedName>
    <definedName name="_xlnm.Print_Area" localSheetId="11">'Target Comp'!$B$1:$J$47</definedName>
    <definedName name="_xlnm.Print_Area" localSheetId="10">'Wal-Mart Comp'!$B$1:$J$57</definedName>
    <definedName name="_xlnm.Print_Titles" localSheetId="9">'Costco Comp'!$1:$5</definedName>
    <definedName name="_xlnm.Print_Titles" localSheetId="13">'Dollar Tree'!$1:$5</definedName>
    <definedName name="_xlnm.Print_Titles" localSheetId="0">'Income Statement'!$1:$5</definedName>
    <definedName name="_xlnm.Print_Titles" localSheetId="11">'Target Comp'!$1:$5</definedName>
    <definedName name="_xlnm.Print_Titles" localSheetId="10">'Wal-Mart Comp'!$1:$5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5" l="1"/>
  <c r="F33" i="5"/>
  <c r="D33" i="5"/>
  <c r="E16" i="5"/>
  <c r="F16" i="5"/>
  <c r="D16" i="5"/>
  <c r="E31" i="5"/>
  <c r="F31" i="5"/>
  <c r="D31" i="5"/>
  <c r="E26" i="5"/>
  <c r="F26" i="5"/>
  <c r="D26" i="5"/>
  <c r="E23" i="5"/>
  <c r="F23" i="5"/>
  <c r="D23" i="5"/>
  <c r="E12" i="5"/>
  <c r="F12" i="5"/>
  <c r="D12" i="5"/>
  <c r="E38" i="4"/>
  <c r="F38" i="4"/>
  <c r="D38" i="4"/>
  <c r="E35" i="4"/>
  <c r="D35" i="4"/>
  <c r="D36" i="4" s="1"/>
  <c r="F35" i="4"/>
  <c r="E36" i="4"/>
  <c r="F36" i="4"/>
  <c r="G5" i="1"/>
  <c r="E26" i="4"/>
  <c r="F26" i="4"/>
  <c r="D26" i="4"/>
  <c r="F19" i="1"/>
  <c r="E19" i="1"/>
  <c r="D19" i="1"/>
  <c r="G19" i="1"/>
  <c r="E19" i="4"/>
  <c r="F19" i="4"/>
  <c r="D19" i="4"/>
  <c r="H48" i="1"/>
  <c r="I48" i="1"/>
  <c r="J48" i="1"/>
  <c r="K48" i="1"/>
  <c r="H49" i="1"/>
  <c r="I49" i="1"/>
  <c r="J49" i="1"/>
  <c r="K49" i="1"/>
  <c r="G49" i="1"/>
  <c r="G48" i="1"/>
  <c r="H52" i="1"/>
  <c r="I52" i="1"/>
  <c r="J52" i="1"/>
  <c r="K52" i="1"/>
  <c r="G52" i="1"/>
  <c r="J51" i="1"/>
  <c r="K51" i="1"/>
  <c r="I51" i="1"/>
  <c r="G51" i="1"/>
  <c r="D59" i="1"/>
  <c r="D60" i="1" s="1"/>
  <c r="D61" i="1" s="1"/>
  <c r="D62" i="1" s="1"/>
  <c r="G46" i="1" l="1"/>
  <c r="H46" i="1"/>
  <c r="I46" i="1"/>
  <c r="J46" i="1"/>
  <c r="K46" i="1"/>
  <c r="H44" i="1"/>
  <c r="I44" i="1"/>
  <c r="J44" i="1"/>
  <c r="K44" i="1"/>
  <c r="G44" i="1"/>
  <c r="G37" i="1"/>
  <c r="H37" i="1"/>
  <c r="I37" i="1"/>
  <c r="J37" i="1"/>
  <c r="K37" i="1"/>
  <c r="H35" i="1"/>
  <c r="I35" i="1"/>
  <c r="J35" i="1"/>
  <c r="K35" i="1"/>
  <c r="G35" i="1"/>
  <c r="G33" i="1"/>
  <c r="H33" i="1"/>
  <c r="I33" i="1"/>
  <c r="J33" i="1"/>
  <c r="K33" i="1"/>
  <c r="G27" i="1"/>
  <c r="H27" i="1"/>
  <c r="I27" i="1"/>
  <c r="J27" i="1"/>
  <c r="K27" i="1"/>
  <c r="G26" i="1"/>
  <c r="H26" i="1"/>
  <c r="I26" i="1"/>
  <c r="J26" i="1"/>
  <c r="K26" i="1"/>
  <c r="H23" i="1"/>
  <c r="I23" i="1"/>
  <c r="J23" i="1"/>
  <c r="K23" i="1"/>
  <c r="G23" i="1"/>
  <c r="H21" i="1"/>
  <c r="I21" i="1"/>
  <c r="J21" i="1"/>
  <c r="K21" i="1"/>
  <c r="G21" i="1"/>
  <c r="H19" i="1"/>
  <c r="I19" i="1"/>
  <c r="J19" i="1"/>
  <c r="K19" i="1"/>
  <c r="G17" i="1"/>
  <c r="H17" i="1"/>
  <c r="I17" i="1"/>
  <c r="J17" i="1"/>
  <c r="K17" i="1"/>
  <c r="G16" i="1"/>
  <c r="H16" i="1"/>
  <c r="I16" i="1"/>
  <c r="J16" i="1"/>
  <c r="K16" i="1"/>
  <c r="H14" i="1"/>
  <c r="I14" i="1"/>
  <c r="J14" i="1"/>
  <c r="K14" i="1"/>
  <c r="G14" i="1"/>
  <c r="G12" i="1"/>
  <c r="H12" i="1"/>
  <c r="I12" i="1"/>
  <c r="J12" i="1"/>
  <c r="K12" i="1"/>
  <c r="H11" i="1"/>
  <c r="I11" i="1"/>
  <c r="J11" i="1"/>
  <c r="K11" i="1"/>
  <c r="G11" i="1"/>
  <c r="H9" i="1"/>
  <c r="I9" i="1" s="1"/>
  <c r="J9" i="1" s="1"/>
  <c r="K9" i="1" s="1"/>
  <c r="G9" i="1"/>
  <c r="H7" i="1"/>
  <c r="I7" i="1"/>
  <c r="J7" i="1" s="1"/>
  <c r="K7" i="1" s="1"/>
  <c r="G7" i="1"/>
  <c r="E22" i="1"/>
  <c r="F22" i="1"/>
  <c r="D22" i="1"/>
  <c r="F32" i="1"/>
  <c r="E32" i="1"/>
  <c r="D32" i="1"/>
  <c r="E20" i="1" l="1"/>
  <c r="F20" i="1"/>
  <c r="D20" i="1"/>
  <c r="E16" i="1"/>
  <c r="F16" i="1"/>
  <c r="D16" i="1"/>
  <c r="D23" i="1" s="1"/>
  <c r="E15" i="1"/>
  <c r="F15" i="1"/>
  <c r="D15" i="1"/>
  <c r="F12" i="1"/>
  <c r="E12" i="1"/>
  <c r="E7" i="1"/>
  <c r="F7" i="1"/>
  <c r="D7" i="1"/>
  <c r="F10" i="1"/>
  <c r="E10" i="1"/>
  <c r="E35" i="5"/>
  <c r="E17" i="1" l="1"/>
  <c r="E23" i="1"/>
  <c r="E26" i="1" s="1"/>
  <c r="D26" i="1"/>
  <c r="F23" i="1"/>
  <c r="F26" i="1" s="1"/>
  <c r="D17" i="1"/>
  <c r="F17" i="1"/>
  <c r="D24" i="1"/>
  <c r="E24" i="1"/>
  <c r="F24" i="1"/>
  <c r="G35" i="5"/>
  <c r="F35" i="5"/>
  <c r="F33" i="1" l="1"/>
  <c r="F27" i="1"/>
  <c r="D27" i="1"/>
  <c r="D33" i="1"/>
  <c r="E27" i="1"/>
  <c r="E33" i="1"/>
  <c r="H35" i="5"/>
  <c r="D34" i="1" l="1"/>
  <c r="D36" i="1"/>
  <c r="D37" i="1"/>
  <c r="E37" i="1"/>
  <c r="E34" i="1"/>
  <c r="E36" i="1"/>
  <c r="F36" i="1"/>
  <c r="F34" i="1"/>
  <c r="F37" i="1"/>
  <c r="I35" i="5"/>
  <c r="D45" i="1" l="1"/>
  <c r="D46" i="1"/>
  <c r="D20" i="4" s="1"/>
  <c r="F45" i="1"/>
  <c r="F46" i="1"/>
  <c r="F20" i="4" s="1"/>
  <c r="E46" i="1"/>
  <c r="E20" i="4" s="1"/>
  <c r="E45" i="1"/>
  <c r="J35" i="5"/>
  <c r="K35" i="5"/>
  <c r="T34" i="17" l="1"/>
  <c r="T33" i="17"/>
  <c r="T32" i="17"/>
  <c r="T31" i="17"/>
  <c r="C24" i="17"/>
  <c r="W23" i="17"/>
  <c r="U23" i="17"/>
  <c r="T10" i="17"/>
  <c r="P8" i="17"/>
  <c r="I6" i="17"/>
  <c r="H6" i="17"/>
  <c r="G6" i="17"/>
  <c r="V23" i="17" l="1"/>
  <c r="E13" i="29"/>
  <c r="G13" i="29" s="1"/>
  <c r="D13" i="29"/>
  <c r="G12" i="29"/>
  <c r="F13" i="29" l="1"/>
  <c r="H13" i="29"/>
  <c r="K51" i="28"/>
  <c r="L23" i="28"/>
  <c r="L26" i="28" s="1"/>
  <c r="L8" i="28" l="1"/>
  <c r="L39" i="27"/>
  <c r="D8" i="29" s="1"/>
  <c r="Q21" i="27"/>
  <c r="P21" i="27"/>
  <c r="O21" i="27"/>
  <c r="N21" i="27"/>
  <c r="M21" i="27"/>
  <c r="D16" i="29" l="1"/>
  <c r="D15" i="29"/>
  <c r="D14" i="29"/>
  <c r="I13" i="29" s="1"/>
  <c r="R16" i="27"/>
  <c r="R15" i="27"/>
  <c r="R13" i="27"/>
  <c r="R11" i="27"/>
  <c r="Q10" i="27"/>
  <c r="P10" i="27"/>
  <c r="P12" i="27" s="1"/>
  <c r="O10" i="27"/>
  <c r="N10" i="27"/>
  <c r="M10" i="27"/>
  <c r="R9" i="27"/>
  <c r="R8" i="27"/>
  <c r="O12" i="27" l="1"/>
  <c r="N12" i="27" s="1"/>
  <c r="M12" i="27" s="1"/>
  <c r="P14" i="27"/>
  <c r="G8" i="29"/>
  <c r="R10" i="27"/>
  <c r="R12" i="27" s="1"/>
  <c r="I26" i="19"/>
  <c r="O14" i="27" l="1"/>
  <c r="N14" i="27" s="1"/>
  <c r="M14" i="27" s="1"/>
  <c r="Q12" i="27"/>
  <c r="R14" i="27"/>
  <c r="C26" i="19"/>
  <c r="I25" i="19"/>
  <c r="I24" i="19"/>
  <c r="Q20" i="19"/>
  <c r="N20" i="19"/>
  <c r="H20" i="19"/>
  <c r="K20" i="19" s="1"/>
  <c r="G20" i="19"/>
  <c r="F20" i="19"/>
  <c r="C12" i="19"/>
  <c r="C11" i="19"/>
  <c r="C10" i="19"/>
  <c r="C9" i="19"/>
  <c r="B8" i="19"/>
  <c r="Q14" i="27" l="1"/>
  <c r="H8" i="29"/>
  <c r="R17" i="27"/>
  <c r="J20" i="19"/>
  <c r="I20" i="19" s="1"/>
  <c r="L5" i="19" s="1"/>
  <c r="K5" i="19" s="1"/>
  <c r="B7" i="19"/>
  <c r="Q5" i="19" s="1"/>
  <c r="J5" i="19"/>
  <c r="I5" i="19"/>
  <c r="H5" i="19"/>
  <c r="G5" i="19"/>
  <c r="F5" i="19"/>
  <c r="A3" i="19"/>
  <c r="M20" i="19" l="1"/>
  <c r="L20" i="19" s="1"/>
  <c r="O5" i="19" s="1"/>
  <c r="N5" i="19" s="1"/>
  <c r="Q17" i="27"/>
  <c r="R18" i="27"/>
  <c r="M5" i="19"/>
  <c r="P20" i="19" l="1"/>
  <c r="O20" i="19" s="1"/>
  <c r="P5" i="19"/>
  <c r="P17" i="27"/>
  <c r="Q18" i="27"/>
  <c r="O17" i="27" l="1"/>
  <c r="N17" i="27" s="1"/>
  <c r="P18" i="27"/>
  <c r="M17" i="27" l="1"/>
  <c r="M18" i="27" s="1"/>
  <c r="N18" i="27"/>
  <c r="N22" i="27" s="1"/>
  <c r="O18" i="27"/>
  <c r="D55" i="24"/>
  <c r="D48" i="24"/>
  <c r="N41" i="24"/>
  <c r="M41" i="24"/>
  <c r="L41" i="24"/>
  <c r="K41" i="24"/>
  <c r="J41" i="24"/>
  <c r="G41" i="24"/>
  <c r="F41" i="24"/>
  <c r="E41" i="24"/>
  <c r="P39" i="24"/>
  <c r="H39" i="24"/>
  <c r="H41" i="24" s="1"/>
  <c r="I41" i="24" l="1"/>
  <c r="M22" i="27"/>
  <c r="P41" i="24"/>
  <c r="O32" i="24"/>
  <c r="N32" i="24"/>
  <c r="L32" i="24"/>
  <c r="G32" i="24"/>
  <c r="M29" i="24"/>
  <c r="L29" i="24" s="1"/>
  <c r="K29" i="24"/>
  <c r="J29" i="24"/>
  <c r="I29" i="24"/>
  <c r="H29" i="24"/>
  <c r="F29" i="24"/>
  <c r="E29" i="24"/>
  <c r="D29" i="24"/>
  <c r="P28" i="24"/>
  <c r="O28" i="24"/>
  <c r="N28" i="24"/>
  <c r="L28" i="24"/>
  <c r="G28" i="24"/>
  <c r="P27" i="24"/>
  <c r="O27" i="24"/>
  <c r="N27" i="24"/>
  <c r="L27" i="24"/>
  <c r="G27" i="24"/>
  <c r="P29" i="24" l="1"/>
  <c r="O29" i="24"/>
  <c r="N29" i="24"/>
  <c r="G29" i="24"/>
  <c r="O22" i="24"/>
  <c r="J27" i="19" s="1"/>
  <c r="K22" i="24"/>
  <c r="K17" i="24" s="1"/>
  <c r="J22" i="24"/>
  <c r="F22" i="24"/>
  <c r="E22" i="24"/>
  <c r="M17" i="24"/>
  <c r="I17" i="24"/>
  <c r="I19" i="24" s="1"/>
  <c r="H17" i="24"/>
  <c r="D17" i="24"/>
  <c r="M14" i="24"/>
  <c r="K14" i="24"/>
  <c r="J14" i="24"/>
  <c r="I14" i="24"/>
  <c r="H14" i="24"/>
  <c r="F14" i="24"/>
  <c r="E14" i="24"/>
  <c r="D14" i="24"/>
  <c r="O12" i="24"/>
  <c r="N12" i="24"/>
  <c r="L12" i="24"/>
  <c r="G12" i="24"/>
  <c r="H10" i="24"/>
  <c r="M9" i="24"/>
  <c r="K9" i="24"/>
  <c r="J9" i="24"/>
  <c r="I9" i="24"/>
  <c r="I23" i="24" s="1"/>
  <c r="H9" i="24"/>
  <c r="H23" i="24" s="1"/>
  <c r="F9" i="24"/>
  <c r="E9" i="24"/>
  <c r="E13" i="24" s="1"/>
  <c r="D9" i="24"/>
  <c r="D23" i="24" s="1"/>
  <c r="P7" i="24"/>
  <c r="P22" i="24" s="1"/>
  <c r="O7" i="24"/>
  <c r="O14" i="24" s="1"/>
  <c r="N7" i="24"/>
  <c r="N14" i="24" s="1"/>
  <c r="L7" i="24"/>
  <c r="G7" i="24"/>
  <c r="D50" i="23"/>
  <c r="J41" i="23"/>
  <c r="K40" i="23"/>
  <c r="J40" i="23"/>
  <c r="F23" i="24" l="1"/>
  <c r="J17" i="24"/>
  <c r="J19" i="24" s="1"/>
  <c r="J10" i="24"/>
  <c r="F15" i="24"/>
  <c r="E15" i="24" s="1"/>
  <c r="H18" i="24"/>
  <c r="G22" i="24"/>
  <c r="L9" i="24"/>
  <c r="O17" i="24"/>
  <c r="O19" i="24" s="1"/>
  <c r="O20" i="24" s="1"/>
  <c r="K23" i="24"/>
  <c r="D18" i="24"/>
  <c r="L17" i="24"/>
  <c r="L18" i="24" s="1"/>
  <c r="K18" i="24" s="1"/>
  <c r="M19" i="24"/>
  <c r="K15" i="24"/>
  <c r="J15" i="24" s="1"/>
  <c r="D15" i="24"/>
  <c r="I15" i="24"/>
  <c r="H19" i="24"/>
  <c r="H20" i="24" s="1"/>
  <c r="H21" i="24" s="1"/>
  <c r="E23" i="24"/>
  <c r="M13" i="24"/>
  <c r="L14" i="24"/>
  <c r="L15" i="24" s="1"/>
  <c r="I18" i="24"/>
  <c r="M18" i="24"/>
  <c r="L13" i="24"/>
  <c r="I13" i="24"/>
  <c r="L22" i="24"/>
  <c r="L23" i="24" s="1"/>
  <c r="H13" i="24"/>
  <c r="G9" i="24"/>
  <c r="L10" i="24" s="1"/>
  <c r="K10" i="24" s="1"/>
  <c r="D13" i="24"/>
  <c r="P12" i="24" s="1"/>
  <c r="P14" i="24" s="1"/>
  <c r="J18" i="24"/>
  <c r="N22" i="24"/>
  <c r="J23" i="24"/>
  <c r="P9" i="24"/>
  <c r="O9" i="24" s="1"/>
  <c r="N9" i="24" s="1"/>
  <c r="M10" i="24"/>
  <c r="K13" i="24"/>
  <c r="J13" i="24" s="1"/>
  <c r="G14" i="24"/>
  <c r="H15" i="24"/>
  <c r="M15" i="24"/>
  <c r="P17" i="24"/>
  <c r="I10" i="24"/>
  <c r="M20" i="24"/>
  <c r="K19" i="24"/>
  <c r="L19" i="24" s="1"/>
  <c r="I32" i="23"/>
  <c r="H32" i="23"/>
  <c r="G32" i="23"/>
  <c r="F32" i="23"/>
  <c r="E32" i="23"/>
  <c r="O13" i="24" l="1"/>
  <c r="P15" i="24"/>
  <c r="M24" i="24"/>
  <c r="M21" i="24"/>
  <c r="G15" i="24"/>
  <c r="G13" i="24"/>
  <c r="F13" i="24" s="1"/>
  <c r="G23" i="24"/>
  <c r="O15" i="24"/>
  <c r="N15" i="24" s="1"/>
  <c r="I27" i="19"/>
  <c r="N23" i="24"/>
  <c r="M23" i="24" s="1"/>
  <c r="O24" i="24"/>
  <c r="O21" i="24"/>
  <c r="C27" i="19"/>
  <c r="N13" i="24"/>
  <c r="J25" i="23"/>
  <c r="J24" i="23"/>
  <c r="H19" i="23"/>
  <c r="G19" i="23"/>
  <c r="E19" i="23"/>
  <c r="I18" i="23"/>
  <c r="I9" i="23" s="1"/>
  <c r="F18" i="23"/>
  <c r="I14" i="23"/>
  <c r="H14" i="23"/>
  <c r="G14" i="23"/>
  <c r="F14" i="23"/>
  <c r="E14" i="23"/>
  <c r="J13" i="23"/>
  <c r="H9" i="23"/>
  <c r="H11" i="23" s="1"/>
  <c r="H12" i="23" s="1"/>
  <c r="G9" i="23"/>
  <c r="G11" i="23" s="1"/>
  <c r="F9" i="23"/>
  <c r="F10" i="23" s="1"/>
  <c r="E10" i="23" s="1"/>
  <c r="E9" i="23"/>
  <c r="E11" i="23" s="1"/>
  <c r="K7" i="23"/>
  <c r="J7" i="23"/>
  <c r="D63" i="22"/>
  <c r="L54" i="22"/>
  <c r="H44" i="22"/>
  <c r="H45" i="22" s="1"/>
  <c r="G44" i="22"/>
  <c r="F44" i="22"/>
  <c r="E44" i="22"/>
  <c r="D44" i="22"/>
  <c r="L43" i="22"/>
  <c r="H33" i="22"/>
  <c r="G33" i="22"/>
  <c r="F33" i="22"/>
  <c r="E33" i="22"/>
  <c r="D33" i="22"/>
  <c r="K32" i="22"/>
  <c r="K31" i="22"/>
  <c r="K33" i="22" s="1"/>
  <c r="H29" i="22"/>
  <c r="G29" i="22"/>
  <c r="F29" i="22"/>
  <c r="E29" i="22"/>
  <c r="D29" i="22"/>
  <c r="L28" i="22"/>
  <c r="K28" i="22"/>
  <c r="L27" i="22"/>
  <c r="K27" i="22"/>
  <c r="K22" i="22"/>
  <c r="H19" i="22"/>
  <c r="G19" i="22"/>
  <c r="F19" i="22"/>
  <c r="E19" i="22"/>
  <c r="D19" i="22"/>
  <c r="K17" i="22"/>
  <c r="K12" i="22"/>
  <c r="H9" i="22"/>
  <c r="H13" i="22" s="1"/>
  <c r="G9" i="22"/>
  <c r="G14" i="22" s="1"/>
  <c r="G20" i="22" s="1"/>
  <c r="F9" i="22"/>
  <c r="C25" i="19" s="1"/>
  <c r="E9" i="22"/>
  <c r="E13" i="22" s="1"/>
  <c r="D9" i="22"/>
  <c r="D23" i="22" s="1"/>
  <c r="K7" i="22"/>
  <c r="D63" i="15"/>
  <c r="D62" i="15"/>
  <c r="D55" i="15"/>
  <c r="H48" i="15"/>
  <c r="G48" i="15"/>
  <c r="F48" i="15"/>
  <c r="E48" i="15"/>
  <c r="I47" i="15"/>
  <c r="J46" i="15"/>
  <c r="I46" i="15"/>
  <c r="I39" i="15"/>
  <c r="H36" i="15"/>
  <c r="G36" i="15"/>
  <c r="F36" i="15"/>
  <c r="E36" i="15"/>
  <c r="D36" i="15"/>
  <c r="J35" i="15"/>
  <c r="I35" i="15"/>
  <c r="J34" i="15"/>
  <c r="I34" i="15"/>
  <c r="J33" i="15"/>
  <c r="I33" i="15"/>
  <c r="K24" i="23" l="1"/>
  <c r="F14" i="22"/>
  <c r="F20" i="22" s="1"/>
  <c r="F24" i="22" s="1"/>
  <c r="L32" i="22"/>
  <c r="H14" i="22"/>
  <c r="H20" i="22" s="1"/>
  <c r="J36" i="15"/>
  <c r="D14" i="22"/>
  <c r="J14" i="23"/>
  <c r="F15" i="22"/>
  <c r="K44" i="22"/>
  <c r="K45" i="22" s="1"/>
  <c r="G18" i="22"/>
  <c r="G23" i="22"/>
  <c r="F23" i="22" s="1"/>
  <c r="L29" i="22"/>
  <c r="G13" i="22"/>
  <c r="F18" i="22"/>
  <c r="K29" i="22"/>
  <c r="F19" i="23"/>
  <c r="I36" i="15"/>
  <c r="I11" i="23"/>
  <c r="J9" i="23"/>
  <c r="H21" i="22"/>
  <c r="H24" i="22"/>
  <c r="E12" i="23"/>
  <c r="G24" i="22"/>
  <c r="G21" i="22"/>
  <c r="F34" i="22"/>
  <c r="F25" i="22"/>
  <c r="M25" i="24"/>
  <c r="M30" i="24"/>
  <c r="O25" i="24"/>
  <c r="O30" i="24"/>
  <c r="F11" i="23"/>
  <c r="F15" i="23" s="1"/>
  <c r="F21" i="22"/>
  <c r="E23" i="22"/>
  <c r="F13" i="22"/>
  <c r="E14" i="22"/>
  <c r="G15" i="22"/>
  <c r="H23" i="22"/>
  <c r="L31" i="22"/>
  <c r="L33" i="22" s="1"/>
  <c r="G12" i="23"/>
  <c r="F12" i="23" s="1"/>
  <c r="G15" i="23"/>
  <c r="J18" i="23"/>
  <c r="D13" i="22"/>
  <c r="G45" i="22"/>
  <c r="F45" i="22" s="1"/>
  <c r="E45" i="22" s="1"/>
  <c r="D45" i="22" s="1"/>
  <c r="L44" i="22" s="1"/>
  <c r="D15" i="22"/>
  <c r="H15" i="22"/>
  <c r="E18" i="22"/>
  <c r="D18" i="22" s="1"/>
  <c r="D20" i="22"/>
  <c r="J26" i="19" l="1"/>
  <c r="J19" i="23"/>
  <c r="I19" i="23" s="1"/>
  <c r="E20" i="22"/>
  <c r="E15" i="22"/>
  <c r="J10" i="23"/>
  <c r="J11" i="23"/>
  <c r="G16" i="23"/>
  <c r="G21" i="23"/>
  <c r="F35" i="22"/>
  <c r="F36" i="22"/>
  <c r="I15" i="23"/>
  <c r="I12" i="23"/>
  <c r="D24" i="22"/>
  <c r="D21" i="22"/>
  <c r="O34" i="24"/>
  <c r="O31" i="24"/>
  <c r="O33" i="24"/>
  <c r="G25" i="22"/>
  <c r="G34" i="22"/>
  <c r="E15" i="23"/>
  <c r="F21" i="23"/>
  <c r="F16" i="23"/>
  <c r="M33" i="24"/>
  <c r="M31" i="24"/>
  <c r="M34" i="24"/>
  <c r="H25" i="22"/>
  <c r="H34" i="22"/>
  <c r="I28" i="15"/>
  <c r="H25" i="15"/>
  <c r="G25" i="15"/>
  <c r="F25" i="15"/>
  <c r="E25" i="15"/>
  <c r="D25" i="15"/>
  <c r="I23" i="15"/>
  <c r="M36" i="24" l="1"/>
  <c r="M37" i="24"/>
  <c r="G36" i="22"/>
  <c r="G35" i="22"/>
  <c r="O36" i="24"/>
  <c r="O37" i="24"/>
  <c r="E21" i="22"/>
  <c r="E24" i="22"/>
  <c r="F26" i="23"/>
  <c r="F22" i="23"/>
  <c r="D25" i="22"/>
  <c r="D34" i="22"/>
  <c r="H15" i="23"/>
  <c r="H16" i="23" s="1"/>
  <c r="I16" i="23"/>
  <c r="I21" i="23"/>
  <c r="I10" i="23"/>
  <c r="H10" i="23" s="1"/>
  <c r="G10" i="23" s="1"/>
  <c r="K10" i="23"/>
  <c r="K9" i="23" s="1"/>
  <c r="K11" i="23" s="1"/>
  <c r="H35" i="22"/>
  <c r="H36" i="22"/>
  <c r="H38" i="22" s="1"/>
  <c r="K14" i="23"/>
  <c r="K13" i="23" s="1"/>
  <c r="E21" i="23"/>
  <c r="E16" i="23"/>
  <c r="G22" i="23"/>
  <c r="G26" i="23"/>
  <c r="J12" i="23"/>
  <c r="K12" i="23" s="1"/>
  <c r="J15" i="23"/>
  <c r="H18" i="15"/>
  <c r="G18" i="15"/>
  <c r="F18" i="15"/>
  <c r="E18" i="15"/>
  <c r="D18" i="15"/>
  <c r="H17" i="15"/>
  <c r="G17" i="15"/>
  <c r="F17" i="15"/>
  <c r="E17" i="15"/>
  <c r="D17" i="15"/>
  <c r="I16" i="15"/>
  <c r="H15" i="15"/>
  <c r="G15" i="15"/>
  <c r="F15" i="15"/>
  <c r="E15" i="15"/>
  <c r="D15" i="15"/>
  <c r="I14" i="15"/>
  <c r="H11" i="15"/>
  <c r="H24" i="15" s="1"/>
  <c r="G11" i="15"/>
  <c r="G24" i="15" s="1"/>
  <c r="F11" i="15"/>
  <c r="E11" i="15"/>
  <c r="E24" i="15" s="1"/>
  <c r="D11" i="15"/>
  <c r="D24" i="15" s="1"/>
  <c r="J9" i="15"/>
  <c r="I9" i="15"/>
  <c r="J7" i="15"/>
  <c r="I7" i="15"/>
  <c r="D66" i="20"/>
  <c r="D63" i="20"/>
  <c r="D62" i="20"/>
  <c r="I57" i="20"/>
  <c r="F57" i="20"/>
  <c r="H19" i="15" l="1"/>
  <c r="G19" i="15"/>
  <c r="I15" i="15"/>
  <c r="I11" i="15"/>
  <c r="I29" i="15" s="1"/>
  <c r="H29" i="15" s="1"/>
  <c r="G29" i="15" s="1"/>
  <c r="I17" i="15"/>
  <c r="J17" i="15" s="1"/>
  <c r="F19" i="15"/>
  <c r="E19" i="15"/>
  <c r="D19" i="15"/>
  <c r="J11" i="15"/>
  <c r="E24" i="19" s="1"/>
  <c r="D24" i="19"/>
  <c r="C24" i="19" s="1"/>
  <c r="M26" i="19"/>
  <c r="L26" i="19" s="1"/>
  <c r="J21" i="23"/>
  <c r="J16" i="23"/>
  <c r="K19" i="23"/>
  <c r="K18" i="23" s="1"/>
  <c r="E22" i="23"/>
  <c r="E26" i="23"/>
  <c r="F24" i="15"/>
  <c r="F29" i="15"/>
  <c r="E29" i="15" s="1"/>
  <c r="D29" i="15" s="1"/>
  <c r="D36" i="22"/>
  <c r="D35" i="22"/>
  <c r="F27" i="23"/>
  <c r="F29" i="23"/>
  <c r="I18" i="15"/>
  <c r="I20" i="15" s="1"/>
  <c r="I21" i="15" s="1"/>
  <c r="G20" i="15"/>
  <c r="I24" i="15"/>
  <c r="J24" i="15" s="1"/>
  <c r="J23" i="15" s="1"/>
  <c r="G27" i="23"/>
  <c r="G29" i="23"/>
  <c r="G33" i="23" s="1"/>
  <c r="E34" i="22"/>
  <c r="E25" i="22"/>
  <c r="G38" i="22"/>
  <c r="H41" i="22"/>
  <c r="H40" i="22"/>
  <c r="H21" i="23"/>
  <c r="I22" i="23"/>
  <c r="I26" i="23"/>
  <c r="F20" i="15"/>
  <c r="F21" i="15" s="1"/>
  <c r="J16" i="15"/>
  <c r="E20" i="15"/>
  <c r="E21" i="15" s="1"/>
  <c r="J15" i="15"/>
  <c r="J14" i="15" s="1"/>
  <c r="D20" i="15"/>
  <c r="H20" i="15"/>
  <c r="K15" i="23"/>
  <c r="I56" i="20"/>
  <c r="J12" i="15" l="1"/>
  <c r="J18" i="15"/>
  <c r="J20" i="15" s="1"/>
  <c r="H22" i="23"/>
  <c r="H26" i="23"/>
  <c r="F38" i="22"/>
  <c r="G40" i="22"/>
  <c r="G41" i="22"/>
  <c r="H51" i="22"/>
  <c r="H52" i="22"/>
  <c r="H46" i="22"/>
  <c r="F33" i="23"/>
  <c r="G37" i="23"/>
  <c r="G36" i="23"/>
  <c r="H26" i="15"/>
  <c r="H21" i="15"/>
  <c r="I29" i="23"/>
  <c r="I27" i="23"/>
  <c r="N26" i="19"/>
  <c r="K16" i="23"/>
  <c r="K21" i="23"/>
  <c r="D26" i="15"/>
  <c r="D21" i="15"/>
  <c r="E35" i="22"/>
  <c r="E36" i="22"/>
  <c r="K36" i="22" s="1"/>
  <c r="G21" i="15"/>
  <c r="G26" i="15"/>
  <c r="K25" i="23"/>
  <c r="E27" i="23"/>
  <c r="E29" i="23"/>
  <c r="G26" i="19"/>
  <c r="F26" i="19" s="1"/>
  <c r="E26" i="19" s="1"/>
  <c r="D26" i="19" s="1"/>
  <c r="J26" i="23"/>
  <c r="J22" i="23"/>
  <c r="K26" i="19"/>
  <c r="J47" i="20"/>
  <c r="H47" i="20"/>
  <c r="G47" i="20"/>
  <c r="F47" i="20"/>
  <c r="E47" i="20"/>
  <c r="D47" i="20"/>
  <c r="I46" i="20"/>
  <c r="I45" i="20"/>
  <c r="F41" i="20"/>
  <c r="J39" i="20"/>
  <c r="F38" i="20"/>
  <c r="J31" i="20"/>
  <c r="H31" i="20"/>
  <c r="G31" i="20"/>
  <c r="F31" i="20"/>
  <c r="E31" i="20"/>
  <c r="D31" i="20"/>
  <c r="I30" i="20"/>
  <c r="I29" i="20"/>
  <c r="F24" i="20"/>
  <c r="I22" i="19" s="1"/>
  <c r="H19" i="20"/>
  <c r="G19" i="20"/>
  <c r="E19" i="20"/>
  <c r="D19" i="20"/>
  <c r="H11" i="20"/>
  <c r="H25" i="20" s="1"/>
  <c r="G25" i="20" s="1"/>
  <c r="G11" i="20"/>
  <c r="G16" i="20" s="1"/>
  <c r="E11" i="20"/>
  <c r="E16" i="20" s="1"/>
  <c r="D11" i="20"/>
  <c r="D15" i="20" s="1"/>
  <c r="F9" i="20"/>
  <c r="F7" i="20"/>
  <c r="I47" i="20" l="1"/>
  <c r="D20" i="20"/>
  <c r="E20" i="20"/>
  <c r="G20" i="20"/>
  <c r="J19" i="15"/>
  <c r="I19" i="15" s="1"/>
  <c r="I31" i="20"/>
  <c r="H20" i="20"/>
  <c r="D25" i="20"/>
  <c r="F11" i="20"/>
  <c r="F25" i="20" s="1"/>
  <c r="E25" i="20" s="1"/>
  <c r="D16" i="20"/>
  <c r="G17" i="20"/>
  <c r="J27" i="23"/>
  <c r="E33" i="23"/>
  <c r="F37" i="23"/>
  <c r="F36" i="23"/>
  <c r="J21" i="15"/>
  <c r="H26" i="19"/>
  <c r="K22" i="23"/>
  <c r="K26" i="23"/>
  <c r="F26" i="15"/>
  <c r="G30" i="15"/>
  <c r="G27" i="15"/>
  <c r="H30" i="15"/>
  <c r="H37" i="15" s="1"/>
  <c r="H27" i="15"/>
  <c r="H48" i="22"/>
  <c r="H49" i="22"/>
  <c r="E38" i="22"/>
  <c r="F40" i="22"/>
  <c r="F41" i="22"/>
  <c r="H15" i="20"/>
  <c r="G15" i="20"/>
  <c r="H16" i="20"/>
  <c r="E15" i="20"/>
  <c r="J25" i="15"/>
  <c r="I25" i="15" s="1"/>
  <c r="D30" i="15"/>
  <c r="G46" i="22"/>
  <c r="G51" i="22"/>
  <c r="G52" i="22"/>
  <c r="H29" i="23"/>
  <c r="H27" i="23"/>
  <c r="I24" i="20"/>
  <c r="I38" i="20"/>
  <c r="J26" i="15" l="1"/>
  <c r="J27" i="15" s="1"/>
  <c r="I11" i="20"/>
  <c r="I25" i="20" s="1"/>
  <c r="D38" i="22"/>
  <c r="E40" i="22"/>
  <c r="E41" i="22"/>
  <c r="G31" i="15"/>
  <c r="G37" i="15"/>
  <c r="G49" i="22"/>
  <c r="G48" i="22"/>
  <c r="J29" i="15"/>
  <c r="J28" i="15" s="1"/>
  <c r="D31" i="15"/>
  <c r="D37" i="15"/>
  <c r="H41" i="15"/>
  <c r="H38" i="15"/>
  <c r="H40" i="15"/>
  <c r="F52" i="22"/>
  <c r="F46" i="22"/>
  <c r="F51" i="22"/>
  <c r="K27" i="23"/>
  <c r="E26" i="15"/>
  <c r="F30" i="15"/>
  <c r="F27" i="15"/>
  <c r="I26" i="15"/>
  <c r="E37" i="23"/>
  <c r="E36" i="23"/>
  <c r="J30" i="15" l="1"/>
  <c r="J37" i="15" s="1"/>
  <c r="J38" i="15" s="1"/>
  <c r="G38" i="15"/>
  <c r="G41" i="15"/>
  <c r="G40" i="15"/>
  <c r="H24" i="19"/>
  <c r="J31" i="15"/>
  <c r="H44" i="15"/>
  <c r="H43" i="15"/>
  <c r="F31" i="15"/>
  <c r="F37" i="15"/>
  <c r="I30" i="15"/>
  <c r="I27" i="15"/>
  <c r="F48" i="22"/>
  <c r="F49" i="22"/>
  <c r="D38" i="15"/>
  <c r="D40" i="15"/>
  <c r="D41" i="15"/>
  <c r="D41" i="22"/>
  <c r="D40" i="22"/>
  <c r="E30" i="15"/>
  <c r="E27" i="15"/>
  <c r="D27" i="15" s="1"/>
  <c r="E52" i="22"/>
  <c r="E46" i="22"/>
  <c r="E51" i="22"/>
  <c r="G24" i="19" l="1"/>
  <c r="F24" i="19" s="1"/>
  <c r="F40" i="15"/>
  <c r="F38" i="15"/>
  <c r="F41" i="15"/>
  <c r="G44" i="15"/>
  <c r="G43" i="15"/>
  <c r="E31" i="15"/>
  <c r="E37" i="15"/>
  <c r="D43" i="15"/>
  <c r="D44" i="15"/>
  <c r="E48" i="22"/>
  <c r="E49" i="22"/>
  <c r="D51" i="22"/>
  <c r="D52" i="22"/>
  <c r="D46" i="22"/>
  <c r="I37" i="15"/>
  <c r="I31" i="15"/>
  <c r="H31" i="15" s="1"/>
  <c r="F43" i="15" l="1"/>
  <c r="F44" i="15"/>
  <c r="L45" i="22"/>
  <c r="D49" i="22"/>
  <c r="D48" i="22"/>
  <c r="I41" i="15"/>
  <c r="I38" i="15"/>
  <c r="I40" i="15"/>
  <c r="J40" i="15" s="1"/>
  <c r="J39" i="15" s="1"/>
  <c r="J41" i="15" s="1"/>
  <c r="E41" i="15"/>
  <c r="E40" i="15"/>
  <c r="E38" i="15"/>
  <c r="J43" i="15" l="1"/>
  <c r="I43" i="15"/>
  <c r="I44" i="15"/>
  <c r="E44" i="15"/>
  <c r="E43" i="15"/>
  <c r="E5" i="9" l="1"/>
  <c r="A3" i="9"/>
  <c r="D5" i="8" l="1"/>
  <c r="A3" i="8"/>
  <c r="D5" i="7" l="1"/>
  <c r="A3" i="7"/>
  <c r="D5" i="6" l="1"/>
  <c r="A3" i="6"/>
  <c r="D5" i="5" l="1"/>
  <c r="A3" i="5"/>
  <c r="D5" i="4" l="1"/>
  <c r="F56" i="20" l="1"/>
  <c r="J56" i="20"/>
  <c r="E5" i="1"/>
  <c r="E5" i="8" l="1"/>
  <c r="E5" i="7"/>
  <c r="E5" i="6"/>
  <c r="E5" i="5"/>
  <c r="E5" i="4"/>
  <c r="J14" i="20"/>
  <c r="F19" i="20"/>
  <c r="F5" i="1"/>
  <c r="J19" i="20" l="1"/>
  <c r="J21" i="20" s="1"/>
  <c r="F5" i="8"/>
  <c r="F5" i="7"/>
  <c r="F5" i="6"/>
  <c r="F5" i="5"/>
  <c r="F5" i="4"/>
  <c r="F21" i="20"/>
  <c r="E21" i="20" s="1"/>
  <c r="I19" i="20"/>
  <c r="F20" i="20"/>
  <c r="I21" i="20" l="1"/>
  <c r="H21" i="20" s="1"/>
  <c r="I20" i="20"/>
  <c r="G5" i="8"/>
  <c r="G5" i="7"/>
  <c r="G5" i="6"/>
  <c r="G5" i="5"/>
  <c r="G5" i="4"/>
  <c r="H5" i="1"/>
  <c r="D21" i="20"/>
  <c r="D22" i="20" s="1"/>
  <c r="D26" i="20" s="1"/>
  <c r="E22" i="20"/>
  <c r="E23" i="20" s="1"/>
  <c r="I41" i="20"/>
  <c r="F35" i="20"/>
  <c r="I35" i="20" s="1"/>
  <c r="M6" i="17"/>
  <c r="Q6" i="17" s="1"/>
  <c r="L6" i="17"/>
  <c r="P6" i="17" s="1"/>
  <c r="K6" i="17"/>
  <c r="O6" i="17" s="1"/>
  <c r="G21" i="20" l="1"/>
  <c r="G22" i="20" s="1"/>
  <c r="H22" i="20"/>
  <c r="H23" i="20" s="1"/>
  <c r="D27" i="20"/>
  <c r="D36" i="20"/>
  <c r="H5" i="8"/>
  <c r="H5" i="7"/>
  <c r="H5" i="6"/>
  <c r="H5" i="5"/>
  <c r="H5" i="4"/>
  <c r="I5" i="1"/>
  <c r="C14" i="6"/>
  <c r="C29" i="6"/>
  <c r="C22" i="6"/>
  <c r="D23" i="20"/>
  <c r="I5" i="8" l="1"/>
  <c r="I5" i="7"/>
  <c r="I5" i="6"/>
  <c r="I5" i="5"/>
  <c r="I5" i="4"/>
  <c r="J5" i="1"/>
  <c r="C15" i="6"/>
  <c r="C23" i="6"/>
  <c r="C30" i="6"/>
  <c r="D40" i="20"/>
  <c r="D37" i="20"/>
  <c r="D39" i="20"/>
  <c r="G26" i="20"/>
  <c r="G23" i="20"/>
  <c r="J5" i="8" l="1"/>
  <c r="J5" i="7"/>
  <c r="J5" i="6"/>
  <c r="J5" i="5"/>
  <c r="J5" i="4"/>
  <c r="K5" i="1"/>
  <c r="C31" i="6"/>
  <c r="C16" i="6"/>
  <c r="C24" i="6"/>
  <c r="D43" i="20"/>
  <c r="D42" i="20"/>
  <c r="G36" i="20"/>
  <c r="G27" i="20"/>
  <c r="J11" i="20"/>
  <c r="J16" i="20" s="1"/>
  <c r="F14" i="20"/>
  <c r="F16" i="20" s="1"/>
  <c r="E17" i="20"/>
  <c r="D17" i="20"/>
  <c r="H17" i="20"/>
  <c r="C7" i="19"/>
  <c r="H26" i="20"/>
  <c r="C22" i="19"/>
  <c r="D22" i="19"/>
  <c r="E26" i="20"/>
  <c r="E9" i="29"/>
  <c r="E15" i="29" s="1"/>
  <c r="I8" i="29"/>
  <c r="U31" i="17"/>
  <c r="U10" i="17" s="1"/>
  <c r="J22" i="19"/>
  <c r="F15" i="20" l="1"/>
  <c r="E22" i="19"/>
  <c r="J15" i="20"/>
  <c r="J20" i="20"/>
  <c r="I14" i="20"/>
  <c r="I15" i="20" s="1"/>
  <c r="W31" i="17"/>
  <c r="D54" i="20"/>
  <c r="D53" i="20"/>
  <c r="D48" i="20"/>
  <c r="K5" i="8"/>
  <c r="K5" i="7"/>
  <c r="K5" i="6"/>
  <c r="K5" i="5"/>
  <c r="K5" i="4"/>
  <c r="E27" i="20"/>
  <c r="E36" i="20"/>
  <c r="G37" i="20"/>
  <c r="G39" i="20"/>
  <c r="G40" i="20"/>
  <c r="C32" i="6"/>
  <c r="C25" i="6"/>
  <c r="C17" i="6"/>
  <c r="H27" i="20"/>
  <c r="H36" i="20"/>
  <c r="E16" i="29"/>
  <c r="E14" i="29"/>
  <c r="G9" i="29"/>
  <c r="G16" i="29" s="1"/>
  <c r="F22" i="20"/>
  <c r="F17" i="20"/>
  <c r="D60" i="20"/>
  <c r="J22" i="20"/>
  <c r="J17" i="20"/>
  <c r="G14" i="29"/>
  <c r="I16" i="20" l="1"/>
  <c r="I17" i="20" s="1"/>
  <c r="G15" i="29"/>
  <c r="G43" i="20"/>
  <c r="G42" i="20"/>
  <c r="C18" i="6"/>
  <c r="C33" i="6"/>
  <c r="C26" i="6"/>
  <c r="D51" i="20"/>
  <c r="D50" i="20"/>
  <c r="H37" i="20"/>
  <c r="H39" i="20"/>
  <c r="H40" i="20"/>
  <c r="E39" i="20"/>
  <c r="E40" i="20"/>
  <c r="E37" i="20"/>
  <c r="J57" i="20"/>
  <c r="D68" i="20"/>
  <c r="E7" i="19" s="1"/>
  <c r="D7" i="19"/>
  <c r="J23" i="20"/>
  <c r="N22" i="19"/>
  <c r="L22" i="19"/>
  <c r="F23" i="20"/>
  <c r="F26" i="20"/>
  <c r="V31" i="17"/>
  <c r="W10" i="17"/>
  <c r="I22" i="20" l="1"/>
  <c r="I26" i="20" s="1"/>
  <c r="H43" i="20"/>
  <c r="H42" i="20"/>
  <c r="E43" i="20"/>
  <c r="E42" i="20"/>
  <c r="J24" i="20"/>
  <c r="G54" i="20"/>
  <c r="G53" i="20"/>
  <c r="G48" i="20"/>
  <c r="F36" i="20"/>
  <c r="F22" i="19"/>
  <c r="L7" i="19" s="1"/>
  <c r="F27" i="20"/>
  <c r="I7" i="19"/>
  <c r="Q7" i="19"/>
  <c r="O7" i="19"/>
  <c r="J7" i="19"/>
  <c r="K7" i="19"/>
  <c r="M22" i="19" l="1"/>
  <c r="P7" i="19" s="1"/>
  <c r="I23" i="20"/>
  <c r="E54" i="20"/>
  <c r="E53" i="20"/>
  <c r="E48" i="20"/>
  <c r="H54" i="20"/>
  <c r="H53" i="20"/>
  <c r="H48" i="20"/>
  <c r="J25" i="20"/>
  <c r="K22" i="19"/>
  <c r="J26" i="20"/>
  <c r="G51" i="20"/>
  <c r="G50" i="20"/>
  <c r="F37" i="20"/>
  <c r="F40" i="20"/>
  <c r="F39" i="20"/>
  <c r="G22" i="19"/>
  <c r="M7" i="19" s="1"/>
  <c r="I36" i="20"/>
  <c r="I27" i="20"/>
  <c r="H51" i="20" l="1"/>
  <c r="H50" i="20"/>
  <c r="H22" i="19"/>
  <c r="N7" i="19" s="1"/>
  <c r="J27" i="20"/>
  <c r="E51" i="20"/>
  <c r="E50" i="20"/>
  <c r="F43" i="20"/>
  <c r="F42" i="20"/>
  <c r="I39" i="20"/>
  <c r="I40" i="20"/>
  <c r="I37" i="20"/>
  <c r="F48" i="20" l="1"/>
  <c r="F54" i="20"/>
  <c r="O22" i="19" s="1"/>
  <c r="F7" i="19" s="1"/>
  <c r="F53" i="20"/>
  <c r="U24" i="17"/>
  <c r="U32" i="17"/>
  <c r="I43" i="20"/>
  <c r="I42" i="20"/>
  <c r="U11" i="17" l="1"/>
  <c r="F50" i="20"/>
  <c r="F51" i="20"/>
  <c r="I48" i="20"/>
  <c r="I54" i="20"/>
  <c r="P22" i="19" s="1"/>
  <c r="G7" i="19" s="1"/>
  <c r="I53" i="20"/>
  <c r="W24" i="17"/>
  <c r="V24" i="17" s="1"/>
  <c r="W32" i="17"/>
  <c r="W11" i="17" l="1"/>
  <c r="V32" i="17"/>
  <c r="I50" i="20"/>
  <c r="I51" i="20"/>
  <c r="U25" i="17"/>
  <c r="U33" i="17"/>
  <c r="U12" i="17" l="1"/>
  <c r="W33" i="17"/>
  <c r="W25" i="17"/>
  <c r="V25" i="17" s="1"/>
  <c r="W12" i="17" l="1"/>
  <c r="V33" i="17"/>
  <c r="F5" i="9" l="1"/>
  <c r="G5" i="9" s="1"/>
  <c r="H5" i="9" s="1"/>
  <c r="I5" i="9" s="1"/>
  <c r="J5" i="9" s="1"/>
  <c r="K5" i="9" s="1"/>
  <c r="D56" i="15"/>
  <c r="D57" i="15" s="1"/>
  <c r="D58" i="15" s="1"/>
  <c r="D64" i="22"/>
  <c r="D65" i="22" s="1"/>
  <c r="D66" i="22" s="1"/>
  <c r="D51" i="23"/>
  <c r="D52" i="23" s="1"/>
  <c r="D53" i="23" s="1"/>
  <c r="D49" i="24"/>
  <c r="D50" i="24" s="1"/>
  <c r="D51" i="24" s="1"/>
  <c r="K9" i="22"/>
  <c r="K14" i="22" s="1"/>
  <c r="G27" i="19"/>
  <c r="F25" i="19"/>
  <c r="E17" i="24"/>
  <c r="N17" i="24" s="1"/>
  <c r="L9" i="22"/>
  <c r="E25" i="19" s="1"/>
  <c r="K13" i="22"/>
  <c r="L13" i="22" s="1"/>
  <c r="L12" i="22" s="1"/>
  <c r="K18" i="22"/>
  <c r="L18" i="22" s="1"/>
  <c r="K23" i="22"/>
  <c r="L23" i="22" s="1"/>
  <c r="L22" i="22" s="1"/>
  <c r="K25" i="19" s="1"/>
  <c r="P19" i="24"/>
  <c r="P20" i="24" s="1"/>
  <c r="P21" i="24" s="1"/>
  <c r="D25" i="19"/>
  <c r="D27" i="19"/>
  <c r="L24" i="19"/>
  <c r="L25" i="19"/>
  <c r="P24" i="19"/>
  <c r="G9" i="19" s="1"/>
  <c r="J32" i="23"/>
  <c r="J29" i="23" s="1"/>
  <c r="J33" i="23" s="1"/>
  <c r="P27" i="19"/>
  <c r="G12" i="19" s="1"/>
  <c r="L9" i="28"/>
  <c r="L14" i="28" s="1"/>
  <c r="E27" i="19"/>
  <c r="M24" i="19"/>
  <c r="M27" i="19"/>
  <c r="N24" i="19"/>
  <c r="O24" i="19"/>
  <c r="F9" i="19" s="1"/>
  <c r="O25" i="19"/>
  <c r="F10" i="19" s="1"/>
  <c r="O26" i="19"/>
  <c r="F11" i="19" s="1"/>
  <c r="K24" i="19"/>
  <c r="J24" i="19"/>
  <c r="J25" i="19"/>
  <c r="K32" i="23"/>
  <c r="K29" i="23"/>
  <c r="K33" i="23" s="1"/>
  <c r="K20" i="24"/>
  <c r="K24" i="24" s="1"/>
  <c r="J20" i="24"/>
  <c r="J21" i="24" s="1"/>
  <c r="I20" i="24"/>
  <c r="I24" i="24" s="1"/>
  <c r="K19" i="22"/>
  <c r="L20" i="24"/>
  <c r="L21" i="24" s="1"/>
  <c r="H18" i="22"/>
  <c r="F17" i="24"/>
  <c r="F19" i="24" s="1"/>
  <c r="E19" i="24"/>
  <c r="E20" i="24" s="1"/>
  <c r="D19" i="24"/>
  <c r="D20" i="24"/>
  <c r="D21" i="24" s="1"/>
  <c r="G17" i="24"/>
  <c r="G18" i="24" s="1"/>
  <c r="H33" i="23"/>
  <c r="H37" i="23" s="1"/>
  <c r="O18" i="24"/>
  <c r="I21" i="24"/>
  <c r="I33" i="23"/>
  <c r="I36" i="23" s="1"/>
  <c r="E18" i="24"/>
  <c r="F18" i="24"/>
  <c r="D24" i="24"/>
  <c r="D30" i="24" s="1"/>
  <c r="O23" i="24"/>
  <c r="H24" i="24"/>
  <c r="H30" i="24" s="1"/>
  <c r="K27" i="19"/>
  <c r="R22" i="27"/>
  <c r="Q23" i="27"/>
  <c r="R23" i="27" s="1"/>
  <c r="R24" i="27" s="1"/>
  <c r="Q22" i="27"/>
  <c r="Q24" i="27" s="1"/>
  <c r="P22" i="27"/>
  <c r="P24" i="27" s="1"/>
  <c r="O22" i="27"/>
  <c r="O24" i="27" s="1"/>
  <c r="N24" i="27"/>
  <c r="M24" i="27"/>
  <c r="L27" i="28"/>
  <c r="L28" i="28" s="1"/>
  <c r="D25" i="24" l="1"/>
  <c r="L17" i="22"/>
  <c r="L19" i="22" s="1"/>
  <c r="K21" i="24"/>
  <c r="D31" i="24"/>
  <c r="D34" i="24"/>
  <c r="D33" i="24"/>
  <c r="I25" i="24"/>
  <c r="I30" i="24"/>
  <c r="J36" i="23"/>
  <c r="J37" i="23"/>
  <c r="P26" i="19" s="1"/>
  <c r="G11" i="19" s="1"/>
  <c r="K15" i="22"/>
  <c r="K20" i="22"/>
  <c r="J47" i="15"/>
  <c r="J44" i="15" s="1"/>
  <c r="Q24" i="19" s="1"/>
  <c r="H9" i="19" s="1"/>
  <c r="D61" i="15"/>
  <c r="G19" i="24"/>
  <c r="F20" i="24"/>
  <c r="D69" i="22"/>
  <c r="L55" i="22"/>
  <c r="H33" i="24"/>
  <c r="H34" i="24"/>
  <c r="H31" i="24"/>
  <c r="E21" i="24"/>
  <c r="E24" i="24"/>
  <c r="K25" i="24"/>
  <c r="K30" i="24"/>
  <c r="K36" i="23"/>
  <c r="L16" i="28"/>
  <c r="I9" i="29"/>
  <c r="I16" i="29" s="1"/>
  <c r="K41" i="23"/>
  <c r="K37" i="23" s="1"/>
  <c r="Q26" i="19" s="1"/>
  <c r="H11" i="19" s="1"/>
  <c r="D56" i="23"/>
  <c r="N19" i="24"/>
  <c r="N20" i="24" s="1"/>
  <c r="N18" i="24"/>
  <c r="D54" i="24"/>
  <c r="P40" i="24"/>
  <c r="H25" i="24"/>
  <c r="H36" i="23"/>
  <c r="J24" i="24"/>
  <c r="N27" i="19"/>
  <c r="L14" i="22"/>
  <c r="I37" i="23"/>
  <c r="P24" i="24"/>
  <c r="I14" i="29"/>
  <c r="I15" i="29"/>
  <c r="P25" i="24" l="1"/>
  <c r="P30" i="24"/>
  <c r="H27" i="19"/>
  <c r="J30" i="24"/>
  <c r="J25" i="24"/>
  <c r="D77" i="22"/>
  <c r="E10" i="19" s="1"/>
  <c r="D10" i="19"/>
  <c r="H9" i="29"/>
  <c r="L19" i="28"/>
  <c r="L15" i="22"/>
  <c r="L20" i="22"/>
  <c r="N24" i="24"/>
  <c r="N21" i="24"/>
  <c r="L27" i="19"/>
  <c r="E25" i="24"/>
  <c r="E30" i="24"/>
  <c r="G20" i="24"/>
  <c r="G21" i="24" s="1"/>
  <c r="F21" i="24"/>
  <c r="F24" i="24"/>
  <c r="K21" i="22"/>
  <c r="K24" i="22"/>
  <c r="M25" i="19"/>
  <c r="I33" i="24"/>
  <c r="I31" i="24"/>
  <c r="I34" i="24"/>
  <c r="L24" i="24"/>
  <c r="L25" i="24" s="1"/>
  <c r="D11" i="19"/>
  <c r="D64" i="23"/>
  <c r="E11" i="19" s="1"/>
  <c r="H37" i="24"/>
  <c r="H36" i="24"/>
  <c r="D36" i="24"/>
  <c r="D37" i="24"/>
  <c r="D12" i="19"/>
  <c r="D62" i="24"/>
  <c r="E12" i="19" s="1"/>
  <c r="D69" i="15"/>
  <c r="E9" i="19" s="1"/>
  <c r="D9" i="19"/>
  <c r="L30" i="24"/>
  <c r="K34" i="24"/>
  <c r="K31" i="24"/>
  <c r="K33" i="24"/>
  <c r="J35" i="20"/>
  <c r="J36" i="20" s="1"/>
  <c r="J37" i="20" s="1"/>
  <c r="J38" i="20"/>
  <c r="J41" i="20"/>
  <c r="L33" i="24" l="1"/>
  <c r="L31" i="24"/>
  <c r="E31" i="24"/>
  <c r="E34" i="24"/>
  <c r="E33" i="24"/>
  <c r="F27" i="19"/>
  <c r="N25" i="24"/>
  <c r="N30" i="24"/>
  <c r="J10" i="19"/>
  <c r="L10" i="19"/>
  <c r="O10" i="19"/>
  <c r="I10" i="19"/>
  <c r="K10" i="19"/>
  <c r="P10" i="19"/>
  <c r="P31" i="24"/>
  <c r="P32" i="24"/>
  <c r="P34" i="24" s="1"/>
  <c r="O12" i="19"/>
  <c r="I12" i="19"/>
  <c r="K12" i="19"/>
  <c r="N12" i="19"/>
  <c r="P12" i="19"/>
  <c r="J12" i="19"/>
  <c r="M12" i="19"/>
  <c r="Q12" i="19"/>
  <c r="L12" i="19"/>
  <c r="I37" i="24"/>
  <c r="I36" i="24"/>
  <c r="I9" i="19"/>
  <c r="J9" i="19"/>
  <c r="K9" i="19"/>
  <c r="N9" i="19"/>
  <c r="M9" i="19"/>
  <c r="L9" i="19"/>
  <c r="P9" i="19"/>
  <c r="O9" i="19"/>
  <c r="Q9" i="19"/>
  <c r="M11" i="19"/>
  <c r="P11" i="19"/>
  <c r="J11" i="19"/>
  <c r="O11" i="19"/>
  <c r="N11" i="19"/>
  <c r="L11" i="19"/>
  <c r="K11" i="19"/>
  <c r="I11" i="19"/>
  <c r="Q11" i="19"/>
  <c r="F25" i="24"/>
  <c r="F30" i="24"/>
  <c r="G24" i="24"/>
  <c r="G25" i="24" s="1"/>
  <c r="L20" i="28"/>
  <c r="L24" i="28" s="1"/>
  <c r="K36" i="24"/>
  <c r="K37" i="24"/>
  <c r="G25" i="19"/>
  <c r="M10" i="19" s="1"/>
  <c r="K34" i="22"/>
  <c r="K25" i="22"/>
  <c r="L21" i="22"/>
  <c r="N25" i="19"/>
  <c r="Q10" i="19" s="1"/>
  <c r="L24" i="22"/>
  <c r="H14" i="29"/>
  <c r="H16" i="29"/>
  <c r="H15" i="29"/>
  <c r="J34" i="24"/>
  <c r="J33" i="24"/>
  <c r="J31" i="24"/>
  <c r="H24" i="7"/>
  <c r="J40" i="20"/>
  <c r="J43" i="20" s="1"/>
  <c r="L30" i="28" l="1"/>
  <c r="F9" i="29"/>
  <c r="J36" i="24"/>
  <c r="J37" i="24"/>
  <c r="P14" i="19"/>
  <c r="P13" i="19"/>
  <c r="L25" i="22"/>
  <c r="H25" i="19"/>
  <c r="N10" i="19" s="1"/>
  <c r="N13" i="19" s="1"/>
  <c r="L34" i="22"/>
  <c r="F34" i="24"/>
  <c r="F33" i="24"/>
  <c r="F31" i="24"/>
  <c r="G30" i="24"/>
  <c r="N15" i="19"/>
  <c r="J14" i="19"/>
  <c r="L13" i="19"/>
  <c r="L15" i="19"/>
  <c r="L14" i="19"/>
  <c r="J15" i="19"/>
  <c r="J13" i="19"/>
  <c r="K13" i="19"/>
  <c r="K14" i="19"/>
  <c r="K15" i="19"/>
  <c r="K38" i="22"/>
  <c r="K35" i="22"/>
  <c r="K37" i="22"/>
  <c r="L37" i="22" s="1"/>
  <c r="L36" i="22" s="1"/>
  <c r="O15" i="19"/>
  <c r="O14" i="19"/>
  <c r="O13" i="19"/>
  <c r="Q15" i="19"/>
  <c r="Q13" i="19"/>
  <c r="Q14" i="19"/>
  <c r="M14" i="19"/>
  <c r="M15" i="19"/>
  <c r="M13" i="19"/>
  <c r="I13" i="19"/>
  <c r="I15" i="19"/>
  <c r="I14" i="19"/>
  <c r="P36" i="24"/>
  <c r="P37" i="24"/>
  <c r="Q27" i="19" s="1"/>
  <c r="H12" i="19" s="1"/>
  <c r="N31" i="24"/>
  <c r="N34" i="24"/>
  <c r="N33" i="24"/>
  <c r="E37" i="24"/>
  <c r="E36" i="24"/>
  <c r="N14" i="19"/>
  <c r="P15" i="19"/>
  <c r="L34" i="24"/>
  <c r="I24" i="7"/>
  <c r="J24" i="7"/>
  <c r="J42" i="20"/>
  <c r="J53" i="20"/>
  <c r="J48" i="20"/>
  <c r="J54" i="20"/>
  <c r="Q22" i="19" s="1"/>
  <c r="H7" i="19" s="1"/>
  <c r="G24" i="7"/>
  <c r="K24" i="7"/>
  <c r="N37" i="24" l="1"/>
  <c r="O27" i="19" s="1"/>
  <c r="F12" i="19" s="1"/>
  <c r="N36" i="24"/>
  <c r="L37" i="24"/>
  <c r="L36" i="24"/>
  <c r="K41" i="22"/>
  <c r="K40" i="22"/>
  <c r="L40" i="22" s="1"/>
  <c r="G31" i="24"/>
  <c r="G33" i="24"/>
  <c r="L38" i="22"/>
  <c r="L35" i="22"/>
  <c r="F36" i="24"/>
  <c r="F37" i="24"/>
  <c r="G34" i="24"/>
  <c r="F15" i="29"/>
  <c r="F14" i="29"/>
  <c r="F16" i="29"/>
  <c r="J51" i="20"/>
  <c r="J50" i="20"/>
  <c r="L39" i="22" l="1"/>
  <c r="G36" i="24"/>
  <c r="G37" i="24"/>
  <c r="K46" i="22"/>
  <c r="K52" i="22"/>
  <c r="P25" i="19" s="1"/>
  <c r="G10" i="19" s="1"/>
  <c r="K51" i="22"/>
  <c r="F13" i="19"/>
  <c r="F14" i="19"/>
  <c r="F15" i="19"/>
  <c r="L41" i="22"/>
  <c r="U26" i="17"/>
  <c r="W26" i="17"/>
  <c r="K49" i="22" l="1"/>
  <c r="K48" i="22"/>
  <c r="G14" i="19"/>
  <c r="G13" i="19"/>
  <c r="G15" i="19"/>
  <c r="L52" i="22"/>
  <c r="Q25" i="19" s="1"/>
  <c r="H10" i="19" s="1"/>
  <c r="L46" i="22"/>
  <c r="L51" i="22"/>
  <c r="W34" i="17"/>
  <c r="V26" i="17"/>
  <c r="L48" i="22" l="1"/>
  <c r="L49" i="22"/>
  <c r="U34" i="17"/>
  <c r="U13" i="17" s="1"/>
  <c r="W13" i="17"/>
  <c r="V34" i="17" l="1"/>
  <c r="G51" i="8"/>
  <c r="H51" i="8" l="1"/>
  <c r="I51" i="8" l="1"/>
  <c r="J51" i="8" l="1"/>
  <c r="K51" i="8" l="1"/>
  <c r="H14" i="19" l="1"/>
  <c r="H13" i="19"/>
  <c r="H1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tc={DB942C2F-2AF3-4184-B9EF-0B3A73381070}</author>
    <author>tc={27180ABF-F78A-47EF-82F2-E8A6C94B4555}</author>
    <author>tc={4D486C3B-8CF6-4BCC-9438-6C113D19607B}</author>
    <author>tc={BE87E020-230E-472E-8EE6-102FA8F221EA}</author>
    <author>tc={6935889C-3ADA-4617-A67A-9BE3A5C16F89}</author>
    <author>tc={7D47221D-5DA5-4922-89D8-29863548979C}</author>
  </authors>
  <commentList>
    <comment ref="G8" authorId="0" shapeId="0" xr:uid="{DB942C2F-2AF3-4184-B9EF-0B3A73381070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correlations and estimates from other analysts</t>
      </text>
    </comment>
    <comment ref="G10" authorId="1" shapeId="0" xr:uid="{27180ABF-F78A-47EF-82F2-E8A6C94B4555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correlations and estimates from other analysts</t>
      </text>
    </comment>
    <comment ref="G36" authorId="2" shapeId="0" xr:uid="{4D486C3B-8CF6-4BCC-9438-6C113D19607B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the annual report</t>
      </text>
    </comment>
    <comment ref="G53" authorId="3" shapeId="0" xr:uid="{BE87E020-230E-472E-8EE6-102FA8F221EA}">
      <text>
        <t>[Threaded comment]
Your version of Excel allows you to read this threaded comment; however, any edits to it will get removed if the file is opened in a newer version of Excel. Learn more: https://go.microsoft.com/fwlink/?linkid=870924
Comment:
    3000 shares expected to be repurchased by 2023</t>
      </text>
    </comment>
    <comment ref="D55" authorId="4" shapeId="0" xr:uid="{6935889C-3ADA-4617-A67A-9BE3A5C16F89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2019</t>
      </text>
    </comment>
    <comment ref="D58" authorId="5" shapeId="0" xr:uid="{7D47221D-5DA5-4922-89D8-29863548979C}">
      <text>
        <t>[Threaded comment]
Your version of Excel allows you to read this threaded comment; however, any edits to it will get removed if the file is opened in a newer version of Excel. Learn more: https://go.microsoft.com/fwlink/?linkid=870924
Comment:
    hit and trial method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camp0880</author>
  </authors>
  <commentList>
    <comment ref="K46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Current portion of debt, capital leases and financing obligations</t>
        </r>
      </text>
    </comment>
    <comment ref="K48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Long-term debt, capital leases and financing obligations</t>
        </r>
      </text>
    </comment>
    <comment ref="D55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http://www.sec.gov/Archives/edgar/data/909990/000103570407000482/d47515prem14a.htm</t>
        </r>
      </text>
    </comment>
    <comment ref="D56" authorId="0" shapeId="0" xr:uid="{00000000-0006-0000-1100-000004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http://www.sec.gov/Archives/edgar/data/909990/000136231007000276/0001362310-07-000276-index.htm
- announcement on Feb 2, 2007
- used 10-K year ended Dec 31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G3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Based on 99 shares purchased times $73.82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O2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Shares were not re-adjusted for stock split on 6/2012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</author>
  </authors>
  <commentList>
    <comment ref="H3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H4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</author>
  </authors>
  <commentList>
    <comment ref="H35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Assumes same as 2Q 2011 levels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Bottini</author>
    <author>Guest</author>
  </authors>
  <commentList>
    <comment ref="C17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Mark Bottini:</t>
        </r>
        <r>
          <rPr>
            <sz val="9"/>
            <color indexed="81"/>
            <rFont val="Tahoma"/>
            <family val="2"/>
          </rPr>
          <t xml:space="preserve">
This is the net SG&amp;A amount after D&amp;A had been taken out</t>
        </r>
      </text>
    </comment>
    <comment ref="D37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E37" authorId="1" shapeId="0" xr:uid="{00000000-0006-0000-0C00-000003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F37" authorId="1" shapeId="0" xr:uid="{00000000-0006-0000-0C00-000004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G37" authorId="1" shapeId="0" xr:uid="{00000000-0006-0000-0C00-000005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H37" authorId="1" shapeId="0" xr:uid="{00000000-0006-0000-0C00-000006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K37" authorId="1" shapeId="0" xr:uid="{00000000-0006-0000-0C00-000007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E43" authorId="1" shapeId="0" xr:uid="{00000000-0006-0000-0C00-000008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F43" authorId="1" shapeId="0" xr:uid="{00000000-0006-0000-0C00-000009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G43" authorId="1" shapeId="0" xr:uid="{00000000-0006-0000-0C00-00000A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H43" authorId="1" shapeId="0" xr:uid="{00000000-0006-0000-0C00-00000B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K43" authorId="1" shapeId="0" xr:uid="{00000000-0006-0000-0C00-00000C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F44" authorId="0" shapeId="0" xr:uid="{00000000-0006-0000-0C00-00000D000000}">
      <text>
        <r>
          <rPr>
            <b/>
            <sz val="9"/>
            <color indexed="81"/>
            <rFont val="Tahoma"/>
            <family val="2"/>
          </rPr>
          <t>Mark Bottini:</t>
        </r>
        <r>
          <rPr>
            <sz val="9"/>
            <color indexed="81"/>
            <rFont val="Tahoma"/>
            <family val="2"/>
          </rPr>
          <t xml:space="preserve">
Net redemption and repurchase of senior notes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camp0880</author>
  </authors>
  <commentList>
    <comment ref="D48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from 10-K filed Mar 15, 2012</t>
        </r>
      </text>
    </comment>
    <comment ref="D49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from 10-K filed Mar 15, 2012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</author>
  </authors>
  <commentList>
    <comment ref="J2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Assumes same as 2Q 2011 levels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camp0880</author>
  </authors>
  <commentList>
    <comment ref="C22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after taxes and before non-recurring charges or credits directly attributable to the transaction</t>
        </r>
      </text>
    </comment>
    <comment ref="D43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http://www.sec.gov/Archives/edgar/data/95585/000093041307007842/c50663_defm14a.htm#unaudited1</t>
        </r>
      </text>
    </comment>
  </commentList>
</comments>
</file>

<file path=xl/sharedStrings.xml><?xml version="1.0" encoding="utf-8"?>
<sst xmlns="http://schemas.openxmlformats.org/spreadsheetml/2006/main" count="964" uniqueCount="424">
  <si>
    <t>Other</t>
  </si>
  <si>
    <t>EBIT</t>
  </si>
  <si>
    <t>EBITDA</t>
  </si>
  <si>
    <t>Depreciation</t>
  </si>
  <si>
    <t>Basic</t>
  </si>
  <si>
    <t>Diluted</t>
  </si>
  <si>
    <t>Assets</t>
  </si>
  <si>
    <t>Goodwill</t>
  </si>
  <si>
    <t>Liabilities</t>
  </si>
  <si>
    <t>Balance? (Y/N)</t>
  </si>
  <si>
    <t>Debt Schedule</t>
  </si>
  <si>
    <t>Existing PP&amp;E</t>
  </si>
  <si>
    <t>Match? (Y/N)</t>
  </si>
  <si>
    <t>Equity in earnings of unconsolidated affiliates</t>
  </si>
  <si>
    <t>Consolidated Statements of Cash Flows</t>
  </si>
  <si>
    <t>Consolidated Income Statements</t>
  </si>
  <si>
    <t>Consolidated Balance Sheets</t>
  </si>
  <si>
    <t>Operating Working Capital Schedule (OWC)</t>
  </si>
  <si>
    <t>SUPPLEMENTAL DATA:</t>
  </si>
  <si>
    <t>Deferred income taxes</t>
  </si>
  <si>
    <t>Cash flows from operating activities</t>
  </si>
  <si>
    <t>Cash flows from investing activities</t>
  </si>
  <si>
    <t>Cash flows from financing activities</t>
  </si>
  <si>
    <t>Changes in accounts receivable</t>
  </si>
  <si>
    <t>Changes in inventory</t>
  </si>
  <si>
    <t>Changes in accounts payable</t>
  </si>
  <si>
    <t>Cash and cash equivalents</t>
  </si>
  <si>
    <t>Accounts payable</t>
  </si>
  <si>
    <t>Total current assets</t>
  </si>
  <si>
    <t>Total current liabilities</t>
  </si>
  <si>
    <t>Property, plant and equipment, net</t>
  </si>
  <si>
    <t>Accumulated other comprehensive income (loss)</t>
  </si>
  <si>
    <t>Actuals</t>
  </si>
  <si>
    <t>Estimates</t>
  </si>
  <si>
    <t>Short-term debt</t>
  </si>
  <si>
    <t>Long-term debt</t>
  </si>
  <si>
    <t>Short-term borrowings (repayments)</t>
  </si>
  <si>
    <t>Long-term borrowings (repayments)</t>
  </si>
  <si>
    <t>Long term debt (beginning of year)</t>
  </si>
  <si>
    <t>Revenue</t>
  </si>
  <si>
    <t>Y/Y revenue growth (%)</t>
  </si>
  <si>
    <t>Cost of goods sold</t>
  </si>
  <si>
    <t>COGS as a % of revenue</t>
  </si>
  <si>
    <t>Gross profit margin (%)</t>
  </si>
  <si>
    <t>Selling, general and administrative</t>
  </si>
  <si>
    <t>EBITDA margin (%)</t>
  </si>
  <si>
    <t>Depreciation and amortization</t>
  </si>
  <si>
    <t>EBIT margin (%)</t>
  </si>
  <si>
    <t>Interest income</t>
  </si>
  <si>
    <t>Operating expenses</t>
  </si>
  <si>
    <t>Total operating expenses</t>
  </si>
  <si>
    <t>Other income</t>
  </si>
  <si>
    <t>Income before tax (IBT)</t>
  </si>
  <si>
    <t>All-in effective tax rate (%)</t>
  </si>
  <si>
    <t>IBT margin (%)</t>
  </si>
  <si>
    <t>Income tax expense</t>
  </si>
  <si>
    <t>Non-recurring events</t>
  </si>
  <si>
    <t>Discontinued operations</t>
  </si>
  <si>
    <t>Other items</t>
  </si>
  <si>
    <t>Net income</t>
  </si>
  <si>
    <t>Earnings per share (EPS)</t>
  </si>
  <si>
    <t xml:space="preserve">Average common shares outstanding </t>
  </si>
  <si>
    <t>Gross profit</t>
  </si>
  <si>
    <t>Total revenue</t>
  </si>
  <si>
    <t>Cash flow before debt paydown</t>
  </si>
  <si>
    <t>Current assets:</t>
  </si>
  <si>
    <t>Total assets</t>
  </si>
  <si>
    <t>Current liabilities:</t>
  </si>
  <si>
    <t>Total liabilities</t>
  </si>
  <si>
    <t>Retained earnings</t>
  </si>
  <si>
    <t>Total book depreciation</t>
  </si>
  <si>
    <t>Accelerated depreciation (%)</t>
  </si>
  <si>
    <t>Total tax depreciation</t>
  </si>
  <si>
    <t>Difference in depreciation</t>
  </si>
  <si>
    <t>Tax rate (%)</t>
  </si>
  <si>
    <t>Deferred taxes</t>
  </si>
  <si>
    <t>Current assets</t>
  </si>
  <si>
    <t>Days receivable</t>
  </si>
  <si>
    <t>Inventory turnover days</t>
  </si>
  <si>
    <t>Current liabilities</t>
  </si>
  <si>
    <t>Days payable</t>
  </si>
  <si>
    <t>Cash at beginning of year</t>
  </si>
  <si>
    <t>Total cash available to pay down debt</t>
  </si>
  <si>
    <t>Long term debt</t>
  </si>
  <si>
    <t>Short term interest expense</t>
  </si>
  <si>
    <t>Long term debt (end of year)</t>
  </si>
  <si>
    <t>Net interest expense</t>
  </si>
  <si>
    <t>Interest</t>
  </si>
  <si>
    <t>Total non-recurring events</t>
  </si>
  <si>
    <t>Days prepaid</t>
  </si>
  <si>
    <t>Total operating working capital</t>
  </si>
  <si>
    <t>Change in total operating working capital</t>
  </si>
  <si>
    <t>Cash available to pay down debt</t>
  </si>
  <si>
    <t>Cash at the end of the year</t>
  </si>
  <si>
    <t>Total interest expense</t>
  </si>
  <si>
    <t xml:space="preserve">Mandatory issuances / (retirements) </t>
  </si>
  <si>
    <t>Non-mandatory issuances / (retirements)</t>
  </si>
  <si>
    <t>Total issuances / (retirements)</t>
  </si>
  <si>
    <t>Short term interest rate</t>
  </si>
  <si>
    <t>Interest rate</t>
  </si>
  <si>
    <t>SG&amp;A as a % of revenue</t>
  </si>
  <si>
    <t>Total change in cash and cash equivalents</t>
  </si>
  <si>
    <t>Minimum cash cushion</t>
  </si>
  <si>
    <t>Common stock par value + additional paid-in-capital</t>
  </si>
  <si>
    <t>Membership and Other Income</t>
  </si>
  <si>
    <t>Interest expense (Debt)</t>
  </si>
  <si>
    <t>(in US$ millions)</t>
  </si>
  <si>
    <t>Accrued liabilities</t>
  </si>
  <si>
    <t>Other Operating Activities</t>
  </si>
  <si>
    <t>Changes in accrued liabilities</t>
  </si>
  <si>
    <t>Purchase of redeemable noncontrolling interest</t>
  </si>
  <si>
    <t>Capital Lease Obligations</t>
  </si>
  <si>
    <t>Other assets and deferred charges</t>
  </si>
  <si>
    <t>Long-term obligations under capital leases</t>
  </si>
  <si>
    <t>Noncontrolling interest</t>
  </si>
  <si>
    <t>Discounted Cash Flow Analysis</t>
  </si>
  <si>
    <t>Unlevered Free Cash Flow</t>
  </si>
  <si>
    <t>Depreciation &amp; Amortization</t>
  </si>
  <si>
    <t>Deferred Taxes</t>
  </si>
  <si>
    <t>Changes in Working Capital</t>
  </si>
  <si>
    <t>Capital Expenditures</t>
  </si>
  <si>
    <t>Taxes</t>
  </si>
  <si>
    <t>Total Unlevered Free Cash Flow</t>
  </si>
  <si>
    <t>Net Present Value Calulation</t>
  </si>
  <si>
    <t>Period</t>
  </si>
  <si>
    <t>Discounted Cash Flow</t>
  </si>
  <si>
    <t>Total Net Present Value</t>
  </si>
  <si>
    <t>Terminal Value</t>
  </si>
  <si>
    <t>EBITDA Method</t>
  </si>
  <si>
    <t>Exit Year EBITDA</t>
  </si>
  <si>
    <t xml:space="preserve">Risk Free Rate </t>
  </si>
  <si>
    <t>Multiple</t>
  </si>
  <si>
    <t xml:space="preserve">Stock Price </t>
  </si>
  <si>
    <t xml:space="preserve">Beta </t>
  </si>
  <si>
    <t>Shares Outstanding</t>
  </si>
  <si>
    <t>Net Present Value</t>
  </si>
  <si>
    <t xml:space="preserve">Cost of Equity </t>
  </si>
  <si>
    <t>Equity Value</t>
  </si>
  <si>
    <t>Perpetuity Method</t>
  </si>
  <si>
    <t xml:space="preserve">Cost of Debt </t>
  </si>
  <si>
    <t>Growth Rate</t>
  </si>
  <si>
    <t>WACC</t>
  </si>
  <si>
    <t>Comparable Companies Analysis</t>
  </si>
  <si>
    <t>Current Stock Price$</t>
  </si>
  <si>
    <t>Market Capitalization (Value)$</t>
  </si>
  <si>
    <t>Enterprise</t>
  </si>
  <si>
    <t>Price / Earnings</t>
  </si>
  <si>
    <t>Value</t>
  </si>
  <si>
    <t>Company</t>
  </si>
  <si>
    <t>$MM</t>
  </si>
  <si>
    <t>x</t>
  </si>
  <si>
    <t>High</t>
  </si>
  <si>
    <t>Low</t>
  </si>
  <si>
    <t>Operating Statistics</t>
  </si>
  <si>
    <t>Sales</t>
  </si>
  <si>
    <t>D&amp;A</t>
  </si>
  <si>
    <t>EPS</t>
  </si>
  <si>
    <t>LTM</t>
  </si>
  <si>
    <t>1Q2011A</t>
  </si>
  <si>
    <t>2Q2011A</t>
  </si>
  <si>
    <t>Target Income Statement</t>
  </si>
  <si>
    <t>Interest expense</t>
  </si>
  <si>
    <t>E.V. / Revenue</t>
  </si>
  <si>
    <t>E.V. / EBIT</t>
  </si>
  <si>
    <t>E.V. / EBITDA</t>
  </si>
  <si>
    <t>COSTCO</t>
  </si>
  <si>
    <t>$/share</t>
  </si>
  <si>
    <t>Median</t>
  </si>
  <si>
    <t>Effect of Exchange Rate on Cash</t>
  </si>
  <si>
    <t>Long term debt due within one year</t>
  </si>
  <si>
    <t>Share Price</t>
  </si>
  <si>
    <t>Market value</t>
  </si>
  <si>
    <t>Convertible debt</t>
  </si>
  <si>
    <t>Minority interest</t>
  </si>
  <si>
    <t xml:space="preserve">  Less: Cash &amp; equivalents</t>
  </si>
  <si>
    <t>Enterprise value</t>
  </si>
  <si>
    <t>Credit card revenue</t>
  </si>
  <si>
    <t>Cost of Sales</t>
  </si>
  <si>
    <t>Credit card expenses</t>
  </si>
  <si>
    <t>Cost of Sales as a % of revenue</t>
  </si>
  <si>
    <t>Credit Card Expenses as a % of revenue</t>
  </si>
  <si>
    <t>Non-recoursed debt</t>
  </si>
  <si>
    <t>D&amp;A % of Revenue</t>
  </si>
  <si>
    <t>1Q2012A</t>
  </si>
  <si>
    <t>2Q2012A</t>
  </si>
  <si>
    <t>LTM 2012</t>
  </si>
  <si>
    <t>Membership fees</t>
  </si>
  <si>
    <t>Preopening expenses</t>
  </si>
  <si>
    <t xml:space="preserve">Foreign-currency transactions gains (losses), net </t>
  </si>
  <si>
    <t>—</t>
  </si>
  <si>
    <t>52-week</t>
  </si>
  <si>
    <t>Precedent</t>
  </si>
  <si>
    <t xml:space="preserve">Discounted </t>
  </si>
  <si>
    <t>high / low</t>
  </si>
  <si>
    <t>transactions</t>
  </si>
  <si>
    <t>cash flow analysis</t>
  </si>
  <si>
    <t>Share price</t>
  </si>
  <si>
    <t>Shares outstanding</t>
  </si>
  <si>
    <t>Equity value</t>
  </si>
  <si>
    <t>Net debt</t>
  </si>
  <si>
    <t>Category</t>
  </si>
  <si>
    <t>Lower end</t>
  </si>
  <si>
    <t>variance</t>
  </si>
  <si>
    <t>Higher end</t>
  </si>
  <si>
    <t>52-Week high/low</t>
  </si>
  <si>
    <t>Selected companies analysis</t>
  </si>
  <si>
    <t>Precedent transaction</t>
  </si>
  <si>
    <t>Discounted cash flow analysis</t>
  </si>
  <si>
    <t>Current value</t>
  </si>
  <si>
    <t>(in US$ millions except per share amounts)</t>
  </si>
  <si>
    <t>Net Sales</t>
  </si>
  <si>
    <t>% Growth</t>
  </si>
  <si>
    <t>EBT</t>
  </si>
  <si>
    <t>EBT margin (%)</t>
  </si>
  <si>
    <t>Distributions</t>
  </si>
  <si>
    <t>Net Income (as Reported)</t>
  </si>
  <si>
    <t>Net Income (Adjusted)</t>
  </si>
  <si>
    <t>Income attributable to non-controlling interests</t>
  </si>
  <si>
    <t>Non-controlling interests % of Net Income</t>
  </si>
  <si>
    <t>Net Income (After non-recurring events)</t>
  </si>
  <si>
    <t>Total cash flows from operating activities</t>
  </si>
  <si>
    <t>Investments and business acquisitions, net of cash acquired</t>
  </si>
  <si>
    <t>Other investing activities</t>
  </si>
  <si>
    <t>Total cash from investing activities</t>
  </si>
  <si>
    <t>Dividends paid</t>
  </si>
  <si>
    <t>Purchase of common stock [treasury stock]</t>
  </si>
  <si>
    <t>Total cash from financing activities</t>
  </si>
  <si>
    <t>Payments for property and equipment (CAPEX)</t>
  </si>
  <si>
    <t>PP&amp;E Years</t>
  </si>
  <si>
    <t>Book (GAAP) depreciation</t>
  </si>
  <si>
    <t>Useful Life</t>
  </si>
  <si>
    <t>CAPEX Years</t>
  </si>
  <si>
    <t>Accelerated depreciation</t>
  </si>
  <si>
    <t>Receivables, net</t>
  </si>
  <si>
    <t>Inventories</t>
  </si>
  <si>
    <t>Prepaid expenses and other</t>
  </si>
  <si>
    <t>Accrued taxes</t>
  </si>
  <si>
    <t>Days Payable</t>
  </si>
  <si>
    <t>Changes in operating working capital</t>
  </si>
  <si>
    <t>Net changes in operating working capital</t>
  </si>
  <si>
    <t>Total liabilities &amp; equity</t>
  </si>
  <si>
    <t>Long term obligations under capital leases</t>
  </si>
  <si>
    <t>Long term obligations under capital leases (beginning of year)</t>
  </si>
  <si>
    <t>Long term obligations under capital leases (end of year)</t>
  </si>
  <si>
    <t>Long term debt due within one year (beginning of year)</t>
  </si>
  <si>
    <t>Long term debt due within one year (end of year)</t>
  </si>
  <si>
    <t xml:space="preserve"> </t>
  </si>
  <si>
    <t>2012A</t>
  </si>
  <si>
    <t>Q1 2011A</t>
  </si>
  <si>
    <t>Q2 2011A</t>
  </si>
  <si>
    <t>Q3 2011A</t>
  </si>
  <si>
    <t>Q1 2012A</t>
  </si>
  <si>
    <t>Q2 2012A</t>
  </si>
  <si>
    <t>Q3 2012A</t>
  </si>
  <si>
    <t>2013E</t>
  </si>
  <si>
    <t>YE Adjusted</t>
  </si>
  <si>
    <t>Costco Income Statement</t>
  </si>
  <si>
    <t>Total Other Income</t>
  </si>
  <si>
    <t>Effective tax rate (%)</t>
  </si>
  <si>
    <t>Earnings before tax (EBT)</t>
  </si>
  <si>
    <t>Net income (adjusted)</t>
  </si>
  <si>
    <t>Net income (as reported)</t>
  </si>
  <si>
    <t>Income attributable to noncontrolling interests</t>
  </si>
  <si>
    <t>% of net income</t>
  </si>
  <si>
    <t>Net income (before minority interests)</t>
  </si>
  <si>
    <t>Earnings per share (As reported)</t>
  </si>
  <si>
    <t>Earnings per share (adjusted)</t>
  </si>
  <si>
    <t>Q4 2012E</t>
  </si>
  <si>
    <t>Q4 2011E</t>
  </si>
  <si>
    <t>Average option strike price</t>
  </si>
  <si>
    <t>Total option proceeds</t>
  </si>
  <si>
    <t>Number of outstanding options (in the money)</t>
  </si>
  <si>
    <t>Total diluted shares outstanding</t>
  </si>
  <si>
    <t>Number of basic shares outstanding</t>
  </si>
  <si>
    <t>Treasury stock method shares repurchased</t>
  </si>
  <si>
    <t>Additional shares outstanding</t>
  </si>
  <si>
    <t>Costco Enterprise Value</t>
  </si>
  <si>
    <t>Capital lease obligations</t>
  </si>
  <si>
    <t>Preferred securities</t>
  </si>
  <si>
    <t>Long-term debt (includes current portions)</t>
  </si>
  <si>
    <t>Walmart</t>
  </si>
  <si>
    <t>Debt YE 2012</t>
  </si>
  <si>
    <t>Cost of Capital</t>
  </si>
  <si>
    <t xml:space="preserve">Discounted Cash Flow Total Valuation </t>
  </si>
  <si>
    <t xml:space="preserve">EBITDA Method </t>
  </si>
  <si>
    <t>Total of Present Value of Cash Flows</t>
  </si>
  <si>
    <t>Present Value of Terminal Value</t>
  </si>
  <si>
    <t>Total Enterprise Value</t>
  </si>
  <si>
    <t>Estimated Equity Value per Share</t>
  </si>
  <si>
    <t>Enterprise Value</t>
  </si>
  <si>
    <t>2012A EBITDA</t>
  </si>
  <si>
    <t>Comparable</t>
  </si>
  <si>
    <t>company analysis</t>
  </si>
  <si>
    <t>Comparable company analysis</t>
  </si>
  <si>
    <t>Precedent transactions</t>
  </si>
  <si>
    <t>Loss from discountinued operations</t>
  </si>
  <si>
    <t>Target Enterprise Value</t>
  </si>
  <si>
    <t>Target</t>
  </si>
  <si>
    <t>Target Diluted Shares</t>
  </si>
  <si>
    <t>Costco Diluted Shares</t>
  </si>
  <si>
    <t>Dollar General Diluted Shares</t>
  </si>
  <si>
    <t>Dollar General Enterprise Value</t>
  </si>
  <si>
    <t>Dollar General</t>
  </si>
  <si>
    <t>Dollar Tree Income Statement</t>
  </si>
  <si>
    <t>(in $ millions except for per share data)</t>
  </si>
  <si>
    <t>2011A</t>
  </si>
  <si>
    <t>Net sales</t>
  </si>
  <si>
    <t>Cost of sales</t>
  </si>
  <si>
    <t>Cost of sales as a % of revenue</t>
  </si>
  <si>
    <t>Gross profit as a % of revenue</t>
  </si>
  <si>
    <t>Selling, general and administrative expenses</t>
  </si>
  <si>
    <t>SG&amp;A profit as a % of revenue</t>
  </si>
  <si>
    <t>Depreciation as a % of revenue</t>
  </si>
  <si>
    <t>Interest expense, net</t>
  </si>
  <si>
    <t>Other income, net</t>
  </si>
  <si>
    <t>Income before income taxes (EBT)</t>
  </si>
  <si>
    <t>Provision for income taxes</t>
  </si>
  <si>
    <t>Reported EBT</t>
  </si>
  <si>
    <t>Effective tax rate</t>
  </si>
  <si>
    <t>Net income per share</t>
  </si>
  <si>
    <t>Weighted average shares outstanding (millions)</t>
  </si>
  <si>
    <t>Dollar Tree Diluted Shares</t>
  </si>
  <si>
    <t>Dollar Tree Enterprise Value</t>
  </si>
  <si>
    <t>Dollar Tree</t>
  </si>
  <si>
    <t>YE Adjustments</t>
  </si>
  <si>
    <t>4Q2012E</t>
  </si>
  <si>
    <t>3Q2012A</t>
  </si>
  <si>
    <t>4Q2011E</t>
  </si>
  <si>
    <t>3Q2011A</t>
  </si>
  <si>
    <t>Family Dollar Stores Income Statement</t>
  </si>
  <si>
    <t>Family Dollar Store</t>
  </si>
  <si>
    <t>Pre-opening expenses</t>
  </si>
  <si>
    <t>13E</t>
  </si>
  <si>
    <t>12A</t>
  </si>
  <si>
    <t>Period Ending January 31</t>
  </si>
  <si>
    <t>On January 31</t>
  </si>
  <si>
    <t>Diluted Shares</t>
  </si>
  <si>
    <t>10-Q (2007.06.13)</t>
  </si>
  <si>
    <t>10-Q (2007.09.12)</t>
  </si>
  <si>
    <t>DEFM14A (2007.10.10)</t>
  </si>
  <si>
    <t>Sources:</t>
  </si>
  <si>
    <t>Total net debt</t>
  </si>
  <si>
    <t>Less: Cash and cash equivalents</t>
  </si>
  <si>
    <t>Current portion of obligations under capital leases</t>
  </si>
  <si>
    <t>Current portion of long-term debt</t>
  </si>
  <si>
    <t>As of</t>
  </si>
  <si>
    <t>(In $ millions except for per share amounts)</t>
  </si>
  <si>
    <t>Net Debt - Pathmark Stores Inc.</t>
  </si>
  <si>
    <t>Net (loss) income</t>
  </si>
  <si>
    <t>Impariment of a long-lived asset</t>
  </si>
  <si>
    <t>Net (loss) income from continuing operations</t>
  </si>
  <si>
    <t>Benefit from income taxes</t>
  </si>
  <si>
    <t>Loss from continuing operations before income taxes</t>
  </si>
  <si>
    <t>Interest and dividend income</t>
  </si>
  <si>
    <t>Store operating, general and administrative expenses</t>
  </si>
  <si>
    <t>Gross margin</t>
  </si>
  <si>
    <t>Cost of merchandise sold</t>
  </si>
  <si>
    <t>Ended</t>
  </si>
  <si>
    <t>13-Weeks-</t>
  </si>
  <si>
    <t>53-Weeks-</t>
  </si>
  <si>
    <t>Income Statement - Pathmark Stores Inc.</t>
  </si>
  <si>
    <t>10-K (2007.03.15)</t>
  </si>
  <si>
    <t>PREM14A (2007.06.15)</t>
  </si>
  <si>
    <t>Conversion Factor:</t>
  </si>
  <si>
    <t>2006A</t>
  </si>
  <si>
    <t>(In $ thousands except for per share amounts)</t>
  </si>
  <si>
    <t>Net Debt - Wild Oats Markets</t>
  </si>
  <si>
    <t>Net income (loss)</t>
  </si>
  <si>
    <t>Total nonrecurring events</t>
  </si>
  <si>
    <t>Restructuring and asset impairment charges (income), net</t>
  </si>
  <si>
    <t>Loss on disposal of assets, net</t>
  </si>
  <si>
    <t>Nonrecurring events</t>
  </si>
  <si>
    <t>Net income (loss) from continuing operations</t>
  </si>
  <si>
    <t>Income (loss) before income taxes</t>
  </si>
  <si>
    <t>Direct store expenses</t>
  </si>
  <si>
    <t>Cost of goods sold and occupancy costs</t>
  </si>
  <si>
    <t>Year ended December 31</t>
  </si>
  <si>
    <t>Income Statement - Wild Oats Markets</t>
  </si>
  <si>
    <t>Dollar General Income Statement</t>
  </si>
  <si>
    <t>Net income (before noncontrolling interests)</t>
  </si>
  <si>
    <t>Precedent Transactions</t>
  </si>
  <si>
    <t>Transaction Date</t>
  </si>
  <si>
    <t xml:space="preserve">Purchase Price </t>
  </si>
  <si>
    <t>Equity Value /</t>
  </si>
  <si>
    <t>Enterprise Value /</t>
  </si>
  <si>
    <t>Market Value</t>
  </si>
  <si>
    <t>Earnings</t>
  </si>
  <si>
    <t>Transaction</t>
  </si>
  <si>
    <t>KKR / Dollar General</t>
  </si>
  <si>
    <t>The Great Atlantic &amp; Pacific Tea Co. / Pathmark Stores Inc.</t>
  </si>
  <si>
    <t>N.M.</t>
  </si>
  <si>
    <t>Whole Foods Market Inc. / Wild Oats Markets Inc</t>
  </si>
  <si>
    <t>Rite Aid Corporation / Jean Coutu Group (Brooks-Eckerd)</t>
  </si>
  <si>
    <t>N/A</t>
  </si>
  <si>
    <t>Supervalu Inc., CVS Corporation, Cerberus Capital Management, L.P. / Albertson's, Inc</t>
  </si>
  <si>
    <t>Bon-Ton Stores Inc. / Saks Inc. (Northern)</t>
  </si>
  <si>
    <t>Bain Capital LLC / Dollarama Inc</t>
  </si>
  <si>
    <t>Share Count (millions)</t>
  </si>
  <si>
    <t xml:space="preserve">Shareholders' equity </t>
  </si>
  <si>
    <t>Total shareholders' equity</t>
  </si>
  <si>
    <t>Short term borrowings / revolver</t>
  </si>
  <si>
    <t>Short term borrowings (beginning of year)</t>
  </si>
  <si>
    <t>Short term borrowings (end of year)</t>
  </si>
  <si>
    <t xml:space="preserve">Obligations under capital leases due within one year </t>
  </si>
  <si>
    <t>Obligations under capital leases due within one year  (beginning of year)</t>
  </si>
  <si>
    <t>Obligations under capital leases due within one year  (end of year)</t>
  </si>
  <si>
    <t xml:space="preserve">Market Risk Premium </t>
  </si>
  <si>
    <t>Net Debt, Non-controlling interests, preferred securities</t>
  </si>
  <si>
    <t>Net debt &amp; other</t>
  </si>
  <si>
    <t>Loss (income) from discontinued operations</t>
  </si>
  <si>
    <t>Property, plant &amp; equipment (beg. of year)</t>
  </si>
  <si>
    <t>Capital expenditures (beg. of year)</t>
  </si>
  <si>
    <t>Pre opening expenses as % of revenue</t>
  </si>
  <si>
    <t>Pre-opening Expenses</t>
  </si>
  <si>
    <t>Interest expense (Capital lease)</t>
  </si>
  <si>
    <t>shares repurchased</t>
  </si>
  <si>
    <t>Share based compensations</t>
  </si>
  <si>
    <t>Noncontrolling intrest</t>
  </si>
  <si>
    <t>Changes in Investments</t>
  </si>
  <si>
    <t>Chang in bank payments outstanding</t>
  </si>
  <si>
    <t>Defered Revenue</t>
  </si>
  <si>
    <t>Current Debt</t>
  </si>
  <si>
    <t xml:space="preserve">Other current liabilities </t>
  </si>
  <si>
    <t>Other Long term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</si>
</sst>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164" formatCode="#,##0.0_);[Red]\(#,##0.0\)"/>
    <numFmt numFmtId="165" formatCode="#,##0.0_);\(#,##0.0\)"/>
    <numFmt numFmtId="166" formatCode="#,##0.0000_);[Red]\(#,##0.0000\)"/>
    <numFmt numFmtId="167" formatCode="#,##0.0"/>
    <numFmt numFmtId="168" formatCode="#,##0.0;[Red]#,##0.0"/>
    <numFmt numFmtId="169" formatCode="0.0"/>
    <numFmt numFmtId="170" formatCode="&quot;$&quot;#,##0.00"/>
    <numFmt numFmtId="171" formatCode="[$-409]d\-mmm\-yy;@"/>
    <numFmt numFmtId="172" formatCode="General\A"/>
    <numFmt numFmtId="173" formatCode="General\E"/>
    <numFmt numFmtId="174" formatCode="&quot;$&quot;#,##0.0_);\(&quot;$&quot;#,##0.0\)"/>
    <numFmt numFmtId="175" formatCode="0.0%_);\(0.0%\)"/>
    <numFmt numFmtId="176" formatCode="0.0\x"/>
    <numFmt numFmtId="177" formatCode="#,##0.00_);\(#,##0.00\);#,##0.00_);@_)"/>
    <numFmt numFmtId="178" formatCode="0.0%"/>
    <numFmt numFmtId="179" formatCode="[$-409]mmm\-yy;@"/>
    <numFmt numFmtId="180" formatCode="#,##0.000_);[Red]\(#,##0.000\)"/>
    <numFmt numFmtId="181" formatCode="m/d/yy"/>
    <numFmt numFmtId="182" formatCode="0.000%"/>
    <numFmt numFmtId="183" formatCode="0.0_);\(0.0\)"/>
    <numFmt numFmtId="184" formatCode="0.00_);\(0.00\)"/>
    <numFmt numFmtId="185" formatCode="0_);\(0\)"/>
    <numFmt numFmtId="186" formatCode="_(&quot;$&quot;* #,##0.00_);_(&quot;$&quot;* \(#,##0.00\);_(&quot;$&quot;* &quot;-&quot;_);_(@_)"/>
    <numFmt numFmtId="187" formatCode="_(&quot;$&quot;* #,##0.0_);_(&quot;$&quot;* \(#,##0.0\);_(&quot;$&quot;* &quot;-&quot;_);_(@_)"/>
    <numFmt numFmtId="188" formatCode="_(&quot;$&quot;* #,##0.0_);_(&quot;$&quot;* \(#,##0.0\);_(&quot;$&quot;* &quot;-&quot;?_);_(@_)"/>
    <numFmt numFmtId="189" formatCode="0.00\x"/>
    <numFmt numFmtId="190" formatCode="#,##0.00000_);[Red]\(#,##0.00000\)"/>
    <numFmt numFmtId="191" formatCode="#,##0.000000_);[Red]\(#,##0.000000\)"/>
    <numFmt numFmtId="192" formatCode="[$$-409]#,##0.00;[Red]\-[$$-409]#,##0.00"/>
  </numFmts>
  <fonts count="6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i/>
      <sz val="9"/>
      <color indexed="12"/>
      <name val="Arial"/>
      <family val="2"/>
    </font>
    <font>
      <b/>
      <sz val="9"/>
      <color indexed="10"/>
      <name val="Arial"/>
      <family val="2"/>
    </font>
    <font>
      <i/>
      <sz val="9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30"/>
      <name val="Arial"/>
      <family val="2"/>
    </font>
    <font>
      <sz val="9"/>
      <color indexed="62"/>
      <name val="Arial"/>
      <family val="2"/>
    </font>
    <font>
      <i/>
      <sz val="9"/>
      <color indexed="62"/>
      <name val="Arial"/>
      <family val="2"/>
    </font>
    <font>
      <sz val="10"/>
      <name val="Arial"/>
      <family val="2"/>
    </font>
    <font>
      <sz val="9"/>
      <color indexed="17"/>
      <name val="Arial"/>
      <family val="2"/>
    </font>
    <font>
      <sz val="9"/>
      <color indexed="8"/>
      <name val="Arial"/>
      <family val="2"/>
    </font>
    <font>
      <i/>
      <sz val="9"/>
      <color indexed="17"/>
      <name val="Arial"/>
      <family val="2"/>
    </font>
    <font>
      <b/>
      <sz val="9"/>
      <color indexed="8"/>
      <name val="Arial"/>
      <family val="2"/>
    </font>
    <font>
      <i/>
      <sz val="9"/>
      <color indexed="3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9"/>
      <color indexed="62"/>
      <name val="Arial"/>
      <family val="2"/>
    </font>
    <font>
      <i/>
      <sz val="9"/>
      <color indexed="62"/>
      <name val="Arial"/>
      <family val="2"/>
    </font>
    <font>
      <i/>
      <sz val="9"/>
      <color indexed="56"/>
      <name val="Arial"/>
      <family val="2"/>
    </font>
    <font>
      <sz val="9"/>
      <color indexed="56"/>
      <name val="Arial"/>
      <family val="2"/>
    </font>
    <font>
      <sz val="10"/>
      <name val="Palatino Linotype"/>
      <family val="1"/>
    </font>
    <font>
      <b/>
      <sz val="10"/>
      <color indexed="9"/>
      <name val="Palatino Linotype"/>
      <family val="1"/>
    </font>
    <font>
      <sz val="10"/>
      <color indexed="9"/>
      <name val="Palatino Linotype"/>
      <family val="1"/>
    </font>
    <font>
      <b/>
      <sz val="10"/>
      <name val="Palatino Linotype"/>
      <family val="1"/>
    </font>
    <font>
      <sz val="10"/>
      <color rgb="FF0070C0"/>
      <name val="Palatino Linotype"/>
      <family val="1"/>
    </font>
    <font>
      <i/>
      <sz val="9"/>
      <color rgb="FF0070C0"/>
      <name val="Arial"/>
      <family val="2"/>
    </font>
    <font>
      <sz val="9"/>
      <color theme="3"/>
      <name val="Arial"/>
      <family val="2"/>
    </font>
    <font>
      <sz val="10"/>
      <color theme="4"/>
      <name val="Palatino Linotype"/>
      <family val="1"/>
    </font>
    <font>
      <sz val="9"/>
      <color theme="4"/>
      <name val="Arial"/>
      <family val="2"/>
    </font>
    <font>
      <b/>
      <sz val="9"/>
      <color theme="4"/>
      <name val="Arial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i/>
      <sz val="10"/>
      <name val="Arial"/>
      <family val="2"/>
    </font>
    <font>
      <u/>
      <sz val="9"/>
      <color indexed="62"/>
      <name val="Arial"/>
      <family val="2"/>
    </font>
    <font>
      <u/>
      <sz val="10"/>
      <name val="Palatino Linotype"/>
      <family val="1"/>
    </font>
    <font>
      <sz val="10"/>
      <color theme="0"/>
      <name val="Palatino Linotype"/>
      <family val="1"/>
    </font>
    <font>
      <sz val="12"/>
      <name val="Palatino Linotype"/>
      <family val="1"/>
    </font>
    <font>
      <i/>
      <sz val="10"/>
      <name val="Palatino Linotype"/>
      <family val="1"/>
    </font>
    <font>
      <i/>
      <sz val="10"/>
      <color rgb="FF0070C0"/>
      <name val="Palatino Linotype"/>
      <family val="1"/>
    </font>
    <font>
      <b/>
      <sz val="26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9"/>
      <color rgb="FF0000FF"/>
      <name val="Arial"/>
      <family val="2"/>
    </font>
    <font>
      <b/>
      <sz val="9"/>
      <color theme="1"/>
      <name val="Arial"/>
      <family val="2"/>
    </font>
    <font>
      <i/>
      <sz val="9"/>
      <color rgb="FF0000FF"/>
      <name val="Arial"/>
      <family val="2"/>
    </font>
    <font>
      <i/>
      <sz val="9"/>
      <color theme="1"/>
      <name val="Arial"/>
      <family val="2"/>
    </font>
    <font>
      <sz val="11"/>
      <color rgb="FF0000FF"/>
      <name val="Calibri"/>
      <family val="2"/>
    </font>
    <font>
      <sz val="10"/>
      <color rgb="FF0000FF"/>
      <name val="Arial"/>
      <family val="2"/>
    </font>
    <font>
      <b/>
      <sz val="9"/>
      <color rgb="FF0000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auto="1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0" fillId="0" borderId="0"/>
    <xf numFmtId="0" fontId="20" fillId="0" borderId="0"/>
    <xf numFmtId="0" fontId="5" fillId="0" borderId="0"/>
    <xf numFmtId="43" fontId="4" fillId="0" borderId="0" applyFont="0" applyFill="0" applyBorder="0" applyAlignment="0" applyProtection="0"/>
    <xf numFmtId="0" fontId="3" fillId="0" borderId="0"/>
    <xf numFmtId="43" fontId="20" fillId="0" borderId="0" applyFont="0" applyFill="0" applyBorder="0" applyAlignment="0" applyProtection="0"/>
    <xf numFmtId="0" fontId="20" fillId="0" borderId="0"/>
    <xf numFmtId="0" fontId="2" fillId="0" borderId="0"/>
    <xf numFmtId="9" fontId="54" fillId="0" borderId="0" applyFont="0" applyFill="0" applyBorder="0" applyAlignment="0" applyProtection="0"/>
    <xf numFmtId="0" fontId="55" fillId="0" borderId="0"/>
    <xf numFmtId="0" fontId="1" fillId="0" borderId="0"/>
  </cellStyleXfs>
  <cellXfs count="713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0" fontId="8" fillId="2" borderId="0" xfId="0" applyFont="1" applyFill="1"/>
    <xf numFmtId="0" fontId="8" fillId="2" borderId="0" xfId="0" quotePrefix="1" applyFont="1" applyFill="1"/>
    <xf numFmtId="164" fontId="8" fillId="2" borderId="0" xfId="0" applyNumberFormat="1" applyFont="1" applyFill="1"/>
    <xf numFmtId="165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center"/>
    </xf>
    <xf numFmtId="166" fontId="8" fillId="0" borderId="0" xfId="0" applyNumberFormat="1" applyFont="1"/>
    <xf numFmtId="165" fontId="8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4" fontId="7" fillId="0" borderId="0" xfId="0" applyNumberFormat="1" applyFont="1"/>
    <xf numFmtId="4" fontId="7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7" fontId="8" fillId="0" borderId="0" xfId="0" applyNumberFormat="1" applyFont="1"/>
    <xf numFmtId="167" fontId="11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right"/>
    </xf>
    <xf numFmtId="9" fontId="10" fillId="0" borderId="0" xfId="0" applyNumberFormat="1" applyFont="1"/>
    <xf numFmtId="9" fontId="9" fillId="0" borderId="0" xfId="0" applyNumberFormat="1" applyFont="1" applyAlignment="1">
      <alignment horizontal="right"/>
    </xf>
    <xf numFmtId="165" fontId="8" fillId="0" borderId="0" xfId="0" applyNumberFormat="1" applyFont="1"/>
    <xf numFmtId="0" fontId="8" fillId="0" borderId="2" xfId="0" applyFont="1" applyBorder="1"/>
    <xf numFmtId="0" fontId="7" fillId="2" borderId="1" xfId="0" applyFont="1" applyFill="1" applyBorder="1"/>
    <xf numFmtId="164" fontId="7" fillId="2" borderId="1" xfId="0" applyNumberFormat="1" applyFont="1" applyFill="1" applyBorder="1"/>
    <xf numFmtId="0" fontId="8" fillId="3" borderId="0" xfId="0" applyFont="1" applyFill="1"/>
    <xf numFmtId="164" fontId="8" fillId="3" borderId="0" xfId="0" applyNumberFormat="1" applyFont="1" applyFill="1"/>
    <xf numFmtId="0" fontId="7" fillId="2" borderId="0" xfId="0" applyFont="1" applyFill="1" applyAlignment="1">
      <alignment horizontal="centerContinuous"/>
    </xf>
    <xf numFmtId="164" fontId="7" fillId="2" borderId="0" xfId="0" applyNumberFormat="1" applyFont="1" applyFill="1" applyAlignment="1">
      <alignment horizontal="centerContinuous"/>
    </xf>
    <xf numFmtId="0" fontId="7" fillId="2" borderId="2" xfId="0" applyFont="1" applyFill="1" applyBorder="1"/>
    <xf numFmtId="0" fontId="7" fillId="2" borderId="2" xfId="0" applyFont="1" applyFill="1" applyBorder="1" applyAlignment="1">
      <alignment wrapText="1"/>
    </xf>
    <xf numFmtId="171" fontId="7" fillId="2" borderId="2" xfId="0" applyNumberFormat="1" applyFont="1" applyFill="1" applyBorder="1" applyAlignment="1">
      <alignment horizontal="right" wrapText="1"/>
    </xf>
    <xf numFmtId="164" fontId="8" fillId="2" borderId="1" xfId="0" applyNumberFormat="1" applyFont="1" applyFill="1" applyBorder="1"/>
    <xf numFmtId="164" fontId="7" fillId="2" borderId="2" xfId="0" applyNumberFormat="1" applyFont="1" applyFill="1" applyBorder="1" applyAlignment="1">
      <alignment horizontal="centerContinuous"/>
    </xf>
    <xf numFmtId="164" fontId="7" fillId="2" borderId="1" xfId="0" applyNumberFormat="1" applyFont="1" applyFill="1" applyBorder="1" applyAlignment="1">
      <alignment horizontal="centerContinuous"/>
    </xf>
    <xf numFmtId="164" fontId="7" fillId="2" borderId="3" xfId="0" applyNumberFormat="1" applyFont="1" applyFill="1" applyBorder="1" applyAlignment="1">
      <alignment horizontal="centerContinuous"/>
    </xf>
    <xf numFmtId="164" fontId="7" fillId="2" borderId="4" xfId="0" applyNumberFormat="1" applyFont="1" applyFill="1" applyBorder="1" applyAlignment="1">
      <alignment horizontal="centerContinuous"/>
    </xf>
    <xf numFmtId="0" fontId="8" fillId="2" borderId="2" xfId="0" applyFont="1" applyFill="1" applyBorder="1" applyAlignment="1">
      <alignment horizontal="centerContinuous"/>
    </xf>
    <xf numFmtId="0" fontId="7" fillId="2" borderId="2" xfId="0" applyFont="1" applyFill="1" applyBorder="1" applyAlignment="1">
      <alignment horizontal="centerContinuous"/>
    </xf>
    <xf numFmtId="172" fontId="7" fillId="2" borderId="2" xfId="0" applyNumberFormat="1" applyFont="1" applyFill="1" applyBorder="1" applyAlignment="1">
      <alignment horizontal="right" wrapText="1"/>
    </xf>
    <xf numFmtId="173" fontId="7" fillId="2" borderId="2" xfId="0" applyNumberFormat="1" applyFont="1" applyFill="1" applyBorder="1" applyAlignment="1">
      <alignment horizontal="right" wrapText="1"/>
    </xf>
    <xf numFmtId="9" fontId="14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 wrapText="1"/>
    </xf>
    <xf numFmtId="0" fontId="8" fillId="2" borderId="1" xfId="0" applyFont="1" applyFill="1" applyBorder="1"/>
    <xf numFmtId="164" fontId="8" fillId="2" borderId="2" xfId="0" applyNumberFormat="1" applyFont="1" applyFill="1" applyBorder="1"/>
    <xf numFmtId="175" fontId="8" fillId="0" borderId="0" xfId="0" applyNumberFormat="1" applyFont="1"/>
    <xf numFmtId="174" fontId="8" fillId="0" borderId="0" xfId="0" applyNumberFormat="1" applyFont="1"/>
    <xf numFmtId="7" fontId="8" fillId="0" borderId="0" xfId="0" applyNumberFormat="1" applyFont="1"/>
    <xf numFmtId="0" fontId="8" fillId="3" borderId="0" xfId="1" applyFont="1" applyFill="1"/>
    <xf numFmtId="164" fontId="8" fillId="3" borderId="0" xfId="1" applyNumberFormat="1" applyFont="1" applyFill="1"/>
    <xf numFmtId="0" fontId="8" fillId="0" borderId="0" xfId="1" applyFont="1"/>
    <xf numFmtId="0" fontId="7" fillId="2" borderId="1" xfId="1" applyFont="1" applyFill="1" applyBorder="1"/>
    <xf numFmtId="164" fontId="8" fillId="2" borderId="1" xfId="1" applyNumberFormat="1" applyFont="1" applyFill="1" applyBorder="1"/>
    <xf numFmtId="164" fontId="7" fillId="2" borderId="1" xfId="1" applyNumberFormat="1" applyFont="1" applyFill="1" applyBorder="1"/>
    <xf numFmtId="0" fontId="8" fillId="2" borderId="0" xfId="1" applyFont="1" applyFill="1"/>
    <xf numFmtId="164" fontId="8" fillId="2" borderId="0" xfId="1" applyNumberFormat="1" applyFont="1" applyFill="1"/>
    <xf numFmtId="0" fontId="8" fillId="2" borderId="0" xfId="1" quotePrefix="1" applyFont="1" applyFill="1"/>
    <xf numFmtId="164" fontId="7" fillId="2" borderId="2" xfId="1" applyNumberFormat="1" applyFont="1" applyFill="1" applyBorder="1" applyAlignment="1">
      <alignment horizontal="centerContinuous"/>
    </xf>
    <xf numFmtId="164" fontId="7" fillId="2" borderId="3" xfId="1" applyNumberFormat="1" applyFont="1" applyFill="1" applyBorder="1" applyAlignment="1">
      <alignment horizontal="centerContinuous"/>
    </xf>
    <xf numFmtId="164" fontId="7" fillId="2" borderId="4" xfId="1" applyNumberFormat="1" applyFont="1" applyFill="1" applyBorder="1" applyAlignment="1">
      <alignment horizontal="centerContinuous"/>
    </xf>
    <xf numFmtId="0" fontId="8" fillId="2" borderId="2" xfId="1" applyFont="1" applyFill="1" applyBorder="1" applyAlignment="1">
      <alignment horizontal="centerContinuous"/>
    </xf>
    <xf numFmtId="0" fontId="7" fillId="2" borderId="2" xfId="1" applyFont="1" applyFill="1" applyBorder="1" applyAlignment="1">
      <alignment horizontal="centerContinuous"/>
    </xf>
    <xf numFmtId="164" fontId="7" fillId="2" borderId="0" xfId="1" applyNumberFormat="1" applyFont="1" applyFill="1" applyAlignment="1">
      <alignment horizontal="centerContinuous"/>
    </xf>
    <xf numFmtId="0" fontId="7" fillId="2" borderId="0" xfId="1" applyFont="1" applyFill="1" applyAlignment="1">
      <alignment horizontal="centerContinuous"/>
    </xf>
    <xf numFmtId="0" fontId="7" fillId="2" borderId="2" xfId="1" applyFont="1" applyFill="1" applyBorder="1"/>
    <xf numFmtId="164" fontId="8" fillId="2" borderId="2" xfId="1" applyNumberFormat="1" applyFont="1" applyFill="1" applyBorder="1"/>
    <xf numFmtId="172" fontId="7" fillId="2" borderId="2" xfId="1" applyNumberFormat="1" applyFont="1" applyFill="1" applyBorder="1" applyAlignment="1">
      <alignment horizontal="right"/>
    </xf>
    <xf numFmtId="173" fontId="7" fillId="2" borderId="2" xfId="1" applyNumberFormat="1" applyFont="1" applyFill="1" applyBorder="1" applyAlignment="1">
      <alignment horizontal="right"/>
    </xf>
    <xf numFmtId="164" fontId="8" fillId="0" borderId="0" xfId="1" applyNumberFormat="1" applyFont="1"/>
    <xf numFmtId="0" fontId="7" fillId="0" borderId="0" xfId="1" applyFont="1"/>
    <xf numFmtId="38" fontId="8" fillId="0" borderId="0" xfId="1" applyNumberFormat="1" applyFont="1"/>
    <xf numFmtId="37" fontId="8" fillId="0" borderId="0" xfId="1" applyNumberFormat="1" applyFont="1"/>
    <xf numFmtId="0" fontId="20" fillId="0" borderId="0" xfId="0" applyFont="1"/>
    <xf numFmtId="0" fontId="20" fillId="0" borderId="0" xfId="0" applyFont="1" applyAlignment="1">
      <alignment horizontal="left"/>
    </xf>
    <xf numFmtId="0" fontId="27" fillId="0" borderId="0" xfId="0" applyFont="1"/>
    <xf numFmtId="181" fontId="28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78" fontId="20" fillId="0" borderId="0" xfId="0" applyNumberFormat="1" applyFont="1"/>
    <xf numFmtId="0" fontId="34" fillId="0" borderId="0" xfId="0" applyFont="1"/>
    <xf numFmtId="0" fontId="37" fillId="0" borderId="0" xfId="0" applyFont="1"/>
    <xf numFmtId="0" fontId="34" fillId="0" borderId="2" xfId="0" applyFont="1" applyBorder="1"/>
    <xf numFmtId="0" fontId="37" fillId="0" borderId="2" xfId="0" applyFont="1" applyBorder="1"/>
    <xf numFmtId="8" fontId="34" fillId="0" borderId="0" xfId="0" applyNumberFormat="1" applyFont="1"/>
    <xf numFmtId="0" fontId="34" fillId="0" borderId="16" xfId="0" applyFont="1" applyBorder="1"/>
    <xf numFmtId="0" fontId="8" fillId="2" borderId="2" xfId="0" applyFont="1" applyFill="1" applyBorder="1" applyAlignment="1">
      <alignment wrapText="1"/>
    </xf>
    <xf numFmtId="0" fontId="7" fillId="7" borderId="0" xfId="0" applyFont="1" applyFill="1"/>
    <xf numFmtId="164" fontId="8" fillId="7" borderId="0" xfId="0" applyNumberFormat="1" applyFont="1" applyFill="1"/>
    <xf numFmtId="0" fontId="8" fillId="7" borderId="0" xfId="0" applyFont="1" applyFill="1" applyAlignment="1">
      <alignment wrapText="1"/>
    </xf>
    <xf numFmtId="165" fontId="7" fillId="7" borderId="0" xfId="0" applyNumberFormat="1" applyFont="1" applyFill="1" applyAlignment="1">
      <alignment horizontal="right" wrapText="1"/>
    </xf>
    <xf numFmtId="0" fontId="8" fillId="7" borderId="0" xfId="0" applyFont="1" applyFill="1"/>
    <xf numFmtId="164" fontId="11" fillId="7" borderId="0" xfId="0" applyNumberFormat="1" applyFont="1" applyFill="1" applyAlignment="1">
      <alignment horizontal="right" wrapText="1"/>
    </xf>
    <xf numFmtId="165" fontId="8" fillId="7" borderId="0" xfId="0" applyNumberFormat="1" applyFont="1" applyFill="1" applyAlignment="1">
      <alignment horizontal="right" wrapText="1"/>
    </xf>
    <xf numFmtId="0" fontId="9" fillId="7" borderId="0" xfId="0" applyFont="1" applyFill="1" applyAlignment="1">
      <alignment wrapText="1"/>
    </xf>
    <xf numFmtId="165" fontId="18" fillId="7" borderId="0" xfId="0" applyNumberFormat="1" applyFont="1" applyFill="1" applyAlignment="1">
      <alignment horizontal="right" wrapText="1"/>
    </xf>
    <xf numFmtId="178" fontId="9" fillId="7" borderId="0" xfId="0" applyNumberFormat="1" applyFont="1" applyFill="1" applyAlignment="1">
      <alignment wrapText="1"/>
    </xf>
    <xf numFmtId="164" fontId="7" fillId="7" borderId="0" xfId="0" applyNumberFormat="1" applyFont="1" applyFill="1"/>
    <xf numFmtId="9" fontId="9" fillId="7" borderId="0" xfId="0" applyNumberFormat="1" applyFont="1" applyFill="1" applyAlignment="1">
      <alignment wrapText="1"/>
    </xf>
    <xf numFmtId="9" fontId="12" fillId="7" borderId="0" xfId="0" applyNumberFormat="1" applyFont="1" applyFill="1" applyAlignment="1">
      <alignment wrapText="1"/>
    </xf>
    <xf numFmtId="164" fontId="8" fillId="7" borderId="0" xfId="0" applyNumberFormat="1" applyFont="1" applyFill="1" applyAlignment="1">
      <alignment horizontal="right" wrapText="1"/>
    </xf>
    <xf numFmtId="178" fontId="9" fillId="7" borderId="2" xfId="0" applyNumberFormat="1" applyFont="1" applyFill="1" applyBorder="1" applyAlignment="1">
      <alignment wrapText="1"/>
    </xf>
    <xf numFmtId="178" fontId="39" fillId="7" borderId="17" xfId="0" applyNumberFormat="1" applyFont="1" applyFill="1" applyBorder="1" applyAlignment="1">
      <alignment wrapText="1"/>
    </xf>
    <xf numFmtId="164" fontId="7" fillId="7" borderId="0" xfId="0" applyNumberFormat="1" applyFont="1" applyFill="1" applyAlignment="1">
      <alignment horizontal="right" wrapText="1"/>
    </xf>
    <xf numFmtId="0" fontId="9" fillId="7" borderId="0" xfId="0" applyFont="1" applyFill="1"/>
    <xf numFmtId="164" fontId="8" fillId="7" borderId="0" xfId="0" applyNumberFormat="1" applyFont="1" applyFill="1" applyAlignment="1">
      <alignment wrapText="1"/>
    </xf>
    <xf numFmtId="180" fontId="8" fillId="7" borderId="0" xfId="0" applyNumberFormat="1" applyFont="1" applyFill="1" applyAlignment="1">
      <alignment wrapText="1"/>
    </xf>
    <xf numFmtId="178" fontId="12" fillId="7" borderId="0" xfId="0" applyNumberFormat="1" applyFont="1" applyFill="1" applyAlignment="1">
      <alignment horizontal="right" wrapText="1"/>
    </xf>
    <xf numFmtId="164" fontId="11" fillId="7" borderId="2" xfId="0" applyNumberFormat="1" applyFont="1" applyFill="1" applyBorder="1" applyAlignment="1">
      <alignment horizontal="right" wrapText="1"/>
    </xf>
    <xf numFmtId="164" fontId="8" fillId="7" borderId="2" xfId="0" applyNumberFormat="1" applyFont="1" applyFill="1" applyBorder="1" applyAlignment="1">
      <alignment horizontal="right" wrapText="1"/>
    </xf>
    <xf numFmtId="165" fontId="11" fillId="7" borderId="2" xfId="0" applyNumberFormat="1" applyFont="1" applyFill="1" applyBorder="1" applyAlignment="1">
      <alignment horizontal="right" wrapText="1"/>
    </xf>
    <xf numFmtId="165" fontId="7" fillId="7" borderId="5" xfId="0" applyNumberFormat="1" applyFont="1" applyFill="1" applyBorder="1" applyAlignment="1">
      <alignment horizontal="right" wrapText="1"/>
    </xf>
    <xf numFmtId="164" fontId="7" fillId="7" borderId="5" xfId="0" applyNumberFormat="1" applyFont="1" applyFill="1" applyBorder="1" applyAlignment="1">
      <alignment horizontal="right" wrapText="1"/>
    </xf>
    <xf numFmtId="164" fontId="7" fillId="7" borderId="6" xfId="0" applyNumberFormat="1" applyFont="1" applyFill="1" applyBorder="1" applyAlignment="1">
      <alignment horizontal="right" wrapText="1"/>
    </xf>
    <xf numFmtId="175" fontId="8" fillId="7" borderId="0" xfId="0" applyNumberFormat="1" applyFont="1" applyFill="1"/>
    <xf numFmtId="40" fontId="8" fillId="7" borderId="0" xfId="0" applyNumberFormat="1" applyFont="1" applyFill="1" applyAlignment="1">
      <alignment horizontal="right" wrapText="1"/>
    </xf>
    <xf numFmtId="38" fontId="11" fillId="7" borderId="0" xfId="0" applyNumberFormat="1" applyFont="1" applyFill="1" applyAlignment="1">
      <alignment horizontal="right" wrapText="1"/>
    </xf>
    <xf numFmtId="0" fontId="8" fillId="7" borderId="2" xfId="0" applyFont="1" applyFill="1" applyBorder="1"/>
    <xf numFmtId="38" fontId="11" fillId="7" borderId="2" xfId="0" applyNumberFormat="1" applyFont="1" applyFill="1" applyBorder="1" applyAlignment="1">
      <alignment horizontal="right" wrapText="1"/>
    </xf>
    <xf numFmtId="178" fontId="12" fillId="7" borderId="2" xfId="0" applyNumberFormat="1" applyFont="1" applyFill="1" applyBorder="1" applyAlignment="1">
      <alignment wrapText="1"/>
    </xf>
    <xf numFmtId="165" fontId="7" fillId="7" borderId="0" xfId="0" applyNumberFormat="1" applyFont="1" applyFill="1" applyAlignment="1">
      <alignment horizontal="right"/>
    </xf>
    <xf numFmtId="165" fontId="8" fillId="7" borderId="0" xfId="0" applyNumberFormat="1" applyFont="1" applyFill="1"/>
    <xf numFmtId="165" fontId="11" fillId="7" borderId="0" xfId="0" applyNumberFormat="1" applyFont="1" applyFill="1"/>
    <xf numFmtId="165" fontId="11" fillId="7" borderId="0" xfId="0" applyNumberFormat="1" applyFont="1" applyFill="1" applyAlignment="1">
      <alignment horizontal="right"/>
    </xf>
    <xf numFmtId="165" fontId="8" fillId="7" borderId="0" xfId="0" applyNumberFormat="1" applyFont="1" applyFill="1" applyAlignment="1">
      <alignment horizontal="right"/>
    </xf>
    <xf numFmtId="165" fontId="7" fillId="7" borderId="5" xfId="0" applyNumberFormat="1" applyFont="1" applyFill="1" applyBorder="1" applyAlignment="1">
      <alignment horizontal="right"/>
    </xf>
    <xf numFmtId="165" fontId="7" fillId="7" borderId="0" xfId="0" applyNumberFormat="1" applyFont="1" applyFill="1"/>
    <xf numFmtId="165" fontId="11" fillId="7" borderId="2" xfId="0" applyNumberFormat="1" applyFont="1" applyFill="1" applyBorder="1" applyAlignment="1">
      <alignment horizontal="right"/>
    </xf>
    <xf numFmtId="165" fontId="8" fillId="7" borderId="2" xfId="0" applyNumberFormat="1" applyFont="1" applyFill="1" applyBorder="1"/>
    <xf numFmtId="165" fontId="8" fillId="7" borderId="2" xfId="0" applyNumberFormat="1" applyFont="1" applyFill="1" applyBorder="1" applyAlignment="1">
      <alignment horizontal="right"/>
    </xf>
    <xf numFmtId="167" fontId="10" fillId="7" borderId="0" xfId="0" applyNumberFormat="1" applyFont="1" applyFill="1"/>
    <xf numFmtId="167" fontId="13" fillId="7" borderId="0" xfId="0" applyNumberFormat="1" applyFont="1" applyFill="1"/>
    <xf numFmtId="167" fontId="7" fillId="7" borderId="0" xfId="0" applyNumberFormat="1" applyFont="1" applyFill="1"/>
    <xf numFmtId="4" fontId="7" fillId="7" borderId="0" xfId="0" applyNumberFormat="1" applyFont="1" applyFill="1"/>
    <xf numFmtId="4" fontId="7" fillId="7" borderId="0" xfId="0" applyNumberFormat="1" applyFont="1" applyFill="1" applyAlignment="1">
      <alignment horizontal="right"/>
    </xf>
    <xf numFmtId="3" fontId="10" fillId="7" borderId="0" xfId="0" applyNumberFormat="1" applyFont="1" applyFill="1"/>
    <xf numFmtId="0" fontId="8" fillId="7" borderId="0" xfId="0" applyFont="1" applyFill="1" applyAlignment="1">
      <alignment horizontal="left"/>
    </xf>
    <xf numFmtId="168" fontId="8" fillId="7" borderId="0" xfId="0" applyNumberFormat="1" applyFont="1" applyFill="1"/>
    <xf numFmtId="167" fontId="11" fillId="7" borderId="0" xfId="0" applyNumberFormat="1" applyFont="1" applyFill="1" applyAlignment="1">
      <alignment horizontal="right"/>
    </xf>
    <xf numFmtId="167" fontId="8" fillId="7" borderId="0" xfId="0" applyNumberFormat="1" applyFont="1" applyFill="1" applyAlignment="1">
      <alignment horizontal="right"/>
    </xf>
    <xf numFmtId="167" fontId="7" fillId="7" borderId="0" xfId="0" applyNumberFormat="1" applyFont="1" applyFill="1" applyAlignment="1">
      <alignment horizontal="right"/>
    </xf>
    <xf numFmtId="9" fontId="10" fillId="7" borderId="0" xfId="0" applyNumberFormat="1" applyFont="1" applyFill="1"/>
    <xf numFmtId="10" fontId="10" fillId="7" borderId="0" xfId="0" applyNumberFormat="1" applyFont="1" applyFill="1"/>
    <xf numFmtId="9" fontId="9" fillId="7" borderId="0" xfId="0" applyNumberFormat="1" applyFont="1" applyFill="1" applyAlignment="1">
      <alignment horizontal="right"/>
    </xf>
    <xf numFmtId="0" fontId="7" fillId="7" borderId="2" xfId="0" applyFont="1" applyFill="1" applyBorder="1"/>
    <xf numFmtId="165" fontId="7" fillId="7" borderId="2" xfId="0" applyNumberFormat="1" applyFont="1" applyFill="1" applyBorder="1" applyAlignment="1">
      <alignment horizontal="right"/>
    </xf>
    <xf numFmtId="0" fontId="7" fillId="7" borderId="1" xfId="0" applyFont="1" applyFill="1" applyBorder="1"/>
    <xf numFmtId="0" fontId="7" fillId="2" borderId="17" xfId="0" applyFont="1" applyFill="1" applyBorder="1"/>
    <xf numFmtId="0" fontId="8" fillId="2" borderId="17" xfId="0" applyFont="1" applyFill="1" applyBorder="1"/>
    <xf numFmtId="0" fontId="7" fillId="2" borderId="17" xfId="0" applyFont="1" applyFill="1" applyBorder="1" applyAlignment="1">
      <alignment wrapText="1"/>
    </xf>
    <xf numFmtId="172" fontId="7" fillId="2" borderId="17" xfId="0" applyNumberFormat="1" applyFont="1" applyFill="1" applyBorder="1" applyAlignment="1">
      <alignment horizontal="right" wrapText="1"/>
    </xf>
    <xf numFmtId="167" fontId="11" fillId="7" borderId="0" xfId="0" applyNumberFormat="1" applyFont="1" applyFill="1"/>
    <xf numFmtId="167" fontId="8" fillId="7" borderId="0" xfId="0" applyNumberFormat="1" applyFont="1" applyFill="1"/>
    <xf numFmtId="0" fontId="9" fillId="7" borderId="0" xfId="0" applyFont="1" applyFill="1" applyAlignment="1">
      <alignment horizontal="left"/>
    </xf>
    <xf numFmtId="169" fontId="9" fillId="7" borderId="0" xfId="0" applyNumberFormat="1" applyFont="1" applyFill="1"/>
    <xf numFmtId="169" fontId="11" fillId="7" borderId="0" xfId="0" applyNumberFormat="1" applyFont="1" applyFill="1"/>
    <xf numFmtId="0" fontId="0" fillId="7" borderId="0" xfId="0" applyFill="1"/>
    <xf numFmtId="169" fontId="12" fillId="7" borderId="17" xfId="0" applyNumberFormat="1" applyFont="1" applyFill="1" applyBorder="1"/>
    <xf numFmtId="0" fontId="7" fillId="7" borderId="0" xfId="0" applyFont="1" applyFill="1" applyAlignment="1">
      <alignment horizontal="left"/>
    </xf>
    <xf numFmtId="0" fontId="9" fillId="7" borderId="0" xfId="0" applyFont="1" applyFill="1" applyAlignment="1">
      <alignment horizontal="left" indent="1"/>
    </xf>
    <xf numFmtId="167" fontId="24" fillId="7" borderId="0" xfId="0" applyNumberFormat="1" applyFont="1" applyFill="1" applyAlignment="1">
      <alignment horizontal="right"/>
    </xf>
    <xf numFmtId="169" fontId="12" fillId="7" borderId="0" xfId="0" applyNumberFormat="1" applyFont="1" applyFill="1"/>
    <xf numFmtId="169" fontId="9" fillId="7" borderId="17" xfId="0" applyNumberFormat="1" applyFont="1" applyFill="1" applyBorder="1"/>
    <xf numFmtId="0" fontId="8" fillId="7" borderId="0" xfId="0" applyFont="1" applyFill="1" applyAlignment="1">
      <alignment horizontal="center"/>
    </xf>
    <xf numFmtId="168" fontId="21" fillId="7" borderId="0" xfId="0" applyNumberFormat="1" applyFont="1" applyFill="1"/>
    <xf numFmtId="165" fontId="21" fillId="7" borderId="0" xfId="0" applyNumberFormat="1" applyFont="1" applyFill="1"/>
    <xf numFmtId="169" fontId="23" fillId="7" borderId="0" xfId="0" applyNumberFormat="1" applyFont="1" applyFill="1"/>
    <xf numFmtId="167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center"/>
    </xf>
    <xf numFmtId="164" fontId="7" fillId="7" borderId="2" xfId="0" applyNumberFormat="1" applyFont="1" applyFill="1" applyBorder="1" applyAlignment="1">
      <alignment horizontal="center"/>
    </xf>
    <xf numFmtId="165" fontId="7" fillId="7" borderId="6" xfId="0" applyNumberFormat="1" applyFont="1" applyFill="1" applyBorder="1" applyAlignment="1">
      <alignment horizontal="right"/>
    </xf>
    <xf numFmtId="0" fontId="7" fillId="7" borderId="0" xfId="0" applyFont="1" applyFill="1" applyAlignment="1">
      <alignment wrapText="1"/>
    </xf>
    <xf numFmtId="172" fontId="7" fillId="7" borderId="0" xfId="0" applyNumberFormat="1" applyFont="1" applyFill="1" applyAlignment="1">
      <alignment horizontal="right" wrapText="1"/>
    </xf>
    <xf numFmtId="173" fontId="7" fillId="7" borderId="0" xfId="0" applyNumberFormat="1" applyFont="1" applyFill="1" applyAlignment="1">
      <alignment horizontal="right" wrapText="1"/>
    </xf>
    <xf numFmtId="165" fontId="11" fillId="7" borderId="2" xfId="0" applyNumberFormat="1" applyFont="1" applyFill="1" applyBorder="1"/>
    <xf numFmtId="0" fontId="8" fillId="7" borderId="0" xfId="0" applyFont="1" applyFill="1" applyAlignment="1">
      <alignment horizontal="right"/>
    </xf>
    <xf numFmtId="165" fontId="40" fillId="7" borderId="0" xfId="0" applyNumberFormat="1" applyFont="1" applyFill="1" applyAlignment="1">
      <alignment horizontal="right"/>
    </xf>
    <xf numFmtId="165" fontId="40" fillId="7" borderId="2" xfId="0" applyNumberFormat="1" applyFont="1" applyFill="1" applyBorder="1" applyAlignment="1">
      <alignment horizontal="right"/>
    </xf>
    <xf numFmtId="0" fontId="8" fillId="7" borderId="0" xfId="0" quotePrefix="1" applyFont="1" applyFill="1"/>
    <xf numFmtId="9" fontId="10" fillId="7" borderId="0" xfId="0" applyNumberFormat="1" applyFont="1" applyFill="1" applyAlignment="1">
      <alignment horizontal="right"/>
    </xf>
    <xf numFmtId="9" fontId="9" fillId="7" borderId="0" xfId="0" applyNumberFormat="1" applyFont="1" applyFill="1" applyAlignment="1">
      <alignment horizontal="left"/>
    </xf>
    <xf numFmtId="9" fontId="14" fillId="7" borderId="0" xfId="0" applyNumberFormat="1" applyFont="1" applyFill="1" applyAlignment="1">
      <alignment horizontal="right"/>
    </xf>
    <xf numFmtId="178" fontId="14" fillId="7" borderId="0" xfId="0" applyNumberFormat="1" applyFont="1" applyFill="1" applyAlignment="1">
      <alignment horizontal="right"/>
    </xf>
    <xf numFmtId="178" fontId="9" fillId="7" borderId="0" xfId="0" applyNumberFormat="1" applyFont="1" applyFill="1" applyAlignment="1">
      <alignment horizontal="right"/>
    </xf>
    <xf numFmtId="165" fontId="8" fillId="7" borderId="2" xfId="0" applyNumberFormat="1" applyFont="1" applyFill="1" applyBorder="1" applyAlignment="1">
      <alignment horizontal="right" wrapText="1"/>
    </xf>
    <xf numFmtId="165" fontId="8" fillId="7" borderId="5" xfId="0" applyNumberFormat="1" applyFont="1" applyFill="1" applyBorder="1"/>
    <xf numFmtId="9" fontId="9" fillId="7" borderId="0" xfId="0" applyNumberFormat="1" applyFont="1" applyFill="1"/>
    <xf numFmtId="9" fontId="14" fillId="7" borderId="0" xfId="0" applyNumberFormat="1" applyFont="1" applyFill="1"/>
    <xf numFmtId="178" fontId="14" fillId="7" borderId="0" xfId="0" applyNumberFormat="1" applyFont="1" applyFill="1"/>
    <xf numFmtId="164" fontId="7" fillId="2" borderId="17" xfId="0" applyNumberFormat="1" applyFont="1" applyFill="1" applyBorder="1" applyAlignment="1">
      <alignment horizontal="centerContinuous"/>
    </xf>
    <xf numFmtId="9" fontId="9" fillId="7" borderId="2" xfId="0" applyNumberFormat="1" applyFont="1" applyFill="1" applyBorder="1" applyAlignment="1">
      <alignment wrapText="1"/>
    </xf>
    <xf numFmtId="9" fontId="9" fillId="7" borderId="17" xfId="0" applyNumberFormat="1" applyFont="1" applyFill="1" applyBorder="1" applyAlignment="1">
      <alignment wrapText="1"/>
    </xf>
    <xf numFmtId="9" fontId="32" fillId="7" borderId="0" xfId="0" applyNumberFormat="1" applyFont="1" applyFill="1" applyAlignment="1">
      <alignment wrapText="1"/>
    </xf>
    <xf numFmtId="9" fontId="32" fillId="7" borderId="2" xfId="0" applyNumberFormat="1" applyFont="1" applyFill="1" applyBorder="1" applyAlignment="1">
      <alignment wrapText="1"/>
    </xf>
    <xf numFmtId="164" fontId="7" fillId="7" borderId="17" xfId="0" applyNumberFormat="1" applyFont="1" applyFill="1" applyBorder="1" applyAlignment="1">
      <alignment horizontal="right" wrapText="1"/>
    </xf>
    <xf numFmtId="165" fontId="11" fillId="7" borderId="0" xfId="0" applyNumberFormat="1" applyFont="1" applyFill="1" applyAlignment="1">
      <alignment horizontal="right" wrapText="1"/>
    </xf>
    <xf numFmtId="165" fontId="11" fillId="7" borderId="17" xfId="0" applyNumberFormat="1" applyFont="1" applyFill="1" applyBorder="1" applyAlignment="1">
      <alignment horizontal="right" wrapText="1"/>
    </xf>
    <xf numFmtId="9" fontId="32" fillId="7" borderId="17" xfId="0" applyNumberFormat="1" applyFont="1" applyFill="1" applyBorder="1" applyAlignment="1">
      <alignment wrapText="1"/>
    </xf>
    <xf numFmtId="9" fontId="31" fillId="7" borderId="2" xfId="0" applyNumberFormat="1" applyFont="1" applyFill="1" applyBorder="1" applyAlignment="1">
      <alignment wrapText="1"/>
    </xf>
    <xf numFmtId="9" fontId="12" fillId="7" borderId="2" xfId="0" applyNumberFormat="1" applyFont="1" applyFill="1" applyBorder="1" applyAlignment="1">
      <alignment wrapText="1"/>
    </xf>
    <xf numFmtId="164" fontId="8" fillId="7" borderId="17" xfId="0" applyNumberFormat="1" applyFont="1" applyFill="1" applyBorder="1" applyAlignment="1">
      <alignment horizontal="right" wrapText="1"/>
    </xf>
    <xf numFmtId="165" fontId="8" fillId="7" borderId="17" xfId="0" applyNumberFormat="1" applyFont="1" applyFill="1" applyBorder="1" applyAlignment="1">
      <alignment horizontal="right" wrapText="1"/>
    </xf>
    <xf numFmtId="38" fontId="8" fillId="7" borderId="0" xfId="0" applyNumberFormat="1" applyFont="1" applyFill="1" applyAlignment="1">
      <alignment horizontal="right" wrapText="1"/>
    </xf>
    <xf numFmtId="38" fontId="8" fillId="7" borderId="17" xfId="0" applyNumberFormat="1" applyFont="1" applyFill="1" applyBorder="1" applyAlignment="1">
      <alignment horizontal="right" wrapText="1"/>
    </xf>
    <xf numFmtId="38" fontId="8" fillId="7" borderId="2" xfId="0" applyNumberFormat="1" applyFont="1" applyFill="1" applyBorder="1" applyAlignment="1">
      <alignment horizontal="right" wrapText="1"/>
    </xf>
    <xf numFmtId="9" fontId="19" fillId="7" borderId="17" xfId="0" applyNumberFormat="1" applyFont="1" applyFill="1" applyBorder="1" applyAlignment="1">
      <alignment wrapText="1"/>
    </xf>
    <xf numFmtId="38" fontId="22" fillId="7" borderId="0" xfId="0" applyNumberFormat="1" applyFont="1" applyFill="1" applyAlignment="1">
      <alignment horizontal="right" wrapText="1"/>
    </xf>
    <xf numFmtId="38" fontId="22" fillId="7" borderId="2" xfId="0" applyNumberFormat="1" applyFont="1" applyFill="1" applyBorder="1" applyAlignment="1">
      <alignment horizontal="right" wrapText="1"/>
    </xf>
    <xf numFmtId="178" fontId="19" fillId="7" borderId="0" xfId="0" applyNumberFormat="1" applyFont="1" applyFill="1" applyAlignment="1">
      <alignment wrapText="1"/>
    </xf>
    <xf numFmtId="0" fontId="20" fillId="7" borderId="0" xfId="0" applyFont="1" applyFill="1"/>
    <xf numFmtId="174" fontId="26" fillId="7" borderId="15" xfId="0" applyNumberFormat="1" applyFont="1" applyFill="1" applyBorder="1"/>
    <xf numFmtId="37" fontId="28" fillId="7" borderId="0" xfId="0" applyNumberFormat="1" applyFont="1" applyFill="1"/>
    <xf numFmtId="37" fontId="29" fillId="7" borderId="0" xfId="0" applyNumberFormat="1" applyFont="1" applyFill="1"/>
    <xf numFmtId="7" fontId="28" fillId="7" borderId="0" xfId="0" applyNumberFormat="1" applyFont="1" applyFill="1" applyAlignment="1">
      <alignment horizontal="right"/>
    </xf>
    <xf numFmtId="0" fontId="26" fillId="7" borderId="0" xfId="0" applyFont="1" applyFill="1"/>
    <xf numFmtId="0" fontId="20" fillId="7" borderId="0" xfId="0" quotePrefix="1" applyFont="1" applyFill="1"/>
    <xf numFmtId="0" fontId="26" fillId="7" borderId="14" xfId="0" applyFont="1" applyFill="1" applyBorder="1"/>
    <xf numFmtId="0" fontId="26" fillId="7" borderId="5" xfId="0" applyFont="1" applyFill="1" applyBorder="1"/>
    <xf numFmtId="0" fontId="20" fillId="7" borderId="5" xfId="0" applyFont="1" applyFill="1" applyBorder="1"/>
    <xf numFmtId="165" fontId="26" fillId="7" borderId="15" xfId="0" applyNumberFormat="1" applyFont="1" applyFill="1" applyBorder="1"/>
    <xf numFmtId="0" fontId="26" fillId="7" borderId="17" xfId="0" applyFont="1" applyFill="1" applyBorder="1"/>
    <xf numFmtId="0" fontId="20" fillId="7" borderId="17" xfId="0" applyFont="1" applyFill="1" applyBorder="1"/>
    <xf numFmtId="37" fontId="20" fillId="7" borderId="17" xfId="0" applyNumberFormat="1" applyFont="1" applyFill="1" applyBorder="1"/>
    <xf numFmtId="37" fontId="26" fillId="7" borderId="15" xfId="0" applyNumberFormat="1" applyFont="1" applyFill="1" applyBorder="1"/>
    <xf numFmtId="165" fontId="28" fillId="7" borderId="0" xfId="0" applyNumberFormat="1" applyFont="1" applyFill="1"/>
    <xf numFmtId="7" fontId="8" fillId="4" borderId="5" xfId="1" applyNumberFormat="1" applyFont="1" applyFill="1" applyBorder="1"/>
    <xf numFmtId="167" fontId="8" fillId="4" borderId="5" xfId="1" applyNumberFormat="1" applyFont="1" applyFill="1" applyBorder="1"/>
    <xf numFmtId="0" fontId="8" fillId="4" borderId="5" xfId="1" applyFont="1" applyFill="1" applyBorder="1"/>
    <xf numFmtId="179" fontId="7" fillId="2" borderId="17" xfId="1" applyNumberFormat="1" applyFont="1" applyFill="1" applyBorder="1" applyAlignment="1">
      <alignment horizontal="right" wrapText="1"/>
    </xf>
    <xf numFmtId="0" fontId="7" fillId="2" borderId="17" xfId="1" applyFont="1" applyFill="1" applyBorder="1"/>
    <xf numFmtId="179" fontId="7" fillId="2" borderId="0" xfId="1" applyNumberFormat="1" applyFont="1" applyFill="1" applyAlignment="1">
      <alignment horizontal="right" wrapText="1"/>
    </xf>
    <xf numFmtId="179" fontId="7" fillId="2" borderId="0" xfId="1" quotePrefix="1" applyNumberFormat="1" applyFont="1" applyFill="1" applyAlignment="1">
      <alignment horizontal="right" wrapText="1"/>
    </xf>
    <xf numFmtId="0" fontId="7" fillId="2" borderId="0" xfId="1" applyFont="1" applyFill="1"/>
    <xf numFmtId="0" fontId="7" fillId="2" borderId="17" xfId="1" applyFont="1" applyFill="1" applyBorder="1" applyAlignment="1">
      <alignment horizontal="centerContinuous"/>
    </xf>
    <xf numFmtId="0" fontId="8" fillId="2" borderId="0" xfId="1" applyFont="1" applyFill="1" applyAlignment="1">
      <alignment horizontal="centerContinuous"/>
    </xf>
    <xf numFmtId="0" fontId="9" fillId="0" borderId="0" xfId="1" applyFont="1"/>
    <xf numFmtId="167" fontId="8" fillId="0" borderId="0" xfId="1" applyNumberFormat="1" applyFont="1"/>
    <xf numFmtId="0" fontId="9" fillId="3" borderId="0" xfId="1" applyFont="1" applyFill="1"/>
    <xf numFmtId="176" fontId="8" fillId="5" borderId="3" xfId="1" applyNumberFormat="1" applyFont="1" applyFill="1" applyBorder="1" applyAlignment="1">
      <alignment horizontal="center"/>
    </xf>
    <xf numFmtId="176" fontId="8" fillId="5" borderId="17" xfId="1" applyNumberFormat="1" applyFont="1" applyFill="1" applyBorder="1" applyAlignment="1">
      <alignment horizontal="center"/>
    </xf>
    <xf numFmtId="167" fontId="8" fillId="5" borderId="17" xfId="1" applyNumberFormat="1" applyFont="1" applyFill="1" applyBorder="1" applyAlignment="1">
      <alignment horizontal="center"/>
    </xf>
    <xf numFmtId="0" fontId="7" fillId="5" borderId="17" xfId="1" applyFont="1" applyFill="1" applyBorder="1"/>
    <xf numFmtId="0" fontId="8" fillId="5" borderId="17" xfId="1" applyFont="1" applyFill="1" applyBorder="1"/>
    <xf numFmtId="176" fontId="8" fillId="5" borderId="11" xfId="1" applyNumberFormat="1" applyFont="1" applyFill="1" applyBorder="1" applyAlignment="1">
      <alignment horizontal="center"/>
    </xf>
    <xf numFmtId="176" fontId="8" fillId="5" borderId="0" xfId="1" applyNumberFormat="1" applyFont="1" applyFill="1" applyAlignment="1">
      <alignment horizontal="center"/>
    </xf>
    <xf numFmtId="167" fontId="8" fillId="5" borderId="0" xfId="1" applyNumberFormat="1" applyFont="1" applyFill="1" applyAlignment="1">
      <alignment horizontal="center"/>
    </xf>
    <xf numFmtId="0" fontId="7" fillId="5" borderId="0" xfId="1" applyFont="1" applyFill="1"/>
    <xf numFmtId="0" fontId="8" fillId="5" borderId="0" xfId="1" applyFont="1" applyFill="1"/>
    <xf numFmtId="176" fontId="8" fillId="4" borderId="15" xfId="1" applyNumberFormat="1" applyFont="1" applyFill="1" applyBorder="1" applyAlignment="1">
      <alignment horizontal="center"/>
    </xf>
    <xf numFmtId="176" fontId="8" fillId="4" borderId="5" xfId="1" applyNumberFormat="1" applyFont="1" applyFill="1" applyBorder="1" applyAlignment="1">
      <alignment horizontal="center"/>
    </xf>
    <xf numFmtId="167" fontId="8" fillId="4" borderId="5" xfId="1" applyNumberFormat="1" applyFont="1" applyFill="1" applyBorder="1" applyAlignment="1">
      <alignment horizontal="center"/>
    </xf>
    <xf numFmtId="170" fontId="8" fillId="4" borderId="5" xfId="1" applyNumberFormat="1" applyFont="1" applyFill="1" applyBorder="1" applyAlignment="1">
      <alignment horizontal="center"/>
    </xf>
    <xf numFmtId="179" fontId="7" fillId="2" borderId="3" xfId="1" applyNumberFormat="1" applyFont="1" applyFill="1" applyBorder="1" applyAlignment="1">
      <alignment horizontal="right" wrapText="1"/>
    </xf>
    <xf numFmtId="179" fontId="7" fillId="2" borderId="4" xfId="1" applyNumberFormat="1" applyFont="1" applyFill="1" applyBorder="1" applyAlignment="1">
      <alignment horizontal="right" wrapText="1"/>
    </xf>
    <xf numFmtId="179" fontId="7" fillId="2" borderId="13" xfId="1" applyNumberFormat="1" applyFont="1" applyFill="1" applyBorder="1" applyAlignment="1">
      <alignment horizontal="left" wrapText="1"/>
    </xf>
    <xf numFmtId="179" fontId="7" fillId="2" borderId="11" xfId="1" applyNumberFormat="1" applyFont="1" applyFill="1" applyBorder="1" applyAlignment="1">
      <alignment horizontal="right" wrapText="1"/>
    </xf>
    <xf numFmtId="0" fontId="7" fillId="2" borderId="8" xfId="1" applyFont="1" applyFill="1" applyBorder="1" applyAlignment="1">
      <alignment horizontal="right" wrapText="1"/>
    </xf>
    <xf numFmtId="179" fontId="7" fillId="2" borderId="9" xfId="1" quotePrefix="1" applyNumberFormat="1" applyFont="1" applyFill="1" applyBorder="1" applyAlignment="1">
      <alignment horizontal="right" wrapText="1"/>
    </xf>
    <xf numFmtId="179" fontId="7" fillId="2" borderId="9" xfId="1" applyNumberFormat="1" applyFont="1" applyFill="1" applyBorder="1" applyAlignment="1">
      <alignment horizontal="right" wrapText="1"/>
    </xf>
    <xf numFmtId="179" fontId="7" fillId="2" borderId="10" xfId="1" applyNumberFormat="1" applyFont="1" applyFill="1" applyBorder="1" applyAlignment="1">
      <alignment horizontal="right" wrapText="1"/>
    </xf>
    <xf numFmtId="179" fontId="7" fillId="2" borderId="12" xfId="1" applyNumberFormat="1" applyFont="1" applyFill="1" applyBorder="1" applyAlignment="1">
      <alignment horizontal="left" wrapText="1"/>
    </xf>
    <xf numFmtId="0" fontId="8" fillId="9" borderId="15" xfId="1" applyFont="1" applyFill="1" applyBorder="1" applyAlignment="1">
      <alignment horizontal="centerContinuous" wrapText="1"/>
    </xf>
    <xf numFmtId="0" fontId="7" fillId="9" borderId="5" xfId="1" applyFont="1" applyFill="1" applyBorder="1" applyAlignment="1">
      <alignment horizontal="centerContinuous" wrapText="1"/>
    </xf>
    <xf numFmtId="0" fontId="7" fillId="9" borderId="8" xfId="1" applyFont="1" applyFill="1" applyBorder="1" applyAlignment="1">
      <alignment horizontal="centerContinuous" wrapText="1"/>
    </xf>
    <xf numFmtId="0" fontId="8" fillId="9" borderId="9" xfId="1" applyFont="1" applyFill="1" applyBorder="1" applyAlignment="1">
      <alignment horizontal="centerContinuous" wrapText="1"/>
    </xf>
    <xf numFmtId="0" fontId="8" fillId="2" borderId="15" xfId="1" applyFont="1" applyFill="1" applyBorder="1" applyAlignment="1">
      <alignment horizontal="centerContinuous"/>
    </xf>
    <xf numFmtId="0" fontId="8" fillId="2" borderId="5" xfId="1" applyFont="1" applyFill="1" applyBorder="1" applyAlignment="1">
      <alignment horizontal="centerContinuous"/>
    </xf>
    <xf numFmtId="0" fontId="7" fillId="2" borderId="14" xfId="1" applyFont="1" applyFill="1" applyBorder="1" applyAlignment="1">
      <alignment horizontal="centerContinuous" wrapText="1"/>
    </xf>
    <xf numFmtId="0" fontId="7" fillId="2" borderId="12" xfId="1" applyFont="1" applyFill="1" applyBorder="1" applyAlignment="1">
      <alignment horizontal="left"/>
    </xf>
    <xf numFmtId="0" fontId="20" fillId="10" borderId="11" xfId="1" applyFill="1" applyBorder="1"/>
    <xf numFmtId="0" fontId="20" fillId="10" borderId="17" xfId="1" applyFill="1" applyBorder="1"/>
    <xf numFmtId="0" fontId="7" fillId="2" borderId="9" xfId="1" applyFont="1" applyFill="1" applyBorder="1"/>
    <xf numFmtId="0" fontId="8" fillId="3" borderId="19" xfId="1" applyFont="1" applyFill="1" applyBorder="1"/>
    <xf numFmtId="170" fontId="8" fillId="7" borderId="19" xfId="1" applyNumberFormat="1" applyFont="1" applyFill="1" applyBorder="1" applyAlignment="1">
      <alignment horizontal="center"/>
    </xf>
    <xf numFmtId="167" fontId="8" fillId="7" borderId="19" xfId="1" applyNumberFormat="1" applyFont="1" applyFill="1" applyBorder="1" applyAlignment="1">
      <alignment horizontal="center"/>
    </xf>
    <xf numFmtId="167" fontId="8" fillId="3" borderId="19" xfId="1" applyNumberFormat="1" applyFont="1" applyFill="1" applyBorder="1" applyAlignment="1">
      <alignment horizontal="center"/>
    </xf>
    <xf numFmtId="176" fontId="8" fillId="3" borderId="19" xfId="1" applyNumberFormat="1" applyFont="1" applyFill="1" applyBorder="1" applyAlignment="1">
      <alignment horizontal="center"/>
    </xf>
    <xf numFmtId="176" fontId="8" fillId="3" borderId="18" xfId="1" applyNumberFormat="1" applyFont="1" applyFill="1" applyBorder="1" applyAlignment="1">
      <alignment horizontal="center"/>
    </xf>
    <xf numFmtId="0" fontId="8" fillId="7" borderId="19" xfId="1" applyFont="1" applyFill="1" applyBorder="1"/>
    <xf numFmtId="167" fontId="8" fillId="7" borderId="19" xfId="1" applyNumberFormat="1" applyFont="1" applyFill="1" applyBorder="1"/>
    <xf numFmtId="7" fontId="8" fillId="7" borderId="19" xfId="1" applyNumberFormat="1" applyFont="1" applyFill="1" applyBorder="1"/>
    <xf numFmtId="0" fontId="8" fillId="3" borderId="20" xfId="1" applyFont="1" applyFill="1" applyBorder="1"/>
    <xf numFmtId="167" fontId="8" fillId="7" borderId="20" xfId="1" applyNumberFormat="1" applyFont="1" applyFill="1" applyBorder="1"/>
    <xf numFmtId="37" fontId="8" fillId="7" borderId="20" xfId="1" applyNumberFormat="1" applyFont="1" applyFill="1" applyBorder="1"/>
    <xf numFmtId="7" fontId="8" fillId="7" borderId="20" xfId="1" applyNumberFormat="1" applyFont="1" applyFill="1" applyBorder="1"/>
    <xf numFmtId="170" fontId="8" fillId="7" borderId="20" xfId="1" applyNumberFormat="1" applyFont="1" applyFill="1" applyBorder="1" applyAlignment="1">
      <alignment horizontal="center"/>
    </xf>
    <xf numFmtId="167" fontId="8" fillId="7" borderId="20" xfId="1" applyNumberFormat="1" applyFont="1" applyFill="1" applyBorder="1" applyAlignment="1">
      <alignment horizontal="center"/>
    </xf>
    <xf numFmtId="167" fontId="8" fillId="3" borderId="20" xfId="1" applyNumberFormat="1" applyFont="1" applyFill="1" applyBorder="1" applyAlignment="1">
      <alignment horizontal="center"/>
    </xf>
    <xf numFmtId="176" fontId="8" fillId="3" borderId="20" xfId="1" applyNumberFormat="1" applyFont="1" applyFill="1" applyBorder="1" applyAlignment="1">
      <alignment horizontal="center"/>
    </xf>
    <xf numFmtId="0" fontId="8" fillId="3" borderId="22" xfId="1" applyFont="1" applyFill="1" applyBorder="1"/>
    <xf numFmtId="170" fontId="8" fillId="7" borderId="22" xfId="1" applyNumberFormat="1" applyFont="1" applyFill="1" applyBorder="1" applyAlignment="1">
      <alignment horizontal="center"/>
    </xf>
    <xf numFmtId="167" fontId="8" fillId="7" borderId="22" xfId="1" applyNumberFormat="1" applyFont="1" applyFill="1" applyBorder="1" applyAlignment="1">
      <alignment horizontal="center"/>
    </xf>
    <xf numFmtId="167" fontId="8" fillId="3" borderId="22" xfId="1" applyNumberFormat="1" applyFont="1" applyFill="1" applyBorder="1" applyAlignment="1">
      <alignment horizontal="center"/>
    </xf>
    <xf numFmtId="176" fontId="8" fillId="3" borderId="23" xfId="1" applyNumberFormat="1" applyFont="1" applyFill="1" applyBorder="1" applyAlignment="1">
      <alignment horizontal="center"/>
    </xf>
    <xf numFmtId="0" fontId="8" fillId="4" borderId="14" xfId="1" applyFont="1" applyFill="1" applyBorder="1"/>
    <xf numFmtId="0" fontId="8" fillId="3" borderId="25" xfId="1" applyFont="1" applyFill="1" applyBorder="1"/>
    <xf numFmtId="0" fontId="8" fillId="3" borderId="26" xfId="1" applyFont="1" applyFill="1" applyBorder="1"/>
    <xf numFmtId="0" fontId="8" fillId="3" borderId="27" xfId="1" applyFont="1" applyFill="1" applyBorder="1"/>
    <xf numFmtId="7" fontId="8" fillId="4" borderId="15" xfId="1" applyNumberFormat="1" applyFont="1" applyFill="1" applyBorder="1"/>
    <xf numFmtId="0" fontId="8" fillId="7" borderId="25" xfId="1" applyFont="1" applyFill="1" applyBorder="1"/>
    <xf numFmtId="7" fontId="8" fillId="7" borderId="18" xfId="1" applyNumberFormat="1" applyFont="1" applyFill="1" applyBorder="1"/>
    <xf numFmtId="7" fontId="8" fillId="7" borderId="23" xfId="1" applyNumberFormat="1" applyFont="1" applyFill="1" applyBorder="1"/>
    <xf numFmtId="0" fontId="7" fillId="2" borderId="8" xfId="1" applyFont="1" applyFill="1" applyBorder="1"/>
    <xf numFmtId="0" fontId="8" fillId="2" borderId="10" xfId="1" applyFont="1" applyFill="1" applyBorder="1"/>
    <xf numFmtId="0" fontId="8" fillId="2" borderId="11" xfId="1" applyFont="1" applyFill="1" applyBorder="1" applyAlignment="1">
      <alignment horizontal="centerContinuous"/>
    </xf>
    <xf numFmtId="0" fontId="7" fillId="2" borderId="3" xfId="1" applyFont="1" applyFill="1" applyBorder="1" applyAlignment="1">
      <alignment horizontal="centerContinuous"/>
    </xf>
    <xf numFmtId="0" fontId="7" fillId="2" borderId="10" xfId="1" applyFont="1" applyFill="1" applyBorder="1"/>
    <xf numFmtId="0" fontId="7" fillId="2" borderId="4" xfId="1" applyFont="1" applyFill="1" applyBorder="1"/>
    <xf numFmtId="0" fontId="20" fillId="10" borderId="0" xfId="1" applyFill="1"/>
    <xf numFmtId="0" fontId="7" fillId="7" borderId="0" xfId="1" applyFont="1" applyFill="1"/>
    <xf numFmtId="0" fontId="8" fillId="7" borderId="0" xfId="1" applyFont="1" applyFill="1"/>
    <xf numFmtId="164" fontId="8" fillId="7" borderId="0" xfId="1" applyNumberFormat="1" applyFont="1" applyFill="1"/>
    <xf numFmtId="164" fontId="8" fillId="7" borderId="2" xfId="1" applyNumberFormat="1" applyFont="1" applyFill="1" applyBorder="1"/>
    <xf numFmtId="164" fontId="7" fillId="7" borderId="0" xfId="1" applyNumberFormat="1" applyFont="1" applyFill="1"/>
    <xf numFmtId="0" fontId="8" fillId="2" borderId="5" xfId="1" applyFont="1" applyFill="1" applyBorder="1"/>
    <xf numFmtId="0" fontId="8" fillId="2" borderId="15" xfId="1" applyFont="1" applyFill="1" applyBorder="1"/>
    <xf numFmtId="0" fontId="8" fillId="7" borderId="10" xfId="1" applyFont="1" applyFill="1" applyBorder="1" applyAlignment="1">
      <alignment horizontal="left"/>
    </xf>
    <xf numFmtId="10" fontId="33" fillId="7" borderId="0" xfId="1" applyNumberFormat="1" applyFont="1" applyFill="1"/>
    <xf numFmtId="0" fontId="7" fillId="7" borderId="10" xfId="1" applyFont="1" applyFill="1" applyBorder="1"/>
    <xf numFmtId="37" fontId="8" fillId="7" borderId="11" xfId="1" applyNumberFormat="1" applyFont="1" applyFill="1" applyBorder="1"/>
    <xf numFmtId="0" fontId="8" fillId="7" borderId="11" xfId="1" applyFont="1" applyFill="1" applyBorder="1"/>
    <xf numFmtId="177" fontId="33" fillId="7" borderId="0" xfId="1" applyNumberFormat="1" applyFont="1" applyFill="1"/>
    <xf numFmtId="38" fontId="8" fillId="7" borderId="11" xfId="1" applyNumberFormat="1" applyFont="1" applyFill="1" applyBorder="1"/>
    <xf numFmtId="10" fontId="8" fillId="7" borderId="0" xfId="1" applyNumberFormat="1" applyFont="1" applyFill="1"/>
    <xf numFmtId="0" fontId="8" fillId="7" borderId="10" xfId="1" applyFont="1" applyFill="1" applyBorder="1"/>
    <xf numFmtId="182" fontId="33" fillId="7" borderId="0" xfId="1" applyNumberFormat="1" applyFont="1" applyFill="1"/>
    <xf numFmtId="0" fontId="7" fillId="7" borderId="4" xfId="1" applyFont="1" applyFill="1" applyBorder="1"/>
    <xf numFmtId="0" fontId="8" fillId="7" borderId="2" xfId="1" applyFont="1" applyFill="1" applyBorder="1"/>
    <xf numFmtId="0" fontId="8" fillId="7" borderId="4" xfId="1" applyFont="1" applyFill="1" applyBorder="1"/>
    <xf numFmtId="0" fontId="8" fillId="7" borderId="3" xfId="1" applyFont="1" applyFill="1" applyBorder="1"/>
    <xf numFmtId="0" fontId="7" fillId="2" borderId="14" xfId="1" applyFont="1" applyFill="1" applyBorder="1"/>
    <xf numFmtId="10" fontId="7" fillId="7" borderId="2" xfId="1" applyNumberFormat="1" applyFont="1" applyFill="1" applyBorder="1"/>
    <xf numFmtId="39" fontId="8" fillId="7" borderId="11" xfId="1" applyNumberFormat="1" applyFont="1" applyFill="1" applyBorder="1"/>
    <xf numFmtId="0" fontId="8" fillId="7" borderId="0" xfId="2" applyFont="1" applyFill="1"/>
    <xf numFmtId="10" fontId="11" fillId="7" borderId="7" xfId="2" applyNumberFormat="1" applyFont="1" applyFill="1" applyBorder="1"/>
    <xf numFmtId="0" fontId="20" fillId="7" borderId="0" xfId="1" applyFill="1"/>
    <xf numFmtId="0" fontId="8" fillId="7" borderId="1" xfId="1" applyFont="1" applyFill="1" applyBorder="1"/>
    <xf numFmtId="0" fontId="8" fillId="7" borderId="0" xfId="1" applyFont="1" applyFill="1" applyAlignment="1">
      <alignment horizontal="left"/>
    </xf>
    <xf numFmtId="164" fontId="8" fillId="7" borderId="11" xfId="1" applyNumberFormat="1" applyFont="1" applyFill="1" applyBorder="1"/>
    <xf numFmtId="176" fontId="11" fillId="7" borderId="29" xfId="2" applyNumberFormat="1" applyFont="1" applyFill="1" applyBorder="1"/>
    <xf numFmtId="165" fontId="8" fillId="7" borderId="11" xfId="2" applyNumberFormat="1" applyFont="1" applyFill="1" applyBorder="1"/>
    <xf numFmtId="0" fontId="7" fillId="7" borderId="2" xfId="1" applyFont="1" applyFill="1" applyBorder="1" applyAlignment="1">
      <alignment horizontal="left"/>
    </xf>
    <xf numFmtId="165" fontId="7" fillId="7" borderId="3" xfId="2" applyNumberFormat="1" applyFont="1" applyFill="1" applyBorder="1"/>
    <xf numFmtId="0" fontId="7" fillId="2" borderId="5" xfId="1" applyFont="1" applyFill="1" applyBorder="1"/>
    <xf numFmtId="0" fontId="7" fillId="2" borderId="15" xfId="1" applyFont="1" applyFill="1" applyBorder="1"/>
    <xf numFmtId="0" fontId="8" fillId="7" borderId="8" xfId="1" applyFont="1" applyFill="1" applyBorder="1"/>
    <xf numFmtId="0" fontId="8" fillId="7" borderId="1" xfId="1" applyFont="1" applyFill="1" applyBorder="1" applyAlignment="1">
      <alignment horizontal="left"/>
    </xf>
    <xf numFmtId="164" fontId="8" fillId="7" borderId="9" xfId="1" applyNumberFormat="1" applyFont="1" applyFill="1" applyBorder="1"/>
    <xf numFmtId="9" fontId="11" fillId="7" borderId="29" xfId="2" applyNumberFormat="1" applyFont="1" applyFill="1" applyBorder="1"/>
    <xf numFmtId="164" fontId="8" fillId="7" borderId="11" xfId="2" applyNumberFormat="1" applyFont="1" applyFill="1" applyBorder="1"/>
    <xf numFmtId="164" fontId="7" fillId="7" borderId="3" xfId="2" applyNumberFormat="1" applyFont="1" applyFill="1" applyBorder="1"/>
    <xf numFmtId="165" fontId="8" fillId="7" borderId="0" xfId="1" applyNumberFormat="1" applyFont="1" applyFill="1"/>
    <xf numFmtId="164" fontId="7" fillId="7" borderId="11" xfId="1" applyNumberFormat="1" applyFont="1" applyFill="1" applyBorder="1"/>
    <xf numFmtId="0" fontId="7" fillId="7" borderId="2" xfId="1" applyFont="1" applyFill="1" applyBorder="1"/>
    <xf numFmtId="7" fontId="7" fillId="7" borderId="2" xfId="1" applyNumberFormat="1" applyFont="1" applyFill="1" applyBorder="1"/>
    <xf numFmtId="7" fontId="7" fillId="7" borderId="3" xfId="1" applyNumberFormat="1" applyFont="1" applyFill="1" applyBorder="1"/>
    <xf numFmtId="0" fontId="7" fillId="2" borderId="5" xfId="1" applyFont="1" applyFill="1" applyBorder="1" applyAlignment="1">
      <alignment horizontal="right"/>
    </xf>
    <xf numFmtId="0" fontId="7" fillId="2" borderId="15" xfId="1" applyFont="1" applyFill="1" applyBorder="1" applyAlignment="1">
      <alignment horizontal="right"/>
    </xf>
    <xf numFmtId="39" fontId="37" fillId="0" borderId="0" xfId="0" applyNumberFormat="1" applyFont="1" applyAlignment="1">
      <alignment horizontal="left"/>
    </xf>
    <xf numFmtId="0" fontId="35" fillId="6" borderId="0" xfId="0" applyFont="1" applyFill="1" applyAlignment="1">
      <alignment horizontal="centerContinuous"/>
    </xf>
    <xf numFmtId="0" fontId="36" fillId="6" borderId="0" xfId="0" applyFont="1" applyFill="1" applyAlignment="1">
      <alignment horizontal="centerContinuous"/>
    </xf>
    <xf numFmtId="0" fontId="36" fillId="6" borderId="0" xfId="0" applyFont="1" applyFill="1"/>
    <xf numFmtId="0" fontId="35" fillId="6" borderId="0" xfId="0" applyFont="1" applyFill="1" applyAlignment="1">
      <alignment horizontal="center"/>
    </xf>
    <xf numFmtId="0" fontId="35" fillId="6" borderId="0" xfId="0" applyFont="1" applyFill="1"/>
    <xf numFmtId="8" fontId="38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7" fontId="34" fillId="0" borderId="0" xfId="0" applyNumberFormat="1" applyFont="1" applyAlignment="1">
      <alignment horizontal="center" vertical="center"/>
    </xf>
    <xf numFmtId="8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6" fontId="34" fillId="0" borderId="0" xfId="0" applyNumberFormat="1" applyFont="1" applyAlignment="1">
      <alignment horizontal="center" vertical="center"/>
    </xf>
    <xf numFmtId="165" fontId="34" fillId="0" borderId="0" xfId="0" applyNumberFormat="1" applyFont="1" applyAlignment="1">
      <alignment horizontal="center" vertical="center"/>
    </xf>
    <xf numFmtId="6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65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/>
    </xf>
    <xf numFmtId="167" fontId="34" fillId="0" borderId="0" xfId="0" applyNumberFormat="1" applyFont="1" applyAlignment="1">
      <alignment horizontal="center" vertical="center"/>
    </xf>
    <xf numFmtId="176" fontId="34" fillId="0" borderId="0" xfId="0" applyNumberFormat="1" applyFont="1" applyAlignment="1">
      <alignment horizontal="center" vertical="center"/>
    </xf>
    <xf numFmtId="176" fontId="41" fillId="0" borderId="0" xfId="0" applyNumberFormat="1" applyFont="1" applyAlignment="1">
      <alignment horizontal="center" vertical="center"/>
    </xf>
    <xf numFmtId="4" fontId="34" fillId="0" borderId="0" xfId="0" applyNumberFormat="1" applyFont="1" applyAlignment="1">
      <alignment horizontal="center" vertical="center"/>
    </xf>
    <xf numFmtId="5" fontId="34" fillId="0" borderId="0" xfId="0" applyNumberFormat="1" applyFont="1" applyAlignment="1">
      <alignment horizontal="center" vertical="center"/>
    </xf>
    <xf numFmtId="164" fontId="42" fillId="7" borderId="0" xfId="0" applyNumberFormat="1" applyFont="1" applyFill="1" applyAlignment="1">
      <alignment horizontal="right" wrapText="1"/>
    </xf>
    <xf numFmtId="165" fontId="42" fillId="7" borderId="0" xfId="0" applyNumberFormat="1" applyFont="1" applyFill="1" applyAlignment="1">
      <alignment horizontal="right" wrapText="1"/>
    </xf>
    <xf numFmtId="165" fontId="42" fillId="7" borderId="2" xfId="0" applyNumberFormat="1" applyFont="1" applyFill="1" applyBorder="1" applyAlignment="1">
      <alignment horizontal="right" wrapText="1"/>
    </xf>
    <xf numFmtId="165" fontId="42" fillId="7" borderId="17" xfId="0" applyNumberFormat="1" applyFont="1" applyFill="1" applyBorder="1" applyAlignment="1">
      <alignment horizontal="right" wrapText="1"/>
    </xf>
    <xf numFmtId="165" fontId="43" fillId="7" borderId="5" xfId="0" applyNumberFormat="1" applyFont="1" applyFill="1" applyBorder="1" applyAlignment="1">
      <alignment horizontal="right" wrapText="1"/>
    </xf>
    <xf numFmtId="164" fontId="42" fillId="7" borderId="2" xfId="0" applyNumberFormat="1" applyFont="1" applyFill="1" applyBorder="1" applyAlignment="1">
      <alignment horizontal="right" wrapText="1"/>
    </xf>
    <xf numFmtId="164" fontId="42" fillId="7" borderId="17" xfId="0" applyNumberFormat="1" applyFont="1" applyFill="1" applyBorder="1" applyAlignment="1">
      <alignment horizontal="right" wrapText="1"/>
    </xf>
    <xf numFmtId="38" fontId="42" fillId="7" borderId="0" xfId="0" applyNumberFormat="1" applyFont="1" applyFill="1" applyAlignment="1">
      <alignment horizontal="right" wrapText="1"/>
    </xf>
    <xf numFmtId="38" fontId="42" fillId="7" borderId="17" xfId="0" applyNumberFormat="1" applyFont="1" applyFill="1" applyBorder="1" applyAlignment="1">
      <alignment horizontal="right" wrapText="1"/>
    </xf>
    <xf numFmtId="38" fontId="42" fillId="7" borderId="2" xfId="0" applyNumberFormat="1" applyFont="1" applyFill="1" applyBorder="1" applyAlignment="1">
      <alignment horizontal="right" wrapText="1"/>
    </xf>
    <xf numFmtId="7" fontId="20" fillId="7" borderId="0" xfId="0" applyNumberFormat="1" applyFont="1" applyFill="1" applyAlignment="1">
      <alignment horizontal="right"/>
    </xf>
    <xf numFmtId="165" fontId="8" fillId="7" borderId="19" xfId="1" applyNumberFormat="1" applyFont="1" applyFill="1" applyBorder="1"/>
    <xf numFmtId="165" fontId="8" fillId="4" borderId="5" xfId="1" applyNumberFormat="1" applyFont="1" applyFill="1" applyBorder="1"/>
    <xf numFmtId="38" fontId="8" fillId="0" borderId="0" xfId="0" applyNumberFormat="1" applyFont="1"/>
    <xf numFmtId="178" fontId="8" fillId="0" borderId="0" xfId="0" applyNumberFormat="1" applyFont="1"/>
    <xf numFmtId="0" fontId="7" fillId="7" borderId="0" xfId="0" applyFont="1" applyFill="1" applyAlignment="1">
      <alignment horizontal="right" wrapText="1"/>
    </xf>
    <xf numFmtId="9" fontId="19" fillId="7" borderId="0" xfId="0" applyNumberFormat="1" applyFont="1" applyFill="1" applyAlignment="1">
      <alignment wrapText="1"/>
    </xf>
    <xf numFmtId="0" fontId="9" fillId="7" borderId="0" xfId="0" applyFont="1" applyFill="1" applyAlignment="1">
      <alignment horizontal="left" wrapText="1" indent="1"/>
    </xf>
    <xf numFmtId="9" fontId="25" fillId="7" borderId="0" xfId="0" applyNumberFormat="1" applyFont="1" applyFill="1" applyAlignment="1">
      <alignment wrapText="1"/>
    </xf>
    <xf numFmtId="165" fontId="8" fillId="7" borderId="0" xfId="0" applyNumberFormat="1" applyFont="1" applyFill="1" applyAlignment="1">
      <alignment wrapText="1"/>
    </xf>
    <xf numFmtId="164" fontId="30" fillId="7" borderId="0" xfId="0" applyNumberFormat="1" applyFont="1" applyFill="1" applyAlignment="1">
      <alignment horizontal="right" wrapText="1"/>
    </xf>
    <xf numFmtId="0" fontId="30" fillId="7" borderId="0" xfId="0" applyFont="1" applyFill="1"/>
    <xf numFmtId="0" fontId="8" fillId="0" borderId="0" xfId="3" applyFont="1"/>
    <xf numFmtId="0" fontId="8" fillId="3" borderId="0" xfId="3" applyFont="1" applyFill="1"/>
    <xf numFmtId="164" fontId="8" fillId="3" borderId="0" xfId="3" applyNumberFormat="1" applyFont="1" applyFill="1"/>
    <xf numFmtId="0" fontId="5" fillId="0" borderId="0" xfId="3"/>
    <xf numFmtId="0" fontId="7" fillId="10" borderId="1" xfId="3" applyFont="1" applyFill="1" applyBorder="1"/>
    <xf numFmtId="164" fontId="8" fillId="10" borderId="1" xfId="3" applyNumberFormat="1" applyFont="1" applyFill="1" applyBorder="1"/>
    <xf numFmtId="164" fontId="7" fillId="10" borderId="1" xfId="3" applyNumberFormat="1" applyFont="1" applyFill="1" applyBorder="1"/>
    <xf numFmtId="0" fontId="8" fillId="10" borderId="0" xfId="3" applyFont="1" applyFill="1"/>
    <xf numFmtId="164" fontId="8" fillId="10" borderId="0" xfId="3" applyNumberFormat="1" applyFont="1" applyFill="1"/>
    <xf numFmtId="0" fontId="8" fillId="10" borderId="0" xfId="3" quotePrefix="1" applyFont="1" applyFill="1"/>
    <xf numFmtId="164" fontId="7" fillId="10" borderId="17" xfId="3" applyNumberFormat="1" applyFont="1" applyFill="1" applyBorder="1" applyAlignment="1">
      <alignment horizontal="centerContinuous"/>
    </xf>
    <xf numFmtId="164" fontId="7" fillId="10" borderId="4" xfId="3" applyNumberFormat="1" applyFont="1" applyFill="1" applyBorder="1" applyAlignment="1">
      <alignment horizontal="centerContinuous"/>
    </xf>
    <xf numFmtId="164" fontId="7" fillId="10" borderId="0" xfId="3" applyNumberFormat="1" applyFont="1" applyFill="1" applyAlignment="1">
      <alignment horizontal="centerContinuous"/>
    </xf>
    <xf numFmtId="0" fontId="7" fillId="10" borderId="0" xfId="3" applyFont="1" applyFill="1" applyAlignment="1">
      <alignment horizontal="centerContinuous"/>
    </xf>
    <xf numFmtId="0" fontId="7" fillId="10" borderId="17" xfId="3" applyFont="1" applyFill="1" applyBorder="1"/>
    <xf numFmtId="164" fontId="8" fillId="10" borderId="17" xfId="3" applyNumberFormat="1" applyFont="1" applyFill="1" applyBorder="1"/>
    <xf numFmtId="0" fontId="7" fillId="10" borderId="17" xfId="3" applyFont="1" applyFill="1" applyBorder="1" applyAlignment="1">
      <alignment wrapText="1"/>
    </xf>
    <xf numFmtId="172" fontId="7" fillId="10" borderId="17" xfId="3" applyNumberFormat="1" applyFont="1" applyFill="1" applyBorder="1" applyAlignment="1">
      <alignment horizontal="right" wrapText="1"/>
    </xf>
    <xf numFmtId="173" fontId="7" fillId="10" borderId="17" xfId="3" applyNumberFormat="1" applyFont="1" applyFill="1" applyBorder="1" applyAlignment="1">
      <alignment horizontal="right" wrapText="1"/>
    </xf>
    <xf numFmtId="0" fontId="7" fillId="7" borderId="0" xfId="3" applyFont="1" applyFill="1"/>
    <xf numFmtId="164" fontId="8" fillId="7" borderId="0" xfId="3" applyNumberFormat="1" applyFont="1" applyFill="1"/>
    <xf numFmtId="0" fontId="7" fillId="7" borderId="0" xfId="3" applyFont="1" applyFill="1" applyAlignment="1">
      <alignment wrapText="1"/>
    </xf>
    <xf numFmtId="165" fontId="7" fillId="7" borderId="0" xfId="3" applyNumberFormat="1" applyFont="1" applyFill="1" applyAlignment="1">
      <alignment horizontal="right" wrapText="1"/>
    </xf>
    <xf numFmtId="0" fontId="8" fillId="7" borderId="0" xfId="3" applyFont="1" applyFill="1"/>
    <xf numFmtId="0" fontId="8" fillId="7" borderId="0" xfId="3" applyFont="1" applyFill="1" applyAlignment="1">
      <alignment wrapText="1"/>
    </xf>
    <xf numFmtId="164" fontId="11" fillId="7" borderId="0" xfId="3" applyNumberFormat="1" applyFont="1" applyFill="1" applyAlignment="1">
      <alignment horizontal="right" wrapText="1"/>
    </xf>
    <xf numFmtId="165" fontId="8" fillId="7" borderId="0" xfId="3" applyNumberFormat="1" applyFont="1" applyFill="1" applyAlignment="1">
      <alignment horizontal="right" wrapText="1"/>
    </xf>
    <xf numFmtId="164" fontId="8" fillId="7" borderId="0" xfId="3" applyNumberFormat="1" applyFont="1" applyFill="1" applyAlignment="1">
      <alignment horizontal="right" wrapText="1"/>
    </xf>
    <xf numFmtId="9" fontId="9" fillId="7" borderId="0" xfId="3" applyNumberFormat="1" applyFont="1" applyFill="1" applyAlignment="1">
      <alignment wrapText="1"/>
    </xf>
    <xf numFmtId="165" fontId="18" fillId="7" borderId="0" xfId="3" applyNumberFormat="1" applyFont="1" applyFill="1" applyAlignment="1">
      <alignment horizontal="right" wrapText="1"/>
    </xf>
    <xf numFmtId="178" fontId="19" fillId="7" borderId="0" xfId="3" applyNumberFormat="1" applyFont="1" applyFill="1" applyAlignment="1">
      <alignment wrapText="1"/>
    </xf>
    <xf numFmtId="164" fontId="7" fillId="7" borderId="0" xfId="3" applyNumberFormat="1" applyFont="1" applyFill="1" applyAlignment="1">
      <alignment horizontal="right" wrapText="1"/>
    </xf>
    <xf numFmtId="0" fontId="9" fillId="7" borderId="0" xfId="3" applyFont="1" applyFill="1" applyAlignment="1">
      <alignment wrapText="1"/>
    </xf>
    <xf numFmtId="178" fontId="9" fillId="7" borderId="0" xfId="3" applyNumberFormat="1" applyFont="1" applyFill="1" applyAlignment="1">
      <alignment wrapText="1"/>
    </xf>
    <xf numFmtId="9" fontId="12" fillId="7" borderId="0" xfId="3" applyNumberFormat="1" applyFont="1" applyFill="1" applyAlignment="1">
      <alignment wrapText="1"/>
    </xf>
    <xf numFmtId="0" fontId="9" fillId="7" borderId="0" xfId="3" applyFont="1" applyFill="1"/>
    <xf numFmtId="9" fontId="9" fillId="7" borderId="17" xfId="3" applyNumberFormat="1" applyFont="1" applyFill="1" applyBorder="1" applyAlignment="1">
      <alignment wrapText="1"/>
    </xf>
    <xf numFmtId="9" fontId="19" fillId="7" borderId="17" xfId="3" applyNumberFormat="1" applyFont="1" applyFill="1" applyBorder="1" applyAlignment="1">
      <alignment wrapText="1"/>
    </xf>
    <xf numFmtId="164" fontId="8" fillId="7" borderId="0" xfId="3" applyNumberFormat="1" applyFont="1" applyFill="1" applyAlignment="1">
      <alignment wrapText="1"/>
    </xf>
    <xf numFmtId="9" fontId="32" fillId="7" borderId="0" xfId="3" applyNumberFormat="1" applyFont="1" applyFill="1" applyAlignment="1">
      <alignment wrapText="1"/>
    </xf>
    <xf numFmtId="164" fontId="7" fillId="7" borderId="17" xfId="3" applyNumberFormat="1" applyFont="1" applyFill="1" applyBorder="1" applyAlignment="1">
      <alignment horizontal="right" wrapText="1"/>
    </xf>
    <xf numFmtId="3" fontId="8" fillId="0" borderId="0" xfId="3" applyNumberFormat="1" applyFont="1"/>
    <xf numFmtId="165" fontId="11" fillId="7" borderId="0" xfId="3" applyNumberFormat="1" applyFont="1" applyFill="1" applyAlignment="1">
      <alignment horizontal="right" wrapText="1"/>
    </xf>
    <xf numFmtId="164" fontId="11" fillId="7" borderId="17" xfId="3" applyNumberFormat="1" applyFont="1" applyFill="1" applyBorder="1" applyAlignment="1">
      <alignment horizontal="right" wrapText="1"/>
    </xf>
    <xf numFmtId="165" fontId="11" fillId="7" borderId="17" xfId="3" applyNumberFormat="1" applyFont="1" applyFill="1" applyBorder="1" applyAlignment="1">
      <alignment horizontal="right" wrapText="1"/>
    </xf>
    <xf numFmtId="165" fontId="8" fillId="7" borderId="17" xfId="3" applyNumberFormat="1" applyFont="1" applyFill="1" applyBorder="1" applyAlignment="1">
      <alignment horizontal="right" wrapText="1"/>
    </xf>
    <xf numFmtId="164" fontId="8" fillId="7" borderId="17" xfId="3" applyNumberFormat="1" applyFont="1" applyFill="1" applyBorder="1" applyAlignment="1">
      <alignment horizontal="right" wrapText="1"/>
    </xf>
    <xf numFmtId="165" fontId="7" fillId="7" borderId="5" xfId="3" applyNumberFormat="1" applyFont="1" applyFill="1" applyBorder="1" applyAlignment="1">
      <alignment horizontal="right" wrapText="1"/>
    </xf>
    <xf numFmtId="9" fontId="32" fillId="7" borderId="17" xfId="3" applyNumberFormat="1" applyFont="1" applyFill="1" applyBorder="1" applyAlignment="1">
      <alignment wrapText="1"/>
    </xf>
    <xf numFmtId="9" fontId="8" fillId="0" borderId="0" xfId="3" applyNumberFormat="1" applyFont="1"/>
    <xf numFmtId="9" fontId="12" fillId="7" borderId="17" xfId="3" applyNumberFormat="1" applyFont="1" applyFill="1" applyBorder="1" applyAlignment="1">
      <alignment wrapText="1"/>
    </xf>
    <xf numFmtId="164" fontId="8" fillId="0" borderId="0" xfId="3" applyNumberFormat="1" applyFont="1"/>
    <xf numFmtId="164" fontId="7" fillId="7" borderId="5" xfId="3" applyNumberFormat="1" applyFont="1" applyFill="1" applyBorder="1" applyAlignment="1">
      <alignment horizontal="right" wrapText="1"/>
    </xf>
    <xf numFmtId="183" fontId="8" fillId="0" borderId="0" xfId="3" applyNumberFormat="1" applyFont="1"/>
    <xf numFmtId="175" fontId="8" fillId="7" borderId="0" xfId="3" applyNumberFormat="1" applyFont="1" applyFill="1"/>
    <xf numFmtId="184" fontId="8" fillId="0" borderId="0" xfId="3" applyNumberFormat="1" applyFont="1"/>
    <xf numFmtId="40" fontId="8" fillId="7" borderId="0" xfId="3" applyNumberFormat="1" applyFont="1" applyFill="1" applyAlignment="1">
      <alignment horizontal="right" wrapText="1"/>
    </xf>
    <xf numFmtId="38" fontId="11" fillId="7" borderId="0" xfId="3" applyNumberFormat="1" applyFont="1" applyFill="1" applyAlignment="1">
      <alignment horizontal="right" wrapText="1"/>
    </xf>
    <xf numFmtId="38" fontId="8" fillId="7" borderId="0" xfId="3" applyNumberFormat="1" applyFont="1" applyFill="1" applyAlignment="1">
      <alignment horizontal="right" wrapText="1"/>
    </xf>
    <xf numFmtId="38" fontId="22" fillId="7" borderId="0" xfId="3" applyNumberFormat="1" applyFont="1" applyFill="1" applyAlignment="1">
      <alignment horizontal="right" wrapText="1"/>
    </xf>
    <xf numFmtId="185" fontId="8" fillId="0" borderId="0" xfId="3" applyNumberFormat="1" applyFont="1"/>
    <xf numFmtId="0" fontId="8" fillId="7" borderId="17" xfId="3" applyFont="1" applyFill="1" applyBorder="1"/>
    <xf numFmtId="38" fontId="11" fillId="7" borderId="17" xfId="3" applyNumberFormat="1" applyFont="1" applyFill="1" applyBorder="1" applyAlignment="1">
      <alignment horizontal="right" wrapText="1"/>
    </xf>
    <xf numFmtId="38" fontId="8" fillId="7" borderId="17" xfId="3" applyNumberFormat="1" applyFont="1" applyFill="1" applyBorder="1" applyAlignment="1">
      <alignment horizontal="right" wrapText="1"/>
    </xf>
    <xf numFmtId="38" fontId="22" fillId="7" borderId="17" xfId="3" applyNumberFormat="1" applyFont="1" applyFill="1" applyBorder="1" applyAlignment="1">
      <alignment horizontal="right" wrapText="1"/>
    </xf>
    <xf numFmtId="0" fontId="20" fillId="0" borderId="0" xfId="3" applyFont="1" applyAlignment="1">
      <alignment horizontal="left"/>
    </xf>
    <xf numFmtId="0" fontId="20" fillId="0" borderId="0" xfId="3" applyFont="1"/>
    <xf numFmtId="7" fontId="8" fillId="0" borderId="0" xfId="3" applyNumberFormat="1" applyFont="1"/>
    <xf numFmtId="181" fontId="28" fillId="0" borderId="0" xfId="3" applyNumberFormat="1" applyFont="1" applyAlignment="1">
      <alignment horizontal="left"/>
    </xf>
    <xf numFmtId="165" fontId="8" fillId="0" borderId="0" xfId="3" applyNumberFormat="1" applyFont="1"/>
    <xf numFmtId="0" fontId="20" fillId="7" borderId="0" xfId="3" applyFont="1" applyFill="1"/>
    <xf numFmtId="0" fontId="20" fillId="0" borderId="0" xfId="3" applyFont="1" applyAlignment="1">
      <alignment horizontal="left" indent="1"/>
    </xf>
    <xf numFmtId="0" fontId="26" fillId="7" borderId="0" xfId="3" applyFont="1" applyFill="1"/>
    <xf numFmtId="174" fontId="8" fillId="0" borderId="0" xfId="3" applyNumberFormat="1" applyFont="1"/>
    <xf numFmtId="0" fontId="20" fillId="7" borderId="0" xfId="3" quotePrefix="1" applyFont="1" applyFill="1"/>
    <xf numFmtId="178" fontId="20" fillId="0" borderId="0" xfId="3" applyNumberFormat="1" applyFont="1"/>
    <xf numFmtId="0" fontId="20" fillId="7" borderId="17" xfId="3" applyFont="1" applyFill="1" applyBorder="1"/>
    <xf numFmtId="0" fontId="26" fillId="7" borderId="17" xfId="3" applyFont="1" applyFill="1" applyBorder="1"/>
    <xf numFmtId="0" fontId="26" fillId="7" borderId="14" xfId="3" applyFont="1" applyFill="1" applyBorder="1"/>
    <xf numFmtId="0" fontId="26" fillId="7" borderId="5" xfId="3" applyFont="1" applyFill="1" applyBorder="1"/>
    <xf numFmtId="0" fontId="20" fillId="7" borderId="5" xfId="3" applyFont="1" applyFill="1" applyBorder="1"/>
    <xf numFmtId="0" fontId="20" fillId="0" borderId="0" xfId="1"/>
    <xf numFmtId="0" fontId="7" fillId="11" borderId="1" xfId="1" applyFont="1" applyFill="1" applyBorder="1"/>
    <xf numFmtId="164" fontId="8" fillId="11" borderId="1" xfId="1" applyNumberFormat="1" applyFont="1" applyFill="1" applyBorder="1"/>
    <xf numFmtId="164" fontId="7" fillId="11" borderId="1" xfId="1" applyNumberFormat="1" applyFont="1" applyFill="1" applyBorder="1"/>
    <xf numFmtId="0" fontId="8" fillId="11" borderId="0" xfId="1" applyFont="1" applyFill="1"/>
    <xf numFmtId="164" fontId="8" fillId="11" borderId="0" xfId="1" applyNumberFormat="1" applyFont="1" applyFill="1"/>
    <xf numFmtId="0" fontId="8" fillId="11" borderId="0" xfId="1" quotePrefix="1" applyFont="1" applyFill="1"/>
    <xf numFmtId="164" fontId="7" fillId="11" borderId="17" xfId="1" applyNumberFormat="1" applyFont="1" applyFill="1" applyBorder="1" applyAlignment="1">
      <alignment horizontal="centerContinuous"/>
    </xf>
    <xf numFmtId="164" fontId="7" fillId="11" borderId="4" xfId="1" applyNumberFormat="1" applyFont="1" applyFill="1" applyBorder="1" applyAlignment="1">
      <alignment horizontal="centerContinuous"/>
    </xf>
    <xf numFmtId="164" fontId="7" fillId="11" borderId="0" xfId="1" applyNumberFormat="1" applyFont="1" applyFill="1" applyAlignment="1">
      <alignment horizontal="centerContinuous"/>
    </xf>
    <xf numFmtId="0" fontId="7" fillId="11" borderId="0" xfId="1" applyFont="1" applyFill="1" applyAlignment="1">
      <alignment horizontal="centerContinuous"/>
    </xf>
    <xf numFmtId="0" fontId="7" fillId="11" borderId="17" xfId="1" applyFont="1" applyFill="1" applyBorder="1"/>
    <xf numFmtId="164" fontId="8" fillId="11" borderId="17" xfId="1" applyNumberFormat="1" applyFont="1" applyFill="1" applyBorder="1"/>
    <xf numFmtId="0" fontId="7" fillId="11" borderId="17" xfId="1" applyFont="1" applyFill="1" applyBorder="1" applyAlignment="1">
      <alignment wrapText="1"/>
    </xf>
    <xf numFmtId="172" fontId="7" fillId="11" borderId="17" xfId="1" applyNumberFormat="1" applyFont="1" applyFill="1" applyBorder="1" applyAlignment="1">
      <alignment horizontal="right" wrapText="1"/>
    </xf>
    <xf numFmtId="173" fontId="7" fillId="11" borderId="17" xfId="1" applyNumberFormat="1" applyFont="1" applyFill="1" applyBorder="1" applyAlignment="1">
      <alignment horizontal="right" wrapText="1"/>
    </xf>
    <xf numFmtId="0" fontId="8" fillId="0" borderId="0" xfId="1" applyFont="1" applyAlignment="1">
      <alignment wrapText="1"/>
    </xf>
    <xf numFmtId="37" fontId="8" fillId="0" borderId="1" xfId="1" applyNumberFormat="1" applyFont="1" applyBorder="1"/>
    <xf numFmtId="42" fontId="45" fillId="0" borderId="0" xfId="1" applyNumberFormat="1" applyFont="1"/>
    <xf numFmtId="42" fontId="8" fillId="0" borderId="0" xfId="1" applyNumberFormat="1" applyFont="1"/>
    <xf numFmtId="164" fontId="9" fillId="0" borderId="0" xfId="1" applyNumberFormat="1" applyFont="1"/>
    <xf numFmtId="0" fontId="9" fillId="0" borderId="0" xfId="1" applyFont="1" applyAlignment="1">
      <alignment wrapText="1"/>
    </xf>
    <xf numFmtId="37" fontId="9" fillId="0" borderId="0" xfId="1" applyNumberFormat="1" applyFont="1"/>
    <xf numFmtId="42" fontId="39" fillId="0" borderId="0" xfId="1" applyNumberFormat="1" applyFont="1"/>
    <xf numFmtId="178" fontId="39" fillId="0" borderId="0" xfId="1" applyNumberFormat="1" applyFont="1"/>
    <xf numFmtId="0" fontId="46" fillId="0" borderId="0" xfId="1" applyFont="1"/>
    <xf numFmtId="37" fontId="45" fillId="0" borderId="0" xfId="1" applyNumberFormat="1" applyFont="1"/>
    <xf numFmtId="178" fontId="9" fillId="0" borderId="0" xfId="1" applyNumberFormat="1" applyFont="1"/>
    <xf numFmtId="0" fontId="7" fillId="0" borderId="0" xfId="1" applyFont="1" applyAlignment="1">
      <alignment wrapText="1"/>
    </xf>
    <xf numFmtId="42" fontId="7" fillId="0" borderId="1" xfId="1" applyNumberFormat="1" applyFont="1" applyBorder="1"/>
    <xf numFmtId="0" fontId="26" fillId="0" borderId="0" xfId="1" applyFont="1"/>
    <xf numFmtId="37" fontId="7" fillId="0" borderId="0" xfId="1" applyNumberFormat="1" applyFont="1"/>
    <xf numFmtId="37" fontId="7" fillId="0" borderId="1" xfId="1" applyNumberFormat="1" applyFont="1" applyBorder="1"/>
    <xf numFmtId="43" fontId="0" fillId="0" borderId="0" xfId="4" applyFont="1" applyFill="1"/>
    <xf numFmtId="186" fontId="8" fillId="0" borderId="0" xfId="1" applyNumberFormat="1" applyFont="1"/>
    <xf numFmtId="165" fontId="45" fillId="0" borderId="0" xfId="1" applyNumberFormat="1" applyFont="1"/>
    <xf numFmtId="0" fontId="8" fillId="0" borderId="17" xfId="1" applyFont="1" applyBorder="1"/>
    <xf numFmtId="37" fontId="8" fillId="0" borderId="17" xfId="1" applyNumberFormat="1" applyFont="1" applyBorder="1"/>
    <xf numFmtId="0" fontId="20" fillId="0" borderId="0" xfId="1" applyAlignment="1">
      <alignment horizontal="left"/>
    </xf>
    <xf numFmtId="7" fontId="8" fillId="0" borderId="0" xfId="1" applyNumberFormat="1" applyFont="1"/>
    <xf numFmtId="165" fontId="8" fillId="0" borderId="0" xfId="1" applyNumberFormat="1" applyFont="1"/>
    <xf numFmtId="7" fontId="28" fillId="0" borderId="0" xfId="1" applyNumberFormat="1" applyFont="1" applyAlignment="1">
      <alignment horizontal="right"/>
    </xf>
    <xf numFmtId="37" fontId="28" fillId="0" borderId="0" xfId="1" applyNumberFormat="1" applyFont="1"/>
    <xf numFmtId="174" fontId="8" fillId="0" borderId="0" xfId="1" applyNumberFormat="1" applyFont="1"/>
    <xf numFmtId="0" fontId="20" fillId="0" borderId="0" xfId="1" quotePrefix="1"/>
    <xf numFmtId="37" fontId="29" fillId="0" borderId="0" xfId="1" applyNumberFormat="1" applyFont="1"/>
    <xf numFmtId="0" fontId="20" fillId="0" borderId="17" xfId="1" applyBorder="1"/>
    <xf numFmtId="0" fontId="26" fillId="0" borderId="17" xfId="1" applyFont="1" applyBorder="1"/>
    <xf numFmtId="37" fontId="20" fillId="0" borderId="17" xfId="1" applyNumberFormat="1" applyBorder="1"/>
    <xf numFmtId="0" fontId="26" fillId="0" borderId="14" xfId="1" applyFont="1" applyBorder="1"/>
    <xf numFmtId="37" fontId="26" fillId="0" borderId="15" xfId="1" applyNumberFormat="1" applyFont="1" applyBorder="1"/>
    <xf numFmtId="0" fontId="26" fillId="0" borderId="5" xfId="1" applyFont="1" applyBorder="1"/>
    <xf numFmtId="165" fontId="26" fillId="0" borderId="15" xfId="1" applyNumberFormat="1" applyFont="1" applyBorder="1"/>
    <xf numFmtId="165" fontId="28" fillId="0" borderId="0" xfId="1" applyNumberFormat="1" applyFont="1"/>
    <xf numFmtId="0" fontId="20" fillId="0" borderId="5" xfId="1" applyBorder="1"/>
    <xf numFmtId="174" fontId="26" fillId="0" borderId="15" xfId="1" applyNumberFormat="1" applyFont="1" applyBorder="1"/>
    <xf numFmtId="174" fontId="26" fillId="7" borderId="15" xfId="1" applyNumberFormat="1" applyFont="1" applyFill="1" applyBorder="1"/>
    <xf numFmtId="0" fontId="20" fillId="7" borderId="5" xfId="1" applyFill="1" applyBorder="1"/>
    <xf numFmtId="0" fontId="26" fillId="7" borderId="14" xfId="1" applyFont="1" applyFill="1" applyBorder="1"/>
    <xf numFmtId="165" fontId="28" fillId="7" borderId="0" xfId="1" applyNumberFormat="1" applyFont="1" applyFill="1"/>
    <xf numFmtId="165" fontId="26" fillId="7" borderId="15" xfId="1" applyNumberFormat="1" applyFont="1" applyFill="1" applyBorder="1"/>
    <xf numFmtId="0" fontId="26" fillId="7" borderId="5" xfId="1" applyFont="1" applyFill="1" applyBorder="1"/>
    <xf numFmtId="37" fontId="26" fillId="7" borderId="15" xfId="1" applyNumberFormat="1" applyFont="1" applyFill="1" applyBorder="1"/>
    <xf numFmtId="0" fontId="26" fillId="7" borderId="17" xfId="1" applyFont="1" applyFill="1" applyBorder="1"/>
    <xf numFmtId="37" fontId="20" fillId="7" borderId="17" xfId="1" applyNumberFormat="1" applyFill="1" applyBorder="1"/>
    <xf numFmtId="0" fontId="20" fillId="7" borderId="17" xfId="1" applyFill="1" applyBorder="1"/>
    <xf numFmtId="37" fontId="29" fillId="7" borderId="0" xfId="1" applyNumberFormat="1" applyFont="1" applyFill="1"/>
    <xf numFmtId="0" fontId="20" fillId="7" borderId="0" xfId="1" quotePrefix="1" applyFill="1"/>
    <xf numFmtId="7" fontId="28" fillId="7" borderId="0" xfId="1" applyNumberFormat="1" applyFont="1" applyFill="1" applyAlignment="1">
      <alignment horizontal="right"/>
    </xf>
    <xf numFmtId="37" fontId="28" fillId="7" borderId="0" xfId="1" applyNumberFormat="1" applyFont="1" applyFill="1"/>
    <xf numFmtId="0" fontId="26" fillId="7" borderId="0" xfId="1" applyFont="1" applyFill="1"/>
    <xf numFmtId="164" fontId="44" fillId="7" borderId="0" xfId="1" applyNumberFormat="1" applyFont="1" applyFill="1"/>
    <xf numFmtId="38" fontId="11" fillId="7" borderId="17" xfId="1" applyNumberFormat="1" applyFont="1" applyFill="1" applyBorder="1" applyAlignment="1">
      <alignment horizontal="right" wrapText="1"/>
    </xf>
    <xf numFmtId="0" fontId="8" fillId="7" borderId="17" xfId="1" applyFont="1" applyFill="1" applyBorder="1"/>
    <xf numFmtId="38" fontId="11" fillId="7" borderId="0" xfId="1" applyNumberFormat="1" applyFont="1" applyFill="1" applyAlignment="1">
      <alignment horizontal="right" wrapText="1"/>
    </xf>
    <xf numFmtId="164" fontId="7" fillId="7" borderId="0" xfId="1" applyNumberFormat="1" applyFont="1" applyFill="1" applyAlignment="1">
      <alignment horizontal="right" wrapText="1"/>
    </xf>
    <xf numFmtId="0" fontId="7" fillId="7" borderId="0" xfId="1" applyFont="1" applyFill="1" applyAlignment="1">
      <alignment wrapText="1"/>
    </xf>
    <xf numFmtId="40" fontId="8" fillId="7" borderId="0" xfId="1" applyNumberFormat="1" applyFont="1" applyFill="1" applyAlignment="1">
      <alignment horizontal="right" wrapText="1"/>
    </xf>
    <xf numFmtId="175" fontId="8" fillId="7" borderId="0" xfId="1" applyNumberFormat="1" applyFont="1" applyFill="1"/>
    <xf numFmtId="9" fontId="12" fillId="7" borderId="17" xfId="1" applyNumberFormat="1" applyFont="1" applyFill="1" applyBorder="1" applyAlignment="1">
      <alignment wrapText="1"/>
    </xf>
    <xf numFmtId="9" fontId="9" fillId="7" borderId="17" xfId="1" applyNumberFormat="1" applyFont="1" applyFill="1" applyBorder="1" applyAlignment="1">
      <alignment wrapText="1"/>
    </xf>
    <xf numFmtId="0" fontId="9" fillId="7" borderId="0" xfId="1" applyFont="1" applyFill="1" applyAlignment="1">
      <alignment wrapText="1"/>
    </xf>
    <xf numFmtId="0" fontId="9" fillId="7" borderId="0" xfId="1" applyFont="1" applyFill="1"/>
    <xf numFmtId="164" fontId="8" fillId="7" borderId="0" xfId="1" applyNumberFormat="1" applyFont="1" applyFill="1" applyAlignment="1">
      <alignment horizontal="right" wrapText="1"/>
    </xf>
    <xf numFmtId="165" fontId="8" fillId="7" borderId="0" xfId="1" applyNumberFormat="1" applyFont="1" applyFill="1" applyAlignment="1">
      <alignment horizontal="right" wrapText="1"/>
    </xf>
    <xf numFmtId="164" fontId="18" fillId="7" borderId="0" xfId="1" applyNumberFormat="1" applyFont="1" applyFill="1" applyAlignment="1">
      <alignment horizontal="right" wrapText="1"/>
    </xf>
    <xf numFmtId="9" fontId="9" fillId="7" borderId="0" xfId="1" applyNumberFormat="1" applyFont="1" applyFill="1" applyAlignment="1">
      <alignment wrapText="1"/>
    </xf>
    <xf numFmtId="165" fontId="7" fillId="7" borderId="5" xfId="1" applyNumberFormat="1" applyFont="1" applyFill="1" applyBorder="1" applyAlignment="1">
      <alignment horizontal="right" wrapText="1"/>
    </xf>
    <xf numFmtId="165" fontId="8" fillId="7" borderId="17" xfId="1" applyNumberFormat="1" applyFont="1" applyFill="1" applyBorder="1" applyAlignment="1">
      <alignment horizontal="right" wrapText="1"/>
    </xf>
    <xf numFmtId="165" fontId="11" fillId="7" borderId="17" xfId="1" applyNumberFormat="1" applyFont="1" applyFill="1" applyBorder="1" applyAlignment="1">
      <alignment horizontal="right" wrapText="1"/>
    </xf>
    <xf numFmtId="164" fontId="11" fillId="7" borderId="0" xfId="1" applyNumberFormat="1" applyFont="1" applyFill="1" applyAlignment="1">
      <alignment horizontal="right" wrapText="1"/>
    </xf>
    <xf numFmtId="9" fontId="25" fillId="7" borderId="0" xfId="1" applyNumberFormat="1" applyFont="1" applyFill="1" applyAlignment="1">
      <alignment wrapText="1"/>
    </xf>
    <xf numFmtId="178" fontId="9" fillId="7" borderId="0" xfId="1" applyNumberFormat="1" applyFont="1" applyFill="1" applyAlignment="1">
      <alignment wrapText="1"/>
    </xf>
    <xf numFmtId="164" fontId="8" fillId="7" borderId="0" xfId="1" applyNumberFormat="1" applyFont="1" applyFill="1" applyAlignment="1">
      <alignment wrapText="1"/>
    </xf>
    <xf numFmtId="164" fontId="7" fillId="7" borderId="1" xfId="1" applyNumberFormat="1" applyFont="1" applyFill="1" applyBorder="1" applyAlignment="1">
      <alignment horizontal="right" wrapText="1"/>
    </xf>
    <xf numFmtId="0" fontId="7" fillId="7" borderId="1" xfId="1" applyFont="1" applyFill="1" applyBorder="1" applyAlignment="1">
      <alignment wrapText="1"/>
    </xf>
    <xf numFmtId="0" fontId="7" fillId="7" borderId="1" xfId="1" applyFont="1" applyFill="1" applyBorder="1"/>
    <xf numFmtId="9" fontId="12" fillId="7" borderId="0" xfId="1" applyNumberFormat="1" applyFont="1" applyFill="1" applyAlignment="1">
      <alignment wrapText="1"/>
    </xf>
    <xf numFmtId="0" fontId="9" fillId="7" borderId="0" xfId="1" applyFont="1" applyFill="1" applyAlignment="1">
      <alignment horizontal="left" wrapText="1" indent="1"/>
    </xf>
    <xf numFmtId="165" fontId="18" fillId="7" borderId="0" xfId="1" applyNumberFormat="1" applyFont="1" applyFill="1" applyAlignment="1">
      <alignment horizontal="right" wrapText="1"/>
    </xf>
    <xf numFmtId="0" fontId="8" fillId="7" borderId="0" xfId="1" applyFont="1" applyFill="1" applyAlignment="1">
      <alignment wrapText="1"/>
    </xf>
    <xf numFmtId="9" fontId="19" fillId="7" borderId="0" xfId="1" applyNumberFormat="1" applyFont="1" applyFill="1" applyAlignment="1">
      <alignment wrapText="1"/>
    </xf>
    <xf numFmtId="165" fontId="47" fillId="7" borderId="0" xfId="1" applyNumberFormat="1" applyFont="1" applyFill="1" applyAlignment="1">
      <alignment horizontal="right" wrapText="1"/>
    </xf>
    <xf numFmtId="165" fontId="7" fillId="7" borderId="0" xfId="1" applyNumberFormat="1" applyFont="1" applyFill="1" applyAlignment="1">
      <alignment horizontal="right" wrapText="1"/>
    </xf>
    <xf numFmtId="173" fontId="7" fillId="2" borderId="17" xfId="1" applyNumberFormat="1" applyFont="1" applyFill="1" applyBorder="1" applyAlignment="1">
      <alignment horizontal="right" wrapText="1"/>
    </xf>
    <xf numFmtId="172" fontId="7" fillId="2" borderId="17" xfId="1" applyNumberFormat="1" applyFont="1" applyFill="1" applyBorder="1" applyAlignment="1">
      <alignment horizontal="right" wrapText="1"/>
    </xf>
    <xf numFmtId="0" fontId="7" fillId="2" borderId="17" xfId="1" applyFont="1" applyFill="1" applyBorder="1" applyAlignment="1">
      <alignment wrapText="1"/>
    </xf>
    <xf numFmtId="164" fontId="8" fillId="2" borderId="17" xfId="1" applyNumberFormat="1" applyFont="1" applyFill="1" applyBorder="1"/>
    <xf numFmtId="164" fontId="7" fillId="2" borderId="17" xfId="1" applyNumberFormat="1" applyFont="1" applyFill="1" applyBorder="1" applyAlignment="1">
      <alignment horizontal="centerContinuous"/>
    </xf>
    <xf numFmtId="38" fontId="8" fillId="7" borderId="0" xfId="1" applyNumberFormat="1" applyFont="1" applyFill="1" applyAlignment="1">
      <alignment horizontal="right" wrapText="1"/>
    </xf>
    <xf numFmtId="38" fontId="8" fillId="7" borderId="17" xfId="1" applyNumberFormat="1" applyFont="1" applyFill="1" applyBorder="1" applyAlignment="1">
      <alignment horizontal="right" wrapText="1"/>
    </xf>
    <xf numFmtId="0" fontId="34" fillId="0" borderId="0" xfId="1" applyFont="1"/>
    <xf numFmtId="0" fontId="48" fillId="0" borderId="0" xfId="1" applyFont="1"/>
    <xf numFmtId="0" fontId="49" fillId="0" borderId="16" xfId="1" applyFont="1" applyBorder="1"/>
    <xf numFmtId="0" fontId="34" fillId="0" borderId="16" xfId="1" applyFont="1" applyBorder="1"/>
    <xf numFmtId="0" fontId="49" fillId="0" borderId="0" xfId="1" applyFont="1"/>
    <xf numFmtId="0" fontId="37" fillId="0" borderId="0" xfId="1" applyFont="1"/>
    <xf numFmtId="187" fontId="37" fillId="0" borderId="0" xfId="1" applyNumberFormat="1" applyFont="1"/>
    <xf numFmtId="187" fontId="37" fillId="0" borderId="1" xfId="1" applyNumberFormat="1" applyFont="1" applyBorder="1"/>
    <xf numFmtId="165" fontId="38" fillId="0" borderId="0" xfId="1" applyNumberFormat="1" applyFont="1"/>
    <xf numFmtId="187" fontId="38" fillId="0" borderId="0" xfId="1" applyNumberFormat="1" applyFont="1"/>
    <xf numFmtId="165" fontId="37" fillId="0" borderId="0" xfId="1" applyNumberFormat="1" applyFont="1"/>
    <xf numFmtId="15" fontId="49" fillId="6" borderId="0" xfId="1" applyNumberFormat="1" applyFont="1" applyFill="1" applyAlignment="1">
      <alignment horizontal="center"/>
    </xf>
    <xf numFmtId="0" fontId="49" fillId="6" borderId="0" xfId="1" applyFont="1" applyFill="1"/>
    <xf numFmtId="0" fontId="49" fillId="6" borderId="0" xfId="1" applyFont="1" applyFill="1" applyAlignment="1">
      <alignment horizontal="center"/>
    </xf>
    <xf numFmtId="0" fontId="50" fillId="0" borderId="0" xfId="1" applyFont="1"/>
    <xf numFmtId="188" fontId="34" fillId="0" borderId="0" xfId="1" applyNumberFormat="1" applyFont="1"/>
    <xf numFmtId="43" fontId="34" fillId="0" borderId="16" xfId="6" applyFont="1" applyBorder="1"/>
    <xf numFmtId="165" fontId="34" fillId="0" borderId="0" xfId="1" applyNumberFormat="1" applyFont="1"/>
    <xf numFmtId="0" fontId="51" fillId="0" borderId="0" xfId="1" applyFont="1"/>
    <xf numFmtId="165" fontId="51" fillId="0" borderId="0" xfId="1" applyNumberFormat="1" applyFont="1"/>
    <xf numFmtId="178" fontId="52" fillId="0" borderId="0" xfId="1" applyNumberFormat="1" applyFont="1"/>
    <xf numFmtId="178" fontId="51" fillId="0" borderId="0" xfId="1" applyNumberFormat="1" applyFont="1"/>
    <xf numFmtId="165" fontId="37" fillId="0" borderId="1" xfId="1" applyNumberFormat="1" applyFont="1" applyBorder="1"/>
    <xf numFmtId="187" fontId="34" fillId="0" borderId="0" xfId="1" applyNumberFormat="1" applyFont="1"/>
    <xf numFmtId="0" fontId="34" fillId="0" borderId="0" xfId="1" applyFont="1" applyAlignment="1">
      <alignment horizontal="center"/>
    </xf>
    <xf numFmtId="37" fontId="38" fillId="0" borderId="0" xfId="1" applyNumberFormat="1" applyFont="1"/>
    <xf numFmtId="42" fontId="37" fillId="0" borderId="0" xfId="1" applyNumberFormat="1" applyFont="1"/>
    <xf numFmtId="42" fontId="37" fillId="0" borderId="1" xfId="1" applyNumberFormat="1" applyFont="1" applyBorder="1"/>
    <xf numFmtId="37" fontId="37" fillId="0" borderId="1" xfId="1" applyNumberFormat="1" applyFont="1" applyBorder="1"/>
    <xf numFmtId="37" fontId="34" fillId="0" borderId="0" xfId="1" applyNumberFormat="1" applyFont="1"/>
    <xf numFmtId="42" fontId="38" fillId="0" borderId="0" xfId="1" applyNumberFormat="1" applyFont="1"/>
    <xf numFmtId="165" fontId="11" fillId="7" borderId="17" xfId="0" applyNumberFormat="1" applyFont="1" applyFill="1" applyBorder="1" applyAlignment="1">
      <alignment horizontal="right"/>
    </xf>
    <xf numFmtId="165" fontId="8" fillId="7" borderId="11" xfId="1" applyNumberFormat="1" applyFont="1" applyFill="1" applyBorder="1"/>
    <xf numFmtId="0" fontId="8" fillId="3" borderId="28" xfId="1" applyFont="1" applyFill="1" applyBorder="1"/>
    <xf numFmtId="0" fontId="8" fillId="3" borderId="21" xfId="1" applyFont="1" applyFill="1" applyBorder="1"/>
    <xf numFmtId="170" fontId="8" fillId="7" borderId="21" xfId="1" applyNumberFormat="1" applyFont="1" applyFill="1" applyBorder="1" applyAlignment="1">
      <alignment horizontal="center"/>
    </xf>
    <xf numFmtId="167" fontId="8" fillId="7" borderId="21" xfId="1" applyNumberFormat="1" applyFont="1" applyFill="1" applyBorder="1" applyAlignment="1">
      <alignment horizontal="center"/>
    </xf>
    <xf numFmtId="167" fontId="8" fillId="3" borderId="21" xfId="1" applyNumberFormat="1" applyFont="1" applyFill="1" applyBorder="1" applyAlignment="1">
      <alignment horizontal="center"/>
    </xf>
    <xf numFmtId="176" fontId="8" fillId="3" borderId="21" xfId="1" applyNumberFormat="1" applyFont="1" applyFill="1" applyBorder="1" applyAlignment="1">
      <alignment horizontal="center"/>
    </xf>
    <xf numFmtId="176" fontId="8" fillId="3" borderId="24" xfId="1" applyNumberFormat="1" applyFont="1" applyFill="1" applyBorder="1" applyAlignment="1">
      <alignment horizontal="center"/>
    </xf>
    <xf numFmtId="167" fontId="8" fillId="7" borderId="21" xfId="1" applyNumberFormat="1" applyFont="1" applyFill="1" applyBorder="1"/>
    <xf numFmtId="37" fontId="8" fillId="7" borderId="21" xfId="1" applyNumberFormat="1" applyFont="1" applyFill="1" applyBorder="1"/>
    <xf numFmtId="7" fontId="8" fillId="7" borderId="21" xfId="1" applyNumberFormat="1" applyFont="1" applyFill="1" applyBorder="1"/>
    <xf numFmtId="7" fontId="8" fillId="7" borderId="24" xfId="1" applyNumberFormat="1" applyFont="1" applyFill="1" applyBorder="1"/>
    <xf numFmtId="0" fontId="7" fillId="9" borderId="12" xfId="1" applyFont="1" applyFill="1" applyBorder="1" applyAlignment="1">
      <alignment horizontal="left" vertical="top" wrapText="1"/>
    </xf>
    <xf numFmtId="0" fontId="7" fillId="2" borderId="30" xfId="1" applyFont="1" applyFill="1" applyBorder="1" applyAlignment="1">
      <alignment horizontal="centerContinuous" wrapText="1"/>
    </xf>
    <xf numFmtId="0" fontId="7" fillId="9" borderId="30" xfId="1" applyFont="1" applyFill="1" applyBorder="1" applyAlignment="1">
      <alignment horizontal="centerContinuous" wrapText="1"/>
    </xf>
    <xf numFmtId="0" fontId="7" fillId="9" borderId="13" xfId="1" applyFont="1" applyFill="1" applyBorder="1" applyAlignment="1">
      <alignment horizontal="left" vertical="top" wrapText="1"/>
    </xf>
    <xf numFmtId="179" fontId="7" fillId="2" borderId="13" xfId="1" applyNumberFormat="1" applyFont="1" applyFill="1" applyBorder="1" applyAlignment="1">
      <alignment horizontal="right" wrapText="1"/>
    </xf>
    <xf numFmtId="0" fontId="8" fillId="3" borderId="19" xfId="1" applyFont="1" applyFill="1" applyBorder="1" applyAlignment="1">
      <alignment wrapText="1"/>
    </xf>
    <xf numFmtId="14" fontId="8" fillId="7" borderId="19" xfId="1" applyNumberFormat="1" applyFont="1" applyFill="1" applyBorder="1" applyAlignment="1">
      <alignment horizontal="left"/>
    </xf>
    <xf numFmtId="0" fontId="8" fillId="3" borderId="20" xfId="1" applyFont="1" applyFill="1" applyBorder="1" applyAlignment="1">
      <alignment wrapText="1"/>
    </xf>
    <xf numFmtId="14" fontId="8" fillId="7" borderId="20" xfId="1" applyNumberFormat="1" applyFont="1" applyFill="1" applyBorder="1" applyAlignment="1">
      <alignment horizontal="left"/>
    </xf>
    <xf numFmtId="189" fontId="8" fillId="3" borderId="20" xfId="1" applyNumberFormat="1" applyFont="1" applyFill="1" applyBorder="1" applyAlignment="1">
      <alignment horizontal="center"/>
    </xf>
    <xf numFmtId="0" fontId="8" fillId="3" borderId="21" xfId="1" applyFont="1" applyFill="1" applyBorder="1" applyAlignment="1">
      <alignment wrapText="1"/>
    </xf>
    <xf numFmtId="14" fontId="8" fillId="7" borderId="21" xfId="1" applyNumberFormat="1" applyFont="1" applyFill="1" applyBorder="1" applyAlignment="1">
      <alignment horizontal="left"/>
    </xf>
    <xf numFmtId="0" fontId="8" fillId="5" borderId="10" xfId="1" applyFont="1" applyFill="1" applyBorder="1"/>
    <xf numFmtId="0" fontId="8" fillId="5" borderId="4" xfId="1" applyFont="1" applyFill="1" applyBorder="1"/>
    <xf numFmtId="167" fontId="8" fillId="0" borderId="21" xfId="1" applyNumberFormat="1" applyFont="1" applyBorder="1" applyAlignment="1">
      <alignment horizontal="center"/>
    </xf>
    <xf numFmtId="189" fontId="8" fillId="3" borderId="21" xfId="1" applyNumberFormat="1" applyFont="1" applyFill="1" applyBorder="1" applyAlignment="1">
      <alignment horizontal="center"/>
    </xf>
    <xf numFmtId="0" fontId="44" fillId="0" borderId="0" xfId="0" applyFont="1"/>
    <xf numFmtId="7" fontId="28" fillId="7" borderId="0" xfId="3" applyNumberFormat="1" applyFont="1" applyFill="1" applyAlignment="1">
      <alignment horizontal="right"/>
    </xf>
    <xf numFmtId="37" fontId="28" fillId="7" borderId="0" xfId="3" applyNumberFormat="1" applyFont="1" applyFill="1"/>
    <xf numFmtId="37" fontId="29" fillId="7" borderId="0" xfId="3" applyNumberFormat="1" applyFont="1" applyFill="1"/>
    <xf numFmtId="37" fontId="20" fillId="7" borderId="17" xfId="3" applyNumberFormat="1" applyFont="1" applyFill="1" applyBorder="1"/>
    <xf numFmtId="37" fontId="26" fillId="7" borderId="15" xfId="3" applyNumberFormat="1" applyFont="1" applyFill="1" applyBorder="1"/>
    <xf numFmtId="165" fontId="26" fillId="7" borderId="15" xfId="3" applyNumberFormat="1" applyFont="1" applyFill="1" applyBorder="1"/>
    <xf numFmtId="165" fontId="28" fillId="7" borderId="0" xfId="3" applyNumberFormat="1" applyFont="1" applyFill="1"/>
    <xf numFmtId="174" fontId="26" fillId="7" borderId="15" xfId="3" applyNumberFormat="1" applyFont="1" applyFill="1" applyBorder="1"/>
    <xf numFmtId="0" fontId="53" fillId="3" borderId="0" xfId="0" applyFont="1" applyFill="1"/>
    <xf numFmtId="172" fontId="7" fillId="2" borderId="0" xfId="0" applyNumberFormat="1" applyFont="1" applyFill="1" applyAlignment="1">
      <alignment horizontal="right" wrapText="1"/>
    </xf>
    <xf numFmtId="9" fontId="17" fillId="7" borderId="0" xfId="9" applyFont="1" applyFill="1" applyAlignment="1">
      <alignment horizontal="right" wrapText="1"/>
    </xf>
    <xf numFmtId="164" fontId="56" fillId="7" borderId="0" xfId="0" applyNumberFormat="1" applyFont="1" applyFill="1" applyAlignment="1">
      <alignment horizontal="right" wrapText="1"/>
    </xf>
    <xf numFmtId="164" fontId="57" fillId="7" borderId="0" xfId="0" applyNumberFormat="1" applyFont="1" applyFill="1"/>
    <xf numFmtId="0" fontId="58" fillId="7" borderId="0" xfId="0" applyFont="1" applyFill="1" applyAlignment="1">
      <alignment wrapText="1"/>
    </xf>
    <xf numFmtId="10" fontId="9" fillId="7" borderId="0" xfId="0" applyNumberFormat="1" applyFont="1" applyFill="1" applyAlignment="1">
      <alignment wrapText="1"/>
    </xf>
    <xf numFmtId="9" fontId="56" fillId="7" borderId="0" xfId="9" applyFont="1" applyFill="1" applyAlignment="1">
      <alignment horizontal="right" wrapText="1"/>
    </xf>
    <xf numFmtId="10" fontId="12" fillId="7" borderId="0" xfId="0" applyNumberFormat="1" applyFont="1" applyFill="1" applyAlignment="1">
      <alignment horizontal="right" wrapText="1"/>
    </xf>
    <xf numFmtId="1" fontId="59" fillId="7" borderId="0" xfId="0" applyNumberFormat="1" applyFont="1" applyFill="1" applyAlignment="1">
      <alignment horizontal="right" wrapText="1"/>
    </xf>
    <xf numFmtId="178" fontId="58" fillId="7" borderId="0" xfId="0" applyNumberFormat="1" applyFont="1" applyFill="1" applyAlignment="1">
      <alignment wrapText="1"/>
    </xf>
    <xf numFmtId="37" fontId="60" fillId="7" borderId="0" xfId="11" applyNumberFormat="1" applyFont="1" applyFill="1" applyAlignment="1">
      <alignment horizontal="right" vertical="top"/>
    </xf>
    <xf numFmtId="37" fontId="60" fillId="7" borderId="17" xfId="11" applyNumberFormat="1" applyFont="1" applyFill="1" applyBorder="1" applyAlignment="1">
      <alignment horizontal="right" vertical="top"/>
    </xf>
    <xf numFmtId="0" fontId="29" fillId="7" borderId="0" xfId="0" applyFont="1" applyFill="1"/>
    <xf numFmtId="40" fontId="56" fillId="7" borderId="0" xfId="0" applyNumberFormat="1" applyFont="1" applyFill="1" applyAlignment="1">
      <alignment horizontal="right" wrapText="1"/>
    </xf>
    <xf numFmtId="190" fontId="8" fillId="0" borderId="0" xfId="0" applyNumberFormat="1" applyFont="1"/>
    <xf numFmtId="191" fontId="8" fillId="0" borderId="0" xfId="0" applyNumberFormat="1" applyFont="1"/>
    <xf numFmtId="38" fontId="56" fillId="0" borderId="0" xfId="0" applyNumberFormat="1" applyFont="1"/>
    <xf numFmtId="0" fontId="56" fillId="0" borderId="0" xfId="0" applyFont="1"/>
    <xf numFmtId="38" fontId="56" fillId="7" borderId="0" xfId="0" applyNumberFormat="1" applyFont="1" applyFill="1"/>
    <xf numFmtId="164" fontId="56" fillId="7" borderId="0" xfId="0" applyNumberFormat="1" applyFont="1" applyFill="1"/>
    <xf numFmtId="38" fontId="56" fillId="7" borderId="0" xfId="0" applyNumberFormat="1" applyFont="1" applyFill="1" applyAlignment="1">
      <alignment horizontal="right" wrapText="1"/>
    </xf>
    <xf numFmtId="192" fontId="0" fillId="0" borderId="0" xfId="0" applyNumberFormat="1"/>
    <xf numFmtId="37" fontId="60" fillId="7" borderId="0" xfId="0" applyNumberFormat="1" applyFont="1" applyFill="1" applyAlignment="1">
      <alignment horizontal="right" vertical="top"/>
    </xf>
    <xf numFmtId="0" fontId="20" fillId="8" borderId="1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15" xfId="0" applyBorder="1"/>
    <xf numFmtId="164" fontId="7" fillId="2" borderId="12" xfId="1" applyNumberFormat="1" applyFont="1" applyFill="1" applyBorder="1" applyAlignment="1">
      <alignment horizontal="left" wrapText="1"/>
    </xf>
    <xf numFmtId="0" fontId="8" fillId="0" borderId="12" xfId="1" applyFont="1" applyBorder="1" applyAlignment="1">
      <alignment horizontal="left" wrapText="1"/>
    </xf>
    <xf numFmtId="0" fontId="8" fillId="0" borderId="13" xfId="1" applyFont="1" applyBorder="1" applyAlignment="1">
      <alignment horizontal="left" wrapText="1"/>
    </xf>
    <xf numFmtId="164" fontId="7" fillId="2" borderId="12" xfId="1" applyNumberFormat="1" applyFont="1" applyFill="1" applyBorder="1" applyAlignment="1">
      <alignment horizontal="left" vertical="top" wrapText="1"/>
    </xf>
    <xf numFmtId="0" fontId="8" fillId="0" borderId="12" xfId="1" applyFont="1" applyBorder="1" applyAlignment="1">
      <alignment horizontal="left" vertical="top" wrapText="1"/>
    </xf>
    <xf numFmtId="0" fontId="8" fillId="0" borderId="13" xfId="1" applyFont="1" applyBorder="1" applyAlignment="1">
      <alignment horizontal="left" vertical="top" wrapText="1"/>
    </xf>
    <xf numFmtId="0" fontId="20" fillId="8" borderId="14" xfId="3" applyFont="1" applyFill="1" applyBorder="1" applyAlignment="1">
      <alignment horizontal="center" vertical="center" wrapText="1"/>
    </xf>
    <xf numFmtId="0" fontId="5" fillId="0" borderId="5" xfId="3" applyBorder="1"/>
    <xf numFmtId="0" fontId="5" fillId="0" borderId="15" xfId="3" applyBorder="1"/>
    <xf numFmtId="0" fontId="20" fillId="0" borderId="14" xfId="1" applyBorder="1" applyAlignment="1">
      <alignment horizontal="center" vertical="center" wrapText="1"/>
    </xf>
    <xf numFmtId="0" fontId="20" fillId="0" borderId="5" xfId="1" applyBorder="1"/>
    <xf numFmtId="0" fontId="20" fillId="0" borderId="15" xfId="1" applyBorder="1"/>
    <xf numFmtId="0" fontId="20" fillId="8" borderId="14" xfId="1" applyFill="1" applyBorder="1" applyAlignment="1">
      <alignment horizontal="center" vertical="center" wrapText="1"/>
    </xf>
    <xf numFmtId="164" fontId="7" fillId="2" borderId="14" xfId="1" applyNumberFormat="1" applyFont="1" applyFill="1" applyBorder="1" applyAlignment="1">
      <alignment horizontal="center" vertical="top" wrapText="1"/>
    </xf>
    <xf numFmtId="164" fontId="7" fillId="2" borderId="15" xfId="1" applyNumberFormat="1" applyFont="1" applyFill="1" applyBorder="1" applyAlignment="1">
      <alignment horizontal="center" vertical="top" wrapText="1"/>
    </xf>
    <xf numFmtId="0" fontId="7" fillId="9" borderId="14" xfId="1" applyFont="1" applyFill="1" applyBorder="1" applyAlignment="1">
      <alignment horizontal="center" wrapText="1"/>
    </xf>
    <xf numFmtId="0" fontId="20" fillId="0" borderId="5" xfId="1" applyBorder="1" applyAlignment="1">
      <alignment horizontal="center" wrapText="1"/>
    </xf>
    <xf numFmtId="0" fontId="20" fillId="0" borderId="15" xfId="1" applyBorder="1" applyAlignment="1">
      <alignment horizontal="center" wrapText="1"/>
    </xf>
    <xf numFmtId="3" fontId="0" fillId="7" borderId="0" xfId="0" applyNumberFormat="1" applyFill="1"/>
    <xf numFmtId="3" fontId="61" fillId="7" borderId="0" xfId="0" applyNumberFormat="1" applyFont="1" applyFill="1"/>
    <xf numFmtId="173" fontId="8" fillId="0" borderId="0" xfId="0" applyNumberFormat="1" applyFont="1"/>
    <xf numFmtId="165" fontId="56" fillId="7" borderId="0" xfId="0" applyNumberFormat="1" applyFont="1" applyFill="1"/>
    <xf numFmtId="165" fontId="8" fillId="7" borderId="17" xfId="0" applyNumberFormat="1" applyFont="1" applyFill="1" applyBorder="1" applyAlignment="1">
      <alignment horizontal="right"/>
    </xf>
    <xf numFmtId="165" fontId="62" fillId="7" borderId="0" xfId="0" applyNumberFormat="1" applyFont="1" applyFill="1" applyAlignment="1">
      <alignment horizontal="right"/>
    </xf>
  </cellXfs>
  <cellStyles count="12">
    <cellStyle name="Comma 2" xfId="4" xr:uid="{00000000-0005-0000-0000-000000000000}"/>
    <cellStyle name="Comma 3" xfId="6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Normal 4" xfId="5" xr:uid="{00000000-0005-0000-0000-000005000000}"/>
    <cellStyle name="Normal 5" xfId="7" xr:uid="{00000000-0005-0000-0000-000006000000}"/>
    <cellStyle name="Normal 6" xfId="8" xr:uid="{00000000-0005-0000-0000-000007000000}"/>
    <cellStyle name="Normal 7" xfId="10" xr:uid="{25848A1F-3722-4A8F-8CB7-7C12AAA85097}"/>
    <cellStyle name="Normal 8" xfId="11" xr:uid="{5B799E2C-6BF7-48A2-9F13-8167652CF6AD}"/>
    <cellStyle name="Normal_DCF analysis" xfId="2" xr:uid="{00000000-0005-0000-0000-000008000000}"/>
    <cellStyle name="Percent" xfId="9" builtinId="5"/>
  </cellStyles>
  <dxfs count="0"/>
  <tableStyles count="0" defaultTableStyle="TableStyleMedium9" defaultPivotStyle="PivotStyleLight16"/>
  <colors>
    <mruColors>
      <color rgb="FF0000FF"/>
      <color rgb="FF66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936106749117837E-2"/>
          <c:y val="0"/>
          <c:w val="0.96612778650176534"/>
          <c:h val="0.93406764249718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'Football field'!$U$22</c:f>
              <c:strCache>
                <c:ptCount val="1"/>
                <c:pt idx="0">
                  <c:v>Lower end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4.6033685369340084E-2"/>
                </c:manualLayout>
              </c:layout>
              <c:tx>
                <c:strRef>
                  <c:f>'Football field'!$U$10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{EE43F0FA-AF17-485C-B92D-9D76C2F67B2F}</c15:txfldGUID>
                      <c15:f>'Football field'!$U$10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9C68-42C4-8C9F-D470E0004F21}"/>
                </c:ext>
              </c:extLst>
            </c:dLbl>
            <c:dLbl>
              <c:idx val="1"/>
              <c:layout>
                <c:manualLayout>
                  <c:x val="0"/>
                  <c:y val="-8.0206712153957249E-2"/>
                </c:manualLayout>
              </c:layout>
              <c:tx>
                <c:strRef>
                  <c:f>'Football field'!$U$11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{10A91395-E554-488F-B053-738AC092CC16}</c15:txfldGUID>
                      <c15:f>'Football field'!$U$11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C68-42C4-8C9F-D470E0004F21}"/>
                </c:ext>
              </c:extLst>
            </c:dLbl>
            <c:dLbl>
              <c:idx val="2"/>
              <c:layout>
                <c:manualLayout>
                  <c:x val="0"/>
                  <c:y val="-0.17167374238845487"/>
                </c:manualLayout>
              </c:layout>
              <c:tx>
                <c:strRef>
                  <c:f>'Football field'!$U$12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{196D1633-9B31-4FE4-A76D-39C277FBB337}</c15:txfldGUID>
                      <c15:f>'Football field'!$U$12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C68-42C4-8C9F-D470E0004F21}"/>
                </c:ext>
              </c:extLst>
            </c:dLbl>
            <c:dLbl>
              <c:idx val="3"/>
              <c:layout>
                <c:manualLayout>
                  <c:x val="-2.666000516406428E-3"/>
                  <c:y val="-0.12569444686892436"/>
                </c:manualLayout>
              </c:layout>
              <c:tx>
                <c:strRef>
                  <c:f>'Football field'!$U$13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{E827F9C5-9BF9-45C6-AE56-3F6DA20DB286}</c15:txfldGUID>
                      <c15:f>'Football field'!$U$13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C68-42C4-8C9F-D470E0004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field'!$U$23:$U$26</c:f>
              <c:numCache>
                <c:formatCode>"$"#,##0.00_);[Red]\("$"#,##0.00\)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8-42C4-8C9F-D470E0004F21}"/>
            </c:ext>
          </c:extLst>
        </c:ser>
        <c:ser>
          <c:idx val="1"/>
          <c:order val="1"/>
          <c:tx>
            <c:strRef>
              <c:f>'Football field'!$V$22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field'!$V$23:$V$26</c:f>
              <c:numCache>
                <c:formatCode>"$"#,##0.00_);[Red]\("$"#,##0.00\)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68-42C4-8C9F-D470E0004F21}"/>
            </c:ext>
          </c:extLst>
        </c:ser>
        <c:ser>
          <c:idx val="2"/>
          <c:order val="2"/>
          <c:tx>
            <c:strRef>
              <c:f>'Football field'!$W$22</c:f>
              <c:strCache>
                <c:ptCount val="1"/>
                <c:pt idx="0">
                  <c:v>Higher end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2.666000516406428E-3"/>
                  <c:y val="0.11423691517212109"/>
                </c:manualLayout>
              </c:layout>
              <c:tx>
                <c:strRef>
                  <c:f>'Football field'!$W$10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{EA5B8DE5-ADF1-458A-804B-7C70C981D862}</c15:txfldGUID>
                      <c15:f>'Football field'!$W$10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9C68-42C4-8C9F-D470E0004F21}"/>
                </c:ext>
              </c:extLst>
            </c:dLbl>
            <c:dLbl>
              <c:idx val="1"/>
              <c:layout>
                <c:manualLayout>
                  <c:x val="0"/>
                  <c:y val="0.16916648420733627"/>
                </c:manualLayout>
              </c:layout>
              <c:tx>
                <c:strRef>
                  <c:f>'Football field'!$W$11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{AA9749F0-DF98-4927-968B-2BBB47DB6D9D}</c15:txfldGUID>
                      <c15:f>'Football field'!$W$11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9C68-42C4-8C9F-D470E0004F21}"/>
                </c:ext>
              </c:extLst>
            </c:dLbl>
            <c:dLbl>
              <c:idx val="2"/>
              <c:layout>
                <c:manualLayout>
                  <c:x val="-6.3060358671534057E-4"/>
                  <c:y val="0.25526585220337233"/>
                </c:manualLayout>
              </c:layout>
              <c:tx>
                <c:strRef>
                  <c:f>'Football field'!$W$12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{362D3B4C-3B4B-400D-A9E5-2FD7D394EC3F}</c15:txfldGUID>
                      <c15:f>'Football field'!$W$12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9C68-42C4-8C9F-D470E0004F21}"/>
                </c:ext>
              </c:extLst>
            </c:dLbl>
            <c:dLbl>
              <c:idx val="3"/>
              <c:layout>
                <c:manualLayout>
                  <c:x val="-2.5191605667034492E-3"/>
                  <c:y val="0.15589275481007001"/>
                </c:manualLayout>
              </c:layout>
              <c:tx>
                <c:strRef>
                  <c:f>'Football field'!$W$13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{8665CE5F-4272-470D-A3A0-9A7039290A8C}</c15:txfldGUID>
                      <c15:f>'Football field'!$W$13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9C68-42C4-8C9F-D470E0004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field'!$W$23:$W$26</c:f>
              <c:numCache>
                <c:formatCode>"$"#,##0.00_);[Red]\("$"#,##0.00\)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68-42C4-8C9F-D470E0004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88434560"/>
        <c:axId val="88436096"/>
      </c:barChart>
      <c:catAx>
        <c:axId val="88434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5875"/>
        </c:spPr>
        <c:txPr>
          <a:bodyPr/>
          <a:lstStyle/>
          <a:p>
            <a:pPr>
              <a:defRPr b="1"/>
            </a:pPr>
            <a:endParaRPr lang="en-US"/>
          </a:p>
        </c:txPr>
        <c:crossAx val="88436096"/>
        <c:crosses val="autoZero"/>
        <c:auto val="1"/>
        <c:lblAlgn val="ctr"/>
        <c:lblOffset val="100"/>
        <c:noMultiLvlLbl val="0"/>
      </c:catAx>
      <c:valAx>
        <c:axId val="88436096"/>
        <c:scaling>
          <c:orientation val="minMax"/>
          <c:max val="240"/>
          <c:min val="10"/>
        </c:scaling>
        <c:delete val="0"/>
        <c:axPos val="l"/>
        <c:majorGridlines>
          <c:spPr>
            <a:ln>
              <a:noFill/>
            </a:ln>
          </c:spPr>
        </c:majorGridlines>
        <c:numFmt formatCode="&quot;$&quot;#,##0.00_);[Red]\(&quot;$&quot;#,##0.00\)" sourceLinked="1"/>
        <c:majorTickMark val="none"/>
        <c:minorTickMark val="none"/>
        <c:tickLblPos val="none"/>
        <c:spPr>
          <a:noFill/>
          <a:ln>
            <a:noFill/>
          </a:ln>
        </c:spPr>
        <c:crossAx val="88434560"/>
        <c:crosses val="autoZero"/>
        <c:crossBetween val="between"/>
        <c:majorUnit val="5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246530</xdr:colOff>
      <xdr:row>0</xdr:row>
      <xdr:rowOff>0</xdr:rowOff>
    </xdr:from>
    <xdr:to>
      <xdr:col>2</xdr:col>
      <xdr:colOff>2164529</xdr:colOff>
      <xdr:row>3</xdr:row>
      <xdr:rowOff>22412</xdr:rowOff>
    </xdr:to>
    <xdr:pic>
      <xdr:nvPicPr>
        <xdr:cNvPr id="4" name="Picture 3" descr="Costco logo and symbol, meaning, history, PNG">
          <a:extLst>
            <a:ext uri="{FF2B5EF4-FFF2-40B4-BE49-F238E27FC236}">
              <a16:creationId xmlns:a16="http://schemas.microsoft.com/office/drawing/2014/main" id="{B5A2CA37-2A3F-45DE-F926-8BFA00136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8" y="0"/>
          <a:ext cx="1917999" cy="1075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99579</xdr:colOff>
      <xdr:row>0</xdr:row>
      <xdr:rowOff>742684</xdr:rowOff>
    </xdr:to>
    <xdr:pic>
      <xdr:nvPicPr>
        <xdr:cNvPr id="2" name="Picture 1" descr="NYSF_horiz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4</xdr:col>
      <xdr:colOff>118629</xdr:colOff>
      <xdr:row>0</xdr:row>
      <xdr:rowOff>761734</xdr:rowOff>
    </xdr:to>
    <xdr:pic>
      <xdr:nvPicPr>
        <xdr:cNvPr id="3" name="Picture 2" descr="NYSF_horiz.jp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050"/>
          <a:ext cx="3861954" cy="7426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180975</xdr:colOff>
      <xdr:row>0</xdr:row>
      <xdr:rowOff>733642</xdr:rowOff>
    </xdr:to>
    <xdr:pic>
      <xdr:nvPicPr>
        <xdr:cNvPr id="2" name="Picture 1" descr="NYSF_horiz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19050"/>
          <a:ext cx="3028950" cy="71459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994929</xdr:colOff>
      <xdr:row>0</xdr:row>
      <xdr:rowOff>742684</xdr:rowOff>
    </xdr:to>
    <xdr:pic>
      <xdr:nvPicPr>
        <xdr:cNvPr id="2" name="Picture 1" descr="NYSF_horiz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2190750</xdr:colOff>
      <xdr:row>0</xdr:row>
      <xdr:rowOff>762000</xdr:rowOff>
    </xdr:to>
    <xdr:pic>
      <xdr:nvPicPr>
        <xdr:cNvPr id="2" name="Picture 1" descr="NYSF_horiz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18288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547254</xdr:colOff>
      <xdr:row>0</xdr:row>
      <xdr:rowOff>742684</xdr:rowOff>
    </xdr:to>
    <xdr:pic>
      <xdr:nvPicPr>
        <xdr:cNvPr id="2" name="Picture 1" descr="NYSF_horiz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466726</xdr:colOff>
      <xdr:row>17</xdr:row>
      <xdr:rowOff>133349</xdr:rowOff>
    </xdr:from>
    <xdr:to>
      <xdr:col>17</xdr:col>
      <xdr:colOff>600075</xdr:colOff>
      <xdr:row>45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32</xdr:row>
      <xdr:rowOff>104774</xdr:rowOff>
    </xdr:from>
    <xdr:to>
      <xdr:col>17</xdr:col>
      <xdr:colOff>323850</xdr:colOff>
      <xdr:row>32</xdr:row>
      <xdr:rowOff>104774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CxnSpPr/>
      </xdr:nvCxnSpPr>
      <xdr:spPr>
        <a:xfrm>
          <a:off x="2171700" y="6057899"/>
          <a:ext cx="9308306" cy="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24</xdr:row>
      <xdr:rowOff>57150</xdr:rowOff>
    </xdr:from>
    <xdr:to>
      <xdr:col>2</xdr:col>
      <xdr:colOff>400050</xdr:colOff>
      <xdr:row>31</xdr:row>
      <xdr:rowOff>85725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CxnSpPr/>
      </xdr:nvCxnSpPr>
      <xdr:spPr>
        <a:xfrm flipH="1">
          <a:off x="1000125" y="3762375"/>
          <a:ext cx="9525" cy="1047750"/>
        </a:xfrm>
        <a:prstGeom prst="straightConnector1">
          <a:avLst/>
        </a:prstGeom>
        <a:ln>
          <a:solidFill>
            <a:srgbClr val="C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1917999</xdr:colOff>
      <xdr:row>3</xdr:row>
      <xdr:rowOff>8965</xdr:rowOff>
    </xdr:to>
    <xdr:pic>
      <xdr:nvPicPr>
        <xdr:cNvPr id="2" name="Picture 1" descr="Costco logo and symbol, meaning, history, PNG">
          <a:extLst>
            <a:ext uri="{FF2B5EF4-FFF2-40B4-BE49-F238E27FC236}">
              <a16:creationId xmlns:a16="http://schemas.microsoft.com/office/drawing/2014/main" id="{35452E10-33F2-4ECC-9DF7-E304382F1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917999" cy="1075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0</xdr:row>
      <xdr:rowOff>0</xdr:rowOff>
    </xdr:from>
    <xdr:to>
      <xdr:col>2</xdr:col>
      <xdr:colOff>2098974</xdr:colOff>
      <xdr:row>3</xdr:row>
      <xdr:rowOff>8965</xdr:rowOff>
    </xdr:to>
    <xdr:pic>
      <xdr:nvPicPr>
        <xdr:cNvPr id="2" name="Picture 1" descr="Costco logo and symbol, meaning, history, PNG">
          <a:extLst>
            <a:ext uri="{FF2B5EF4-FFF2-40B4-BE49-F238E27FC236}">
              <a16:creationId xmlns:a16="http://schemas.microsoft.com/office/drawing/2014/main" id="{5B417626-54F5-47FC-BC91-CB20F2B75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0"/>
          <a:ext cx="1917999" cy="1075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2</xdr:col>
      <xdr:colOff>1841799</xdr:colOff>
      <xdr:row>2</xdr:row>
      <xdr:rowOff>161365</xdr:rowOff>
    </xdr:to>
    <xdr:pic>
      <xdr:nvPicPr>
        <xdr:cNvPr id="3" name="Picture 2" descr="Costco logo and symbol, meaning, history, PNG">
          <a:extLst>
            <a:ext uri="{FF2B5EF4-FFF2-40B4-BE49-F238E27FC236}">
              <a16:creationId xmlns:a16="http://schemas.microsoft.com/office/drawing/2014/main" id="{3478E201-A978-4A1A-82EA-2D18F4BB1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0"/>
          <a:ext cx="1917999" cy="1075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1917999</xdr:colOff>
      <xdr:row>2</xdr:row>
      <xdr:rowOff>161365</xdr:rowOff>
    </xdr:to>
    <xdr:pic>
      <xdr:nvPicPr>
        <xdr:cNvPr id="2" name="Picture 1" descr="Costco logo and symbol, meaning, history, PNG">
          <a:extLst>
            <a:ext uri="{FF2B5EF4-FFF2-40B4-BE49-F238E27FC236}">
              <a16:creationId xmlns:a16="http://schemas.microsoft.com/office/drawing/2014/main" id="{90469A83-A8D5-4277-BE11-5E5015726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917999" cy="1075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1917999</xdr:colOff>
      <xdr:row>3</xdr:row>
      <xdr:rowOff>8965</xdr:rowOff>
    </xdr:to>
    <xdr:pic>
      <xdr:nvPicPr>
        <xdr:cNvPr id="2" name="Picture 1" descr="Costco logo and symbol, meaning, history, PNG">
          <a:extLst>
            <a:ext uri="{FF2B5EF4-FFF2-40B4-BE49-F238E27FC236}">
              <a16:creationId xmlns:a16="http://schemas.microsoft.com/office/drawing/2014/main" id="{2BF9417D-FB72-4A6A-B2D4-4B260DE2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917999" cy="1075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117774</xdr:colOff>
      <xdr:row>3</xdr:row>
      <xdr:rowOff>22412</xdr:rowOff>
    </xdr:to>
    <xdr:pic>
      <xdr:nvPicPr>
        <xdr:cNvPr id="2" name="Picture 1" descr="Costco logo and symbol, meaning, history, PNG">
          <a:extLst>
            <a:ext uri="{FF2B5EF4-FFF2-40B4-BE49-F238E27FC236}">
              <a16:creationId xmlns:a16="http://schemas.microsoft.com/office/drawing/2014/main" id="{AD4478F0-32F7-47C2-A851-E7177F831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917999" cy="108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174924</xdr:colOff>
      <xdr:row>3</xdr:row>
      <xdr:rowOff>22412</xdr:rowOff>
    </xdr:to>
    <xdr:pic>
      <xdr:nvPicPr>
        <xdr:cNvPr id="2" name="Picture 1" descr="Costco logo and symbol, meaning, history, PNG">
          <a:extLst>
            <a:ext uri="{FF2B5EF4-FFF2-40B4-BE49-F238E27FC236}">
              <a16:creationId xmlns:a16="http://schemas.microsoft.com/office/drawing/2014/main" id="{0769B34A-6BD1-403A-8519-82DFA8ED7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1917999" cy="108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994929</xdr:colOff>
      <xdr:row>0</xdr:row>
      <xdr:rowOff>742684</xdr:rowOff>
    </xdr:to>
    <xdr:pic>
      <xdr:nvPicPr>
        <xdr:cNvPr id="3" name="Picture 2" descr="NYSF_horiz.jp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01-111182-057" id="{17722599-C541-4ACD-9463-8570C406D4A2}" userId="01-111182-057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" dT="2022-09-08T16:30:26.98" personId="{17722599-C541-4ACD-9463-8570C406D4A2}" id="{DB942C2F-2AF3-4184-B9EF-0B3A73381070}">
    <text>check correlations and estimates from other analysts</text>
  </threadedComment>
  <threadedComment ref="G10" dT="2022-09-08T16:30:26.98" personId="{17722599-C541-4ACD-9463-8570C406D4A2}" id="{27180ABF-F78A-47EF-82F2-E8A6C94B4555}">
    <text>check correlations and estimates from other analysts</text>
  </threadedComment>
  <threadedComment ref="G36" dT="2022-09-08T16:43:55.97" personId="{17722599-C541-4ACD-9463-8570C406D4A2}" id="{4D486C3B-8CF6-4BCC-9438-6C113D19607B}">
    <text>check the annual report</text>
  </threadedComment>
  <threadedComment ref="G53" dT="2022-09-09T17:16:49.93" personId="{17722599-C541-4ACD-9463-8570C406D4A2}" id="{BE87E020-230E-472E-8EE6-102FA8F221EA}">
    <text>3000 shares expected to be repurchased by 2023</text>
  </threadedComment>
  <threadedComment ref="D55" dT="2022-09-09T17:14:50.26" personId="{17722599-C541-4ACD-9463-8570C406D4A2}" id="{6935889C-3ADA-4617-A67A-9BE3A5C16F89}">
    <text>average of 2019</text>
  </threadedComment>
  <threadedComment ref="D58" dT="2022-09-09T17:03:07.81" personId="{17722599-C541-4ACD-9463-8570C406D4A2}" id="{7D47221D-5DA5-4922-89D8-29863548979C}">
    <text>hit and trial method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zoomScale="115" zoomScaleNormal="115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G5" sqref="G5"/>
    </sheetView>
  </sheetViews>
  <sheetFormatPr defaultColWidth="9.140625" defaultRowHeight="20.100000000000001" customHeight="1" x14ac:dyDescent="0.2"/>
  <cols>
    <col min="1" max="2" width="2.7109375" style="2" customWidth="1"/>
    <col min="3" max="3" width="33.85546875" style="2" customWidth="1"/>
    <col min="4" max="4" width="13.7109375" style="4" bestFit="1" customWidth="1"/>
    <col min="5" max="5" width="9.7109375" style="4" customWidth="1"/>
    <col min="6" max="11" width="9.7109375" style="2" customWidth="1"/>
    <col min="12" max="16384" width="9.140625" style="2"/>
  </cols>
  <sheetData>
    <row r="1" spans="1:13" ht="58.5" customHeight="1" x14ac:dyDescent="0.5">
      <c r="B1" s="26"/>
      <c r="C1" s="662"/>
      <c r="D1" s="27"/>
      <c r="E1" s="27"/>
      <c r="F1" s="26"/>
      <c r="G1" s="26"/>
      <c r="H1" s="26"/>
      <c r="I1" s="26"/>
      <c r="J1" s="26"/>
      <c r="K1" s="26"/>
    </row>
    <row r="2" spans="1:13" ht="12.75" customHeight="1" x14ac:dyDescent="0.2">
      <c r="A2" s="24" t="s">
        <v>15</v>
      </c>
      <c r="B2" s="33"/>
      <c r="C2" s="44"/>
      <c r="D2" s="25"/>
      <c r="E2" s="25"/>
      <c r="F2" s="24"/>
      <c r="G2" s="24"/>
      <c r="H2" s="24"/>
      <c r="I2" s="24"/>
      <c r="J2" s="24"/>
      <c r="K2" s="24"/>
    </row>
    <row r="3" spans="1:13" ht="12.75" customHeight="1" x14ac:dyDescent="0.2">
      <c r="A3" s="5" t="s">
        <v>209</v>
      </c>
      <c r="B3" s="7"/>
      <c r="C3" s="6"/>
      <c r="D3" s="34" t="s">
        <v>32</v>
      </c>
      <c r="E3" s="34"/>
      <c r="F3" s="36"/>
      <c r="G3" s="37" t="s">
        <v>33</v>
      </c>
      <c r="H3" s="38"/>
      <c r="I3" s="39"/>
      <c r="J3" s="38"/>
      <c r="K3" s="38"/>
      <c r="L3"/>
      <c r="M3"/>
    </row>
    <row r="4" spans="1:13" ht="5.25" customHeight="1" x14ac:dyDescent="0.2">
      <c r="A4" s="5"/>
      <c r="B4" s="7"/>
      <c r="C4" s="6"/>
      <c r="D4" s="29"/>
      <c r="E4" s="29"/>
      <c r="F4" s="28"/>
      <c r="G4" s="28"/>
      <c r="H4" s="28"/>
      <c r="I4" s="28"/>
      <c r="J4" s="28"/>
      <c r="K4" s="28"/>
    </row>
    <row r="5" spans="1:13" ht="12.75" customHeight="1" x14ac:dyDescent="0.2">
      <c r="A5" s="30" t="s">
        <v>334</v>
      </c>
      <c r="B5" s="45"/>
      <c r="C5" s="85"/>
      <c r="D5" s="40">
        <v>2019</v>
      </c>
      <c r="E5" s="40">
        <f t="shared" ref="E5:K5" si="0">D5+1</f>
        <v>2020</v>
      </c>
      <c r="F5" s="40">
        <f t="shared" si="0"/>
        <v>2021</v>
      </c>
      <c r="G5" s="41">
        <f>F5+1</f>
        <v>2022</v>
      </c>
      <c r="H5" s="41">
        <f t="shared" si="0"/>
        <v>2023</v>
      </c>
      <c r="I5" s="41">
        <f t="shared" si="0"/>
        <v>2024</v>
      </c>
      <c r="J5" s="41">
        <f t="shared" si="0"/>
        <v>2025</v>
      </c>
      <c r="K5" s="41">
        <f t="shared" si="0"/>
        <v>2026</v>
      </c>
      <c r="L5" s="709"/>
    </row>
    <row r="6" spans="1:13" ht="21" customHeight="1" x14ac:dyDescent="0.2">
      <c r="A6" s="86" t="s">
        <v>39</v>
      </c>
      <c r="B6" s="87"/>
      <c r="C6" s="88"/>
      <c r="D6" s="89"/>
      <c r="E6" s="89"/>
      <c r="F6" s="89"/>
      <c r="G6" s="89"/>
      <c r="H6" s="89"/>
      <c r="I6" s="89"/>
      <c r="J6" s="89"/>
      <c r="K6" s="89"/>
    </row>
    <row r="7" spans="1:13" ht="12" x14ac:dyDescent="0.2">
      <c r="A7" s="90"/>
      <c r="B7" s="87" t="s">
        <v>210</v>
      </c>
      <c r="C7" s="88"/>
      <c r="D7" s="665">
        <f>D11-D9</f>
        <v>149351</v>
      </c>
      <c r="E7" s="665">
        <f t="shared" ref="E7:F7" si="1">E11-E9</f>
        <v>163220</v>
      </c>
      <c r="F7" s="665">
        <f t="shared" si="1"/>
        <v>192052</v>
      </c>
      <c r="G7" s="92">
        <f>F7*(G8+1)</f>
        <v>207262.5184</v>
      </c>
      <c r="H7" s="92">
        <f t="shared" ref="H7:K7" si="2">G7*(H8+1)</f>
        <v>223677.70985727999</v>
      </c>
      <c r="I7" s="92">
        <f t="shared" si="2"/>
        <v>241392.98447797654</v>
      </c>
      <c r="J7" s="92">
        <f t="shared" si="2"/>
        <v>260511.30884863227</v>
      </c>
      <c r="K7" s="92">
        <f t="shared" si="2"/>
        <v>281143.80450944393</v>
      </c>
    </row>
    <row r="8" spans="1:13" ht="12" x14ac:dyDescent="0.2">
      <c r="A8" s="90"/>
      <c r="B8" s="87"/>
      <c r="C8" s="93" t="s">
        <v>211</v>
      </c>
      <c r="D8" s="94"/>
      <c r="E8" s="95"/>
      <c r="F8" s="95"/>
      <c r="G8" s="669">
        <v>7.9200000000000007E-2</v>
      </c>
      <c r="H8" s="669">
        <v>7.9200000000000007E-2</v>
      </c>
      <c r="I8" s="669">
        <v>7.9200000000000007E-2</v>
      </c>
      <c r="J8" s="669">
        <v>7.9200000000000007E-2</v>
      </c>
      <c r="K8" s="669">
        <v>7.9200000000000007E-2</v>
      </c>
    </row>
    <row r="9" spans="1:13" ht="12.75" x14ac:dyDescent="0.2">
      <c r="A9" s="86"/>
      <c r="B9" s="90" t="s">
        <v>104</v>
      </c>
      <c r="C9" s="88"/>
      <c r="D9" s="91">
        <v>3352</v>
      </c>
      <c r="E9" s="665">
        <v>3541</v>
      </c>
      <c r="F9" s="91">
        <v>3877</v>
      </c>
      <c r="G9" s="92">
        <f>F9*(G10+1)</f>
        <v>4184.0583999999999</v>
      </c>
      <c r="H9" s="92">
        <f t="shared" ref="H9:K9" si="3">G9*(H10+1)</f>
        <v>4515.4358252799993</v>
      </c>
      <c r="I9" s="92">
        <f t="shared" si="3"/>
        <v>4873.0583426421754</v>
      </c>
      <c r="J9" s="92">
        <f t="shared" si="3"/>
        <v>5259.0045633794352</v>
      </c>
      <c r="K9" s="92">
        <f t="shared" si="3"/>
        <v>5675.517724799086</v>
      </c>
      <c r="M9"/>
    </row>
    <row r="10" spans="1:13" ht="12" x14ac:dyDescent="0.2">
      <c r="A10" s="86"/>
      <c r="B10" s="87"/>
      <c r="C10" s="93" t="s">
        <v>211</v>
      </c>
      <c r="D10" s="664">
        <v>7.0000000000000007E-2</v>
      </c>
      <c r="E10" s="95">
        <f>E9/D9-1</f>
        <v>5.6384248210023857E-2</v>
      </c>
      <c r="F10" s="95">
        <f>F9/E9-1</f>
        <v>9.4888449590511126E-2</v>
      </c>
      <c r="G10" s="669">
        <v>7.9200000000000007E-2</v>
      </c>
      <c r="H10" s="669">
        <v>7.9200000000000007E-2</v>
      </c>
      <c r="I10" s="669">
        <v>7.9200000000000007E-2</v>
      </c>
      <c r="J10" s="669">
        <v>7.9200000000000007E-2</v>
      </c>
      <c r="K10" s="669">
        <v>7.9200000000000007E-2</v>
      </c>
    </row>
    <row r="11" spans="1:13" ht="12.75" customHeight="1" x14ac:dyDescent="0.2">
      <c r="A11" s="90"/>
      <c r="B11" s="86" t="s">
        <v>63</v>
      </c>
      <c r="C11" s="88"/>
      <c r="D11" s="666">
        <v>152703</v>
      </c>
      <c r="E11" s="666">
        <v>166761</v>
      </c>
      <c r="F11" s="666">
        <v>195929</v>
      </c>
      <c r="G11" s="96">
        <f>G7+G9</f>
        <v>211446.57680000001</v>
      </c>
      <c r="H11" s="96">
        <f t="shared" ref="H11:K11" si="4">H7+H9</f>
        <v>228193.14568255999</v>
      </c>
      <c r="I11" s="96">
        <f t="shared" si="4"/>
        <v>246266.04282061872</v>
      </c>
      <c r="J11" s="96">
        <f t="shared" si="4"/>
        <v>265770.31341201172</v>
      </c>
      <c r="K11" s="96">
        <f t="shared" si="4"/>
        <v>286819.32223424304</v>
      </c>
    </row>
    <row r="12" spans="1:13" ht="12.75" customHeight="1" x14ac:dyDescent="0.2">
      <c r="A12" s="90"/>
      <c r="B12" s="90"/>
      <c r="C12" s="93" t="s">
        <v>40</v>
      </c>
      <c r="D12" s="97"/>
      <c r="E12" s="95">
        <f>E11/D11-1</f>
        <v>9.2061059704131587E-2</v>
      </c>
      <c r="F12" s="95">
        <f>F11/E11-1</f>
        <v>0.17490900150514799</v>
      </c>
      <c r="G12" s="95">
        <f t="shared" ref="G12:K12" si="5">G11/F11-1</f>
        <v>7.9200000000000159E-2</v>
      </c>
      <c r="H12" s="95">
        <f t="shared" si="5"/>
        <v>7.9199999999999937E-2</v>
      </c>
      <c r="I12" s="95">
        <f t="shared" si="5"/>
        <v>7.9199999999999937E-2</v>
      </c>
      <c r="J12" s="95">
        <f t="shared" si="5"/>
        <v>7.9199999999999937E-2</v>
      </c>
      <c r="K12" s="95">
        <f t="shared" si="5"/>
        <v>7.9199999999999937E-2</v>
      </c>
    </row>
    <row r="13" spans="1:13" ht="21" customHeight="1" x14ac:dyDescent="0.2">
      <c r="A13" s="86" t="s">
        <v>41</v>
      </c>
      <c r="B13" s="90"/>
      <c r="C13" s="93"/>
      <c r="D13" s="97"/>
      <c r="E13" s="97"/>
      <c r="F13" s="97"/>
      <c r="G13" s="98"/>
      <c r="H13" s="98"/>
      <c r="I13" s="98"/>
      <c r="J13" s="98"/>
      <c r="K13" s="98"/>
    </row>
    <row r="14" spans="1:13" ht="12.75" customHeight="1" x14ac:dyDescent="0.2">
      <c r="A14" s="90"/>
      <c r="B14" s="86" t="s">
        <v>41</v>
      </c>
      <c r="C14" s="88"/>
      <c r="D14" s="91">
        <v>132886</v>
      </c>
      <c r="E14" s="91">
        <v>144939</v>
      </c>
      <c r="F14" s="91">
        <v>170684</v>
      </c>
      <c r="G14" s="92">
        <f>G11*G15</f>
        <v>183958.52181599999</v>
      </c>
      <c r="H14" s="92">
        <f t="shared" ref="H14:K14" si="6">H11*H15</f>
        <v>198528.03674382719</v>
      </c>
      <c r="I14" s="92">
        <f t="shared" si="6"/>
        <v>214251.45725393828</v>
      </c>
      <c r="J14" s="92">
        <f t="shared" si="6"/>
        <v>231220.17266845019</v>
      </c>
      <c r="K14" s="92">
        <f t="shared" si="6"/>
        <v>249532.81034379144</v>
      </c>
    </row>
    <row r="15" spans="1:13" ht="12.75" customHeight="1" x14ac:dyDescent="0.2">
      <c r="A15" s="90"/>
      <c r="B15" s="90"/>
      <c r="C15" s="93" t="s">
        <v>42</v>
      </c>
      <c r="D15" s="100">
        <f>D14/D11</f>
        <v>0.87022520841109863</v>
      </c>
      <c r="E15" s="100">
        <f t="shared" ref="E15:F15" si="7">E14/E11</f>
        <v>0.86914206559087559</v>
      </c>
      <c r="F15" s="100">
        <f t="shared" si="7"/>
        <v>0.87115230517177145</v>
      </c>
      <c r="G15" s="101">
        <v>0.87</v>
      </c>
      <c r="H15" s="101">
        <v>0.87</v>
      </c>
      <c r="I15" s="101">
        <v>0.87</v>
      </c>
      <c r="J15" s="101">
        <v>0.87</v>
      </c>
      <c r="K15" s="101">
        <v>0.87</v>
      </c>
    </row>
    <row r="16" spans="1:13" ht="21" customHeight="1" x14ac:dyDescent="0.2">
      <c r="A16" s="90"/>
      <c r="B16" s="86" t="s">
        <v>62</v>
      </c>
      <c r="C16" s="88"/>
      <c r="D16" s="102">
        <f>D11-D14</f>
        <v>19817</v>
      </c>
      <c r="E16" s="102">
        <f t="shared" ref="E16:K16" si="8">E11-E14</f>
        <v>21822</v>
      </c>
      <c r="F16" s="102">
        <f t="shared" si="8"/>
        <v>25245</v>
      </c>
      <c r="G16" s="102">
        <f t="shared" si="8"/>
        <v>27488.054984000017</v>
      </c>
      <c r="H16" s="102">
        <f t="shared" si="8"/>
        <v>29665.108938732796</v>
      </c>
      <c r="I16" s="102">
        <f t="shared" si="8"/>
        <v>32014.585566680442</v>
      </c>
      <c r="J16" s="102">
        <f t="shared" si="8"/>
        <v>34550.140743561526</v>
      </c>
      <c r="K16" s="102">
        <f t="shared" si="8"/>
        <v>37286.511890451598</v>
      </c>
    </row>
    <row r="17" spans="1:12" ht="12.75" customHeight="1" x14ac:dyDescent="0.2">
      <c r="A17" s="90"/>
      <c r="B17" s="103"/>
      <c r="C17" s="93" t="s">
        <v>43</v>
      </c>
      <c r="D17" s="95">
        <f>D16/D11</f>
        <v>0.12977479158890134</v>
      </c>
      <c r="E17" s="95">
        <f t="shared" ref="E17:F17" si="9">E16/E11</f>
        <v>0.13085793440912444</v>
      </c>
      <c r="F17" s="95">
        <f t="shared" si="9"/>
        <v>0.12884769482822858</v>
      </c>
      <c r="G17" s="95">
        <f t="shared" ref="G17" si="10">G16/G11</f>
        <v>0.13000000000000006</v>
      </c>
      <c r="H17" s="95">
        <f t="shared" ref="H17" si="11">H16/H11</f>
        <v>0.12999999999999998</v>
      </c>
      <c r="I17" s="95">
        <f t="shared" ref="I17" si="12">I16/I11</f>
        <v>0.13000000000000003</v>
      </c>
      <c r="J17" s="95">
        <f t="shared" ref="J17" si="13">J16/J11</f>
        <v>0.13</v>
      </c>
      <c r="K17" s="95">
        <f t="shared" ref="K17" si="14">K16/K11</f>
        <v>0.13</v>
      </c>
    </row>
    <row r="18" spans="1:12" ht="21" customHeight="1" x14ac:dyDescent="0.2">
      <c r="A18" s="86" t="s">
        <v>49</v>
      </c>
      <c r="B18" s="90"/>
      <c r="C18" s="90"/>
      <c r="D18" s="104"/>
      <c r="E18" s="104"/>
      <c r="F18" s="104"/>
      <c r="G18" s="105"/>
      <c r="H18" s="105"/>
      <c r="I18" s="105"/>
      <c r="J18" s="105"/>
      <c r="K18" s="105"/>
    </row>
    <row r="19" spans="1:12" ht="12.75" customHeight="1" x14ac:dyDescent="0.2">
      <c r="A19" s="90"/>
      <c r="B19" s="90" t="s">
        <v>44</v>
      </c>
      <c r="C19" s="90"/>
      <c r="D19" s="91">
        <f>14994-1492</f>
        <v>13502</v>
      </c>
      <c r="E19" s="91">
        <f>16332-1645</f>
        <v>14687</v>
      </c>
      <c r="F19" s="91">
        <f>18461-1781</f>
        <v>16680</v>
      </c>
      <c r="G19" s="99">
        <f>G11*G20</f>
        <v>18001.056</v>
      </c>
      <c r="H19" s="99">
        <f t="shared" ref="H19:K19" si="15">H11*H20</f>
        <v>19426.739635199996</v>
      </c>
      <c r="I19" s="99">
        <f t="shared" si="15"/>
        <v>20965.337414307836</v>
      </c>
      <c r="J19" s="99">
        <f t="shared" si="15"/>
        <v>22625.792137521017</v>
      </c>
      <c r="K19" s="99">
        <f t="shared" si="15"/>
        <v>24417.754874812679</v>
      </c>
    </row>
    <row r="20" spans="1:12" ht="12.75" customHeight="1" x14ac:dyDescent="0.2">
      <c r="A20" s="90"/>
      <c r="B20" s="90"/>
      <c r="C20" s="93" t="s">
        <v>100</v>
      </c>
      <c r="D20" s="95">
        <f>D19/D11</f>
        <v>8.842000484600826E-2</v>
      </c>
      <c r="E20" s="95">
        <f t="shared" ref="E20:F20" si="16">E19/E11</f>
        <v>8.8072151162442061E-2</v>
      </c>
      <c r="F20" s="95">
        <f t="shared" si="16"/>
        <v>8.5132879767670935E-2</v>
      </c>
      <c r="G20" s="106">
        <v>8.5132879767670935E-2</v>
      </c>
      <c r="H20" s="106">
        <v>8.5132879767670935E-2</v>
      </c>
      <c r="I20" s="106">
        <v>8.5132879767670935E-2</v>
      </c>
      <c r="J20" s="106">
        <v>8.5132879767670935E-2</v>
      </c>
      <c r="K20" s="106">
        <v>8.5132879767670935E-2</v>
      </c>
    </row>
    <row r="21" spans="1:12" ht="12.75" customHeight="1" x14ac:dyDescent="0.2">
      <c r="A21" s="90"/>
      <c r="B21" s="90" t="s">
        <v>413</v>
      </c>
      <c r="C21" s="93"/>
      <c r="D21" s="667">
        <v>86</v>
      </c>
      <c r="E21" s="667">
        <v>55</v>
      </c>
      <c r="F21" s="667">
        <v>76</v>
      </c>
      <c r="G21" s="671">
        <f>G11*G22</f>
        <v>82.019200000000012</v>
      </c>
      <c r="H21" s="671">
        <f t="shared" ref="H21:K21" si="17">H11*H22</f>
        <v>88.515120639999992</v>
      </c>
      <c r="I21" s="671">
        <f t="shared" si="17"/>
        <v>95.52551819468799</v>
      </c>
      <c r="J21" s="671">
        <f t="shared" si="17"/>
        <v>103.09113923570727</v>
      </c>
      <c r="K21" s="671">
        <f t="shared" si="17"/>
        <v>111.25595746317529</v>
      </c>
    </row>
    <row r="22" spans="1:12" ht="12.75" customHeight="1" x14ac:dyDescent="0.2">
      <c r="A22" s="90"/>
      <c r="B22" s="90"/>
      <c r="C22" s="93" t="s">
        <v>412</v>
      </c>
      <c r="D22" s="668">
        <f>D21/D11</f>
        <v>5.6318474424209091E-4</v>
      </c>
      <c r="E22" s="668">
        <f t="shared" ref="E22:F22" si="18">E21/E11</f>
        <v>3.2981332565767778E-4</v>
      </c>
      <c r="F22" s="668">
        <f t="shared" si="18"/>
        <v>3.8789561524838081E-4</v>
      </c>
      <c r="G22" s="670">
        <v>3.8789561524838081E-4</v>
      </c>
      <c r="H22" s="670">
        <v>3.8789561524838081E-4</v>
      </c>
      <c r="I22" s="670">
        <v>3.8789561524838081E-4</v>
      </c>
      <c r="J22" s="670">
        <v>3.8789561524838081E-4</v>
      </c>
      <c r="K22" s="670">
        <v>3.8789561524838081E-4</v>
      </c>
    </row>
    <row r="23" spans="1:12" ht="21" customHeight="1" x14ac:dyDescent="0.2">
      <c r="A23" s="86" t="s">
        <v>2</v>
      </c>
      <c r="B23" s="86"/>
      <c r="C23" s="88"/>
      <c r="D23" s="102">
        <f>D16-D19-D21</f>
        <v>6229</v>
      </c>
      <c r="E23" s="102">
        <f t="shared" ref="E23:F23" si="19">E16-E19-E21</f>
        <v>7080</v>
      </c>
      <c r="F23" s="102">
        <f t="shared" si="19"/>
        <v>8489</v>
      </c>
      <c r="G23" s="102">
        <f>G11*G24</f>
        <v>9046.9074032177796</v>
      </c>
      <c r="H23" s="102">
        <f t="shared" ref="H23:K23" si="20">H11*H24</f>
        <v>9763.4224695526264</v>
      </c>
      <c r="I23" s="102">
        <f t="shared" si="20"/>
        <v>10536.685529141194</v>
      </c>
      <c r="J23" s="102">
        <f t="shared" si="20"/>
        <v>11371.191023049176</v>
      </c>
      <c r="K23" s="102">
        <f t="shared" si="20"/>
        <v>12271.789352074669</v>
      </c>
    </row>
    <row r="24" spans="1:12" ht="12.75" customHeight="1" x14ac:dyDescent="0.2">
      <c r="A24" s="90"/>
      <c r="B24" s="103"/>
      <c r="C24" s="93" t="s">
        <v>45</v>
      </c>
      <c r="D24" s="95">
        <f>(D16-D19)/D11</f>
        <v>4.1354786742893064E-2</v>
      </c>
      <c r="E24" s="95">
        <f>(E16-E19)/E11</f>
        <v>4.2785783246682377E-2</v>
      </c>
      <c r="F24" s="95">
        <f>(F16-F19)/F11</f>
        <v>4.3714815060557653E-2</v>
      </c>
      <c r="G24" s="672">
        <v>4.2785783246682377E-2</v>
      </c>
      <c r="H24" s="672">
        <v>4.2785783246682377E-2</v>
      </c>
      <c r="I24" s="672">
        <v>4.2785783246682377E-2</v>
      </c>
      <c r="J24" s="672">
        <v>4.2785783246682377E-2</v>
      </c>
      <c r="K24" s="672">
        <v>4.2785783246682377E-2</v>
      </c>
      <c r="L24" s="393"/>
    </row>
    <row r="25" spans="1:12" ht="21" customHeight="1" x14ac:dyDescent="0.2">
      <c r="A25" s="90"/>
      <c r="B25" s="90" t="s">
        <v>46</v>
      </c>
      <c r="C25" s="90"/>
      <c r="D25" s="107">
        <v>1492</v>
      </c>
      <c r="E25" s="107">
        <v>1645</v>
      </c>
      <c r="F25" s="107">
        <v>1781</v>
      </c>
      <c r="G25" s="108"/>
      <c r="H25" s="108"/>
      <c r="I25" s="108"/>
      <c r="J25" s="108"/>
      <c r="K25" s="108"/>
    </row>
    <row r="26" spans="1:12" ht="21" customHeight="1" x14ac:dyDescent="0.2">
      <c r="A26" s="86" t="s">
        <v>1</v>
      </c>
      <c r="B26" s="86"/>
      <c r="C26" s="88"/>
      <c r="D26" s="102">
        <f>D23-D25</f>
        <v>4737</v>
      </c>
      <c r="E26" s="102">
        <f t="shared" ref="E26:F26" si="21">E23-E25</f>
        <v>5435</v>
      </c>
      <c r="F26" s="102">
        <f t="shared" si="21"/>
        <v>6708</v>
      </c>
      <c r="G26" s="102">
        <f t="shared" ref="G26" si="22">G23-G25</f>
        <v>9046.9074032177796</v>
      </c>
      <c r="H26" s="102">
        <f t="shared" ref="H26" si="23">H23-H25</f>
        <v>9763.4224695526264</v>
      </c>
      <c r="I26" s="102">
        <f t="shared" ref="I26" si="24">I23-I25</f>
        <v>10536.685529141194</v>
      </c>
      <c r="J26" s="102">
        <f t="shared" ref="J26" si="25">J23-J25</f>
        <v>11371.191023049176</v>
      </c>
      <c r="K26" s="102">
        <f t="shared" ref="K26" si="26">K23-K25</f>
        <v>12271.789352074669</v>
      </c>
    </row>
    <row r="27" spans="1:12" ht="12.75" customHeight="1" x14ac:dyDescent="0.2">
      <c r="A27" s="90"/>
      <c r="B27" s="90"/>
      <c r="C27" s="103" t="s">
        <v>47</v>
      </c>
      <c r="D27" s="95">
        <f>(D26)/D11</f>
        <v>3.1021001552032378E-2</v>
      </c>
      <c r="E27" s="95">
        <f>(E26)/E11</f>
        <v>3.259155318089961E-2</v>
      </c>
      <c r="F27" s="95">
        <f>(F26)/F11</f>
        <v>3.4236891935343926E-2</v>
      </c>
      <c r="G27" s="95">
        <f t="shared" ref="G27:K27" si="27">(G26)/G11</f>
        <v>4.2785783246682377E-2</v>
      </c>
      <c r="H27" s="95">
        <f t="shared" si="27"/>
        <v>4.2785783246682377E-2</v>
      </c>
      <c r="I27" s="95">
        <f t="shared" si="27"/>
        <v>4.2785783246682377E-2</v>
      </c>
      <c r="J27" s="95">
        <f t="shared" si="27"/>
        <v>4.2785783246682377E-2</v>
      </c>
      <c r="K27" s="95">
        <f t="shared" si="27"/>
        <v>4.2785783246682377E-2</v>
      </c>
    </row>
    <row r="28" spans="1:12" ht="21" customHeight="1" x14ac:dyDescent="0.2">
      <c r="A28" s="86" t="s">
        <v>87</v>
      </c>
      <c r="B28" s="90"/>
      <c r="C28" s="103"/>
      <c r="D28" s="97"/>
      <c r="E28" s="97"/>
      <c r="F28" s="97"/>
      <c r="G28" s="97"/>
      <c r="H28" s="97"/>
      <c r="I28" s="97"/>
      <c r="J28" s="97"/>
      <c r="K28" s="97"/>
    </row>
    <row r="29" spans="1:12" ht="12.75" customHeight="1" x14ac:dyDescent="0.2">
      <c r="A29" s="90"/>
      <c r="B29" s="90" t="s">
        <v>105</v>
      </c>
      <c r="C29" s="90"/>
      <c r="D29" s="91">
        <v>-150</v>
      </c>
      <c r="E29" s="91">
        <v>-160</v>
      </c>
      <c r="F29" s="91">
        <v>-171</v>
      </c>
      <c r="G29" s="99"/>
      <c r="H29" s="99"/>
      <c r="I29" s="99"/>
      <c r="J29" s="99"/>
      <c r="K29" s="99"/>
    </row>
    <row r="30" spans="1:12" ht="12.75" customHeight="1" x14ac:dyDescent="0.2">
      <c r="A30" s="90"/>
      <c r="B30" s="90" t="s">
        <v>414</v>
      </c>
      <c r="C30" s="90"/>
      <c r="D30" s="91"/>
      <c r="E30" s="91"/>
      <c r="F30" s="91"/>
      <c r="G30" s="99"/>
      <c r="H30" s="99"/>
      <c r="I30" s="99"/>
      <c r="J30" s="99"/>
      <c r="K30" s="99"/>
    </row>
    <row r="31" spans="1:12" ht="12.75" customHeight="1" x14ac:dyDescent="0.2">
      <c r="A31" s="90"/>
      <c r="B31" s="90" t="s">
        <v>48</v>
      </c>
      <c r="C31" s="90"/>
      <c r="D31" s="109">
        <v>178</v>
      </c>
      <c r="E31" s="109">
        <v>92</v>
      </c>
      <c r="F31" s="109">
        <v>143</v>
      </c>
      <c r="G31" s="183"/>
      <c r="H31" s="183"/>
      <c r="I31" s="183"/>
      <c r="J31" s="183"/>
      <c r="K31" s="183"/>
    </row>
    <row r="32" spans="1:12" ht="12.75" customHeight="1" x14ac:dyDescent="0.2">
      <c r="A32" s="90"/>
      <c r="B32" s="86" t="s">
        <v>86</v>
      </c>
      <c r="C32" s="90"/>
      <c r="D32" s="110">
        <f>SUM(D29:D31)</f>
        <v>28</v>
      </c>
      <c r="E32" s="110">
        <f>SUM(E29:E31)</f>
        <v>-68</v>
      </c>
      <c r="F32" s="110">
        <f>SUM(F29:F31)</f>
        <v>-28</v>
      </c>
      <c r="G32" s="110"/>
      <c r="H32" s="110"/>
      <c r="I32" s="110"/>
      <c r="J32" s="110"/>
      <c r="K32" s="110"/>
    </row>
    <row r="33" spans="1:11" ht="21" customHeight="1" x14ac:dyDescent="0.2">
      <c r="A33" s="86" t="s">
        <v>212</v>
      </c>
      <c r="B33" s="86"/>
      <c r="C33" s="90"/>
      <c r="D33" s="102">
        <f>D26+D32</f>
        <v>4765</v>
      </c>
      <c r="E33" s="102">
        <f t="shared" ref="E33:F33" si="28">E26+E32</f>
        <v>5367</v>
      </c>
      <c r="F33" s="102">
        <f t="shared" si="28"/>
        <v>6680</v>
      </c>
      <c r="G33" s="102">
        <f t="shared" ref="G33" si="29">G26+G32</f>
        <v>9046.9074032177796</v>
      </c>
      <c r="H33" s="102">
        <f t="shared" ref="H33" si="30">H26+H32</f>
        <v>9763.4224695526264</v>
      </c>
      <c r="I33" s="102">
        <f t="shared" ref="I33" si="31">I26+I32</f>
        <v>10536.685529141194</v>
      </c>
      <c r="J33" s="102">
        <f t="shared" ref="J33" si="32">J26+J32</f>
        <v>11371.191023049176</v>
      </c>
      <c r="K33" s="102">
        <f t="shared" ref="K33" si="33">K26+K32</f>
        <v>12271.789352074669</v>
      </c>
    </row>
    <row r="34" spans="1:11" ht="12.75" customHeight="1" x14ac:dyDescent="0.2">
      <c r="A34" s="90" t="s">
        <v>246</v>
      </c>
      <c r="B34" s="103"/>
      <c r="C34" s="93" t="s">
        <v>213</v>
      </c>
      <c r="D34" s="95">
        <f>D33/D11</f>
        <v>3.1204364026901896E-2</v>
      </c>
      <c r="E34" s="95">
        <f t="shared" ref="E34:F34" si="34">E33/E11</f>
        <v>3.21837839782683E-2</v>
      </c>
      <c r="F34" s="95">
        <f t="shared" si="34"/>
        <v>3.409398302446294E-2</v>
      </c>
      <c r="G34" s="97"/>
      <c r="H34" s="97"/>
      <c r="I34" s="97"/>
      <c r="J34" s="97"/>
      <c r="K34" s="97"/>
    </row>
    <row r="35" spans="1:11" ht="21" customHeight="1" x14ac:dyDescent="0.2">
      <c r="A35" s="90"/>
      <c r="B35" s="90" t="s">
        <v>55</v>
      </c>
      <c r="C35" s="90"/>
      <c r="D35" s="91">
        <v>1061</v>
      </c>
      <c r="E35" s="91">
        <v>1308</v>
      </c>
      <c r="F35" s="91">
        <v>1601</v>
      </c>
      <c r="G35" s="99">
        <f>G33*G36</f>
        <v>2168.2782563700098</v>
      </c>
      <c r="H35" s="99">
        <f t="shared" ref="H35:K35" si="35">H33*H36</f>
        <v>2340.005894274514</v>
      </c>
      <c r="I35" s="99">
        <f t="shared" si="35"/>
        <v>2525.3343611010555</v>
      </c>
      <c r="J35" s="99">
        <f t="shared" si="35"/>
        <v>2725.340842500259</v>
      </c>
      <c r="K35" s="99">
        <f t="shared" si="35"/>
        <v>2941.1878372262795</v>
      </c>
    </row>
    <row r="36" spans="1:11" ht="12.75" customHeight="1" x14ac:dyDescent="0.2">
      <c r="A36" s="90"/>
      <c r="B36" s="103"/>
      <c r="C36" s="93" t="s">
        <v>74</v>
      </c>
      <c r="D36" s="100">
        <f>D35/D33</f>
        <v>0.22266526757607555</v>
      </c>
      <c r="E36" s="100">
        <f t="shared" ref="E36:F36" si="36">E35/E33</f>
        <v>0.2437115707098938</v>
      </c>
      <c r="F36" s="100">
        <f t="shared" si="36"/>
        <v>0.23967065868263474</v>
      </c>
      <c r="G36" s="118">
        <v>0.23967065868263474</v>
      </c>
      <c r="H36" s="118">
        <v>0.23967065868263474</v>
      </c>
      <c r="I36" s="118">
        <v>0.23967065868263474</v>
      </c>
      <c r="J36" s="118">
        <v>0.23967065868263474</v>
      </c>
      <c r="K36" s="118">
        <v>0.23967065868263474</v>
      </c>
    </row>
    <row r="37" spans="1:11" ht="21" customHeight="1" x14ac:dyDescent="0.2">
      <c r="A37" s="86" t="s">
        <v>216</v>
      </c>
      <c r="B37" s="90"/>
      <c r="C37" s="90"/>
      <c r="D37" s="102">
        <f>D33-D35</f>
        <v>3704</v>
      </c>
      <c r="E37" s="102">
        <f t="shared" ref="E37:K37" si="37">E33-E35</f>
        <v>4059</v>
      </c>
      <c r="F37" s="102">
        <f t="shared" si="37"/>
        <v>5079</v>
      </c>
      <c r="G37" s="102">
        <f t="shared" si="37"/>
        <v>6878.6291468477702</v>
      </c>
      <c r="H37" s="102">
        <f t="shared" si="37"/>
        <v>7423.4165752781118</v>
      </c>
      <c r="I37" s="102">
        <f t="shared" si="37"/>
        <v>8011.3511680401389</v>
      </c>
      <c r="J37" s="102">
        <f t="shared" si="37"/>
        <v>8645.8501805489177</v>
      </c>
      <c r="K37" s="102">
        <f t="shared" si="37"/>
        <v>9330.6015148483893</v>
      </c>
    </row>
    <row r="38" spans="1:11" ht="21.75" customHeight="1" x14ac:dyDescent="0.2">
      <c r="A38" s="86" t="s">
        <v>56</v>
      </c>
      <c r="B38" s="90"/>
      <c r="C38" s="90"/>
      <c r="D38" s="104"/>
      <c r="E38" s="104"/>
      <c r="F38" s="104"/>
      <c r="G38" s="104"/>
      <c r="H38" s="104"/>
      <c r="I38" s="104"/>
      <c r="J38" s="104"/>
      <c r="K38" s="104"/>
    </row>
    <row r="39" spans="1:11" ht="12.75" customHeight="1" x14ac:dyDescent="0.2">
      <c r="A39" s="90"/>
      <c r="B39" s="90" t="s">
        <v>57</v>
      </c>
      <c r="C39" s="90"/>
      <c r="D39" s="91"/>
      <c r="E39" s="91"/>
      <c r="F39" s="91"/>
      <c r="G39" s="91"/>
      <c r="H39" s="91"/>
      <c r="I39" s="91"/>
      <c r="J39" s="91"/>
      <c r="K39" s="91"/>
    </row>
    <row r="40" spans="1:11" ht="12.75" customHeight="1" x14ac:dyDescent="0.2">
      <c r="A40" s="90"/>
      <c r="B40" s="90" t="s">
        <v>0</v>
      </c>
      <c r="C40" s="90"/>
      <c r="D40" s="91"/>
      <c r="E40" s="91"/>
      <c r="F40" s="91"/>
      <c r="G40" s="91"/>
      <c r="H40" s="91"/>
      <c r="I40" s="91"/>
      <c r="J40" s="91"/>
      <c r="K40" s="91"/>
    </row>
    <row r="41" spans="1:11" ht="12.75" customHeight="1" x14ac:dyDescent="0.2">
      <c r="A41" s="90"/>
      <c r="B41" s="86" t="s">
        <v>88</v>
      </c>
      <c r="C41" s="90"/>
      <c r="D41" s="111"/>
      <c r="E41" s="111"/>
      <c r="F41" s="111"/>
      <c r="G41" s="111"/>
      <c r="H41" s="111"/>
      <c r="I41" s="111"/>
      <c r="J41" s="111"/>
      <c r="K41" s="111"/>
    </row>
    <row r="42" spans="1:11" ht="21" customHeight="1" x14ac:dyDescent="0.2">
      <c r="A42" s="86" t="s">
        <v>219</v>
      </c>
      <c r="B42" s="86"/>
      <c r="C42" s="90"/>
      <c r="D42" s="102"/>
      <c r="E42" s="102"/>
      <c r="F42" s="102"/>
      <c r="G42" s="102"/>
      <c r="H42" s="102"/>
      <c r="I42" s="102"/>
      <c r="J42" s="102"/>
      <c r="K42" s="102"/>
    </row>
    <row r="43" spans="1:11" ht="21" customHeight="1" x14ac:dyDescent="0.2">
      <c r="A43" s="86" t="s">
        <v>214</v>
      </c>
      <c r="B43" s="90"/>
      <c r="C43" s="88"/>
      <c r="D43" s="102"/>
      <c r="E43" s="102"/>
      <c r="F43" s="102"/>
      <c r="G43" s="102"/>
      <c r="H43" s="102"/>
      <c r="I43" s="102"/>
      <c r="J43" s="102"/>
      <c r="K43" s="102"/>
    </row>
    <row r="44" spans="1:11" ht="12.75" customHeight="1" x14ac:dyDescent="0.2">
      <c r="A44" s="90"/>
      <c r="B44" s="90" t="s">
        <v>217</v>
      </c>
      <c r="C44" s="90"/>
      <c r="D44" s="91">
        <v>-45</v>
      </c>
      <c r="E44" s="91">
        <v>-57</v>
      </c>
      <c r="F44" s="91">
        <v>-72</v>
      </c>
      <c r="G44" s="99">
        <f>-G37*G45</f>
        <v>-97.511576801149729</v>
      </c>
      <c r="H44" s="99">
        <f t="shared" ref="H44:K44" si="38">-H37*H45</f>
        <v>-105.23449368380076</v>
      </c>
      <c r="I44" s="99">
        <f t="shared" si="38"/>
        <v>-113.56906558355779</v>
      </c>
      <c r="J44" s="99">
        <f t="shared" si="38"/>
        <v>-122.56373557777556</v>
      </c>
      <c r="K44" s="99">
        <f t="shared" si="38"/>
        <v>-132.27078343553535</v>
      </c>
    </row>
    <row r="45" spans="1:11" ht="12.75" customHeight="1" x14ac:dyDescent="0.2">
      <c r="A45" s="90"/>
      <c r="B45" s="90"/>
      <c r="C45" s="103" t="s">
        <v>218</v>
      </c>
      <c r="D45" s="100">
        <f>-D44/D37</f>
        <v>1.214902807775378E-2</v>
      </c>
      <c r="E45" s="100">
        <f t="shared" ref="E45:F45" si="39">-E44/E37</f>
        <v>1.4042867701404288E-2</v>
      </c>
      <c r="F45" s="100">
        <f t="shared" si="39"/>
        <v>1.4176018901358535E-2</v>
      </c>
      <c r="G45" s="118">
        <v>1.4176018901358535E-2</v>
      </c>
      <c r="H45" s="118">
        <v>1.4176018901358535E-2</v>
      </c>
      <c r="I45" s="118">
        <v>1.4176018901358535E-2</v>
      </c>
      <c r="J45" s="118">
        <v>1.4176018901358535E-2</v>
      </c>
      <c r="K45" s="118">
        <v>1.4176018901358535E-2</v>
      </c>
    </row>
    <row r="46" spans="1:11" ht="21" customHeight="1" thickBot="1" x14ac:dyDescent="0.25">
      <c r="A46" s="86" t="s">
        <v>215</v>
      </c>
      <c r="B46" s="86"/>
      <c r="C46" s="88"/>
      <c r="D46" s="112">
        <f>D37+D44</f>
        <v>3659</v>
      </c>
      <c r="E46" s="112">
        <f t="shared" ref="E46:K46" si="40">E37+E44</f>
        <v>4002</v>
      </c>
      <c r="F46" s="112">
        <f t="shared" si="40"/>
        <v>5007</v>
      </c>
      <c r="G46" s="112">
        <f t="shared" si="40"/>
        <v>6781.1175700466201</v>
      </c>
      <c r="H46" s="112">
        <f t="shared" si="40"/>
        <v>7318.1820815943111</v>
      </c>
      <c r="I46" s="112">
        <f t="shared" si="40"/>
        <v>7897.782102456581</v>
      </c>
      <c r="J46" s="112">
        <f t="shared" si="40"/>
        <v>8523.2864449711415</v>
      </c>
      <c r="K46" s="112">
        <f t="shared" si="40"/>
        <v>9198.3307314128542</v>
      </c>
    </row>
    <row r="47" spans="1:11" ht="21" customHeight="1" thickTop="1" x14ac:dyDescent="0.2">
      <c r="A47" s="86" t="s">
        <v>60</v>
      </c>
      <c r="B47" s="90"/>
      <c r="C47" s="90"/>
      <c r="D47" s="113"/>
      <c r="E47" s="113"/>
      <c r="F47" s="113"/>
      <c r="G47" s="113"/>
      <c r="H47" s="113"/>
      <c r="I47" s="113"/>
      <c r="J47" s="113"/>
      <c r="K47" s="113"/>
    </row>
    <row r="48" spans="1:11" ht="12.75" customHeight="1" x14ac:dyDescent="0.2">
      <c r="A48" s="90"/>
      <c r="B48" s="90" t="s">
        <v>4</v>
      </c>
      <c r="C48" s="90"/>
      <c r="D48" s="676">
        <v>8.32</v>
      </c>
      <c r="E48" s="676">
        <v>9.0500000000000007</v>
      </c>
      <c r="F48" s="676">
        <v>11.3</v>
      </c>
      <c r="G48" s="114">
        <f>G46/(G51/1000)</f>
        <v>15.400297237268008</v>
      </c>
      <c r="H48" s="114">
        <f t="shared" ref="H48:K48" si="41">H46/(H51/1000)</f>
        <v>16.62000077845963</v>
      </c>
      <c r="I48" s="114">
        <f t="shared" si="41"/>
        <v>17.95669516959504</v>
      </c>
      <c r="J48" s="114">
        <f t="shared" si="41"/>
        <v>19.400920759496785</v>
      </c>
      <c r="K48" s="114">
        <f t="shared" si="41"/>
        <v>20.961330039159737</v>
      </c>
    </row>
    <row r="49" spans="1:11" ht="12.75" customHeight="1" x14ac:dyDescent="0.2">
      <c r="A49" s="90"/>
      <c r="B49" s="90" t="s">
        <v>5</v>
      </c>
      <c r="C49" s="90"/>
      <c r="D49" s="676">
        <v>8.26</v>
      </c>
      <c r="E49" s="676">
        <v>9.02</v>
      </c>
      <c r="F49" s="676">
        <v>11.27</v>
      </c>
      <c r="G49" s="114">
        <f>G46/(G52/1000)</f>
        <v>15.392226541385003</v>
      </c>
      <c r="H49" s="114">
        <f t="shared" ref="H49:K49" si="42">H46/(H52/1000)</f>
        <v>16.611290883462694</v>
      </c>
      <c r="I49" s="114">
        <f t="shared" si="42"/>
        <v>17.947274072824484</v>
      </c>
      <c r="J49" s="114">
        <f t="shared" si="42"/>
        <v>19.390730361830322</v>
      </c>
      <c r="K49" s="114">
        <f t="shared" si="42"/>
        <v>20.950307493058379</v>
      </c>
    </row>
    <row r="50" spans="1:11" ht="21" customHeight="1" x14ac:dyDescent="0.2">
      <c r="A50" s="86" t="s">
        <v>61</v>
      </c>
      <c r="B50" s="90"/>
      <c r="C50" s="88"/>
      <c r="D50" s="394"/>
      <c r="E50" s="394"/>
      <c r="F50" s="394"/>
      <c r="G50" s="102"/>
      <c r="H50" s="102"/>
      <c r="I50" s="102"/>
      <c r="J50" s="102"/>
      <c r="K50" s="102"/>
    </row>
    <row r="51" spans="1:11" ht="12.75" customHeight="1" x14ac:dyDescent="0.2">
      <c r="A51" s="90"/>
      <c r="B51" s="90" t="s">
        <v>4</v>
      </c>
      <c r="C51" s="90"/>
      <c r="D51" s="673">
        <v>439755</v>
      </c>
      <c r="E51" s="673">
        <v>442297</v>
      </c>
      <c r="F51" s="673">
        <v>443089</v>
      </c>
      <c r="G51" s="115">
        <f>(D56/1000)-G53</f>
        <v>440323.81099999999</v>
      </c>
      <c r="H51" s="115">
        <v>440323.81099999999</v>
      </c>
      <c r="I51" s="683">
        <f>H51-I53</f>
        <v>439823.81099999999</v>
      </c>
      <c r="J51" s="683">
        <f t="shared" ref="J51:K51" si="43">I51-J53</f>
        <v>439323.81099999999</v>
      </c>
      <c r="K51" s="683">
        <f t="shared" si="43"/>
        <v>438823.81099999999</v>
      </c>
    </row>
    <row r="52" spans="1:11" ht="12.75" customHeight="1" x14ac:dyDescent="0.2">
      <c r="A52" s="116"/>
      <c r="B52" s="116" t="s">
        <v>5</v>
      </c>
      <c r="C52" s="116"/>
      <c r="D52" s="674">
        <v>442923</v>
      </c>
      <c r="E52" s="674">
        <v>443901</v>
      </c>
      <c r="F52" s="674">
        <v>444346</v>
      </c>
      <c r="G52" s="117">
        <f>G51+($D$61/1000)</f>
        <v>440554.6885510204</v>
      </c>
      <c r="H52" s="117">
        <f t="shared" ref="H52:K52" si="44">H51+($D$61/1000)</f>
        <v>440554.6885510204</v>
      </c>
      <c r="I52" s="117">
        <f t="shared" si="44"/>
        <v>440054.6885510204</v>
      </c>
      <c r="J52" s="117">
        <f t="shared" si="44"/>
        <v>439554.6885510204</v>
      </c>
      <c r="K52" s="117">
        <f t="shared" si="44"/>
        <v>439054.6885510204</v>
      </c>
    </row>
    <row r="53" spans="1:11" ht="20.100000000000001" customHeight="1" x14ac:dyDescent="0.2">
      <c r="B53" s="2" t="s">
        <v>415</v>
      </c>
      <c r="D53" s="679">
        <v>1097</v>
      </c>
      <c r="E53" s="680">
        <v>643</v>
      </c>
      <c r="F53" s="681">
        <v>1358</v>
      </c>
      <c r="G53" s="682">
        <v>1500</v>
      </c>
      <c r="H53" s="682">
        <v>1500</v>
      </c>
      <c r="I53" s="682">
        <v>500</v>
      </c>
      <c r="J53" s="682">
        <v>500</v>
      </c>
      <c r="K53" s="682">
        <v>500</v>
      </c>
    </row>
    <row r="54" spans="1:11" ht="20.100000000000001" customHeight="1" x14ac:dyDescent="0.2">
      <c r="A54" s="686" t="s">
        <v>336</v>
      </c>
      <c r="B54" s="687"/>
      <c r="C54" s="687"/>
      <c r="D54" s="688"/>
      <c r="E54" s="678"/>
      <c r="G54" s="392"/>
      <c r="H54" s="392"/>
      <c r="I54" s="392"/>
      <c r="J54" s="392"/>
      <c r="K54" s="392"/>
    </row>
    <row r="55" spans="1:11" ht="20.100000000000001" customHeight="1" x14ac:dyDescent="0.2">
      <c r="A55" s="208" t="s">
        <v>170</v>
      </c>
      <c r="B55" s="208"/>
      <c r="C55" s="208"/>
      <c r="D55" s="389">
        <v>245</v>
      </c>
      <c r="E55" s="677"/>
      <c r="F55" s="392"/>
    </row>
    <row r="56" spans="1:11" ht="20.100000000000001" customHeight="1" x14ac:dyDescent="0.2">
      <c r="A56" s="208" t="s">
        <v>273</v>
      </c>
      <c r="B56" s="208"/>
      <c r="C56" s="213"/>
      <c r="D56" s="210">
        <v>441823811</v>
      </c>
    </row>
    <row r="57" spans="1:11" ht="20.100000000000001" customHeight="1" x14ac:dyDescent="0.2">
      <c r="A57" s="208" t="s">
        <v>271</v>
      </c>
      <c r="B57" s="208"/>
      <c r="C57" s="208"/>
      <c r="D57" s="210">
        <v>1257000</v>
      </c>
    </row>
    <row r="58" spans="1:11" ht="20.100000000000001" customHeight="1" x14ac:dyDescent="0.2">
      <c r="A58" s="214" t="s">
        <v>269</v>
      </c>
      <c r="B58" s="214"/>
      <c r="C58" s="214"/>
      <c r="D58" s="212">
        <v>200</v>
      </c>
    </row>
    <row r="59" spans="1:11" ht="20.100000000000001" customHeight="1" x14ac:dyDescent="0.2">
      <c r="A59" s="214" t="s">
        <v>270</v>
      </c>
      <c r="B59" s="214"/>
      <c r="C59" s="214"/>
      <c r="D59" s="211">
        <f>D57*D58</f>
        <v>251400000</v>
      </c>
    </row>
    <row r="60" spans="1:11" ht="20.100000000000001" customHeight="1" x14ac:dyDescent="0.2">
      <c r="A60" s="208" t="s">
        <v>274</v>
      </c>
      <c r="B60" s="214"/>
      <c r="C60" s="214"/>
      <c r="D60" s="675">
        <f>D59/D55</f>
        <v>1026122.4489795918</v>
      </c>
    </row>
    <row r="61" spans="1:11" ht="20.100000000000001" customHeight="1" x14ac:dyDescent="0.2">
      <c r="A61" s="220" t="s">
        <v>275</v>
      </c>
      <c r="B61" s="219"/>
      <c r="C61" s="219"/>
      <c r="D61" s="221">
        <f>D57-D60</f>
        <v>230877.55102040817</v>
      </c>
    </row>
    <row r="62" spans="1:11" ht="20.100000000000001" customHeight="1" x14ac:dyDescent="0.2">
      <c r="A62" s="215" t="s">
        <v>272</v>
      </c>
      <c r="B62" s="219"/>
      <c r="C62" s="219"/>
      <c r="D62" s="222">
        <f>D56+D61</f>
        <v>442054688.55102038</v>
      </c>
    </row>
  </sheetData>
  <mergeCells count="1">
    <mergeCell ref="A54:D54"/>
  </mergeCells>
  <phoneticPr fontId="6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37" min="1" max="12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66CCFF"/>
  </sheetPr>
  <dimension ref="A1:AS79"/>
  <sheetViews>
    <sheetView workbookViewId="0">
      <pane xSplit="3" ySplit="5" topLeftCell="D19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outlineLevelCol="2" x14ac:dyDescent="0.2"/>
  <cols>
    <col min="1" max="2" width="2.7109375" style="2" customWidth="1"/>
    <col min="3" max="3" width="37.5703125" style="2" bestFit="1" customWidth="1"/>
    <col min="4" max="4" width="17" style="4" bestFit="1" customWidth="1" outlineLevel="1"/>
    <col min="5" max="6" width="9.7109375" style="4" customWidth="1" outlineLevel="1"/>
    <col min="7" max="7" width="9.7109375" style="4" customWidth="1" outlineLevel="1" collapsed="1"/>
    <col min="8" max="11" width="9.7109375" style="4" customWidth="1" outlineLevel="2"/>
    <col min="12" max="12" width="9.7109375" style="4" customWidth="1" outlineLevel="1"/>
    <col min="13" max="13" width="9.7109375" style="4" customWidth="1"/>
    <col min="14" max="14" width="10.5703125" style="4" customWidth="1" outlineLevel="1"/>
    <col min="15" max="15" width="9.7109375" style="2" customWidth="1" outlineLevel="1" collapsed="1"/>
    <col min="16" max="16" width="9.7109375" style="2" customWidth="1"/>
    <col min="17" max="17" width="9.140625" style="2"/>
    <col min="18" max="22" width="8.85546875"/>
    <col min="23" max="23" width="9.7109375" bestFit="1" customWidth="1"/>
    <col min="24" max="45" width="8.85546875" customWidth="1"/>
    <col min="46" max="16384" width="9.140625" style="2"/>
  </cols>
  <sheetData>
    <row r="1" spans="1:17" ht="58.5" customHeight="1" x14ac:dyDescent="0.2">
      <c r="B1" s="26"/>
      <c r="C1" s="26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6"/>
      <c r="P1" s="26"/>
    </row>
    <row r="2" spans="1:17" ht="12.75" customHeight="1" x14ac:dyDescent="0.2">
      <c r="A2" s="24" t="s">
        <v>256</v>
      </c>
      <c r="B2" s="33"/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4"/>
      <c r="P2" s="24"/>
    </row>
    <row r="3" spans="1:17" ht="12.75" customHeight="1" x14ac:dyDescent="0.2">
      <c r="A3" s="5"/>
      <c r="B3" s="7"/>
      <c r="C3" s="6"/>
      <c r="D3" s="188" t="s">
        <v>32</v>
      </c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37" t="s">
        <v>33</v>
      </c>
      <c r="Q3"/>
    </row>
    <row r="4" spans="1:17" ht="12.75" customHeight="1" x14ac:dyDescent="0.2">
      <c r="A4" s="5"/>
      <c r="B4" s="7"/>
      <c r="C4" s="6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8"/>
      <c r="P4" s="28"/>
    </row>
    <row r="5" spans="1:17" ht="12.75" customHeight="1" x14ac:dyDescent="0.2">
      <c r="A5" s="30"/>
      <c r="B5" s="45"/>
      <c r="C5" s="31"/>
      <c r="D5" s="40" t="s">
        <v>248</v>
      </c>
      <c r="E5" s="40" t="s">
        <v>249</v>
      </c>
      <c r="F5" s="40" t="s">
        <v>250</v>
      </c>
      <c r="G5" s="149" t="s">
        <v>268</v>
      </c>
      <c r="H5" s="40">
        <v>2011</v>
      </c>
      <c r="I5" s="40" t="s">
        <v>251</v>
      </c>
      <c r="J5" s="40" t="s">
        <v>252</v>
      </c>
      <c r="K5" s="40" t="s">
        <v>253</v>
      </c>
      <c r="L5" s="149" t="s">
        <v>267</v>
      </c>
      <c r="M5" s="149" t="s">
        <v>247</v>
      </c>
      <c r="N5" s="149" t="s">
        <v>255</v>
      </c>
      <c r="O5" s="40" t="s">
        <v>185</v>
      </c>
      <c r="P5" s="41" t="s">
        <v>254</v>
      </c>
    </row>
    <row r="6" spans="1:17" ht="21" customHeight="1" x14ac:dyDescent="0.2">
      <c r="A6" s="86" t="s">
        <v>39</v>
      </c>
      <c r="B6" s="87"/>
      <c r="C6" s="170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</row>
    <row r="7" spans="1:17" ht="12.75" x14ac:dyDescent="0.2">
      <c r="A7" s="90"/>
      <c r="B7" s="87"/>
      <c r="C7" s="88" t="s">
        <v>154</v>
      </c>
      <c r="D7" s="91"/>
      <c r="E7" s="91"/>
      <c r="F7" s="91"/>
      <c r="G7" s="99"/>
      <c r="H7" s="91"/>
      <c r="I7" s="91"/>
      <c r="J7" s="91"/>
      <c r="K7" s="91"/>
      <c r="L7" s="99"/>
      <c r="M7" s="91"/>
      <c r="N7" s="92"/>
      <c r="O7" s="92"/>
      <c r="P7" s="99"/>
    </row>
    <row r="8" spans="1:17" ht="12.75" x14ac:dyDescent="0.2">
      <c r="A8" s="90"/>
      <c r="B8" s="87"/>
      <c r="C8" s="88"/>
      <c r="D8" s="91"/>
      <c r="E8" s="91"/>
      <c r="F8" s="91"/>
      <c r="G8" s="99"/>
      <c r="H8" s="91"/>
      <c r="I8" s="91"/>
      <c r="J8" s="91"/>
      <c r="K8" s="91"/>
      <c r="L8" s="99"/>
      <c r="M8" s="91"/>
      <c r="N8" s="97"/>
      <c r="O8" s="97"/>
      <c r="P8" s="207"/>
    </row>
    <row r="9" spans="1:17" ht="12.75" x14ac:dyDescent="0.2">
      <c r="A9" s="90"/>
      <c r="B9" s="87"/>
      <c r="C9" s="88" t="s">
        <v>186</v>
      </c>
      <c r="D9" s="91"/>
      <c r="E9" s="91"/>
      <c r="F9" s="91"/>
      <c r="G9" s="99"/>
      <c r="H9" s="91"/>
      <c r="I9" s="91"/>
      <c r="J9" s="91"/>
      <c r="K9" s="91"/>
      <c r="L9" s="99"/>
      <c r="M9" s="91"/>
      <c r="N9" s="92"/>
      <c r="O9" s="92"/>
      <c r="P9" s="99"/>
    </row>
    <row r="10" spans="1:17" ht="12.75" x14ac:dyDescent="0.2">
      <c r="A10" s="90"/>
      <c r="B10" s="87"/>
      <c r="C10" s="88"/>
      <c r="D10" s="97"/>
      <c r="E10" s="97"/>
      <c r="F10" s="97"/>
      <c r="G10" s="97"/>
      <c r="H10" s="94"/>
      <c r="I10" s="97"/>
      <c r="J10" s="97"/>
      <c r="K10" s="97"/>
      <c r="L10" s="97"/>
      <c r="M10" s="97"/>
      <c r="N10" s="97"/>
      <c r="O10" s="97"/>
      <c r="P10" s="207"/>
    </row>
    <row r="11" spans="1:17" ht="12.75" customHeight="1" x14ac:dyDescent="0.2">
      <c r="A11" s="90"/>
      <c r="B11" s="86" t="s">
        <v>63</v>
      </c>
      <c r="C11" s="170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1:17" ht="12.75" customHeight="1" x14ac:dyDescent="0.2">
      <c r="A12" s="90"/>
      <c r="B12" s="90"/>
      <c r="C12" s="93" t="s">
        <v>40</v>
      </c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5"/>
    </row>
    <row r="13" spans="1:17" ht="9" customHeight="1" x14ac:dyDescent="0.2">
      <c r="A13" s="86"/>
      <c r="B13" s="90"/>
      <c r="C13" s="93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8"/>
    </row>
    <row r="14" spans="1:17" ht="12.75" customHeight="1" collapsed="1" x14ac:dyDescent="0.2">
      <c r="A14" s="86" t="s">
        <v>41</v>
      </c>
      <c r="B14" s="86"/>
      <c r="C14" s="88"/>
      <c r="D14" s="91"/>
      <c r="E14" s="91"/>
      <c r="F14" s="91"/>
      <c r="G14" s="99"/>
      <c r="H14" s="91"/>
      <c r="I14" s="91"/>
      <c r="J14" s="91"/>
      <c r="K14" s="91"/>
      <c r="L14" s="99"/>
      <c r="M14" s="91"/>
      <c r="N14" s="92"/>
      <c r="O14" s="92"/>
      <c r="P14" s="99"/>
    </row>
    <row r="15" spans="1:17" ht="15" customHeight="1" x14ac:dyDescent="0.2">
      <c r="A15" s="90"/>
      <c r="B15" s="103" t="s">
        <v>42</v>
      </c>
      <c r="C15" s="93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204"/>
    </row>
    <row r="16" spans="1:17" ht="21" customHeight="1" x14ac:dyDescent="0.2">
      <c r="A16" s="86" t="s">
        <v>62</v>
      </c>
      <c r="B16" s="86"/>
      <c r="C16" s="170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1:16" ht="12.75" customHeight="1" x14ac:dyDescent="0.2">
      <c r="A17" s="90"/>
      <c r="B17" s="103" t="s">
        <v>43</v>
      </c>
      <c r="C17" s="93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</row>
    <row r="18" spans="1:16" ht="21" customHeight="1" x14ac:dyDescent="0.2">
      <c r="A18" s="86" t="s">
        <v>49</v>
      </c>
      <c r="B18" s="90"/>
      <c r="C18" s="90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1:16" ht="12.75" customHeight="1" x14ac:dyDescent="0.2">
      <c r="A19" s="90"/>
      <c r="B19" s="90" t="s">
        <v>44</v>
      </c>
      <c r="C19" s="90"/>
      <c r="D19" s="91"/>
      <c r="E19" s="91"/>
      <c r="F19" s="91"/>
      <c r="G19" s="99"/>
      <c r="H19" s="91"/>
      <c r="I19" s="91"/>
      <c r="J19" s="91"/>
      <c r="K19" s="91"/>
      <c r="L19" s="99"/>
      <c r="M19" s="91"/>
      <c r="N19" s="92"/>
      <c r="O19" s="92"/>
      <c r="P19" s="99"/>
    </row>
    <row r="20" spans="1:16" ht="12.75" customHeight="1" x14ac:dyDescent="0.2">
      <c r="A20" s="90"/>
      <c r="B20" s="90"/>
      <c r="C20" s="93" t="s">
        <v>100</v>
      </c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91"/>
    </row>
    <row r="21" spans="1:16" ht="12.75" customHeight="1" x14ac:dyDescent="0.2">
      <c r="A21" s="90"/>
      <c r="B21" s="86" t="s">
        <v>50</v>
      </c>
      <c r="C21" s="90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</row>
    <row r="22" spans="1:16" ht="21" customHeight="1" collapsed="1" x14ac:dyDescent="0.2">
      <c r="A22" s="86" t="s">
        <v>2</v>
      </c>
      <c r="B22" s="86"/>
      <c r="C22" s="170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1:16" ht="12.75" customHeight="1" x14ac:dyDescent="0.2">
      <c r="A23" s="90"/>
      <c r="B23" s="103" t="s">
        <v>45</v>
      </c>
      <c r="C23" s="93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</row>
    <row r="24" spans="1:16" ht="21" customHeight="1" x14ac:dyDescent="0.2">
      <c r="A24" s="90" t="s">
        <v>46</v>
      </c>
      <c r="B24" s="90"/>
      <c r="C24" s="90"/>
      <c r="D24" s="91"/>
      <c r="E24" s="91"/>
      <c r="F24" s="91"/>
      <c r="G24" s="99"/>
      <c r="H24" s="91"/>
      <c r="I24" s="91"/>
      <c r="J24" s="91"/>
      <c r="K24" s="91"/>
      <c r="L24" s="99"/>
      <c r="M24" s="91"/>
      <c r="N24" s="92"/>
      <c r="O24" s="92"/>
      <c r="P24" s="99"/>
    </row>
    <row r="25" spans="1:16" ht="12.75" x14ac:dyDescent="0.2">
      <c r="A25" s="90"/>
      <c r="B25" s="103" t="s">
        <v>182</v>
      </c>
      <c r="C25" s="90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92"/>
    </row>
    <row r="26" spans="1:16" ht="21" customHeight="1" collapsed="1" x14ac:dyDescent="0.2">
      <c r="A26" s="86" t="s">
        <v>1</v>
      </c>
      <c r="B26" s="86"/>
      <c r="C26" s="170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1:16" ht="12.75" customHeight="1" x14ac:dyDescent="0.2">
      <c r="A27" s="90"/>
      <c r="B27" s="103" t="s">
        <v>47</v>
      </c>
      <c r="C27" s="103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</row>
    <row r="28" spans="1:16" ht="21" customHeight="1" x14ac:dyDescent="0.2">
      <c r="A28" s="86" t="s">
        <v>51</v>
      </c>
      <c r="B28" s="90"/>
      <c r="C28" s="8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1:16" ht="12.75" customHeight="1" x14ac:dyDescent="0.2">
      <c r="A29" s="90"/>
      <c r="B29" s="90" t="s">
        <v>13</v>
      </c>
      <c r="C29" s="90"/>
      <c r="D29" s="91"/>
      <c r="E29" s="91"/>
      <c r="F29" s="91"/>
      <c r="G29" s="92"/>
      <c r="H29" s="194"/>
      <c r="I29" s="194"/>
      <c r="J29" s="194"/>
      <c r="K29" s="194"/>
      <c r="L29" s="92"/>
      <c r="M29" s="194"/>
      <c r="N29" s="92"/>
      <c r="O29" s="92"/>
      <c r="P29" s="91"/>
    </row>
    <row r="30" spans="1:16" ht="12.75" customHeight="1" x14ac:dyDescent="0.2">
      <c r="A30" s="90"/>
      <c r="B30" s="90" t="s">
        <v>188</v>
      </c>
      <c r="C30" s="90"/>
      <c r="D30" s="107"/>
      <c r="E30" s="107"/>
      <c r="F30" s="107"/>
      <c r="G30" s="200"/>
      <c r="H30" s="109"/>
      <c r="I30" s="109"/>
      <c r="J30" s="109"/>
      <c r="K30" s="109"/>
      <c r="L30" s="200"/>
      <c r="M30" s="195"/>
      <c r="N30" s="200"/>
      <c r="O30" s="108"/>
      <c r="P30" s="107"/>
    </row>
    <row r="31" spans="1:16" ht="12.75" customHeight="1" x14ac:dyDescent="0.2">
      <c r="A31" s="90"/>
      <c r="B31" s="86" t="s">
        <v>257</v>
      </c>
      <c r="C31" s="90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102"/>
      <c r="P31" s="102"/>
    </row>
    <row r="32" spans="1:16" ht="21" customHeight="1" x14ac:dyDescent="0.2">
      <c r="A32" s="86" t="s">
        <v>87</v>
      </c>
      <c r="B32" s="90"/>
      <c r="C32" s="103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</row>
    <row r="33" spans="1:16" ht="12.75" customHeight="1" x14ac:dyDescent="0.2">
      <c r="A33" s="90"/>
      <c r="B33" s="90" t="s">
        <v>161</v>
      </c>
      <c r="C33" s="90"/>
      <c r="D33" s="91"/>
      <c r="E33" s="91"/>
      <c r="F33" s="91"/>
      <c r="G33" s="99"/>
      <c r="H33" s="91"/>
      <c r="I33" s="91"/>
      <c r="J33" s="91"/>
      <c r="K33" s="91"/>
      <c r="L33" s="99"/>
      <c r="M33" s="91"/>
      <c r="N33" s="99"/>
      <c r="O33" s="92"/>
      <c r="P33" s="99"/>
    </row>
    <row r="34" spans="1:16" ht="12.75" customHeight="1" x14ac:dyDescent="0.2">
      <c r="A34" s="90"/>
      <c r="B34" s="90" t="s">
        <v>48</v>
      </c>
      <c r="C34" s="90"/>
      <c r="D34" s="109"/>
      <c r="E34" s="109"/>
      <c r="F34" s="109"/>
      <c r="G34" s="200"/>
      <c r="H34" s="109"/>
      <c r="I34" s="109"/>
      <c r="J34" s="109"/>
      <c r="K34" s="109"/>
      <c r="L34" s="200"/>
      <c r="M34" s="194"/>
      <c r="N34" s="92"/>
      <c r="O34" s="92"/>
      <c r="P34" s="183"/>
    </row>
    <row r="35" spans="1:16" ht="12.75" customHeight="1" x14ac:dyDescent="0.2">
      <c r="A35" s="90"/>
      <c r="B35" s="86" t="s">
        <v>86</v>
      </c>
      <c r="C35" s="9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</row>
    <row r="36" spans="1:16" ht="21" customHeight="1" collapsed="1" x14ac:dyDescent="0.2">
      <c r="A36" s="86" t="s">
        <v>259</v>
      </c>
      <c r="B36" s="86"/>
      <c r="C36" s="90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1:16" ht="12.75" customHeight="1" x14ac:dyDescent="0.2">
      <c r="A37" s="90"/>
      <c r="B37" s="103" t="s">
        <v>54</v>
      </c>
      <c r="C37" s="93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</row>
    <row r="38" spans="1:16" ht="21" customHeight="1" x14ac:dyDescent="0.2">
      <c r="A38" s="90" t="s">
        <v>55</v>
      </c>
      <c r="B38" s="90"/>
      <c r="C38" s="90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2"/>
      <c r="P38" s="99"/>
    </row>
    <row r="39" spans="1:16" ht="12.75" customHeight="1" x14ac:dyDescent="0.2">
      <c r="A39" s="90"/>
      <c r="B39" s="103" t="s">
        <v>258</v>
      </c>
      <c r="C39" s="93"/>
      <c r="D39" s="192"/>
      <c r="E39" s="192"/>
      <c r="F39" s="192"/>
      <c r="G39" s="190"/>
      <c r="H39" s="197"/>
      <c r="I39" s="192"/>
      <c r="J39" s="192"/>
      <c r="K39" s="192"/>
      <c r="L39" s="190"/>
      <c r="M39" s="196"/>
      <c r="N39" s="190"/>
      <c r="O39" s="189"/>
      <c r="P39" s="198"/>
    </row>
    <row r="40" spans="1:16" ht="21" customHeight="1" x14ac:dyDescent="0.2">
      <c r="A40" s="86" t="s">
        <v>379</v>
      </c>
      <c r="B40" s="86"/>
      <c r="C40" s="90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1:16" ht="12.75" customHeight="1" x14ac:dyDescent="0.2">
      <c r="A41" s="90"/>
      <c r="B41" s="90" t="s">
        <v>262</v>
      </c>
      <c r="C41" s="90"/>
      <c r="D41" s="91"/>
      <c r="E41" s="91"/>
      <c r="F41" s="91"/>
      <c r="G41" s="99"/>
      <c r="H41" s="91"/>
      <c r="I41" s="91"/>
      <c r="J41" s="91"/>
      <c r="K41" s="91"/>
      <c r="L41" s="99"/>
      <c r="M41" s="91"/>
      <c r="N41" s="99"/>
      <c r="O41" s="92"/>
      <c r="P41" s="99"/>
    </row>
    <row r="42" spans="1:16" ht="12.75" customHeight="1" x14ac:dyDescent="0.2">
      <c r="A42" s="90"/>
      <c r="B42" s="90"/>
      <c r="C42" s="103" t="s">
        <v>263</v>
      </c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98"/>
    </row>
    <row r="43" spans="1:16" ht="21" customHeight="1" x14ac:dyDescent="0.2">
      <c r="A43" s="86" t="s">
        <v>260</v>
      </c>
      <c r="B43" s="90"/>
      <c r="C43" s="103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1:16" ht="21.75" customHeight="1" x14ac:dyDescent="0.2">
      <c r="A44" s="86" t="s">
        <v>56</v>
      </c>
      <c r="B44" s="90"/>
      <c r="C44" s="90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1:16" ht="12.75" customHeight="1" x14ac:dyDescent="0.2">
      <c r="A45" s="90"/>
      <c r="B45" s="90" t="s">
        <v>187</v>
      </c>
      <c r="C45" s="90"/>
      <c r="D45" s="91"/>
      <c r="E45" s="91"/>
      <c r="F45" s="91"/>
      <c r="G45" s="99"/>
      <c r="H45" s="91"/>
      <c r="I45" s="91"/>
      <c r="J45" s="91"/>
      <c r="K45" s="91"/>
      <c r="L45" s="99"/>
      <c r="M45" s="91"/>
      <c r="N45" s="99"/>
      <c r="O45" s="92"/>
      <c r="P45" s="91"/>
    </row>
    <row r="46" spans="1:16" ht="12.75" customHeight="1" x14ac:dyDescent="0.2">
      <c r="A46" s="90"/>
      <c r="B46" s="90" t="s">
        <v>58</v>
      </c>
      <c r="C46" s="90"/>
      <c r="D46" s="107"/>
      <c r="E46" s="107"/>
      <c r="F46" s="107"/>
      <c r="G46" s="199"/>
      <c r="H46" s="107"/>
      <c r="I46" s="107"/>
      <c r="J46" s="107"/>
      <c r="K46" s="107"/>
      <c r="L46" s="199"/>
      <c r="M46" s="107"/>
      <c r="N46" s="199"/>
      <c r="O46" s="108"/>
      <c r="P46" s="107"/>
    </row>
    <row r="47" spans="1:16" ht="12.75" customHeight="1" x14ac:dyDescent="0.2">
      <c r="A47" s="90"/>
      <c r="B47" s="86" t="s">
        <v>88</v>
      </c>
      <c r="C47" s="90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</row>
    <row r="48" spans="1:16" ht="21" customHeight="1" x14ac:dyDescent="0.2">
      <c r="A48" s="86" t="s">
        <v>261</v>
      </c>
      <c r="B48" s="86"/>
      <c r="C48" s="170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1:16" ht="21" customHeight="1" x14ac:dyDescent="0.2">
      <c r="A49" s="86" t="s">
        <v>265</v>
      </c>
      <c r="B49" s="90"/>
      <c r="C49" s="90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46"/>
      <c r="O49" s="113"/>
      <c r="P49" s="113"/>
    </row>
    <row r="50" spans="1:16" ht="12.75" customHeight="1" x14ac:dyDescent="0.2">
      <c r="A50" s="90"/>
      <c r="B50" s="90" t="s">
        <v>4</v>
      </c>
      <c r="C50" s="90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</row>
    <row r="51" spans="1:16" ht="12.75" customHeight="1" x14ac:dyDescent="0.2">
      <c r="A51" s="90"/>
      <c r="B51" s="90" t="s">
        <v>5</v>
      </c>
      <c r="C51" s="90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</row>
    <row r="52" spans="1:16" ht="21" customHeight="1" x14ac:dyDescent="0.2">
      <c r="A52" s="86" t="s">
        <v>266</v>
      </c>
      <c r="B52" s="90"/>
      <c r="C52" s="90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</row>
    <row r="53" spans="1:16" ht="12.75" customHeight="1" x14ac:dyDescent="0.2">
      <c r="A53" s="90"/>
      <c r="B53" s="90" t="s">
        <v>4</v>
      </c>
      <c r="C53" s="90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</row>
    <row r="54" spans="1:16" ht="12.75" customHeight="1" x14ac:dyDescent="0.2">
      <c r="A54" s="90"/>
      <c r="B54" s="90" t="s">
        <v>5</v>
      </c>
      <c r="C54" s="90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</row>
    <row r="55" spans="1:16" ht="21" customHeight="1" x14ac:dyDescent="0.2">
      <c r="A55" s="86" t="s">
        <v>61</v>
      </c>
      <c r="B55" s="90"/>
      <c r="C55" s="170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43"/>
      <c r="O55" s="102"/>
      <c r="P55" s="102"/>
    </row>
    <row r="56" spans="1:16" ht="12.75" customHeight="1" x14ac:dyDescent="0.2">
      <c r="A56" s="90"/>
      <c r="B56" s="90" t="s">
        <v>4</v>
      </c>
      <c r="C56" s="90"/>
      <c r="D56" s="115"/>
      <c r="E56" s="115"/>
      <c r="F56" s="115"/>
      <c r="G56" s="201"/>
      <c r="H56" s="115"/>
      <c r="I56" s="115"/>
      <c r="J56" s="115"/>
      <c r="K56" s="115"/>
      <c r="L56" s="201"/>
      <c r="M56" s="115"/>
      <c r="N56" s="201"/>
      <c r="O56" s="201"/>
      <c r="P56" s="205"/>
    </row>
    <row r="57" spans="1:16" ht="12.75" customHeight="1" x14ac:dyDescent="0.2">
      <c r="A57" s="116"/>
      <c r="B57" s="116" t="s">
        <v>5</v>
      </c>
      <c r="C57" s="116"/>
      <c r="D57" s="117"/>
      <c r="E57" s="117"/>
      <c r="F57" s="117"/>
      <c r="G57" s="202"/>
      <c r="H57" s="117"/>
      <c r="I57" s="117"/>
      <c r="J57" s="117"/>
      <c r="K57" s="117"/>
      <c r="L57" s="202"/>
      <c r="M57" s="117"/>
      <c r="N57" s="202"/>
      <c r="O57" s="203"/>
      <c r="P57" s="206"/>
    </row>
    <row r="58" spans="1:16" ht="12.75" customHeight="1" x14ac:dyDescent="0.2"/>
    <row r="59" spans="1:16" ht="12.75" customHeight="1" x14ac:dyDescent="0.2">
      <c r="C59" s="74"/>
      <c r="D59" s="74"/>
      <c r="E59" s="73"/>
      <c r="F59" s="75"/>
      <c r="G59" s="73"/>
      <c r="H59" s="73"/>
      <c r="P59" s="48"/>
    </row>
    <row r="60" spans="1:16" ht="18.75" customHeight="1" x14ac:dyDescent="0.2">
      <c r="A60" s="686" t="s">
        <v>299</v>
      </c>
      <c r="B60" s="687"/>
      <c r="C60" s="687"/>
      <c r="D60" s="688"/>
      <c r="E60" s="76"/>
      <c r="P60" s="22"/>
    </row>
    <row r="61" spans="1:16" ht="20.100000000000001" customHeight="1" x14ac:dyDescent="0.2">
      <c r="A61" s="208" t="s">
        <v>170</v>
      </c>
      <c r="B61" s="208"/>
      <c r="C61" s="208"/>
      <c r="D61" s="212"/>
      <c r="E61" s="77"/>
      <c r="F61" s="2"/>
      <c r="O61" s="48"/>
    </row>
    <row r="62" spans="1:16" ht="20.100000000000001" customHeight="1" x14ac:dyDescent="0.2">
      <c r="A62" s="208" t="s">
        <v>273</v>
      </c>
      <c r="B62" s="208"/>
      <c r="C62" s="213"/>
      <c r="D62" s="210"/>
      <c r="E62" s="73"/>
      <c r="F62" s="2"/>
      <c r="O62" s="47"/>
    </row>
    <row r="63" spans="1:16" ht="20.100000000000001" customHeight="1" x14ac:dyDescent="0.2">
      <c r="A63" s="208" t="s">
        <v>271</v>
      </c>
      <c r="B63" s="208"/>
      <c r="C63" s="208"/>
      <c r="D63" s="210"/>
      <c r="E63" s="73"/>
      <c r="F63" s="2"/>
    </row>
    <row r="64" spans="1:16" ht="20.100000000000001" customHeight="1" x14ac:dyDescent="0.2">
      <c r="A64" s="214" t="s">
        <v>269</v>
      </c>
      <c r="B64" s="214"/>
      <c r="C64" s="214"/>
      <c r="D64" s="212"/>
      <c r="E64" s="78"/>
      <c r="F64" s="2"/>
    </row>
    <row r="65" spans="1:6" ht="20.100000000000001" customHeight="1" x14ac:dyDescent="0.2">
      <c r="A65" s="214" t="s">
        <v>270</v>
      </c>
      <c r="B65" s="214"/>
      <c r="C65" s="214"/>
      <c r="D65" s="211"/>
      <c r="E65" s="78"/>
      <c r="F65" s="2"/>
    </row>
    <row r="66" spans="1:6" ht="20.100000000000001" customHeight="1" x14ac:dyDescent="0.2">
      <c r="A66" s="208" t="s">
        <v>274</v>
      </c>
      <c r="B66" s="214"/>
      <c r="C66" s="214"/>
      <c r="D66" s="211"/>
      <c r="E66" s="73"/>
      <c r="F66" s="2"/>
    </row>
    <row r="67" spans="1:6" ht="20.100000000000001" customHeight="1" x14ac:dyDescent="0.2">
      <c r="A67" s="220" t="s">
        <v>275</v>
      </c>
      <c r="B67" s="219"/>
      <c r="C67" s="219"/>
      <c r="D67" s="221"/>
      <c r="E67" s="73"/>
      <c r="F67" s="2"/>
    </row>
    <row r="68" spans="1:6" ht="20.100000000000001" customHeight="1" x14ac:dyDescent="0.2">
      <c r="A68" s="215" t="s">
        <v>272</v>
      </c>
      <c r="B68" s="219"/>
      <c r="C68" s="219"/>
      <c r="D68" s="222"/>
      <c r="E68"/>
      <c r="F68" s="2"/>
    </row>
    <row r="70" spans="1:6" ht="20.100000000000001" customHeight="1" x14ac:dyDescent="0.2">
      <c r="A70" s="686" t="s">
        <v>276</v>
      </c>
      <c r="B70" s="687"/>
      <c r="C70" s="687"/>
      <c r="D70" s="688"/>
    </row>
    <row r="71" spans="1:6" ht="20.100000000000001" customHeight="1" x14ac:dyDescent="0.2">
      <c r="A71" s="215" t="s">
        <v>171</v>
      </c>
      <c r="B71" s="216"/>
      <c r="C71" s="216"/>
      <c r="D71" s="218"/>
    </row>
    <row r="72" spans="1:6" ht="20.100000000000001" customHeight="1" x14ac:dyDescent="0.2">
      <c r="A72" s="208" t="s">
        <v>34</v>
      </c>
      <c r="B72" s="208"/>
      <c r="C72" s="208"/>
      <c r="D72" s="223"/>
    </row>
    <row r="73" spans="1:6" ht="20.100000000000001" customHeight="1" x14ac:dyDescent="0.2">
      <c r="A73" s="208" t="s">
        <v>279</v>
      </c>
      <c r="B73" s="208"/>
      <c r="C73" s="208"/>
      <c r="D73" s="223"/>
    </row>
    <row r="74" spans="1:6" ht="20.100000000000001" customHeight="1" x14ac:dyDescent="0.2">
      <c r="A74" s="208" t="s">
        <v>277</v>
      </c>
      <c r="B74" s="208"/>
      <c r="C74" s="208"/>
      <c r="D74" s="223"/>
    </row>
    <row r="75" spans="1:6" ht="20.100000000000001" customHeight="1" x14ac:dyDescent="0.2">
      <c r="A75" s="208" t="s">
        <v>172</v>
      </c>
      <c r="B75" s="208"/>
      <c r="C75" s="208"/>
      <c r="D75" s="223"/>
    </row>
    <row r="76" spans="1:6" ht="20.100000000000001" customHeight="1" x14ac:dyDescent="0.2">
      <c r="A76" s="208" t="s">
        <v>278</v>
      </c>
      <c r="B76" s="208"/>
      <c r="C76" s="208"/>
      <c r="D76" s="223"/>
    </row>
    <row r="77" spans="1:6" ht="20.100000000000001" customHeight="1" x14ac:dyDescent="0.2">
      <c r="A77" s="208" t="s">
        <v>173</v>
      </c>
      <c r="B77" s="208"/>
      <c r="C77" s="208"/>
      <c r="D77" s="223"/>
    </row>
    <row r="78" spans="1:6" ht="20.100000000000001" customHeight="1" x14ac:dyDescent="0.2">
      <c r="A78" s="208" t="s">
        <v>174</v>
      </c>
      <c r="B78" s="208"/>
      <c r="C78" s="208"/>
      <c r="D78" s="223"/>
    </row>
    <row r="79" spans="1:6" ht="20.100000000000001" customHeight="1" x14ac:dyDescent="0.2">
      <c r="A79" s="215" t="s">
        <v>175</v>
      </c>
      <c r="B79" s="217"/>
      <c r="C79" s="217"/>
      <c r="D79" s="209"/>
    </row>
  </sheetData>
  <mergeCells count="2">
    <mergeCell ref="A60:D60"/>
    <mergeCell ref="A70:D70"/>
  </mergeCells>
  <phoneticPr fontId="0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43" min="1" max="12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66CCFF"/>
  </sheetPr>
  <dimension ref="A1:AS69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outlineLevelCol="2" x14ac:dyDescent="0.2"/>
  <cols>
    <col min="1" max="2" width="2.7109375" style="2" customWidth="1"/>
    <col min="3" max="3" width="37.5703125" style="2" bestFit="1" customWidth="1"/>
    <col min="4" max="4" width="13.42578125" style="4" bestFit="1" customWidth="1" outlineLevel="2"/>
    <col min="5" max="9" width="9.7109375" style="4" customWidth="1" outlineLevel="2"/>
    <col min="10" max="10" width="9.7109375" style="4" customWidth="1"/>
    <col min="11" max="11" width="9.140625" style="2"/>
    <col min="12" max="16" width="8.85546875"/>
    <col min="17" max="17" width="9.7109375" bestFit="1" customWidth="1"/>
    <col min="18" max="39" width="8.85546875" customWidth="1"/>
    <col min="40" max="16384" width="9.140625" style="2"/>
  </cols>
  <sheetData>
    <row r="1" spans="1:11" ht="58.5" customHeight="1" x14ac:dyDescent="0.2">
      <c r="B1" s="26"/>
      <c r="C1" s="26"/>
      <c r="D1" s="27"/>
      <c r="E1" s="27"/>
      <c r="F1" s="27"/>
      <c r="G1" s="27"/>
      <c r="H1" s="27"/>
      <c r="I1" s="27"/>
      <c r="J1" s="27"/>
    </row>
    <row r="2" spans="1:11" ht="12.75" customHeight="1" x14ac:dyDescent="0.2">
      <c r="A2" s="24" t="s">
        <v>256</v>
      </c>
      <c r="B2" s="33"/>
      <c r="C2" s="24"/>
      <c r="D2" s="25"/>
      <c r="E2" s="25"/>
      <c r="F2" s="25"/>
      <c r="G2" s="25"/>
      <c r="H2" s="25"/>
      <c r="I2" s="25"/>
      <c r="J2" s="25"/>
    </row>
    <row r="3" spans="1:11" ht="12.75" customHeight="1" x14ac:dyDescent="0.2">
      <c r="A3" s="5"/>
      <c r="B3" s="7"/>
      <c r="C3" s="6"/>
      <c r="D3" s="34" t="s">
        <v>32</v>
      </c>
      <c r="E3" s="34"/>
      <c r="F3" s="34"/>
      <c r="G3" s="188"/>
      <c r="H3" s="188"/>
      <c r="I3" s="188"/>
      <c r="J3" s="37" t="s">
        <v>33</v>
      </c>
      <c r="K3"/>
    </row>
    <row r="4" spans="1:11" ht="12.75" customHeight="1" x14ac:dyDescent="0.2">
      <c r="A4" s="5"/>
      <c r="B4" s="7"/>
      <c r="C4" s="6"/>
      <c r="D4" s="29"/>
      <c r="E4" s="29"/>
      <c r="F4" s="29"/>
      <c r="G4" s="29"/>
      <c r="H4" s="29"/>
      <c r="I4" s="29"/>
      <c r="J4" s="28"/>
    </row>
    <row r="5" spans="1:11" ht="12.75" customHeight="1" x14ac:dyDescent="0.2">
      <c r="A5" s="30"/>
      <c r="B5" s="45"/>
      <c r="C5" s="31"/>
      <c r="D5" s="149" t="s">
        <v>248</v>
      </c>
      <c r="E5" s="40" t="s">
        <v>249</v>
      </c>
      <c r="F5" s="40">
        <v>2012</v>
      </c>
      <c r="G5" s="149" t="s">
        <v>251</v>
      </c>
      <c r="H5" s="149" t="s">
        <v>252</v>
      </c>
      <c r="I5" s="149" t="s">
        <v>185</v>
      </c>
      <c r="J5" s="41" t="s">
        <v>254</v>
      </c>
    </row>
    <row r="6" spans="1:11" ht="21" customHeight="1" x14ac:dyDescent="0.2">
      <c r="A6" s="86" t="s">
        <v>39</v>
      </c>
      <c r="B6" s="87"/>
      <c r="C6" s="170"/>
      <c r="D6" s="89"/>
      <c r="E6" s="89"/>
      <c r="F6" s="89"/>
      <c r="G6" s="89"/>
      <c r="H6" s="89"/>
      <c r="I6" s="89"/>
      <c r="J6" s="89"/>
    </row>
    <row r="7" spans="1:11" ht="12.75" x14ac:dyDescent="0.2">
      <c r="A7" s="90"/>
      <c r="B7" s="87"/>
      <c r="C7" s="88" t="s">
        <v>154</v>
      </c>
      <c r="D7" s="379">
        <v>103415</v>
      </c>
      <c r="E7" s="379">
        <v>108638</v>
      </c>
      <c r="F7" s="99">
        <f>'Income Statement'!F7</f>
        <v>192052</v>
      </c>
      <c r="G7" s="379">
        <v>112272</v>
      </c>
      <c r="H7" s="379">
        <v>113534</v>
      </c>
      <c r="I7" s="99"/>
      <c r="J7" s="99"/>
    </row>
    <row r="8" spans="1:11" ht="12.75" x14ac:dyDescent="0.2">
      <c r="A8" s="90"/>
      <c r="B8" s="87"/>
      <c r="C8" s="88"/>
      <c r="D8" s="379"/>
      <c r="E8" s="99"/>
      <c r="F8" s="99"/>
      <c r="G8" s="379"/>
      <c r="H8" s="379"/>
      <c r="I8" s="99"/>
      <c r="J8" s="99"/>
    </row>
    <row r="9" spans="1:11" ht="12.75" x14ac:dyDescent="0.2">
      <c r="A9" s="90"/>
      <c r="B9" s="87"/>
      <c r="C9" s="88" t="s">
        <v>186</v>
      </c>
      <c r="D9" s="379">
        <v>774</v>
      </c>
      <c r="E9" s="379">
        <v>728</v>
      </c>
      <c r="F9" s="99">
        <f>'Income Statement'!F9</f>
        <v>3877</v>
      </c>
      <c r="G9" s="379">
        <v>746</v>
      </c>
      <c r="H9" s="379">
        <v>762</v>
      </c>
      <c r="I9" s="99"/>
      <c r="J9" s="99"/>
    </row>
    <row r="10" spans="1:11" ht="12.75" x14ac:dyDescent="0.2">
      <c r="A10" s="90"/>
      <c r="B10" s="87"/>
      <c r="C10" s="88"/>
      <c r="D10" s="92"/>
      <c r="E10" s="92"/>
      <c r="F10" s="92"/>
      <c r="G10" s="92"/>
      <c r="H10" s="92"/>
      <c r="I10" s="92"/>
      <c r="J10" s="92"/>
    </row>
    <row r="11" spans="1:11" ht="12.75" customHeight="1" x14ac:dyDescent="0.2">
      <c r="A11" s="90"/>
      <c r="B11" s="86" t="s">
        <v>63</v>
      </c>
      <c r="C11" s="170"/>
      <c r="D11" s="102">
        <f>D9+D7</f>
        <v>104189</v>
      </c>
      <c r="E11" s="102">
        <f>E9+E7</f>
        <v>109366</v>
      </c>
      <c r="F11" s="102">
        <f>F9+F7</f>
        <v>195929</v>
      </c>
      <c r="G11" s="102">
        <f>G9+G7</f>
        <v>113018</v>
      </c>
      <c r="H11" s="102">
        <f>H9+H7</f>
        <v>114296</v>
      </c>
      <c r="I11" s="102">
        <f>F11+G11+H11-E11-D11</f>
        <v>209688</v>
      </c>
      <c r="J11" s="102">
        <f>'Income Statement'!G11</f>
        <v>211446.57680000001</v>
      </c>
    </row>
    <row r="12" spans="1:11" ht="12.75" customHeight="1" x14ac:dyDescent="0.2">
      <c r="A12" s="90"/>
      <c r="B12" s="90"/>
      <c r="C12" s="93" t="s">
        <v>40</v>
      </c>
      <c r="D12" s="97"/>
      <c r="E12" s="97"/>
      <c r="F12" s="97"/>
      <c r="G12" s="97"/>
      <c r="H12" s="97"/>
      <c r="I12" s="97"/>
      <c r="J12" s="97"/>
    </row>
    <row r="13" spans="1:11" ht="9" customHeight="1" x14ac:dyDescent="0.2">
      <c r="A13" s="86"/>
      <c r="B13" s="90"/>
      <c r="C13" s="93"/>
      <c r="D13" s="97"/>
      <c r="E13" s="97"/>
      <c r="F13" s="97"/>
      <c r="G13" s="97"/>
      <c r="H13" s="97"/>
      <c r="I13" s="97"/>
      <c r="J13" s="97"/>
    </row>
    <row r="14" spans="1:11" ht="12.75" customHeight="1" collapsed="1" x14ac:dyDescent="0.2">
      <c r="A14" s="86" t="s">
        <v>41</v>
      </c>
      <c r="B14" s="86"/>
      <c r="C14" s="88"/>
      <c r="D14" s="379">
        <v>78177</v>
      </c>
      <c r="E14" s="379">
        <v>81770</v>
      </c>
      <c r="F14" s="379">
        <f>'Income Statement'!F14</f>
        <v>170684</v>
      </c>
      <c r="G14" s="379">
        <v>85186</v>
      </c>
      <c r="H14" s="379">
        <v>85657</v>
      </c>
      <c r="I14" s="99">
        <f>F14+G14+H14-E14-D14</f>
        <v>181580</v>
      </c>
      <c r="J14" s="99">
        <f>'Income Statement'!G14</f>
        <v>183958.52181599999</v>
      </c>
    </row>
    <row r="15" spans="1:11" ht="15" customHeight="1" x14ac:dyDescent="0.2">
      <c r="A15" s="90"/>
      <c r="B15" s="103" t="s">
        <v>42</v>
      </c>
      <c r="C15" s="93"/>
      <c r="D15" s="190">
        <f t="shared" ref="D15:J15" si="0">D14/D11</f>
        <v>0.75033832746259199</v>
      </c>
      <c r="E15" s="190">
        <f t="shared" si="0"/>
        <v>0.74767295137428447</v>
      </c>
      <c r="F15" s="190">
        <f t="shared" si="0"/>
        <v>0.87115230517177145</v>
      </c>
      <c r="G15" s="190">
        <f t="shared" si="0"/>
        <v>0.75373834256490113</v>
      </c>
      <c r="H15" s="190">
        <f t="shared" si="0"/>
        <v>0.74943130118289358</v>
      </c>
      <c r="I15" s="190">
        <f t="shared" si="0"/>
        <v>0.86595322574491629</v>
      </c>
      <c r="J15" s="190">
        <f t="shared" si="0"/>
        <v>0.86999999999999988</v>
      </c>
    </row>
    <row r="16" spans="1:11" ht="21" customHeight="1" x14ac:dyDescent="0.2">
      <c r="A16" s="86" t="s">
        <v>62</v>
      </c>
      <c r="B16" s="86"/>
      <c r="C16" s="170"/>
      <c r="D16" s="102">
        <f t="shared" ref="D16:J16" si="1">D11-D14</f>
        <v>26012</v>
      </c>
      <c r="E16" s="102">
        <f t="shared" si="1"/>
        <v>27596</v>
      </c>
      <c r="F16" s="102">
        <f t="shared" si="1"/>
        <v>25245</v>
      </c>
      <c r="G16" s="102">
        <f t="shared" si="1"/>
        <v>27832</v>
      </c>
      <c r="H16" s="102">
        <f t="shared" si="1"/>
        <v>28639</v>
      </c>
      <c r="I16" s="102">
        <f t="shared" si="1"/>
        <v>28108</v>
      </c>
      <c r="J16" s="102">
        <f t="shared" si="1"/>
        <v>27488.054984000017</v>
      </c>
    </row>
    <row r="17" spans="1:10" ht="12.75" customHeight="1" x14ac:dyDescent="0.2">
      <c r="A17" s="90"/>
      <c r="B17" s="103" t="s">
        <v>43</v>
      </c>
      <c r="C17" s="93"/>
      <c r="D17" s="97">
        <f t="shared" ref="D17:J17" si="2">D16/D11</f>
        <v>0.24966167253740798</v>
      </c>
      <c r="E17" s="97">
        <f t="shared" si="2"/>
        <v>0.25232704862571548</v>
      </c>
      <c r="F17" s="97">
        <f t="shared" si="2"/>
        <v>0.12884769482822858</v>
      </c>
      <c r="G17" s="97">
        <f t="shared" si="2"/>
        <v>0.24626165743509884</v>
      </c>
      <c r="H17" s="97">
        <f t="shared" si="2"/>
        <v>0.25056869881710647</v>
      </c>
      <c r="I17" s="97">
        <f t="shared" si="2"/>
        <v>0.13404677425508374</v>
      </c>
      <c r="J17" s="97">
        <f t="shared" si="2"/>
        <v>0.13000000000000006</v>
      </c>
    </row>
    <row r="18" spans="1:10" ht="21" customHeight="1" x14ac:dyDescent="0.2">
      <c r="A18" s="86" t="s">
        <v>49</v>
      </c>
      <c r="B18" s="90"/>
      <c r="C18" s="90"/>
      <c r="D18" s="104"/>
      <c r="E18" s="104"/>
      <c r="F18" s="104"/>
      <c r="G18" s="104"/>
      <c r="H18" s="104"/>
      <c r="I18" s="104"/>
      <c r="J18" s="104"/>
    </row>
    <row r="19" spans="1:10" ht="12.75" customHeight="1" x14ac:dyDescent="0.2">
      <c r="A19" s="90"/>
      <c r="B19" s="90" t="s">
        <v>44</v>
      </c>
      <c r="C19" s="90"/>
      <c r="D19" s="379">
        <f>20116-D24</f>
        <v>18131</v>
      </c>
      <c r="E19" s="379">
        <f>21213-E24</f>
        <v>17186</v>
      </c>
      <c r="F19" s="99">
        <f>'Income Statement'!F19</f>
        <v>16680</v>
      </c>
      <c r="G19" s="379">
        <f>21445-G24</f>
        <v>19339</v>
      </c>
      <c r="H19" s="379">
        <f>21941-H24</f>
        <v>17708</v>
      </c>
      <c r="I19" s="99">
        <f>F19+G19+H19-E19-D19</f>
        <v>18410</v>
      </c>
      <c r="J19" s="99">
        <f>'Income Statement'!G19</f>
        <v>18001.056</v>
      </c>
    </row>
    <row r="20" spans="1:10" ht="12.75" customHeight="1" x14ac:dyDescent="0.2">
      <c r="A20" s="90"/>
      <c r="B20" s="90"/>
      <c r="C20" s="93" t="s">
        <v>100</v>
      </c>
      <c r="D20" s="97">
        <f t="shared" ref="D20:J20" si="3">D19/D11</f>
        <v>0.17402029004981331</v>
      </c>
      <c r="E20" s="97">
        <f t="shared" si="3"/>
        <v>0.15714207340489733</v>
      </c>
      <c r="F20" s="97">
        <f t="shared" si="3"/>
        <v>8.5132879767670935E-2</v>
      </c>
      <c r="G20" s="97">
        <f t="shared" si="3"/>
        <v>0.17111433576952345</v>
      </c>
      <c r="H20" s="97">
        <f t="shared" si="3"/>
        <v>0.15493105620494155</v>
      </c>
      <c r="I20" s="97">
        <f t="shared" si="3"/>
        <v>8.7797108084392048E-2</v>
      </c>
      <c r="J20" s="97">
        <f t="shared" si="3"/>
        <v>8.5132879767670935E-2</v>
      </c>
    </row>
    <row r="21" spans="1:10" ht="12.75" customHeight="1" x14ac:dyDescent="0.2">
      <c r="A21" s="90"/>
      <c r="B21" s="86" t="s">
        <v>50</v>
      </c>
      <c r="C21" s="90"/>
      <c r="D21" s="193">
        <f t="shared" ref="D21:J21" si="4">D19</f>
        <v>18131</v>
      </c>
      <c r="E21" s="193">
        <f t="shared" si="4"/>
        <v>17186</v>
      </c>
      <c r="F21" s="193">
        <f t="shared" si="4"/>
        <v>16680</v>
      </c>
      <c r="G21" s="193">
        <f t="shared" si="4"/>
        <v>19339</v>
      </c>
      <c r="H21" s="193">
        <f t="shared" si="4"/>
        <v>17708</v>
      </c>
      <c r="I21" s="193">
        <f t="shared" si="4"/>
        <v>18410</v>
      </c>
      <c r="J21" s="193">
        <f t="shared" si="4"/>
        <v>18001.056</v>
      </c>
    </row>
    <row r="22" spans="1:10" ht="21" customHeight="1" collapsed="1" x14ac:dyDescent="0.2">
      <c r="A22" s="86" t="s">
        <v>2</v>
      </c>
      <c r="B22" s="86"/>
      <c r="C22" s="170"/>
      <c r="D22" s="102">
        <f t="shared" ref="D22:J22" si="5">D16-D21</f>
        <v>7881</v>
      </c>
      <c r="E22" s="102">
        <f t="shared" si="5"/>
        <v>10410</v>
      </c>
      <c r="F22" s="102">
        <f t="shared" si="5"/>
        <v>8565</v>
      </c>
      <c r="G22" s="102">
        <f t="shared" si="5"/>
        <v>8493</v>
      </c>
      <c r="H22" s="102">
        <f t="shared" si="5"/>
        <v>10931</v>
      </c>
      <c r="I22" s="102">
        <f t="shared" si="5"/>
        <v>9698</v>
      </c>
      <c r="J22" s="102">
        <f t="shared" si="5"/>
        <v>9486.9989840000162</v>
      </c>
    </row>
    <row r="23" spans="1:10" ht="12.75" customHeight="1" x14ac:dyDescent="0.2">
      <c r="A23" s="90"/>
      <c r="B23" s="103" t="s">
        <v>45</v>
      </c>
      <c r="C23" s="93"/>
      <c r="D23" s="97">
        <f t="shared" ref="D23:J23" si="6">D22/D11</f>
        <v>7.5641382487594666E-2</v>
      </c>
      <c r="E23" s="97">
        <f t="shared" si="6"/>
        <v>9.5184975220818174E-2</v>
      </c>
      <c r="F23" s="97">
        <f t="shared" si="6"/>
        <v>4.3714815060557653E-2</v>
      </c>
      <c r="G23" s="97">
        <f t="shared" si="6"/>
        <v>7.514732166557539E-2</v>
      </c>
      <c r="H23" s="97">
        <f t="shared" si="6"/>
        <v>9.5637642612164911E-2</v>
      </c>
      <c r="I23" s="97">
        <f t="shared" si="6"/>
        <v>4.6249666170691692E-2</v>
      </c>
      <c r="J23" s="97">
        <f t="shared" si="6"/>
        <v>4.4867120232329132E-2</v>
      </c>
    </row>
    <row r="24" spans="1:10" ht="21" customHeight="1" x14ac:dyDescent="0.2">
      <c r="A24" s="90" t="s">
        <v>46</v>
      </c>
      <c r="B24" s="90"/>
      <c r="C24" s="90"/>
      <c r="D24" s="379">
        <v>1985</v>
      </c>
      <c r="E24" s="379">
        <v>4027</v>
      </c>
      <c r="F24" s="99">
        <f>'Income Statement'!F25</f>
        <v>1781</v>
      </c>
      <c r="G24" s="379">
        <v>2106</v>
      </c>
      <c r="H24" s="379">
        <v>4233</v>
      </c>
      <c r="I24" s="99">
        <f>F24+G24+H24-E24-D24</f>
        <v>2108</v>
      </c>
      <c r="J24" s="99">
        <f>'Income Statement'!G25</f>
        <v>0</v>
      </c>
    </row>
    <row r="25" spans="1:10" ht="12.75" x14ac:dyDescent="0.2">
      <c r="A25" s="90"/>
      <c r="B25" s="103" t="s">
        <v>182</v>
      </c>
      <c r="C25" s="90"/>
      <c r="D25" s="189">
        <f t="shared" ref="D25:J25" si="7">D24/D11</f>
        <v>1.9051915269366247E-2</v>
      </c>
      <c r="E25" s="189">
        <f t="shared" si="7"/>
        <v>3.6821315582539364E-2</v>
      </c>
      <c r="F25" s="189">
        <f t="shared" si="7"/>
        <v>9.0900275099653448E-3</v>
      </c>
      <c r="G25" s="189">
        <f t="shared" si="7"/>
        <v>1.8634199861968889E-2</v>
      </c>
      <c r="H25" s="189">
        <f t="shared" si="7"/>
        <v>3.7035416812486878E-2</v>
      </c>
      <c r="I25" s="189">
        <f t="shared" si="7"/>
        <v>1.0053031170119416E-2</v>
      </c>
      <c r="J25" s="189">
        <f t="shared" si="7"/>
        <v>0</v>
      </c>
    </row>
    <row r="26" spans="1:10" ht="21" customHeight="1" collapsed="1" x14ac:dyDescent="0.2">
      <c r="A26" s="86" t="s">
        <v>1</v>
      </c>
      <c r="B26" s="86"/>
      <c r="C26" s="170"/>
      <c r="D26" s="102">
        <f t="shared" ref="D26:J26" si="8">D22-D24</f>
        <v>5896</v>
      </c>
      <c r="E26" s="102">
        <f t="shared" si="8"/>
        <v>6383</v>
      </c>
      <c r="F26" s="102">
        <f t="shared" si="8"/>
        <v>6784</v>
      </c>
      <c r="G26" s="102">
        <f t="shared" si="8"/>
        <v>6387</v>
      </c>
      <c r="H26" s="102">
        <f t="shared" si="8"/>
        <v>6698</v>
      </c>
      <c r="I26" s="102">
        <f t="shared" si="8"/>
        <v>7590</v>
      </c>
      <c r="J26" s="102">
        <f t="shared" si="8"/>
        <v>9486.9989840000162</v>
      </c>
    </row>
    <row r="27" spans="1:10" ht="12.75" customHeight="1" x14ac:dyDescent="0.2">
      <c r="A27" s="90"/>
      <c r="B27" s="103" t="s">
        <v>47</v>
      </c>
      <c r="C27" s="103"/>
      <c r="D27" s="190">
        <f t="shared" ref="D27:J27" si="9">D26/D11</f>
        <v>5.6589467218228412E-2</v>
      </c>
      <c r="E27" s="190">
        <f t="shared" si="9"/>
        <v>5.836365963827881E-2</v>
      </c>
      <c r="F27" s="190">
        <f t="shared" si="9"/>
        <v>3.4624787550592305E-2</v>
      </c>
      <c r="G27" s="190">
        <f t="shared" si="9"/>
        <v>5.6513121803606507E-2</v>
      </c>
      <c r="H27" s="190">
        <f t="shared" si="9"/>
        <v>5.8602225799678026E-2</v>
      </c>
      <c r="I27" s="190">
        <f t="shared" si="9"/>
        <v>3.6196635000572276E-2</v>
      </c>
      <c r="J27" s="190">
        <f t="shared" si="9"/>
        <v>4.4867120232329132E-2</v>
      </c>
    </row>
    <row r="28" spans="1:10" ht="21" customHeight="1" x14ac:dyDescent="0.2">
      <c r="A28" s="86" t="s">
        <v>51</v>
      </c>
      <c r="B28" s="90"/>
      <c r="C28" s="88"/>
      <c r="D28" s="99"/>
      <c r="E28" s="99"/>
      <c r="F28" s="99"/>
      <c r="G28" s="99"/>
      <c r="H28" s="99"/>
      <c r="I28" s="99"/>
      <c r="J28" s="99"/>
    </row>
    <row r="29" spans="1:10" ht="12.75" customHeight="1" x14ac:dyDescent="0.2">
      <c r="A29" s="90"/>
      <c r="B29" s="90" t="s">
        <v>13</v>
      </c>
      <c r="C29" s="90"/>
      <c r="D29" s="380">
        <v>0</v>
      </c>
      <c r="E29" s="380">
        <v>0</v>
      </c>
      <c r="F29" s="380">
        <v>0</v>
      </c>
      <c r="G29" s="380">
        <v>0</v>
      </c>
      <c r="H29" s="380">
        <v>0</v>
      </c>
      <c r="I29" s="92">
        <f>F29+G29+H29-E29-D29</f>
        <v>0</v>
      </c>
      <c r="J29" s="92">
        <v>0</v>
      </c>
    </row>
    <row r="30" spans="1:10" ht="12.75" customHeight="1" x14ac:dyDescent="0.2">
      <c r="A30" s="90"/>
      <c r="B30" s="90" t="s">
        <v>188</v>
      </c>
      <c r="C30" s="90"/>
      <c r="D30" s="381">
        <v>0</v>
      </c>
      <c r="E30" s="381">
        <v>0</v>
      </c>
      <c r="F30" s="381">
        <v>0</v>
      </c>
      <c r="G30" s="382">
        <v>0</v>
      </c>
      <c r="H30" s="382">
        <v>0</v>
      </c>
      <c r="I30" s="183">
        <f>F30+G30+H30-E30-D30</f>
        <v>0</v>
      </c>
      <c r="J30" s="183">
        <v>0</v>
      </c>
    </row>
    <row r="31" spans="1:10" ht="12.75" customHeight="1" x14ac:dyDescent="0.2">
      <c r="A31" s="90"/>
      <c r="B31" s="86" t="s">
        <v>257</v>
      </c>
      <c r="C31" s="90"/>
      <c r="D31" s="89">
        <f t="shared" ref="D31:J31" si="10">SUM(D29:D30)</f>
        <v>0</v>
      </c>
      <c r="E31" s="89">
        <f t="shared" si="10"/>
        <v>0</v>
      </c>
      <c r="F31" s="89">
        <f t="shared" si="10"/>
        <v>0</v>
      </c>
      <c r="G31" s="89">
        <f t="shared" si="10"/>
        <v>0</v>
      </c>
      <c r="H31" s="89">
        <f t="shared" si="10"/>
        <v>0</v>
      </c>
      <c r="I31" s="89">
        <f t="shared" si="10"/>
        <v>0</v>
      </c>
      <c r="J31" s="89">
        <f t="shared" si="10"/>
        <v>0</v>
      </c>
    </row>
    <row r="32" spans="1:10" ht="21" customHeight="1" x14ac:dyDescent="0.2">
      <c r="A32" s="86" t="s">
        <v>87</v>
      </c>
      <c r="B32" s="90"/>
      <c r="C32" s="103"/>
      <c r="D32" s="97"/>
      <c r="E32" s="97"/>
      <c r="F32" s="97"/>
      <c r="G32" s="97"/>
      <c r="H32" s="97"/>
      <c r="I32" s="97"/>
      <c r="J32" s="97"/>
    </row>
    <row r="33" spans="1:11" ht="12.75" customHeight="1" x14ac:dyDescent="0.2">
      <c r="A33" s="90"/>
      <c r="B33" s="90" t="s">
        <v>161</v>
      </c>
      <c r="C33" s="90"/>
      <c r="D33" s="99"/>
      <c r="E33" s="99"/>
      <c r="F33" s="99"/>
      <c r="G33" s="99"/>
      <c r="H33" s="99"/>
      <c r="I33" s="99"/>
      <c r="J33" s="99"/>
    </row>
    <row r="34" spans="1:11" ht="12.75" customHeight="1" x14ac:dyDescent="0.2">
      <c r="A34" s="90"/>
      <c r="B34" s="90" t="s">
        <v>48</v>
      </c>
      <c r="C34" s="90"/>
      <c r="D34" s="183"/>
      <c r="E34" s="183"/>
      <c r="F34" s="183"/>
      <c r="G34" s="200"/>
      <c r="H34" s="200"/>
      <c r="I34" s="183"/>
      <c r="J34" s="183"/>
    </row>
    <row r="35" spans="1:11" ht="12.75" customHeight="1" x14ac:dyDescent="0.2">
      <c r="A35" s="90"/>
      <c r="B35" s="86" t="s">
        <v>86</v>
      </c>
      <c r="C35" s="90"/>
      <c r="D35" s="383">
        <v>518</v>
      </c>
      <c r="E35" s="383">
        <v>578</v>
      </c>
      <c r="F35" s="110">
        <f>'Income Statement'!F32</f>
        <v>-28</v>
      </c>
      <c r="G35" s="383">
        <v>535</v>
      </c>
      <c r="H35" s="383">
        <v>505</v>
      </c>
      <c r="I35" s="110">
        <f>F35+G35+H35-E35-D35</f>
        <v>-84</v>
      </c>
      <c r="J35" s="110">
        <f>'Income Statement'!G32</f>
        <v>0</v>
      </c>
    </row>
    <row r="36" spans="1:11" ht="21" customHeight="1" collapsed="1" x14ac:dyDescent="0.2">
      <c r="A36" s="86" t="s">
        <v>259</v>
      </c>
      <c r="B36" s="86"/>
      <c r="C36" s="90"/>
      <c r="D36" s="102">
        <f t="shared" ref="D36:J36" si="11">D26-D31-D35</f>
        <v>5378</v>
      </c>
      <c r="E36" s="102">
        <f t="shared" si="11"/>
        <v>5805</v>
      </c>
      <c r="F36" s="102">
        <f t="shared" si="11"/>
        <v>6812</v>
      </c>
      <c r="G36" s="102">
        <f t="shared" si="11"/>
        <v>5852</v>
      </c>
      <c r="H36" s="102">
        <f t="shared" si="11"/>
        <v>6193</v>
      </c>
      <c r="I36" s="102">
        <f t="shared" si="11"/>
        <v>7674</v>
      </c>
      <c r="J36" s="102">
        <f t="shared" si="11"/>
        <v>9486.9989840000162</v>
      </c>
    </row>
    <row r="37" spans="1:11" ht="12.75" customHeight="1" x14ac:dyDescent="0.2">
      <c r="A37" s="90"/>
      <c r="B37" s="103" t="s">
        <v>54</v>
      </c>
      <c r="C37" s="93"/>
      <c r="D37" s="97">
        <f t="shared" ref="D37:J37" si="12">D36/D11</f>
        <v>5.1617733158010923E-2</v>
      </c>
      <c r="E37" s="97">
        <f t="shared" si="12"/>
        <v>5.3078653329188229E-2</v>
      </c>
      <c r="F37" s="97">
        <f t="shared" si="12"/>
        <v>3.4767696461473291E-2</v>
      </c>
      <c r="G37" s="97">
        <f t="shared" si="12"/>
        <v>5.1779362579412132E-2</v>
      </c>
      <c r="H37" s="97">
        <f t="shared" si="12"/>
        <v>5.4183873451389378E-2</v>
      </c>
      <c r="I37" s="97">
        <f t="shared" si="12"/>
        <v>3.6597230170539084E-2</v>
      </c>
      <c r="J37" s="97">
        <f t="shared" si="12"/>
        <v>4.4867120232329132E-2</v>
      </c>
    </row>
    <row r="38" spans="1:11" ht="21" customHeight="1" x14ac:dyDescent="0.2">
      <c r="A38" s="90" t="s">
        <v>55</v>
      </c>
      <c r="B38" s="90"/>
      <c r="C38" s="90"/>
      <c r="D38" s="379">
        <v>1800</v>
      </c>
      <c r="E38" s="379">
        <v>1868</v>
      </c>
      <c r="F38" s="99">
        <f>'Income Statement'!F35</f>
        <v>1601</v>
      </c>
      <c r="G38" s="379">
        <v>1958</v>
      </c>
      <c r="H38" s="379">
        <v>2032</v>
      </c>
      <c r="I38" s="99">
        <f>F38+G38+H38-E38-D38</f>
        <v>1923</v>
      </c>
      <c r="J38" s="99">
        <f>'Income Statement'!G35</f>
        <v>2168.2782563700098</v>
      </c>
    </row>
    <row r="39" spans="1:11" ht="12.75" customHeight="1" x14ac:dyDescent="0.2">
      <c r="A39" s="90"/>
      <c r="B39" s="103" t="s">
        <v>258</v>
      </c>
      <c r="C39" s="93"/>
      <c r="D39" s="189">
        <f t="shared" ref="D39:I39" si="13">D38/D36</f>
        <v>0.33469691335068796</v>
      </c>
      <c r="E39" s="189">
        <f t="shared" si="13"/>
        <v>0.32179155900086132</v>
      </c>
      <c r="F39" s="189">
        <f t="shared" si="13"/>
        <v>0.23502642395772166</v>
      </c>
      <c r="G39" s="189">
        <f t="shared" si="13"/>
        <v>0.33458646616541354</v>
      </c>
      <c r="H39" s="189">
        <f t="shared" si="13"/>
        <v>0.32811238495075085</v>
      </c>
      <c r="I39" s="189">
        <f t="shared" si="13"/>
        <v>0.25058639562157936</v>
      </c>
      <c r="J39" s="189">
        <f>841/2383</f>
        <v>0.35291649181703733</v>
      </c>
    </row>
    <row r="40" spans="1:11" ht="21" customHeight="1" x14ac:dyDescent="0.2">
      <c r="A40" s="86" t="s">
        <v>264</v>
      </c>
      <c r="B40" s="86"/>
      <c r="C40" s="90"/>
      <c r="D40" s="102">
        <f t="shared" ref="D40:J40" si="14">D36-D38</f>
        <v>3578</v>
      </c>
      <c r="E40" s="102">
        <f t="shared" si="14"/>
        <v>3937</v>
      </c>
      <c r="F40" s="102">
        <f t="shared" si="14"/>
        <v>5211</v>
      </c>
      <c r="G40" s="102">
        <f t="shared" si="14"/>
        <v>3894</v>
      </c>
      <c r="H40" s="102">
        <f t="shared" si="14"/>
        <v>4161</v>
      </c>
      <c r="I40" s="102">
        <f t="shared" si="14"/>
        <v>5751</v>
      </c>
      <c r="J40" s="102">
        <f t="shared" si="14"/>
        <v>7318.7207276300069</v>
      </c>
    </row>
    <row r="41" spans="1:11" ht="12.75" customHeight="1" x14ac:dyDescent="0.2">
      <c r="A41" s="90"/>
      <c r="B41" s="90" t="s">
        <v>262</v>
      </c>
      <c r="C41" s="90"/>
      <c r="D41" s="379">
        <v>151</v>
      </c>
      <c r="E41" s="379">
        <v>136</v>
      </c>
      <c r="F41" s="99">
        <f>-'Income Statement'!F44</f>
        <v>72</v>
      </c>
      <c r="G41" s="379">
        <v>152</v>
      </c>
      <c r="H41" s="379">
        <v>145</v>
      </c>
      <c r="I41" s="99">
        <f>F41+G41+H41-E41-D41</f>
        <v>82</v>
      </c>
      <c r="J41" s="99">
        <f>-'Income Statement'!G44</f>
        <v>97.511576801149729</v>
      </c>
      <c r="K41" s="653"/>
    </row>
    <row r="42" spans="1:11" ht="12.75" customHeight="1" x14ac:dyDescent="0.2">
      <c r="A42" s="90"/>
      <c r="B42" s="90"/>
      <c r="C42" s="103" t="s">
        <v>263</v>
      </c>
      <c r="D42" s="189">
        <f t="shared" ref="D42:J42" si="15">D41/D40</f>
        <v>4.2202347680268308E-2</v>
      </c>
      <c r="E42" s="189">
        <f t="shared" si="15"/>
        <v>3.4544069088138174E-2</v>
      </c>
      <c r="F42" s="189">
        <f t="shared" si="15"/>
        <v>1.3816925734024179E-2</v>
      </c>
      <c r="G42" s="189">
        <f t="shared" si="15"/>
        <v>3.9034411915767848E-2</v>
      </c>
      <c r="H42" s="189">
        <f t="shared" si="15"/>
        <v>3.484739245373708E-2</v>
      </c>
      <c r="I42" s="189">
        <f t="shared" si="15"/>
        <v>1.4258389845244305E-2</v>
      </c>
      <c r="J42" s="189">
        <f t="shared" si="15"/>
        <v>1.3323582143668779E-2</v>
      </c>
    </row>
    <row r="43" spans="1:11" ht="21" customHeight="1" x14ac:dyDescent="0.2">
      <c r="A43" s="86" t="s">
        <v>260</v>
      </c>
      <c r="B43" s="90"/>
      <c r="C43" s="103"/>
      <c r="D43" s="102">
        <f t="shared" ref="D43:J43" si="16">D40-D41</f>
        <v>3427</v>
      </c>
      <c r="E43" s="102">
        <f t="shared" si="16"/>
        <v>3801</v>
      </c>
      <c r="F43" s="102">
        <f t="shared" si="16"/>
        <v>5139</v>
      </c>
      <c r="G43" s="102">
        <f t="shared" si="16"/>
        <v>3742</v>
      </c>
      <c r="H43" s="102">
        <f t="shared" si="16"/>
        <v>4016</v>
      </c>
      <c r="I43" s="102">
        <f t="shared" si="16"/>
        <v>5669</v>
      </c>
      <c r="J43" s="102">
        <f t="shared" si="16"/>
        <v>7221.2091508288568</v>
      </c>
    </row>
    <row r="44" spans="1:11" ht="21.75" customHeight="1" x14ac:dyDescent="0.2">
      <c r="A44" s="86" t="s">
        <v>56</v>
      </c>
      <c r="B44" s="90"/>
      <c r="C44" s="90"/>
      <c r="D44" s="104"/>
      <c r="E44" s="104"/>
      <c r="F44" s="104"/>
      <c r="G44" s="104"/>
      <c r="H44" s="104"/>
      <c r="I44" s="104"/>
      <c r="J44" s="104"/>
    </row>
    <row r="45" spans="1:11" ht="12.75" customHeight="1" x14ac:dyDescent="0.2">
      <c r="A45" s="90"/>
      <c r="B45" s="90" t="s">
        <v>295</v>
      </c>
      <c r="C45" s="90"/>
      <c r="D45" s="379">
        <v>28</v>
      </c>
      <c r="E45" s="379">
        <v>0</v>
      </c>
      <c r="F45" s="379">
        <v>0</v>
      </c>
      <c r="G45" s="379">
        <v>0</v>
      </c>
      <c r="H45" s="379">
        <v>0</v>
      </c>
      <c r="I45" s="379">
        <f>F45+G45+H45-E45-D45</f>
        <v>-28</v>
      </c>
      <c r="J45" s="379">
        <v>0</v>
      </c>
    </row>
    <row r="46" spans="1:11" ht="12.75" customHeight="1" x14ac:dyDescent="0.2">
      <c r="A46" s="90"/>
      <c r="B46" s="90" t="s">
        <v>58</v>
      </c>
      <c r="C46" s="90"/>
      <c r="D46" s="384">
        <v>0</v>
      </c>
      <c r="E46" s="384">
        <v>0</v>
      </c>
      <c r="F46" s="384">
        <v>0</v>
      </c>
      <c r="G46" s="385">
        <v>0</v>
      </c>
      <c r="H46" s="385">
        <v>0</v>
      </c>
      <c r="I46" s="384">
        <f>F46+G46+H46-E46-D46</f>
        <v>0</v>
      </c>
      <c r="J46" s="384">
        <v>0</v>
      </c>
    </row>
    <row r="47" spans="1:11" ht="12.75" customHeight="1" x14ac:dyDescent="0.2">
      <c r="A47" s="90"/>
      <c r="B47" s="86" t="s">
        <v>88</v>
      </c>
      <c r="C47" s="90"/>
      <c r="D47" s="111">
        <f t="shared" ref="D47:J47" si="17">SUM(D45:D46)</f>
        <v>28</v>
      </c>
      <c r="E47" s="111">
        <f t="shared" si="17"/>
        <v>0</v>
      </c>
      <c r="F47" s="111">
        <f t="shared" si="17"/>
        <v>0</v>
      </c>
      <c r="G47" s="111">
        <f t="shared" si="17"/>
        <v>0</v>
      </c>
      <c r="H47" s="111">
        <f t="shared" si="17"/>
        <v>0</v>
      </c>
      <c r="I47" s="111">
        <f t="shared" si="17"/>
        <v>-28</v>
      </c>
      <c r="J47" s="111">
        <f t="shared" si="17"/>
        <v>0</v>
      </c>
    </row>
    <row r="48" spans="1:11" ht="21" customHeight="1" x14ac:dyDescent="0.2">
      <c r="A48" s="86" t="s">
        <v>261</v>
      </c>
      <c r="B48" s="86"/>
      <c r="C48" s="170"/>
      <c r="D48" s="102">
        <f t="shared" ref="D48:J48" si="18">D43-D47</f>
        <v>3399</v>
      </c>
      <c r="E48" s="102">
        <f t="shared" si="18"/>
        <v>3801</v>
      </c>
      <c r="F48" s="102">
        <f t="shared" si="18"/>
        <v>5139</v>
      </c>
      <c r="G48" s="102">
        <f t="shared" si="18"/>
        <v>3742</v>
      </c>
      <c r="H48" s="102">
        <f t="shared" si="18"/>
        <v>4016</v>
      </c>
      <c r="I48" s="102">
        <f t="shared" si="18"/>
        <v>5697</v>
      </c>
      <c r="J48" s="102">
        <f t="shared" si="18"/>
        <v>7221.2091508288568</v>
      </c>
    </row>
    <row r="49" spans="1:45" ht="21" customHeight="1" x14ac:dyDescent="0.2">
      <c r="A49" s="86" t="s">
        <v>265</v>
      </c>
      <c r="B49" s="90"/>
      <c r="C49" s="90"/>
      <c r="D49" s="113"/>
      <c r="E49" s="113"/>
      <c r="F49" s="113"/>
      <c r="G49" s="113"/>
      <c r="H49" s="113"/>
      <c r="I49" s="113"/>
      <c r="J49" s="113"/>
    </row>
    <row r="50" spans="1:45" ht="12.75" customHeight="1" x14ac:dyDescent="0.2">
      <c r="A50" s="90"/>
      <c r="B50" s="90" t="s">
        <v>4</v>
      </c>
      <c r="C50" s="90"/>
      <c r="D50" s="114">
        <f t="shared" ref="D50:J50" si="19">D48/D56</f>
        <v>0.97197597941092362</v>
      </c>
      <c r="E50" s="114">
        <f t="shared" si="19"/>
        <v>1.094758064516129</v>
      </c>
      <c r="F50" s="114">
        <f t="shared" si="19"/>
        <v>1.1670956399857286E-2</v>
      </c>
      <c r="G50" s="114">
        <f t="shared" si="19"/>
        <v>1.0976826048694632</v>
      </c>
      <c r="H50" s="114">
        <f t="shared" si="19"/>
        <v>1.1867612293144207</v>
      </c>
      <c r="I50" s="114">
        <f t="shared" si="19"/>
        <v>1.6835106382978724</v>
      </c>
      <c r="J50" s="114">
        <f t="shared" si="19"/>
        <v>1.6399769829455933E-2</v>
      </c>
    </row>
    <row r="51" spans="1:45" ht="12.75" customHeight="1" x14ac:dyDescent="0.2">
      <c r="A51" s="90"/>
      <c r="B51" s="90" t="s">
        <v>5</v>
      </c>
      <c r="C51" s="90"/>
      <c r="D51" s="114">
        <f t="shared" ref="D51:J51" si="20">D48/D57</f>
        <v>0.96754910333048672</v>
      </c>
      <c r="E51" s="114">
        <f t="shared" si="20"/>
        <v>1.0906743185078909</v>
      </c>
      <c r="F51" s="114">
        <f t="shared" si="20"/>
        <v>1.1565311716545216E-2</v>
      </c>
      <c r="G51" s="114">
        <f t="shared" si="20"/>
        <v>1.0925547445255475</v>
      </c>
      <c r="H51" s="114">
        <f t="shared" si="20"/>
        <v>1.1818716892289582</v>
      </c>
      <c r="I51" s="114">
        <f t="shared" si="20"/>
        <v>1.6765744555620954</v>
      </c>
      <c r="J51" s="114">
        <f t="shared" si="20"/>
        <v>1.6391175348920553E-2</v>
      </c>
    </row>
    <row r="52" spans="1:45" ht="21" customHeight="1" x14ac:dyDescent="0.2">
      <c r="A52" s="86" t="s">
        <v>266</v>
      </c>
      <c r="B52" s="90"/>
      <c r="C52" s="90"/>
      <c r="D52" s="113"/>
      <c r="E52" s="113"/>
      <c r="F52" s="113"/>
      <c r="G52" s="113"/>
      <c r="H52" s="113"/>
      <c r="I52" s="113"/>
      <c r="J52" s="113"/>
    </row>
    <row r="53" spans="1:45" ht="12.75" customHeight="1" x14ac:dyDescent="0.2">
      <c r="A53" s="90"/>
      <c r="B53" s="90" t="s">
        <v>4</v>
      </c>
      <c r="C53" s="90"/>
      <c r="D53" s="114">
        <f t="shared" ref="D53:J53" si="21">D43/D56</f>
        <v>0.97998284243637401</v>
      </c>
      <c r="E53" s="114">
        <f t="shared" si="21"/>
        <v>1.094758064516129</v>
      </c>
      <c r="F53" s="114">
        <f t="shared" si="21"/>
        <v>1.1670956399857286E-2</v>
      </c>
      <c r="G53" s="114">
        <f t="shared" si="21"/>
        <v>1.0976826048694632</v>
      </c>
      <c r="H53" s="114">
        <f t="shared" si="21"/>
        <v>1.1867612293144207</v>
      </c>
      <c r="I53" s="114">
        <f t="shared" si="21"/>
        <v>1.6752364066193854</v>
      </c>
      <c r="J53" s="114">
        <f t="shared" si="21"/>
        <v>1.6399769829455933E-2</v>
      </c>
    </row>
    <row r="54" spans="1:45" ht="12.75" customHeight="1" x14ac:dyDescent="0.2">
      <c r="A54" s="90"/>
      <c r="B54" s="90" t="s">
        <v>5</v>
      </c>
      <c r="C54" s="90"/>
      <c r="D54" s="114">
        <f t="shared" ref="D54:J54" si="22">D43/D57</f>
        <v>0.9755194990037005</v>
      </c>
      <c r="E54" s="114">
        <f t="shared" si="22"/>
        <v>1.0906743185078909</v>
      </c>
      <c r="F54" s="114">
        <f t="shared" si="22"/>
        <v>1.1565311716545216E-2</v>
      </c>
      <c r="G54" s="114">
        <f t="shared" si="22"/>
        <v>1.0925547445255475</v>
      </c>
      <c r="H54" s="114">
        <f t="shared" si="22"/>
        <v>1.1818716892289582</v>
      </c>
      <c r="I54" s="114">
        <f t="shared" si="22"/>
        <v>1.6683343143025309</v>
      </c>
      <c r="J54" s="114">
        <f t="shared" si="22"/>
        <v>1.6391175348920553E-2</v>
      </c>
    </row>
    <row r="55" spans="1:45" ht="21" customHeight="1" x14ac:dyDescent="0.2">
      <c r="A55" s="86" t="s">
        <v>61</v>
      </c>
      <c r="B55" s="90"/>
      <c r="C55" s="170"/>
      <c r="D55" s="102"/>
      <c r="E55" s="102"/>
      <c r="F55" s="102"/>
      <c r="G55" s="102"/>
      <c r="H55" s="102"/>
      <c r="I55" s="102"/>
      <c r="J55" s="102"/>
    </row>
    <row r="56" spans="1:45" ht="12.75" customHeight="1" x14ac:dyDescent="0.2">
      <c r="A56" s="90"/>
      <c r="B56" s="90" t="s">
        <v>4</v>
      </c>
      <c r="C56" s="90"/>
      <c r="D56" s="386">
        <v>3497</v>
      </c>
      <c r="E56" s="386">
        <v>3472</v>
      </c>
      <c r="F56" s="201">
        <f>'Income Statement'!G51</f>
        <v>440323.81099999999</v>
      </c>
      <c r="G56" s="386">
        <v>3409</v>
      </c>
      <c r="H56" s="386">
        <v>3384</v>
      </c>
      <c r="I56" s="201">
        <f>H56</f>
        <v>3384</v>
      </c>
      <c r="J56" s="201">
        <f>'Income Statement'!G51</f>
        <v>440323.81099999999</v>
      </c>
    </row>
    <row r="57" spans="1:45" ht="12.75" customHeight="1" x14ac:dyDescent="0.2">
      <c r="A57" s="116"/>
      <c r="B57" s="116" t="s">
        <v>5</v>
      </c>
      <c r="C57" s="116"/>
      <c r="D57" s="388">
        <v>3513</v>
      </c>
      <c r="E57" s="388">
        <v>3485</v>
      </c>
      <c r="F57" s="203">
        <f>'Income Statement'!F52</f>
        <v>444346</v>
      </c>
      <c r="G57" s="387">
        <v>3425</v>
      </c>
      <c r="H57" s="387">
        <v>3398</v>
      </c>
      <c r="I57" s="202">
        <f>H57</f>
        <v>3398</v>
      </c>
      <c r="J57" s="203">
        <f>'Income Statement'!G52</f>
        <v>440554.6885510204</v>
      </c>
    </row>
    <row r="58" spans="1:45" ht="12.75" customHeight="1" x14ac:dyDescent="0.2"/>
    <row r="59" spans="1:45" ht="20.100000000000001" customHeight="1" x14ac:dyDescent="0.2">
      <c r="A59" s="686" t="s">
        <v>289</v>
      </c>
      <c r="B59" s="687"/>
      <c r="C59" s="687"/>
      <c r="D59" s="688"/>
      <c r="K59" s="4"/>
      <c r="L59" s="4"/>
      <c r="M59" s="4"/>
      <c r="N59" s="4"/>
      <c r="O59" s="2"/>
      <c r="P59" s="2"/>
      <c r="Q59" s="2"/>
      <c r="AN59"/>
      <c r="AO59"/>
      <c r="AP59"/>
      <c r="AQ59"/>
      <c r="AR59"/>
      <c r="AS59"/>
    </row>
    <row r="60" spans="1:45" ht="20.100000000000001" customHeight="1" x14ac:dyDescent="0.2">
      <c r="A60" s="215" t="s">
        <v>171</v>
      </c>
      <c r="B60" s="216"/>
      <c r="C60" s="216"/>
      <c r="D60" s="218">
        <f>'Income Statement'!D62/1000000*'Income Statement'!D55</f>
        <v>108303.398695</v>
      </c>
      <c r="K60" s="4"/>
      <c r="L60" s="4"/>
      <c r="M60" s="4"/>
      <c r="N60" s="4"/>
      <c r="O60" s="2"/>
      <c r="P60" s="2"/>
      <c r="Q60" s="2"/>
      <c r="AN60"/>
      <c r="AO60"/>
      <c r="AP60"/>
      <c r="AQ60"/>
      <c r="AR60"/>
      <c r="AS60"/>
    </row>
    <row r="61" spans="1:45" ht="20.100000000000001" customHeight="1" x14ac:dyDescent="0.2">
      <c r="A61" s="208" t="s">
        <v>34</v>
      </c>
      <c r="B61" s="208"/>
      <c r="C61" s="208"/>
      <c r="D61" s="223">
        <v>6091</v>
      </c>
      <c r="K61" s="4"/>
      <c r="L61" s="4"/>
      <c r="M61" s="4"/>
      <c r="N61" s="4"/>
      <c r="O61" s="2"/>
      <c r="P61" s="2"/>
      <c r="Q61" s="2"/>
      <c r="AN61"/>
      <c r="AO61"/>
      <c r="AP61"/>
      <c r="AQ61"/>
      <c r="AR61"/>
      <c r="AS61"/>
    </row>
    <row r="62" spans="1:45" ht="20.100000000000001" customHeight="1" x14ac:dyDescent="0.2">
      <c r="A62" s="208" t="s">
        <v>279</v>
      </c>
      <c r="B62" s="208"/>
      <c r="C62" s="208"/>
      <c r="D62" s="223">
        <f>4029+41202</f>
        <v>45231</v>
      </c>
      <c r="K62" s="4"/>
      <c r="L62" s="4"/>
      <c r="M62" s="4"/>
      <c r="N62" s="4"/>
      <c r="O62" s="2"/>
      <c r="P62" s="2"/>
      <c r="Q62" s="2"/>
      <c r="AN62"/>
      <c r="AO62"/>
      <c r="AP62"/>
      <c r="AQ62"/>
      <c r="AR62"/>
      <c r="AS62"/>
    </row>
    <row r="63" spans="1:45" ht="20.100000000000001" customHeight="1" x14ac:dyDescent="0.2">
      <c r="A63" s="208" t="s">
        <v>277</v>
      </c>
      <c r="B63" s="208"/>
      <c r="C63" s="208"/>
      <c r="D63" s="223">
        <f>2975+326</f>
        <v>3301</v>
      </c>
      <c r="K63" s="4"/>
      <c r="L63" s="4"/>
      <c r="M63" s="4"/>
      <c r="N63" s="4"/>
      <c r="O63" s="2"/>
      <c r="P63" s="2"/>
      <c r="Q63" s="2"/>
      <c r="AN63"/>
      <c r="AO63"/>
      <c r="AP63"/>
      <c r="AQ63"/>
      <c r="AR63"/>
      <c r="AS63"/>
    </row>
    <row r="64" spans="1:45" ht="20.100000000000001" customHeight="1" x14ac:dyDescent="0.2">
      <c r="A64" s="208" t="s">
        <v>172</v>
      </c>
      <c r="B64" s="208"/>
      <c r="C64" s="208"/>
      <c r="D64" s="223">
        <v>0</v>
      </c>
      <c r="K64" s="4"/>
      <c r="L64" s="4"/>
      <c r="M64" s="4"/>
      <c r="N64" s="4"/>
      <c r="O64" s="2"/>
      <c r="P64" s="2"/>
      <c r="Q64" s="2"/>
      <c r="AN64"/>
      <c r="AO64"/>
      <c r="AP64"/>
      <c r="AQ64"/>
      <c r="AR64"/>
      <c r="AS64"/>
    </row>
    <row r="65" spans="1:45" ht="20.100000000000001" customHeight="1" x14ac:dyDescent="0.2">
      <c r="A65" s="208" t="s">
        <v>278</v>
      </c>
      <c r="B65" s="208"/>
      <c r="C65" s="208"/>
      <c r="D65" s="223">
        <v>0</v>
      </c>
      <c r="K65" s="4"/>
      <c r="L65" s="4"/>
      <c r="M65" s="4"/>
      <c r="N65" s="4"/>
      <c r="O65" s="2"/>
      <c r="P65" s="2"/>
      <c r="Q65" s="2"/>
      <c r="AN65"/>
      <c r="AO65"/>
      <c r="AP65"/>
      <c r="AQ65"/>
      <c r="AR65"/>
      <c r="AS65"/>
    </row>
    <row r="66" spans="1:45" ht="20.100000000000001" customHeight="1" x14ac:dyDescent="0.2">
      <c r="A66" s="208" t="s">
        <v>173</v>
      </c>
      <c r="B66" s="208"/>
      <c r="C66" s="208"/>
      <c r="D66" s="223">
        <f>440+4423</f>
        <v>4863</v>
      </c>
      <c r="K66" s="4"/>
      <c r="L66" s="4"/>
      <c r="M66" s="4"/>
      <c r="N66" s="4"/>
      <c r="O66" s="2"/>
      <c r="P66" s="2"/>
      <c r="Q66" s="2"/>
      <c r="AN66"/>
      <c r="AO66"/>
      <c r="AP66"/>
      <c r="AQ66"/>
      <c r="AR66"/>
      <c r="AS66"/>
    </row>
    <row r="67" spans="1:45" ht="20.100000000000001" customHeight="1" x14ac:dyDescent="0.2">
      <c r="A67" s="208" t="s">
        <v>174</v>
      </c>
      <c r="B67" s="208"/>
      <c r="C67" s="208"/>
      <c r="D67" s="223">
        <v>-7935</v>
      </c>
      <c r="K67" s="4"/>
      <c r="L67" s="4"/>
      <c r="M67" s="4"/>
      <c r="N67" s="4"/>
      <c r="O67" s="2"/>
      <c r="P67" s="2"/>
      <c r="Q67" s="2"/>
      <c r="AN67"/>
      <c r="AO67"/>
      <c r="AP67"/>
      <c r="AQ67"/>
      <c r="AR67"/>
      <c r="AS67"/>
    </row>
    <row r="68" spans="1:45" ht="20.100000000000001" customHeight="1" x14ac:dyDescent="0.2">
      <c r="A68" s="215" t="s">
        <v>175</v>
      </c>
      <c r="B68" s="217"/>
      <c r="C68" s="217"/>
      <c r="D68" s="209">
        <f>SUM(D60:D67)</f>
        <v>159854.39869499998</v>
      </c>
      <c r="K68" s="4"/>
      <c r="L68" s="4"/>
      <c r="M68" s="4"/>
      <c r="N68" s="4"/>
      <c r="O68" s="2"/>
      <c r="P68" s="2"/>
      <c r="Q68" s="2"/>
      <c r="AN68"/>
      <c r="AO68"/>
      <c r="AP68"/>
      <c r="AQ68"/>
      <c r="AR68"/>
      <c r="AS68"/>
    </row>
    <row r="69" spans="1:45" ht="20.100000000000001" customHeight="1" x14ac:dyDescent="0.2">
      <c r="K69" s="4"/>
      <c r="L69" s="4"/>
      <c r="M69" s="4"/>
      <c r="N69" s="4"/>
      <c r="O69" s="2"/>
      <c r="P69" s="2"/>
      <c r="Q69" s="2"/>
      <c r="AN69"/>
      <c r="AO69"/>
      <c r="AP69"/>
      <c r="AQ69"/>
      <c r="AR69"/>
      <c r="AS69"/>
    </row>
  </sheetData>
  <mergeCells count="1">
    <mergeCell ref="A59:D59"/>
  </mergeCell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43" min="1" max="12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66CCFF"/>
  </sheetPr>
  <dimension ref="A1:AV69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outlineLevelCol="1" x14ac:dyDescent="0.2"/>
  <cols>
    <col min="1" max="2" width="2.7109375" style="2" customWidth="1"/>
    <col min="3" max="3" width="37.28515625" style="2" bestFit="1" customWidth="1"/>
    <col min="4" max="4" width="13.42578125" style="4" bestFit="1" customWidth="1" outlineLevel="1"/>
    <col min="5" max="5" width="9.7109375" style="4" customWidth="1" outlineLevel="1"/>
    <col min="6" max="6" width="9.7109375" style="4" customWidth="1"/>
    <col min="7" max="8" width="9.7109375" style="4" customWidth="1" outlineLevel="1"/>
    <col min="9" max="10" width="9.7109375" style="2" customWidth="1"/>
    <col min="11" max="48" width="8.85546875" customWidth="1"/>
    <col min="49" max="16384" width="9.140625" style="2"/>
  </cols>
  <sheetData>
    <row r="1" spans="1:10" ht="60.75" customHeight="1" x14ac:dyDescent="0.2">
      <c r="B1" s="26"/>
      <c r="C1" s="26"/>
      <c r="D1" s="27"/>
      <c r="E1" s="27"/>
      <c r="F1" s="27"/>
      <c r="G1" s="27"/>
      <c r="H1" s="27"/>
      <c r="I1" s="26"/>
      <c r="J1" s="26"/>
    </row>
    <row r="2" spans="1:10" ht="12.75" customHeight="1" x14ac:dyDescent="0.2">
      <c r="A2" s="24" t="s">
        <v>160</v>
      </c>
      <c r="B2" s="33"/>
      <c r="C2" s="24"/>
      <c r="D2" s="25"/>
      <c r="E2" s="25"/>
      <c r="F2" s="25"/>
      <c r="G2" s="25"/>
      <c r="H2" s="25"/>
      <c r="I2" s="24"/>
      <c r="J2" s="24"/>
    </row>
    <row r="3" spans="1:10" ht="12.75" customHeight="1" x14ac:dyDescent="0.2">
      <c r="A3" s="5"/>
      <c r="B3" s="7"/>
      <c r="C3" s="6"/>
      <c r="D3" s="34" t="s">
        <v>32</v>
      </c>
      <c r="E3" s="34"/>
      <c r="F3" s="34"/>
      <c r="G3" s="34"/>
      <c r="H3" s="34"/>
      <c r="I3" s="34"/>
      <c r="J3" s="37" t="s">
        <v>33</v>
      </c>
    </row>
    <row r="4" spans="1:10" ht="12.75" customHeight="1" x14ac:dyDescent="0.2">
      <c r="A4" s="5"/>
      <c r="B4" s="7"/>
      <c r="C4" s="6"/>
      <c r="D4" s="29"/>
      <c r="E4" s="29"/>
      <c r="F4" s="29"/>
      <c r="G4" s="29"/>
      <c r="H4" s="29"/>
      <c r="I4" s="28"/>
      <c r="J4" s="28"/>
    </row>
    <row r="5" spans="1:10" ht="12.75" customHeight="1" x14ac:dyDescent="0.2">
      <c r="A5" s="30"/>
      <c r="B5" s="45"/>
      <c r="C5" s="31"/>
      <c r="D5" s="40" t="s">
        <v>158</v>
      </c>
      <c r="E5" s="40" t="s">
        <v>159</v>
      </c>
      <c r="F5" s="40">
        <v>2012</v>
      </c>
      <c r="G5" s="40" t="s">
        <v>183</v>
      </c>
      <c r="H5" s="40" t="s">
        <v>184</v>
      </c>
      <c r="I5" s="40" t="s">
        <v>185</v>
      </c>
      <c r="J5" s="41" t="s">
        <v>254</v>
      </c>
    </row>
    <row r="6" spans="1:10" ht="21" customHeight="1" x14ac:dyDescent="0.2">
      <c r="A6" s="86" t="s">
        <v>39</v>
      </c>
      <c r="B6" s="87"/>
      <c r="C6" s="170"/>
      <c r="D6" s="89"/>
      <c r="E6" s="89"/>
      <c r="F6" s="89"/>
      <c r="G6" s="89"/>
      <c r="H6" s="89"/>
      <c r="I6" s="89"/>
      <c r="J6" s="89"/>
    </row>
    <row r="7" spans="1:10" ht="12.75" x14ac:dyDescent="0.2">
      <c r="A7" s="90"/>
      <c r="B7" s="87"/>
      <c r="C7" s="88" t="s">
        <v>154</v>
      </c>
      <c r="D7" s="94">
        <v>15580</v>
      </c>
      <c r="E7" s="94">
        <v>15895</v>
      </c>
      <c r="F7" s="94">
        <v>68466</v>
      </c>
      <c r="G7" s="94">
        <v>16537</v>
      </c>
      <c r="H7" s="94">
        <v>16451</v>
      </c>
      <c r="I7" s="92">
        <f>F7+G7+H7-D7-E7</f>
        <v>69979</v>
      </c>
      <c r="J7" s="99">
        <f>F7*(1+J8)</f>
        <v>71889.3</v>
      </c>
    </row>
    <row r="8" spans="1:10" ht="12.75" x14ac:dyDescent="0.2">
      <c r="A8" s="90"/>
      <c r="B8" s="87"/>
      <c r="C8" s="88"/>
      <c r="D8" s="94"/>
      <c r="E8" s="94"/>
      <c r="F8" s="94"/>
      <c r="G8" s="94"/>
      <c r="H8" s="94"/>
      <c r="I8" s="97"/>
      <c r="J8" s="395">
        <v>0.05</v>
      </c>
    </row>
    <row r="9" spans="1:10" ht="12.75" x14ac:dyDescent="0.2">
      <c r="A9" s="90"/>
      <c r="B9" s="87"/>
      <c r="C9" s="88" t="s">
        <v>176</v>
      </c>
      <c r="D9" s="94">
        <v>355</v>
      </c>
      <c r="E9" s="94">
        <v>345</v>
      </c>
      <c r="F9" s="94">
        <v>1399</v>
      </c>
      <c r="G9" s="94">
        <v>330</v>
      </c>
      <c r="H9" s="94">
        <v>328</v>
      </c>
      <c r="I9" s="92">
        <f>F9+G9+H9-D9-E9</f>
        <v>1357</v>
      </c>
      <c r="J9" s="99">
        <f>F9*(1+J10)</f>
        <v>1468.95</v>
      </c>
    </row>
    <row r="10" spans="1:10" ht="12.75" x14ac:dyDescent="0.2">
      <c r="A10" s="90"/>
      <c r="B10" s="87"/>
      <c r="C10" s="88"/>
      <c r="D10" s="94"/>
      <c r="E10" s="94"/>
      <c r="F10" s="94"/>
      <c r="G10" s="94"/>
      <c r="H10" s="94"/>
      <c r="I10" s="97"/>
      <c r="J10" s="395">
        <v>0.05</v>
      </c>
    </row>
    <row r="11" spans="1:10" ht="12.75" customHeight="1" x14ac:dyDescent="0.2">
      <c r="A11" s="90"/>
      <c r="B11" s="86" t="s">
        <v>63</v>
      </c>
      <c r="C11" s="170"/>
      <c r="D11" s="102">
        <f t="shared" ref="D11:I11" si="0">D7+D9</f>
        <v>15935</v>
      </c>
      <c r="E11" s="102">
        <f t="shared" si="0"/>
        <v>16240</v>
      </c>
      <c r="F11" s="102">
        <f t="shared" si="0"/>
        <v>69865</v>
      </c>
      <c r="G11" s="102">
        <f t="shared" si="0"/>
        <v>16867</v>
      </c>
      <c r="H11" s="102">
        <f t="shared" si="0"/>
        <v>16779</v>
      </c>
      <c r="I11" s="102">
        <f t="shared" si="0"/>
        <v>71336</v>
      </c>
      <c r="J11" s="102">
        <f>J9+J7</f>
        <v>73358.25</v>
      </c>
    </row>
    <row r="12" spans="1:10" ht="12.75" customHeight="1" x14ac:dyDescent="0.2">
      <c r="A12" s="90"/>
      <c r="B12" s="90"/>
      <c r="C12" s="93" t="s">
        <v>40</v>
      </c>
      <c r="D12" s="97"/>
      <c r="E12" s="97"/>
      <c r="F12" s="97"/>
      <c r="G12" s="97"/>
      <c r="H12" s="97"/>
      <c r="I12" s="97"/>
      <c r="J12" s="97">
        <f>J11/F11-1</f>
        <v>5.0000000000000044E-2</v>
      </c>
    </row>
    <row r="13" spans="1:10" ht="21" customHeight="1" x14ac:dyDescent="0.2">
      <c r="A13" s="86" t="s">
        <v>41</v>
      </c>
      <c r="B13" s="90"/>
      <c r="C13" s="93"/>
      <c r="D13" s="97"/>
      <c r="E13" s="97"/>
      <c r="F13" s="97"/>
      <c r="G13" s="97"/>
      <c r="H13" s="97"/>
      <c r="I13" s="97"/>
      <c r="J13" s="98"/>
    </row>
    <row r="14" spans="1:10" ht="12.75" x14ac:dyDescent="0.2">
      <c r="A14" s="86"/>
      <c r="B14" s="90"/>
      <c r="C14" s="88" t="s">
        <v>177</v>
      </c>
      <c r="D14" s="94">
        <v>10838</v>
      </c>
      <c r="E14" s="94">
        <v>10872</v>
      </c>
      <c r="F14" s="94">
        <v>47860</v>
      </c>
      <c r="G14" s="94">
        <v>11541</v>
      </c>
      <c r="H14" s="94">
        <v>11297</v>
      </c>
      <c r="I14" s="92">
        <f>F14+G14+H14-D14-E14</f>
        <v>48988</v>
      </c>
      <c r="J14" s="99">
        <f>J15*J7</f>
        <v>50325.283705111535</v>
      </c>
    </row>
    <row r="15" spans="1:10" ht="12.75" x14ac:dyDescent="0.2">
      <c r="A15" s="86"/>
      <c r="B15" s="90"/>
      <c r="C15" s="396" t="s">
        <v>179</v>
      </c>
      <c r="D15" s="97">
        <f t="shared" ref="D15:I15" si="1">D14/D7</f>
        <v>0.69563543003851092</v>
      </c>
      <c r="E15" s="97">
        <f t="shared" si="1"/>
        <v>0.68398867568417743</v>
      </c>
      <c r="F15" s="97">
        <f t="shared" si="1"/>
        <v>0.69903309671953962</v>
      </c>
      <c r="G15" s="97">
        <f t="shared" si="1"/>
        <v>0.69788958093971099</v>
      </c>
      <c r="H15" s="97">
        <f t="shared" si="1"/>
        <v>0.68670597532064925</v>
      </c>
      <c r="I15" s="97">
        <f t="shared" si="1"/>
        <v>0.70003858300347244</v>
      </c>
      <c r="J15" s="98">
        <f>I15</f>
        <v>0.70003858300347244</v>
      </c>
    </row>
    <row r="16" spans="1:10" ht="12.75" x14ac:dyDescent="0.2">
      <c r="A16" s="86"/>
      <c r="B16" s="90"/>
      <c r="C16" s="88" t="s">
        <v>178</v>
      </c>
      <c r="D16" s="94">
        <v>88</v>
      </c>
      <c r="E16" s="94">
        <v>86</v>
      </c>
      <c r="F16" s="94">
        <v>446</v>
      </c>
      <c r="G16" s="94">
        <v>120</v>
      </c>
      <c r="H16" s="94">
        <v>108</v>
      </c>
      <c r="I16" s="92">
        <f>F16+G16+H16-D16-E16</f>
        <v>500</v>
      </c>
      <c r="J16" s="99">
        <f>J17*J9</f>
        <v>541.24907885040534</v>
      </c>
    </row>
    <row r="17" spans="1:10" ht="12.75" x14ac:dyDescent="0.2">
      <c r="A17" s="86"/>
      <c r="B17" s="90"/>
      <c r="C17" s="396" t="s">
        <v>180</v>
      </c>
      <c r="D17" s="97">
        <f t="shared" ref="D17:I17" si="2">D16/D9</f>
        <v>0.24788732394366197</v>
      </c>
      <c r="E17" s="97">
        <f t="shared" si="2"/>
        <v>0.24927536231884059</v>
      </c>
      <c r="F17" s="97">
        <f t="shared" si="2"/>
        <v>0.31879914224446032</v>
      </c>
      <c r="G17" s="97">
        <f t="shared" si="2"/>
        <v>0.36363636363636365</v>
      </c>
      <c r="H17" s="97">
        <f t="shared" si="2"/>
        <v>0.32926829268292684</v>
      </c>
      <c r="I17" s="97">
        <f t="shared" si="2"/>
        <v>0.36845983787767134</v>
      </c>
      <c r="J17" s="98">
        <f>I17</f>
        <v>0.36845983787767134</v>
      </c>
    </row>
    <row r="18" spans="1:10" ht="12.75" customHeight="1" x14ac:dyDescent="0.2">
      <c r="A18" s="90"/>
      <c r="B18" s="86" t="s">
        <v>41</v>
      </c>
      <c r="C18" s="88"/>
      <c r="D18" s="102">
        <f t="shared" ref="D18:J18" si="3">D16+D14</f>
        <v>10926</v>
      </c>
      <c r="E18" s="102">
        <f t="shared" si="3"/>
        <v>10958</v>
      </c>
      <c r="F18" s="102">
        <f t="shared" si="3"/>
        <v>48306</v>
      </c>
      <c r="G18" s="102">
        <f t="shared" si="3"/>
        <v>11661</v>
      </c>
      <c r="H18" s="102">
        <f t="shared" si="3"/>
        <v>11405</v>
      </c>
      <c r="I18" s="102">
        <f t="shared" si="3"/>
        <v>49488</v>
      </c>
      <c r="J18" s="102">
        <f t="shared" si="3"/>
        <v>50866.532783961942</v>
      </c>
    </row>
    <row r="19" spans="1:10" ht="12.75" customHeight="1" x14ac:dyDescent="0.2">
      <c r="A19" s="90"/>
      <c r="B19" s="90"/>
      <c r="C19" s="93" t="s">
        <v>42</v>
      </c>
      <c r="D19" s="189">
        <f t="shared" ref="D19:J19" si="4">D18/D11</f>
        <v>0.68566049576404142</v>
      </c>
      <c r="E19" s="189">
        <f t="shared" si="4"/>
        <v>0.67475369458128076</v>
      </c>
      <c r="F19" s="189">
        <f t="shared" si="4"/>
        <v>0.691419165533529</v>
      </c>
      <c r="G19" s="189">
        <f t="shared" si="4"/>
        <v>0.69134997332068537</v>
      </c>
      <c r="H19" s="189">
        <f t="shared" si="4"/>
        <v>0.67971869598903389</v>
      </c>
      <c r="I19" s="189">
        <f t="shared" si="4"/>
        <v>0.69373107547381407</v>
      </c>
      <c r="J19" s="189">
        <f t="shared" si="4"/>
        <v>0.69339893991421475</v>
      </c>
    </row>
    <row r="20" spans="1:10" ht="21" customHeight="1" x14ac:dyDescent="0.2">
      <c r="A20" s="90"/>
      <c r="B20" s="86" t="s">
        <v>62</v>
      </c>
      <c r="C20" s="170"/>
      <c r="D20" s="102">
        <f t="shared" ref="D20:J20" si="5">D11-D18</f>
        <v>5009</v>
      </c>
      <c r="E20" s="102">
        <f t="shared" si="5"/>
        <v>5282</v>
      </c>
      <c r="F20" s="102">
        <f t="shared" si="5"/>
        <v>21559</v>
      </c>
      <c r="G20" s="102">
        <f t="shared" si="5"/>
        <v>5206</v>
      </c>
      <c r="H20" s="102">
        <f t="shared" si="5"/>
        <v>5374</v>
      </c>
      <c r="I20" s="102">
        <f t="shared" si="5"/>
        <v>21848</v>
      </c>
      <c r="J20" s="102">
        <f t="shared" si="5"/>
        <v>22491.717216038058</v>
      </c>
    </row>
    <row r="21" spans="1:10" ht="12.75" customHeight="1" x14ac:dyDescent="0.2">
      <c r="A21" s="90"/>
      <c r="B21" s="103"/>
      <c r="C21" s="93" t="s">
        <v>43</v>
      </c>
      <c r="D21" s="97">
        <f t="shared" ref="D21:J21" si="6">D20/D11</f>
        <v>0.31433950423595858</v>
      </c>
      <c r="E21" s="97">
        <f t="shared" si="6"/>
        <v>0.32524630541871924</v>
      </c>
      <c r="F21" s="97">
        <f t="shared" si="6"/>
        <v>0.30858083446647105</v>
      </c>
      <c r="G21" s="97">
        <f t="shared" si="6"/>
        <v>0.30865002667931463</v>
      </c>
      <c r="H21" s="97">
        <f t="shared" si="6"/>
        <v>0.32028130401096611</v>
      </c>
      <c r="I21" s="97">
        <f t="shared" si="6"/>
        <v>0.30626892452618593</v>
      </c>
      <c r="J21" s="97">
        <f t="shared" si="6"/>
        <v>0.3066010600857853</v>
      </c>
    </row>
    <row r="22" spans="1:10" ht="21" customHeight="1" x14ac:dyDescent="0.2">
      <c r="A22" s="86" t="s">
        <v>49</v>
      </c>
      <c r="B22" s="90"/>
      <c r="C22" s="90"/>
      <c r="D22" s="104"/>
      <c r="E22" s="104"/>
      <c r="F22" s="104"/>
      <c r="G22" s="104"/>
      <c r="H22" s="104"/>
      <c r="I22" s="104"/>
      <c r="J22" s="104"/>
    </row>
    <row r="23" spans="1:10" ht="12.75" customHeight="1" x14ac:dyDescent="0.2">
      <c r="A23" s="90"/>
      <c r="B23" s="90" t="s">
        <v>44</v>
      </c>
      <c r="C23" s="90"/>
      <c r="D23" s="91">
        <v>3233</v>
      </c>
      <c r="E23" s="91">
        <v>3473</v>
      </c>
      <c r="F23" s="91">
        <v>14106</v>
      </c>
      <c r="G23" s="91">
        <v>3392</v>
      </c>
      <c r="H23" s="91">
        <v>3588</v>
      </c>
      <c r="I23" s="92">
        <f>F23+G23+H23-D23-E23</f>
        <v>14380</v>
      </c>
      <c r="J23" s="99">
        <f>J24*J11</f>
        <v>14787.647681395089</v>
      </c>
    </row>
    <row r="24" spans="1:10" ht="12.75" customHeight="1" x14ac:dyDescent="0.2">
      <c r="A24" s="90"/>
      <c r="B24" s="90"/>
      <c r="C24" s="93" t="s">
        <v>100</v>
      </c>
      <c r="D24" s="97">
        <f t="shared" ref="D24:I24" si="7">D23/D11</f>
        <v>0.20288672732977722</v>
      </c>
      <c r="E24" s="97">
        <f t="shared" si="7"/>
        <v>0.21385467980295567</v>
      </c>
      <c r="F24" s="97">
        <f t="shared" si="7"/>
        <v>0.20190367136620627</v>
      </c>
      <c r="G24" s="97">
        <f t="shared" si="7"/>
        <v>0.20110274500503941</v>
      </c>
      <c r="H24" s="97">
        <f t="shared" si="7"/>
        <v>0.21383872698015377</v>
      </c>
      <c r="I24" s="97">
        <f t="shared" si="7"/>
        <v>0.20158124929909163</v>
      </c>
      <c r="J24" s="397">
        <f>I24</f>
        <v>0.20158124929909163</v>
      </c>
    </row>
    <row r="25" spans="1:10" ht="12.75" customHeight="1" x14ac:dyDescent="0.2">
      <c r="A25" s="90"/>
      <c r="B25" s="86" t="s">
        <v>50</v>
      </c>
      <c r="C25" s="90"/>
      <c r="D25" s="102">
        <f>D23</f>
        <v>3233</v>
      </c>
      <c r="E25" s="102">
        <f t="shared" ref="E25:J25" si="8">E23</f>
        <v>3473</v>
      </c>
      <c r="F25" s="102">
        <f t="shared" si="8"/>
        <v>14106</v>
      </c>
      <c r="G25" s="102">
        <f t="shared" si="8"/>
        <v>3392</v>
      </c>
      <c r="H25" s="102">
        <f t="shared" si="8"/>
        <v>3588</v>
      </c>
      <c r="I25" s="102">
        <f t="shared" si="8"/>
        <v>14380</v>
      </c>
      <c r="J25" s="102">
        <f t="shared" si="8"/>
        <v>14787.647681395089</v>
      </c>
    </row>
    <row r="26" spans="1:10" ht="21" customHeight="1" x14ac:dyDescent="0.2">
      <c r="A26" s="90"/>
      <c r="B26" s="86" t="s">
        <v>2</v>
      </c>
      <c r="C26" s="170"/>
      <c r="D26" s="102">
        <f>D20-D25</f>
        <v>1776</v>
      </c>
      <c r="E26" s="102">
        <f t="shared" ref="E26:J26" si="9">E20-E25</f>
        <v>1809</v>
      </c>
      <c r="F26" s="102">
        <f t="shared" si="9"/>
        <v>7453</v>
      </c>
      <c r="G26" s="102">
        <f t="shared" si="9"/>
        <v>1814</v>
      </c>
      <c r="H26" s="102">
        <f t="shared" si="9"/>
        <v>1786</v>
      </c>
      <c r="I26" s="102">
        <f t="shared" si="9"/>
        <v>7468</v>
      </c>
      <c r="J26" s="102">
        <f t="shared" si="9"/>
        <v>7704.0695346429693</v>
      </c>
    </row>
    <row r="27" spans="1:10" ht="12.75" customHeight="1" x14ac:dyDescent="0.2">
      <c r="A27" s="90"/>
      <c r="B27" s="103"/>
      <c r="C27" s="93" t="s">
        <v>45</v>
      </c>
      <c r="D27" s="97">
        <f t="shared" ref="D27:J27" si="10">D26/D11</f>
        <v>0.11145277690618136</v>
      </c>
      <c r="E27" s="97">
        <f t="shared" si="10"/>
        <v>0.11139162561576355</v>
      </c>
      <c r="F27" s="97">
        <f t="shared" si="10"/>
        <v>0.1066771631002648</v>
      </c>
      <c r="G27" s="97">
        <f t="shared" si="10"/>
        <v>0.10754728167427521</v>
      </c>
      <c r="H27" s="97">
        <f t="shared" si="10"/>
        <v>0.10644257703081232</v>
      </c>
      <c r="I27" s="97">
        <f t="shared" si="10"/>
        <v>0.10468767522709431</v>
      </c>
      <c r="J27" s="97">
        <f t="shared" si="10"/>
        <v>0.10501981078669365</v>
      </c>
    </row>
    <row r="28" spans="1:10" ht="21" customHeight="1" x14ac:dyDescent="0.2">
      <c r="A28" s="90"/>
      <c r="B28" s="90" t="s">
        <v>46</v>
      </c>
      <c r="C28" s="90"/>
      <c r="D28" s="91">
        <v>512</v>
      </c>
      <c r="E28" s="91">
        <v>509</v>
      </c>
      <c r="F28" s="91">
        <v>2131</v>
      </c>
      <c r="G28" s="91">
        <v>529</v>
      </c>
      <c r="H28" s="91">
        <v>531</v>
      </c>
      <c r="I28" s="92">
        <f>F28+G28+H28-D28-E28</f>
        <v>2170</v>
      </c>
      <c r="J28" s="99">
        <f>J29*J11</f>
        <v>2231.5156793203992</v>
      </c>
    </row>
    <row r="29" spans="1:10" ht="12.75" x14ac:dyDescent="0.2">
      <c r="A29" s="90"/>
      <c r="B29" s="116"/>
      <c r="C29" s="116" t="s">
        <v>182</v>
      </c>
      <c r="D29" s="189">
        <f t="shared" ref="D29:I29" si="11">D28/D11</f>
        <v>3.2130530279259495E-2</v>
      </c>
      <c r="E29" s="189">
        <f t="shared" si="11"/>
        <v>3.1342364532019704E-2</v>
      </c>
      <c r="F29" s="189">
        <f t="shared" si="11"/>
        <v>3.050168181492879E-2</v>
      </c>
      <c r="G29" s="189">
        <f t="shared" si="11"/>
        <v>3.1363016541175077E-2</v>
      </c>
      <c r="H29" s="189">
        <f t="shared" si="11"/>
        <v>3.1646701233684967E-2</v>
      </c>
      <c r="I29" s="189">
        <f t="shared" si="11"/>
        <v>3.0419423572950546E-2</v>
      </c>
      <c r="J29" s="189">
        <f>I29</f>
        <v>3.0419423572950546E-2</v>
      </c>
    </row>
    <row r="30" spans="1:10" ht="21" customHeight="1" x14ac:dyDescent="0.2">
      <c r="A30" s="90"/>
      <c r="B30" s="86" t="s">
        <v>1</v>
      </c>
      <c r="C30" s="170"/>
      <c r="D30" s="102">
        <f t="shared" ref="D30:J30" si="12">D26-D28</f>
        <v>1264</v>
      </c>
      <c r="E30" s="102">
        <f t="shared" si="12"/>
        <v>1300</v>
      </c>
      <c r="F30" s="102">
        <f t="shared" si="12"/>
        <v>5322</v>
      </c>
      <c r="G30" s="102">
        <f t="shared" si="12"/>
        <v>1285</v>
      </c>
      <c r="H30" s="102">
        <f t="shared" si="12"/>
        <v>1255</v>
      </c>
      <c r="I30" s="102">
        <f t="shared" si="12"/>
        <v>5298</v>
      </c>
      <c r="J30" s="102">
        <f t="shared" si="12"/>
        <v>5472.5538553225706</v>
      </c>
    </row>
    <row r="31" spans="1:10" ht="12.75" customHeight="1" x14ac:dyDescent="0.2">
      <c r="A31" s="90"/>
      <c r="B31" s="90"/>
      <c r="C31" s="103" t="s">
        <v>47</v>
      </c>
      <c r="D31" s="97">
        <f t="shared" ref="D31:J31" si="13">D30/D11</f>
        <v>7.9322246626921875E-2</v>
      </c>
      <c r="E31" s="97">
        <f t="shared" si="13"/>
        <v>8.0049261083743842E-2</v>
      </c>
      <c r="F31" s="97">
        <f t="shared" si="13"/>
        <v>7.6175481285336008E-2</v>
      </c>
      <c r="G31" s="97">
        <f t="shared" si="13"/>
        <v>7.6184265133100143E-2</v>
      </c>
      <c r="H31" s="97">
        <f t="shared" si="13"/>
        <v>7.4795875797127362E-2</v>
      </c>
      <c r="I31" s="97">
        <f t="shared" si="13"/>
        <v>7.4268251654143774E-2</v>
      </c>
      <c r="J31" s="97">
        <f t="shared" si="13"/>
        <v>7.4600387213743111E-2</v>
      </c>
    </row>
    <row r="32" spans="1:10" ht="21" customHeight="1" x14ac:dyDescent="0.2">
      <c r="A32" s="86" t="s">
        <v>87</v>
      </c>
      <c r="B32" s="90"/>
      <c r="C32" s="103"/>
      <c r="D32" s="97"/>
      <c r="E32" s="97"/>
      <c r="F32" s="97"/>
      <c r="G32" s="97"/>
      <c r="H32" s="97"/>
      <c r="I32" s="97"/>
      <c r="J32" s="97"/>
    </row>
    <row r="33" spans="1:10" ht="12.75" customHeight="1" x14ac:dyDescent="0.2">
      <c r="A33" s="86"/>
      <c r="B33" s="90" t="s">
        <v>181</v>
      </c>
      <c r="C33" s="103"/>
      <c r="D33" s="91">
        <v>19</v>
      </c>
      <c r="E33" s="91">
        <v>18</v>
      </c>
      <c r="F33" s="91">
        <v>72</v>
      </c>
      <c r="G33" s="91">
        <v>2</v>
      </c>
      <c r="H33" s="91">
        <v>3</v>
      </c>
      <c r="I33" s="92">
        <f>F33+G33+H33-D33-E33</f>
        <v>40</v>
      </c>
      <c r="J33" s="398">
        <f>F33</f>
        <v>72</v>
      </c>
    </row>
    <row r="34" spans="1:10" ht="12.75" customHeight="1" x14ac:dyDescent="0.2">
      <c r="A34" s="90"/>
      <c r="B34" s="90" t="s">
        <v>161</v>
      </c>
      <c r="C34" s="90"/>
      <c r="D34" s="91">
        <v>164</v>
      </c>
      <c r="E34" s="91">
        <v>174</v>
      </c>
      <c r="F34" s="91">
        <v>797</v>
      </c>
      <c r="G34" s="91">
        <v>182</v>
      </c>
      <c r="H34" s="91">
        <v>182</v>
      </c>
      <c r="I34" s="92">
        <f>F34+G34+H34-D34-E34</f>
        <v>823</v>
      </c>
      <c r="J34" s="92">
        <f>F34</f>
        <v>797</v>
      </c>
    </row>
    <row r="35" spans="1:10" ht="12.75" customHeight="1" x14ac:dyDescent="0.2">
      <c r="A35" s="90"/>
      <c r="B35" s="90" t="s">
        <v>48</v>
      </c>
      <c r="C35" s="90"/>
      <c r="D35" s="109">
        <v>0</v>
      </c>
      <c r="E35" s="109">
        <v>-1</v>
      </c>
      <c r="F35" s="109">
        <v>-3</v>
      </c>
      <c r="G35" s="109">
        <v>0</v>
      </c>
      <c r="H35" s="109">
        <v>-1</v>
      </c>
      <c r="I35" s="183">
        <f>F35+G35+H35-D35-E35</f>
        <v>-3</v>
      </c>
      <c r="J35" s="183">
        <f>F35</f>
        <v>-3</v>
      </c>
    </row>
    <row r="36" spans="1:10" ht="12.75" customHeight="1" x14ac:dyDescent="0.2">
      <c r="A36" s="90"/>
      <c r="B36" s="86" t="s">
        <v>86</v>
      </c>
      <c r="C36" s="90"/>
      <c r="D36" s="110">
        <f t="shared" ref="D36:J36" si="14">SUM(D33:D35)</f>
        <v>183</v>
      </c>
      <c r="E36" s="110">
        <f t="shared" si="14"/>
        <v>191</v>
      </c>
      <c r="F36" s="110">
        <f t="shared" si="14"/>
        <v>866</v>
      </c>
      <c r="G36" s="110">
        <f t="shared" si="14"/>
        <v>184</v>
      </c>
      <c r="H36" s="110">
        <f t="shared" si="14"/>
        <v>184</v>
      </c>
      <c r="I36" s="110">
        <f t="shared" si="14"/>
        <v>860</v>
      </c>
      <c r="J36" s="110">
        <f t="shared" si="14"/>
        <v>866</v>
      </c>
    </row>
    <row r="37" spans="1:10" ht="21" customHeight="1" x14ac:dyDescent="0.2">
      <c r="A37" s="90"/>
      <c r="B37" s="86" t="s">
        <v>52</v>
      </c>
      <c r="C37" s="90"/>
      <c r="D37" s="102">
        <f t="shared" ref="D37:J37" si="15">D30-D36</f>
        <v>1081</v>
      </c>
      <c r="E37" s="102">
        <f t="shared" si="15"/>
        <v>1109</v>
      </c>
      <c r="F37" s="102">
        <f t="shared" si="15"/>
        <v>4456</v>
      </c>
      <c r="G37" s="102">
        <f t="shared" si="15"/>
        <v>1101</v>
      </c>
      <c r="H37" s="102">
        <f t="shared" si="15"/>
        <v>1071</v>
      </c>
      <c r="I37" s="102">
        <f t="shared" si="15"/>
        <v>4438</v>
      </c>
      <c r="J37" s="102">
        <f t="shared" si="15"/>
        <v>4606.5538553225706</v>
      </c>
    </row>
    <row r="38" spans="1:10" ht="12.75" customHeight="1" x14ac:dyDescent="0.2">
      <c r="A38" s="90"/>
      <c r="B38" s="103"/>
      <c r="C38" s="93" t="s">
        <v>54</v>
      </c>
      <c r="D38" s="97">
        <f t="shared" ref="D38:J38" si="16">D37/D11</f>
        <v>6.783809224976467E-2</v>
      </c>
      <c r="E38" s="97">
        <f t="shared" si="16"/>
        <v>6.8288177339901474E-2</v>
      </c>
      <c r="F38" s="97">
        <f t="shared" si="16"/>
        <v>6.3780147427180994E-2</v>
      </c>
      <c r="G38" s="97">
        <f t="shared" si="16"/>
        <v>6.527538981443054E-2</v>
      </c>
      <c r="H38" s="97">
        <f t="shared" si="16"/>
        <v>6.3829787234042548E-2</v>
      </c>
      <c r="I38" s="97">
        <f t="shared" si="16"/>
        <v>6.2212627565324662E-2</v>
      </c>
      <c r="J38" s="97">
        <f t="shared" si="16"/>
        <v>6.2795307348833582E-2</v>
      </c>
    </row>
    <row r="39" spans="1:10" ht="21" customHeight="1" x14ac:dyDescent="0.2">
      <c r="A39" s="90"/>
      <c r="B39" s="90" t="s">
        <v>55</v>
      </c>
      <c r="C39" s="90"/>
      <c r="D39" s="399">
        <v>392</v>
      </c>
      <c r="E39" s="399">
        <v>405</v>
      </c>
      <c r="F39" s="399">
        <v>1527</v>
      </c>
      <c r="G39" s="399">
        <v>404</v>
      </c>
      <c r="H39" s="399">
        <v>367</v>
      </c>
      <c r="I39" s="92">
        <f>F39+G39+H39-D39-E39</f>
        <v>1501</v>
      </c>
      <c r="J39" s="99">
        <f>J40*J37</f>
        <v>1558.0075116807523</v>
      </c>
    </row>
    <row r="40" spans="1:10" ht="12.75" customHeight="1" x14ac:dyDescent="0.2">
      <c r="A40" s="90"/>
      <c r="B40" s="103"/>
      <c r="C40" s="93" t="s">
        <v>53</v>
      </c>
      <c r="D40" s="189">
        <f t="shared" ref="D40:I40" si="17">D39/D37</f>
        <v>0.36262719703977797</v>
      </c>
      <c r="E40" s="189">
        <f t="shared" si="17"/>
        <v>0.36519386834986473</v>
      </c>
      <c r="F40" s="189">
        <f t="shared" si="17"/>
        <v>0.34268402154398564</v>
      </c>
      <c r="G40" s="189">
        <f t="shared" si="17"/>
        <v>0.36693914623069934</v>
      </c>
      <c r="H40" s="189">
        <f t="shared" si="17"/>
        <v>0.34267040149393091</v>
      </c>
      <c r="I40" s="189">
        <f t="shared" si="17"/>
        <v>0.33821541234790448</v>
      </c>
      <c r="J40" s="198">
        <f>I40</f>
        <v>0.33821541234790448</v>
      </c>
    </row>
    <row r="41" spans="1:10" ht="21" customHeight="1" x14ac:dyDescent="0.2">
      <c r="A41" s="90"/>
      <c r="B41" s="86" t="s">
        <v>59</v>
      </c>
      <c r="C41" s="90"/>
      <c r="D41" s="102">
        <f t="shared" ref="D41:J41" si="18">D37-D39</f>
        <v>689</v>
      </c>
      <c r="E41" s="102">
        <f t="shared" si="18"/>
        <v>704</v>
      </c>
      <c r="F41" s="102">
        <f t="shared" si="18"/>
        <v>2929</v>
      </c>
      <c r="G41" s="102">
        <f t="shared" si="18"/>
        <v>697</v>
      </c>
      <c r="H41" s="102">
        <f t="shared" si="18"/>
        <v>704</v>
      </c>
      <c r="I41" s="102">
        <f t="shared" si="18"/>
        <v>2937</v>
      </c>
      <c r="J41" s="102">
        <f t="shared" si="18"/>
        <v>3048.5463436418186</v>
      </c>
    </row>
    <row r="42" spans="1:10" ht="21" customHeight="1" x14ac:dyDescent="0.2">
      <c r="A42" s="86" t="s">
        <v>60</v>
      </c>
      <c r="B42" s="90"/>
      <c r="C42" s="90"/>
      <c r="D42" s="113"/>
      <c r="E42" s="113"/>
      <c r="F42" s="113"/>
      <c r="G42" s="113"/>
      <c r="H42" s="113"/>
      <c r="I42" s="113"/>
      <c r="J42" s="113"/>
    </row>
    <row r="43" spans="1:10" ht="12.75" customHeight="1" x14ac:dyDescent="0.2">
      <c r="A43" s="90"/>
      <c r="B43" s="90" t="s">
        <v>4</v>
      </c>
      <c r="C43" s="90"/>
      <c r="D43" s="114">
        <f>D41/D46</f>
        <v>0.99422799422799424</v>
      </c>
      <c r="E43" s="114">
        <f t="shared" ref="E43:J43" si="19">E41/E46</f>
        <v>1.0340775558166864</v>
      </c>
      <c r="F43" s="114">
        <f t="shared" si="19"/>
        <v>4.3130614048004707</v>
      </c>
      <c r="G43" s="114">
        <f t="shared" si="19"/>
        <v>1.0465465465465464</v>
      </c>
      <c r="H43" s="114">
        <f t="shared" si="19"/>
        <v>1.0720268006700167</v>
      </c>
      <c r="I43" s="114">
        <f t="shared" si="19"/>
        <v>4.4723618090452257</v>
      </c>
      <c r="J43" s="114">
        <f t="shared" si="19"/>
        <v>4.6550844708113974</v>
      </c>
    </row>
    <row r="44" spans="1:10" ht="12.75" customHeight="1" x14ac:dyDescent="0.2">
      <c r="A44" s="90"/>
      <c r="B44" s="90" t="s">
        <v>5</v>
      </c>
      <c r="C44" s="90"/>
      <c r="D44" s="114">
        <f>D41/D47</f>
        <v>0.98852223816355811</v>
      </c>
      <c r="E44" s="114">
        <f t="shared" ref="E44:J44" si="20">E41/E47</f>
        <v>1.0275872135454678</v>
      </c>
      <c r="F44" s="114">
        <f t="shared" si="20"/>
        <v>4.2827898815616319</v>
      </c>
      <c r="G44" s="114">
        <f t="shared" si="20"/>
        <v>1.0372023809523809</v>
      </c>
      <c r="H44" s="114">
        <f t="shared" si="20"/>
        <v>1.0620003017046311</v>
      </c>
      <c r="I44" s="114">
        <f t="shared" si="20"/>
        <v>4.4305325086740082</v>
      </c>
      <c r="J44" s="114">
        <f t="shared" si="20"/>
        <v>4.6139895071040655</v>
      </c>
    </row>
    <row r="45" spans="1:10" ht="21" customHeight="1" x14ac:dyDescent="0.2">
      <c r="A45" s="86" t="s">
        <v>61</v>
      </c>
      <c r="B45" s="90"/>
      <c r="C45" s="170"/>
      <c r="D45" s="102"/>
      <c r="E45" s="102"/>
      <c r="F45" s="102"/>
      <c r="G45" s="102"/>
      <c r="H45" s="102"/>
      <c r="I45" s="102"/>
      <c r="J45" s="102"/>
    </row>
    <row r="46" spans="1:10" ht="12.75" customHeight="1" x14ac:dyDescent="0.2">
      <c r="A46" s="90"/>
      <c r="B46" s="90" t="s">
        <v>4</v>
      </c>
      <c r="C46" s="90"/>
      <c r="D46" s="115">
        <v>693</v>
      </c>
      <c r="E46" s="115">
        <v>680.8</v>
      </c>
      <c r="F46" s="115">
        <v>679.1</v>
      </c>
      <c r="G46" s="115">
        <v>666</v>
      </c>
      <c r="H46" s="115">
        <v>656.7</v>
      </c>
      <c r="I46" s="201">
        <f>H46</f>
        <v>656.7</v>
      </c>
      <c r="J46" s="201">
        <f>D52/1000000</f>
        <v>654.88529000000005</v>
      </c>
    </row>
    <row r="47" spans="1:10" ht="12.75" customHeight="1" x14ac:dyDescent="0.2">
      <c r="A47" s="116"/>
      <c r="B47" s="116" t="s">
        <v>5</v>
      </c>
      <c r="C47" s="116"/>
      <c r="D47" s="117">
        <v>697</v>
      </c>
      <c r="E47" s="117">
        <v>685.1</v>
      </c>
      <c r="F47" s="117">
        <v>683.9</v>
      </c>
      <c r="G47" s="117">
        <v>672</v>
      </c>
      <c r="H47" s="117">
        <v>662.9</v>
      </c>
      <c r="I47" s="203">
        <f>H47</f>
        <v>662.9</v>
      </c>
      <c r="J47" s="203">
        <f>D58/1000000</f>
        <v>660.71809199999996</v>
      </c>
    </row>
    <row r="48" spans="1:10" ht="12.75" customHeight="1" x14ac:dyDescent="0.2">
      <c r="A48" s="90"/>
      <c r="B48" s="90"/>
      <c r="C48" s="90"/>
      <c r="D48" s="87"/>
      <c r="E48" s="87">
        <f>E46-D46</f>
        <v>-12.200000000000045</v>
      </c>
      <c r="F48" s="87">
        <f>F46-E46</f>
        <v>-1.6999999999999318</v>
      </c>
      <c r="G48" s="87">
        <f>G46-F46</f>
        <v>-13.100000000000023</v>
      </c>
      <c r="H48" s="87">
        <f>H46-G46</f>
        <v>-9.2999999999999545</v>
      </c>
      <c r="I48" s="90"/>
      <c r="J48" s="400"/>
    </row>
    <row r="49" spans="1:10" ht="12.75" customHeight="1" x14ac:dyDescent="0.2">
      <c r="J49" s="48"/>
    </row>
    <row r="50" spans="1:10" ht="12.75" customHeight="1" x14ac:dyDescent="0.2">
      <c r="A50" s="686" t="s">
        <v>298</v>
      </c>
      <c r="B50" s="687"/>
      <c r="C50" s="687"/>
      <c r="D50" s="688"/>
      <c r="J50" s="22"/>
    </row>
    <row r="51" spans="1:10" ht="12.75" customHeight="1" x14ac:dyDescent="0.2">
      <c r="A51" s="208" t="s">
        <v>170</v>
      </c>
      <c r="B51" s="208"/>
      <c r="C51" s="208"/>
      <c r="D51" s="212">
        <v>62.79</v>
      </c>
      <c r="I51" s="22"/>
    </row>
    <row r="52" spans="1:10" ht="12.75" customHeight="1" x14ac:dyDescent="0.2">
      <c r="A52" s="208" t="s">
        <v>273</v>
      </c>
      <c r="B52" s="208"/>
      <c r="C52" s="213"/>
      <c r="D52" s="210">
        <v>654885290</v>
      </c>
      <c r="I52" s="22"/>
    </row>
    <row r="53" spans="1:10" ht="20.100000000000001" customHeight="1" x14ac:dyDescent="0.2">
      <c r="A53" s="208" t="s">
        <v>271</v>
      </c>
      <c r="B53" s="208"/>
      <c r="C53" s="208"/>
      <c r="D53" s="210">
        <v>23283000</v>
      </c>
      <c r="I53" s="48"/>
    </row>
    <row r="54" spans="1:10" ht="20.100000000000001" customHeight="1" x14ac:dyDescent="0.2">
      <c r="A54" s="214" t="s">
        <v>269</v>
      </c>
      <c r="B54" s="214"/>
      <c r="C54" s="214"/>
      <c r="D54" s="212">
        <v>47.06</v>
      </c>
      <c r="I54" s="47"/>
    </row>
    <row r="55" spans="1:10" ht="20.100000000000001" customHeight="1" x14ac:dyDescent="0.2">
      <c r="A55" s="214" t="s">
        <v>270</v>
      </c>
      <c r="B55" s="214"/>
      <c r="C55" s="214"/>
      <c r="D55" s="211">
        <f>D53*D54</f>
        <v>1095697980</v>
      </c>
    </row>
    <row r="56" spans="1:10" ht="20.100000000000001" customHeight="1" x14ac:dyDescent="0.2">
      <c r="A56" s="208" t="s">
        <v>274</v>
      </c>
      <c r="B56" s="214"/>
      <c r="C56" s="214"/>
      <c r="D56" s="211">
        <f>+ROUNDDOWN(D55/D51,0)</f>
        <v>17450198</v>
      </c>
    </row>
    <row r="57" spans="1:10" ht="20.100000000000001" customHeight="1" x14ac:dyDescent="0.2">
      <c r="A57" s="220" t="s">
        <v>275</v>
      </c>
      <c r="B57" s="219"/>
      <c r="C57" s="219"/>
      <c r="D57" s="221">
        <f>D53-D56</f>
        <v>5832802</v>
      </c>
    </row>
    <row r="58" spans="1:10" ht="20.100000000000001" customHeight="1" x14ac:dyDescent="0.2">
      <c r="A58" s="215" t="s">
        <v>272</v>
      </c>
      <c r="B58" s="219"/>
      <c r="C58" s="219"/>
      <c r="D58" s="222">
        <f>D57+D52</f>
        <v>660718092</v>
      </c>
    </row>
    <row r="60" spans="1:10" ht="20.100000000000001" customHeight="1" x14ac:dyDescent="0.2">
      <c r="A60" s="686" t="s">
        <v>296</v>
      </c>
      <c r="B60" s="687"/>
      <c r="C60" s="687"/>
      <c r="D60" s="688"/>
    </row>
    <row r="61" spans="1:10" ht="20.100000000000001" customHeight="1" x14ac:dyDescent="0.2">
      <c r="A61" s="215" t="s">
        <v>171</v>
      </c>
      <c r="B61" s="216"/>
      <c r="C61" s="216"/>
      <c r="D61" s="218">
        <f>D58*D51/1000000</f>
        <v>41486.488996680004</v>
      </c>
    </row>
    <row r="62" spans="1:10" ht="20.100000000000001" customHeight="1" x14ac:dyDescent="0.2">
      <c r="A62" s="208" t="s">
        <v>34</v>
      </c>
      <c r="B62" s="208"/>
      <c r="C62" s="208"/>
      <c r="D62" s="223">
        <f>2535+750</f>
        <v>3285</v>
      </c>
    </row>
    <row r="63" spans="1:10" ht="20.100000000000001" customHeight="1" x14ac:dyDescent="0.2">
      <c r="A63" s="208" t="s">
        <v>279</v>
      </c>
      <c r="B63" s="208"/>
      <c r="C63" s="208"/>
      <c r="D63" s="223">
        <f>14479+750</f>
        <v>15229</v>
      </c>
    </row>
    <row r="64" spans="1:10" ht="20.100000000000001" customHeight="1" x14ac:dyDescent="0.2">
      <c r="A64" s="208" t="s">
        <v>277</v>
      </c>
      <c r="B64" s="208"/>
      <c r="C64" s="208"/>
      <c r="D64" s="223">
        <v>0</v>
      </c>
    </row>
    <row r="65" spans="1:4" ht="20.100000000000001" customHeight="1" x14ac:dyDescent="0.2">
      <c r="A65" s="208" t="s">
        <v>172</v>
      </c>
      <c r="B65" s="208"/>
      <c r="C65" s="208"/>
      <c r="D65" s="223">
        <v>0</v>
      </c>
    </row>
    <row r="66" spans="1:4" ht="20.100000000000001" customHeight="1" x14ac:dyDescent="0.2">
      <c r="A66" s="208" t="s">
        <v>278</v>
      </c>
      <c r="B66" s="208"/>
      <c r="C66" s="208"/>
      <c r="D66" s="223">
        <v>0</v>
      </c>
    </row>
    <row r="67" spans="1:4" ht="20.100000000000001" customHeight="1" x14ac:dyDescent="0.2">
      <c r="A67" s="208" t="s">
        <v>173</v>
      </c>
      <c r="B67" s="208"/>
      <c r="C67" s="208"/>
      <c r="D67" s="223">
        <v>0</v>
      </c>
    </row>
    <row r="68" spans="1:4" ht="20.100000000000001" customHeight="1" x14ac:dyDescent="0.2">
      <c r="A68" s="208" t="s">
        <v>174</v>
      </c>
      <c r="B68" s="208"/>
      <c r="C68" s="208"/>
      <c r="D68" s="223">
        <v>-1442</v>
      </c>
    </row>
    <row r="69" spans="1:4" ht="20.100000000000001" customHeight="1" x14ac:dyDescent="0.2">
      <c r="A69" s="215" t="s">
        <v>175</v>
      </c>
      <c r="B69" s="217"/>
      <c r="C69" s="217"/>
      <c r="D69" s="209">
        <f>SUM(D61:D68)</f>
        <v>58558.488996680004</v>
      </c>
    </row>
  </sheetData>
  <mergeCells count="2">
    <mergeCell ref="A50:D50"/>
    <mergeCell ref="A60:D60"/>
  </mergeCells>
  <phoneticPr fontId="0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66CCFF"/>
  </sheetPr>
  <dimension ref="A1:AO77"/>
  <sheetViews>
    <sheetView workbookViewId="0">
      <selection activeCell="D6" sqref="D6"/>
    </sheetView>
  </sheetViews>
  <sheetFormatPr defaultColWidth="9.140625" defaultRowHeight="20.100000000000001" customHeight="1" outlineLevelCol="2" x14ac:dyDescent="0.25"/>
  <cols>
    <col min="1" max="2" width="2.7109375" style="401" customWidth="1"/>
    <col min="3" max="3" width="37.5703125" style="401" bestFit="1" customWidth="1"/>
    <col min="4" max="4" width="17" style="452" customWidth="1" outlineLevel="1"/>
    <col min="5" max="5" width="9.7109375" style="452" customWidth="1" outlineLevel="1"/>
    <col min="6" max="8" width="9.7109375" style="452" customWidth="1" outlineLevel="2"/>
    <col min="9" max="9" width="9.7109375" style="452" customWidth="1"/>
    <col min="10" max="10" width="10.5703125" style="452" customWidth="1" outlineLevel="1"/>
    <col min="11" max="11" width="9.7109375" style="401" customWidth="1" outlineLevel="1" collapsed="1"/>
    <col min="12" max="12" width="9.7109375" style="401" customWidth="1"/>
    <col min="13" max="13" width="9.140625" style="401"/>
    <col min="14" max="18" width="9.140625" style="404"/>
    <col min="19" max="19" width="9.7109375" style="404" bestFit="1" customWidth="1"/>
    <col min="20" max="41" width="9.140625" style="404"/>
    <col min="42" max="16384" width="9.140625" style="401"/>
  </cols>
  <sheetData>
    <row r="1" spans="1:41" ht="58.5" customHeight="1" x14ac:dyDescent="0.25">
      <c r="B1" s="402"/>
      <c r="C1" s="402"/>
      <c r="D1" s="403"/>
      <c r="E1" s="403"/>
      <c r="F1" s="403"/>
      <c r="G1" s="403"/>
      <c r="H1" s="403"/>
      <c r="I1" s="403"/>
      <c r="J1" s="403"/>
      <c r="K1" s="402"/>
      <c r="L1" s="402"/>
    </row>
    <row r="2" spans="1:41" ht="12.75" customHeight="1" x14ac:dyDescent="0.25">
      <c r="A2" s="405" t="s">
        <v>378</v>
      </c>
      <c r="B2" s="406"/>
      <c r="C2" s="405"/>
      <c r="D2" s="407"/>
      <c r="E2" s="407"/>
      <c r="F2" s="407"/>
      <c r="G2" s="407"/>
      <c r="H2" s="407"/>
      <c r="I2" s="407"/>
      <c r="J2" s="407"/>
      <c r="K2" s="405"/>
      <c r="L2" s="405"/>
    </row>
    <row r="3" spans="1:41" ht="12.75" customHeight="1" x14ac:dyDescent="0.25">
      <c r="A3" s="408"/>
      <c r="B3" s="409"/>
      <c r="C3" s="410"/>
      <c r="D3" s="411" t="s">
        <v>32</v>
      </c>
      <c r="E3" s="411"/>
      <c r="F3" s="411"/>
      <c r="G3" s="411"/>
      <c r="H3" s="411"/>
      <c r="I3" s="411"/>
      <c r="J3" s="411"/>
      <c r="K3" s="411"/>
      <c r="L3" s="412" t="s">
        <v>33</v>
      </c>
      <c r="M3" s="404"/>
    </row>
    <row r="4" spans="1:41" ht="12.75" customHeight="1" x14ac:dyDescent="0.25">
      <c r="A4" s="408"/>
      <c r="B4" s="409"/>
      <c r="C4" s="410"/>
      <c r="D4" s="413"/>
      <c r="E4" s="413"/>
      <c r="F4" s="413"/>
      <c r="G4" s="413"/>
      <c r="H4" s="413"/>
      <c r="I4" s="413"/>
      <c r="J4" s="413"/>
      <c r="K4" s="414"/>
      <c r="L4" s="414"/>
    </row>
    <row r="5" spans="1:41" ht="12.75" customHeight="1" x14ac:dyDescent="0.25">
      <c r="A5" s="415"/>
      <c r="B5" s="416"/>
      <c r="C5" s="417"/>
      <c r="D5" s="418" t="s">
        <v>248</v>
      </c>
      <c r="E5" s="418" t="s">
        <v>249</v>
      </c>
      <c r="F5" s="418">
        <v>2011</v>
      </c>
      <c r="G5" s="418" t="s">
        <v>251</v>
      </c>
      <c r="H5" s="418" t="s">
        <v>252</v>
      </c>
      <c r="I5" s="418" t="s">
        <v>247</v>
      </c>
      <c r="J5" s="418" t="s">
        <v>255</v>
      </c>
      <c r="K5" s="418" t="s">
        <v>185</v>
      </c>
      <c r="L5" s="419" t="s">
        <v>254</v>
      </c>
    </row>
    <row r="6" spans="1:41" ht="21" customHeight="1" x14ac:dyDescent="0.25">
      <c r="A6" s="420" t="s">
        <v>39</v>
      </c>
      <c r="B6" s="421"/>
      <c r="C6" s="422"/>
      <c r="D6" s="423"/>
      <c r="E6" s="423"/>
      <c r="F6" s="423"/>
      <c r="G6" s="423"/>
      <c r="H6" s="423"/>
      <c r="I6" s="423"/>
      <c r="J6" s="423"/>
      <c r="K6" s="423"/>
      <c r="L6" s="423"/>
    </row>
    <row r="7" spans="1:41" ht="15" x14ac:dyDescent="0.25">
      <c r="A7" s="424"/>
      <c r="B7" s="421"/>
      <c r="C7" s="425" t="s">
        <v>154</v>
      </c>
      <c r="D7" s="426">
        <v>3451.6970000000001</v>
      </c>
      <c r="E7" s="426">
        <v>3575.194</v>
      </c>
      <c r="F7" s="426">
        <v>14807.188</v>
      </c>
      <c r="G7" s="426">
        <v>3901.2049999999999</v>
      </c>
      <c r="H7" s="426">
        <v>3948.6550000000002</v>
      </c>
      <c r="I7" s="426"/>
      <c r="J7" s="427"/>
      <c r="K7" s="427">
        <f>H7+G7+F7-E7-D7</f>
        <v>15630.157000000003</v>
      </c>
      <c r="L7" s="428"/>
    </row>
    <row r="8" spans="1:41" ht="15" x14ac:dyDescent="0.25">
      <c r="A8" s="424"/>
      <c r="B8" s="421"/>
      <c r="C8" s="425"/>
      <c r="D8" s="429"/>
      <c r="E8" s="429"/>
      <c r="F8" s="430"/>
      <c r="G8" s="429"/>
      <c r="H8" s="429"/>
      <c r="I8" s="429"/>
      <c r="J8" s="429"/>
      <c r="K8" s="429"/>
      <c r="L8" s="431"/>
    </row>
    <row r="9" spans="1:41" ht="12.75" customHeight="1" x14ac:dyDescent="0.25">
      <c r="A9" s="424"/>
      <c r="B9" s="420" t="s">
        <v>63</v>
      </c>
      <c r="C9" s="422"/>
      <c r="D9" s="432">
        <f>SUM(D7:D8)</f>
        <v>3451.6970000000001</v>
      </c>
      <c r="E9" s="432">
        <f>SUM(E7:E8)</f>
        <v>3575.194</v>
      </c>
      <c r="F9" s="432">
        <f>SUM(F7:F8)</f>
        <v>14807.188</v>
      </c>
      <c r="G9" s="432">
        <f>SUM(G7:G8)</f>
        <v>3901.2049999999999</v>
      </c>
      <c r="H9" s="432">
        <f>SUM(H7:H8)</f>
        <v>3948.6550000000002</v>
      </c>
      <c r="I9" s="432"/>
      <c r="J9" s="432"/>
      <c r="K9" s="432">
        <f>SUM(K7:K8)</f>
        <v>15630.157000000003</v>
      </c>
      <c r="L9" s="432">
        <f>K9*(1+L10)</f>
        <v>17505.775840000006</v>
      </c>
    </row>
    <row r="10" spans="1:41" ht="12.75" customHeight="1" x14ac:dyDescent="0.25">
      <c r="A10" s="424"/>
      <c r="B10" s="424"/>
      <c r="C10" s="433" t="s">
        <v>40</v>
      </c>
      <c r="D10" s="429"/>
      <c r="E10" s="429"/>
      <c r="F10" s="429"/>
      <c r="G10" s="429"/>
      <c r="H10" s="429"/>
      <c r="I10" s="429"/>
      <c r="J10" s="429"/>
      <c r="K10" s="429"/>
      <c r="L10" s="434">
        <v>0.12</v>
      </c>
    </row>
    <row r="11" spans="1:41" ht="9" customHeight="1" x14ac:dyDescent="0.25">
      <c r="A11" s="420"/>
      <c r="B11" s="424"/>
      <c r="C11" s="433"/>
      <c r="D11" s="429"/>
      <c r="E11" s="429"/>
      <c r="F11" s="429"/>
      <c r="G11" s="429"/>
      <c r="H11" s="429"/>
      <c r="I11" s="429"/>
      <c r="J11" s="429"/>
      <c r="K11" s="429"/>
      <c r="L11" s="435"/>
    </row>
    <row r="12" spans="1:41" ht="12.75" customHeight="1" collapsed="1" x14ac:dyDescent="0.25">
      <c r="A12" s="420" t="s">
        <v>41</v>
      </c>
      <c r="B12" s="420"/>
      <c r="C12" s="425"/>
      <c r="D12" s="426">
        <v>2364.3000000000002</v>
      </c>
      <c r="E12" s="426">
        <v>2426.8519999999999</v>
      </c>
      <c r="F12" s="426">
        <v>10109.278</v>
      </c>
      <c r="G12" s="426">
        <v>2672.9490000000001</v>
      </c>
      <c r="H12" s="426">
        <v>2685.4319999999998</v>
      </c>
      <c r="I12" s="426"/>
      <c r="J12" s="427"/>
      <c r="K12" s="427">
        <f>H12+G12+F12-E12-D12</f>
        <v>10676.507000000001</v>
      </c>
      <c r="L12" s="428">
        <f>L13*L9</f>
        <v>11957.687840000004</v>
      </c>
    </row>
    <row r="13" spans="1:41" ht="15" customHeight="1" x14ac:dyDescent="0.25">
      <c r="A13" s="424"/>
      <c r="B13" s="436" t="s">
        <v>42</v>
      </c>
      <c r="C13" s="433"/>
      <c r="D13" s="437">
        <f>D12/D9</f>
        <v>0.68496742327035076</v>
      </c>
      <c r="E13" s="437">
        <f>E12/E9</f>
        <v>0.67880288454276883</v>
      </c>
      <c r="F13" s="437">
        <f>F12/F9</f>
        <v>0.6827277400678643</v>
      </c>
      <c r="G13" s="437">
        <f>G12/G9</f>
        <v>0.68515984163867316</v>
      </c>
      <c r="H13" s="437">
        <f>H12/H9</f>
        <v>0.68008777672397303</v>
      </c>
      <c r="I13" s="437"/>
      <c r="J13" s="437"/>
      <c r="K13" s="437">
        <f>K12/K9</f>
        <v>0.68307100178200386</v>
      </c>
      <c r="L13" s="438">
        <f>K13</f>
        <v>0.68307100178200386</v>
      </c>
    </row>
    <row r="14" spans="1:41" ht="21" customHeight="1" x14ac:dyDescent="0.25">
      <c r="A14" s="420" t="s">
        <v>62</v>
      </c>
      <c r="B14" s="420"/>
      <c r="C14" s="422"/>
      <c r="D14" s="432">
        <f>D9-D12</f>
        <v>1087.3969999999999</v>
      </c>
      <c r="E14" s="432">
        <f>E9-E12</f>
        <v>1148.3420000000001</v>
      </c>
      <c r="F14" s="432">
        <f>F9-F12</f>
        <v>4697.91</v>
      </c>
      <c r="G14" s="432">
        <f>G9-G12</f>
        <v>1228.2559999999999</v>
      </c>
      <c r="H14" s="432">
        <f>H9-H12</f>
        <v>1263.2230000000004</v>
      </c>
      <c r="I14" s="432"/>
      <c r="J14" s="432"/>
      <c r="K14" s="432">
        <f>K9-K12</f>
        <v>4953.6500000000015</v>
      </c>
      <c r="L14" s="432">
        <f>L9-L12</f>
        <v>5548.0880000000016</v>
      </c>
    </row>
    <row r="15" spans="1:41" ht="12" x14ac:dyDescent="0.2">
      <c r="A15" s="424"/>
      <c r="B15" s="436" t="s">
        <v>43</v>
      </c>
      <c r="C15" s="433"/>
      <c r="D15" s="429">
        <f>D14/D9</f>
        <v>0.31503257672964918</v>
      </c>
      <c r="E15" s="429">
        <f>E14/E9</f>
        <v>0.32119711545723117</v>
      </c>
      <c r="F15" s="429">
        <f>F14/F9</f>
        <v>0.31727225993213565</v>
      </c>
      <c r="G15" s="429">
        <f>G14/G9</f>
        <v>0.31484015836132678</v>
      </c>
      <c r="H15" s="429">
        <f>H14/H9</f>
        <v>0.31991222327602697</v>
      </c>
      <c r="I15" s="429"/>
      <c r="J15" s="429"/>
      <c r="K15" s="429">
        <f>K14/K9</f>
        <v>0.31692899821799619</v>
      </c>
      <c r="L15" s="429">
        <f>L14/L9</f>
        <v>0.31692899821799614</v>
      </c>
      <c r="N15" s="401"/>
      <c r="O15" s="401"/>
      <c r="P15" s="401"/>
      <c r="Q15" s="401"/>
      <c r="R15" s="401"/>
      <c r="S15" s="401"/>
      <c r="T15" s="401"/>
      <c r="U15" s="401"/>
      <c r="V15" s="401"/>
      <c r="W15" s="401"/>
      <c r="X15" s="401"/>
      <c r="Y15" s="401"/>
      <c r="Z15" s="401"/>
      <c r="AA15" s="401"/>
      <c r="AB15" s="401"/>
      <c r="AC15" s="401"/>
      <c r="AD15" s="401"/>
      <c r="AE15" s="401"/>
      <c r="AF15" s="401"/>
      <c r="AG15" s="401"/>
      <c r="AH15" s="401"/>
      <c r="AI15" s="401"/>
      <c r="AJ15" s="401"/>
      <c r="AK15" s="401"/>
      <c r="AL15" s="401"/>
      <c r="AM15" s="401"/>
      <c r="AN15" s="401"/>
      <c r="AO15" s="401"/>
    </row>
    <row r="16" spans="1:41" ht="12" x14ac:dyDescent="0.2">
      <c r="A16" s="420" t="s">
        <v>49</v>
      </c>
      <c r="B16" s="424"/>
      <c r="C16" s="424"/>
      <c r="D16" s="439"/>
      <c r="E16" s="439"/>
      <c r="F16" s="439"/>
      <c r="G16" s="439"/>
      <c r="H16" s="439"/>
      <c r="I16" s="439"/>
      <c r="J16" s="439"/>
      <c r="K16" s="439"/>
      <c r="L16" s="439"/>
      <c r="N16" s="401"/>
      <c r="O16" s="401"/>
      <c r="P16" s="401"/>
      <c r="Q16" s="401"/>
      <c r="R16" s="401"/>
      <c r="S16" s="401"/>
      <c r="T16" s="401"/>
      <c r="U16" s="401"/>
      <c r="V16" s="401"/>
      <c r="W16" s="401"/>
      <c r="X16" s="401"/>
      <c r="Y16" s="401"/>
      <c r="Z16" s="401"/>
      <c r="AA16" s="401"/>
      <c r="AB16" s="401"/>
      <c r="AC16" s="401"/>
      <c r="AD16" s="401"/>
      <c r="AE16" s="401"/>
      <c r="AF16" s="401"/>
      <c r="AG16" s="401"/>
      <c r="AH16" s="401"/>
      <c r="AI16" s="401"/>
      <c r="AJ16" s="401"/>
      <c r="AK16" s="401"/>
      <c r="AL16" s="401"/>
      <c r="AM16" s="401"/>
      <c r="AN16" s="401"/>
      <c r="AO16" s="401"/>
    </row>
    <row r="17" spans="1:41" ht="12" x14ac:dyDescent="0.2">
      <c r="A17" s="424"/>
      <c r="B17" s="424" t="s">
        <v>44</v>
      </c>
      <c r="C17" s="424"/>
      <c r="D17" s="426">
        <v>698.29300000000001</v>
      </c>
      <c r="E17" s="426">
        <v>729.928</v>
      </c>
      <c r="F17" s="426">
        <v>2931.6980000000003</v>
      </c>
      <c r="G17" s="426">
        <v>771.66100000000006</v>
      </c>
      <c r="H17" s="426">
        <v>802.02</v>
      </c>
      <c r="I17" s="426"/>
      <c r="J17" s="427"/>
      <c r="K17" s="427">
        <f>H17+G17+F17-E17-D17</f>
        <v>3077.1580000000008</v>
      </c>
      <c r="L17" s="428">
        <f>L18*L9</f>
        <v>3446.4169600000014</v>
      </c>
      <c r="N17" s="401"/>
      <c r="O17" s="401"/>
      <c r="P17" s="401"/>
      <c r="Q17" s="401"/>
      <c r="R17" s="401"/>
      <c r="S17" s="401"/>
      <c r="T17" s="401"/>
      <c r="U17" s="401"/>
      <c r="V17" s="401"/>
      <c r="W17" s="401"/>
      <c r="X17" s="401"/>
      <c r="Y17" s="401"/>
      <c r="Z17" s="401"/>
      <c r="AA17" s="401"/>
      <c r="AB17" s="401"/>
      <c r="AC17" s="401"/>
      <c r="AD17" s="401"/>
      <c r="AE17" s="401"/>
      <c r="AF17" s="401"/>
      <c r="AG17" s="401"/>
      <c r="AH17" s="401"/>
      <c r="AI17" s="401"/>
      <c r="AJ17" s="401"/>
      <c r="AK17" s="401"/>
      <c r="AL17" s="401"/>
      <c r="AM17" s="401"/>
      <c r="AN17" s="401"/>
      <c r="AO17" s="401"/>
    </row>
    <row r="18" spans="1:41" ht="12" x14ac:dyDescent="0.2">
      <c r="A18" s="424"/>
      <c r="B18" s="424"/>
      <c r="C18" s="433" t="s">
        <v>100</v>
      </c>
      <c r="D18" s="429">
        <f>D17/D9</f>
        <v>0.20230425787663286</v>
      </c>
      <c r="E18" s="429">
        <f>E17/E9</f>
        <v>0.2041645851945377</v>
      </c>
      <c r="F18" s="429">
        <f>F17/F9</f>
        <v>0.19799154302626537</v>
      </c>
      <c r="G18" s="429">
        <f>G17/G9</f>
        <v>0.19780067953363129</v>
      </c>
      <c r="H18" s="429">
        <f>H17/H9</f>
        <v>0.203112198963951</v>
      </c>
      <c r="I18" s="429"/>
      <c r="J18" s="429"/>
      <c r="K18" s="429">
        <f>K17/K9</f>
        <v>0.19687313441573237</v>
      </c>
      <c r="L18" s="440">
        <f>K18</f>
        <v>0.19687313441573237</v>
      </c>
      <c r="N18" s="401"/>
      <c r="O18" s="401"/>
      <c r="P18" s="401"/>
      <c r="Q18" s="401"/>
      <c r="R18" s="401"/>
      <c r="S18" s="401"/>
      <c r="T18" s="401"/>
      <c r="U18" s="401"/>
      <c r="V18" s="401"/>
      <c r="W18" s="401"/>
      <c r="X18" s="401"/>
      <c r="Y18" s="401"/>
      <c r="Z18" s="401"/>
      <c r="AA18" s="401"/>
      <c r="AB18" s="401"/>
      <c r="AC18" s="401"/>
      <c r="AD18" s="401"/>
      <c r="AE18" s="401"/>
      <c r="AF18" s="401"/>
      <c r="AG18" s="401"/>
      <c r="AH18" s="401"/>
      <c r="AI18" s="401"/>
      <c r="AJ18" s="401"/>
      <c r="AK18" s="401"/>
      <c r="AL18" s="401"/>
      <c r="AM18" s="401"/>
      <c r="AN18" s="401"/>
      <c r="AO18" s="401"/>
    </row>
    <row r="19" spans="1:41" ht="12" x14ac:dyDescent="0.2">
      <c r="A19" s="424"/>
      <c r="B19" s="420" t="s">
        <v>50</v>
      </c>
      <c r="C19" s="424"/>
      <c r="D19" s="441">
        <f>D17</f>
        <v>698.29300000000001</v>
      </c>
      <c r="E19" s="441">
        <f>E17</f>
        <v>729.928</v>
      </c>
      <c r="F19" s="441">
        <f>F17</f>
        <v>2931.6980000000003</v>
      </c>
      <c r="G19" s="441">
        <f>G17</f>
        <v>771.66100000000006</v>
      </c>
      <c r="H19" s="441">
        <f>H17</f>
        <v>802.02</v>
      </c>
      <c r="I19" s="441"/>
      <c r="J19" s="441"/>
      <c r="K19" s="441">
        <f>K17</f>
        <v>3077.1580000000008</v>
      </c>
      <c r="L19" s="441">
        <f>L17</f>
        <v>3446.4169600000014</v>
      </c>
      <c r="N19" s="442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401"/>
      <c r="AB19" s="401"/>
      <c r="AC19" s="401"/>
      <c r="AD19" s="401"/>
      <c r="AE19" s="401"/>
      <c r="AF19" s="401"/>
      <c r="AG19" s="401"/>
      <c r="AH19" s="401"/>
      <c r="AI19" s="401"/>
      <c r="AJ19" s="401"/>
      <c r="AK19" s="401"/>
      <c r="AL19" s="401"/>
      <c r="AM19" s="401"/>
      <c r="AN19" s="401"/>
      <c r="AO19" s="401"/>
    </row>
    <row r="20" spans="1:41" ht="12" x14ac:dyDescent="0.2">
      <c r="A20" s="420" t="s">
        <v>2</v>
      </c>
      <c r="B20" s="420"/>
      <c r="C20" s="422"/>
      <c r="D20" s="432">
        <f>D14-D17</f>
        <v>389.10399999999993</v>
      </c>
      <c r="E20" s="432">
        <f>E14-E17</f>
        <v>418.4140000000001</v>
      </c>
      <c r="F20" s="432">
        <f>F14-F17</f>
        <v>1766.2119999999995</v>
      </c>
      <c r="G20" s="432">
        <f>G14-G17</f>
        <v>456.5949999999998</v>
      </c>
      <c r="H20" s="432">
        <f>H14-H17</f>
        <v>461.20300000000043</v>
      </c>
      <c r="I20" s="432"/>
      <c r="J20" s="432"/>
      <c r="K20" s="432">
        <f>K14-K17</f>
        <v>1876.4920000000006</v>
      </c>
      <c r="L20" s="432">
        <f>L14-L17</f>
        <v>2101.6710400000002</v>
      </c>
      <c r="N20" s="401"/>
      <c r="O20" s="442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401"/>
      <c r="AB20" s="401"/>
      <c r="AC20" s="401"/>
      <c r="AD20" s="401"/>
      <c r="AE20" s="401"/>
      <c r="AF20" s="401"/>
      <c r="AG20" s="401"/>
      <c r="AH20" s="401"/>
      <c r="AI20" s="401"/>
      <c r="AJ20" s="401"/>
      <c r="AK20" s="401"/>
      <c r="AL20" s="401"/>
      <c r="AM20" s="401"/>
      <c r="AN20" s="401"/>
      <c r="AO20" s="401"/>
    </row>
    <row r="21" spans="1:41" ht="12" x14ac:dyDescent="0.2">
      <c r="A21" s="424"/>
      <c r="B21" s="436" t="s">
        <v>45</v>
      </c>
      <c r="C21" s="433"/>
      <c r="D21" s="429">
        <f>D20/D9</f>
        <v>0.11272831885301633</v>
      </c>
      <c r="E21" s="429">
        <f>E20/E9</f>
        <v>0.11703253026269346</v>
      </c>
      <c r="F21" s="429">
        <f>F20/F9</f>
        <v>0.11928071690587028</v>
      </c>
      <c r="G21" s="429">
        <f>G20/G9</f>
        <v>0.1170394788276955</v>
      </c>
      <c r="H21" s="429">
        <f>H20/H9</f>
        <v>0.11680002431207599</v>
      </c>
      <c r="I21" s="429"/>
      <c r="J21" s="429"/>
      <c r="K21" s="429">
        <f>K20/K9</f>
        <v>0.12005586380226381</v>
      </c>
      <c r="L21" s="429">
        <f>L20/L9</f>
        <v>0.12005586380226377</v>
      </c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401"/>
      <c r="AB21" s="401"/>
      <c r="AC21" s="401"/>
      <c r="AD21" s="401"/>
      <c r="AE21" s="401"/>
      <c r="AF21" s="401"/>
      <c r="AG21" s="401"/>
      <c r="AH21" s="401"/>
      <c r="AI21" s="401"/>
      <c r="AJ21" s="401"/>
      <c r="AK21" s="401"/>
      <c r="AL21" s="401"/>
      <c r="AM21" s="401"/>
      <c r="AN21" s="401"/>
      <c r="AO21" s="401"/>
    </row>
    <row r="22" spans="1:41" ht="12" x14ac:dyDescent="0.2">
      <c r="A22" s="424" t="s">
        <v>46</v>
      </c>
      <c r="B22" s="424"/>
      <c r="C22" s="424"/>
      <c r="D22" s="426">
        <v>67.486000000000004</v>
      </c>
      <c r="E22" s="426">
        <v>68.385000000000005</v>
      </c>
      <c r="F22" s="426">
        <v>275.40800000000002</v>
      </c>
      <c r="G22" s="426">
        <v>72.271000000000001</v>
      </c>
      <c r="H22" s="426">
        <v>73.989000000000004</v>
      </c>
      <c r="I22" s="426"/>
      <c r="J22" s="427"/>
      <c r="K22" s="427">
        <f>H22+G22+F22-E22-D22</f>
        <v>285.79700000000003</v>
      </c>
      <c r="L22" s="428">
        <f>L23*L9</f>
        <v>320.09264000000007</v>
      </c>
      <c r="N22" s="401"/>
      <c r="O22" s="401"/>
      <c r="P22" s="401"/>
      <c r="Q22" s="401"/>
      <c r="R22" s="401"/>
      <c r="S22" s="401"/>
      <c r="T22" s="401"/>
      <c r="U22" s="401"/>
      <c r="V22" s="401"/>
      <c r="W22" s="401"/>
      <c r="X22" s="401"/>
      <c r="Y22" s="401"/>
      <c r="Z22" s="401"/>
      <c r="AA22" s="401"/>
      <c r="AB22" s="401"/>
      <c r="AC22" s="401"/>
      <c r="AD22" s="401"/>
      <c r="AE22" s="401"/>
      <c r="AF22" s="401"/>
      <c r="AG22" s="401"/>
      <c r="AH22" s="401"/>
      <c r="AI22" s="401"/>
      <c r="AJ22" s="401"/>
      <c r="AK22" s="401"/>
      <c r="AL22" s="401"/>
      <c r="AM22" s="401"/>
      <c r="AN22" s="401"/>
      <c r="AO22" s="401"/>
    </row>
    <row r="23" spans="1:41" ht="12" x14ac:dyDescent="0.2">
      <c r="A23" s="424"/>
      <c r="B23" s="436" t="s">
        <v>182</v>
      </c>
      <c r="C23" s="424"/>
      <c r="D23" s="437">
        <f>D22/D9</f>
        <v>1.9551542328309815E-2</v>
      </c>
      <c r="E23" s="437">
        <f>E22/E9</f>
        <v>1.9127633353602631E-2</v>
      </c>
      <c r="F23" s="437">
        <f>F22/F9</f>
        <v>1.8599615267936086E-2</v>
      </c>
      <c r="G23" s="437">
        <f>G22/G9</f>
        <v>1.8525301797777866E-2</v>
      </c>
      <c r="H23" s="437">
        <f>H22/H9</f>
        <v>1.8737772735273151E-2</v>
      </c>
      <c r="I23" s="437"/>
      <c r="J23" s="437"/>
      <c r="K23" s="437">
        <f>K22/K9</f>
        <v>1.8284973081204494E-2</v>
      </c>
      <c r="L23" s="437">
        <f>K23</f>
        <v>1.8284973081204494E-2</v>
      </c>
      <c r="N23" s="401"/>
      <c r="O23" s="401"/>
      <c r="P23" s="401"/>
      <c r="Q23" s="401"/>
      <c r="R23" s="401"/>
      <c r="S23" s="401"/>
      <c r="T23" s="401"/>
      <c r="U23" s="401"/>
      <c r="V23" s="401"/>
      <c r="W23" s="401"/>
      <c r="X23" s="401"/>
      <c r="Y23" s="401"/>
      <c r="Z23" s="401"/>
      <c r="AA23" s="401"/>
      <c r="AB23" s="401"/>
      <c r="AC23" s="401"/>
      <c r="AD23" s="401"/>
      <c r="AE23" s="401"/>
      <c r="AF23" s="401"/>
      <c r="AG23" s="401"/>
      <c r="AH23" s="401"/>
      <c r="AI23" s="401"/>
      <c r="AJ23" s="401"/>
      <c r="AK23" s="401"/>
      <c r="AL23" s="401"/>
      <c r="AM23" s="401"/>
      <c r="AN23" s="401"/>
      <c r="AO23" s="401"/>
    </row>
    <row r="24" spans="1:41" ht="12" x14ac:dyDescent="0.2">
      <c r="A24" s="420" t="s">
        <v>1</v>
      </c>
      <c r="B24" s="420"/>
      <c r="C24" s="422"/>
      <c r="D24" s="432">
        <f>D20-D22</f>
        <v>321.61799999999994</v>
      </c>
      <c r="E24" s="432">
        <f>E20-E22</f>
        <v>350.02900000000011</v>
      </c>
      <c r="F24" s="432">
        <f>F20-F22</f>
        <v>1490.8039999999996</v>
      </c>
      <c r="G24" s="432">
        <f>G20-G22</f>
        <v>384.32399999999978</v>
      </c>
      <c r="H24" s="432">
        <f>H20-H22</f>
        <v>387.2140000000004</v>
      </c>
      <c r="I24" s="432"/>
      <c r="J24" s="432"/>
      <c r="K24" s="432">
        <f>K20-K22</f>
        <v>1590.6950000000006</v>
      </c>
      <c r="L24" s="432">
        <f>L20-L22</f>
        <v>1781.5784000000001</v>
      </c>
      <c r="N24" s="401"/>
      <c r="O24" s="401"/>
      <c r="P24" s="401"/>
      <c r="Q24" s="401"/>
      <c r="R24" s="401"/>
      <c r="S24" s="401"/>
      <c r="T24" s="401"/>
      <c r="U24" s="401"/>
      <c r="V24" s="401"/>
      <c r="W24" s="401"/>
      <c r="X24" s="401"/>
      <c r="Y24" s="401"/>
      <c r="Z24" s="401"/>
      <c r="AA24" s="401"/>
      <c r="AB24" s="401"/>
      <c r="AC24" s="401"/>
      <c r="AD24" s="401"/>
      <c r="AE24" s="401"/>
      <c r="AF24" s="401"/>
      <c r="AG24" s="401"/>
      <c r="AH24" s="401"/>
      <c r="AI24" s="401"/>
      <c r="AJ24" s="401"/>
      <c r="AK24" s="401"/>
      <c r="AL24" s="401"/>
      <c r="AM24" s="401"/>
      <c r="AN24" s="401"/>
      <c r="AO24" s="401"/>
    </row>
    <row r="25" spans="1:41" ht="12" x14ac:dyDescent="0.2">
      <c r="A25" s="424"/>
      <c r="B25" s="436" t="s">
        <v>47</v>
      </c>
      <c r="C25" s="436"/>
      <c r="D25" s="437">
        <f>D24/D9</f>
        <v>9.3176776524706517E-2</v>
      </c>
      <c r="E25" s="437">
        <f>E24/E9</f>
        <v>9.7904896909090836E-2</v>
      </c>
      <c r="F25" s="437">
        <f>F24/F9</f>
        <v>0.1006811016379342</v>
      </c>
      <c r="G25" s="437">
        <f>G24/G9</f>
        <v>9.8514177029917632E-2</v>
      </c>
      <c r="H25" s="437">
        <f>H24/H9</f>
        <v>9.8062251576802831E-2</v>
      </c>
      <c r="I25" s="437"/>
      <c r="J25" s="437"/>
      <c r="K25" s="437">
        <f>K24/K9</f>
        <v>0.10177089072105931</v>
      </c>
      <c r="L25" s="437">
        <f>L24/L9</f>
        <v>0.10177089072105927</v>
      </c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401"/>
      <c r="AB25" s="401"/>
      <c r="AC25" s="401"/>
      <c r="AD25" s="401"/>
      <c r="AE25" s="401"/>
      <c r="AF25" s="401"/>
      <c r="AG25" s="401"/>
      <c r="AH25" s="401"/>
      <c r="AI25" s="401"/>
      <c r="AJ25" s="401"/>
      <c r="AK25" s="401"/>
      <c r="AL25" s="401"/>
      <c r="AM25" s="401"/>
      <c r="AN25" s="401"/>
      <c r="AO25" s="401"/>
    </row>
    <row r="26" spans="1:41" ht="12" x14ac:dyDescent="0.2">
      <c r="A26" s="420" t="s">
        <v>51</v>
      </c>
      <c r="B26" s="424"/>
      <c r="C26" s="425"/>
      <c r="D26" s="428"/>
      <c r="E26" s="428"/>
      <c r="F26" s="428"/>
      <c r="G26" s="428"/>
      <c r="H26" s="428"/>
      <c r="I26" s="428"/>
      <c r="J26" s="428"/>
      <c r="K26" s="428"/>
      <c r="L26" s="428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1"/>
      <c r="Y26" s="401"/>
      <c r="Z26" s="401"/>
      <c r="AA26" s="401"/>
      <c r="AB26" s="401"/>
      <c r="AC26" s="401"/>
      <c r="AD26" s="401"/>
      <c r="AE26" s="401"/>
      <c r="AF26" s="401"/>
      <c r="AG26" s="401"/>
      <c r="AH26" s="401"/>
      <c r="AI26" s="401"/>
      <c r="AJ26" s="401"/>
      <c r="AK26" s="401"/>
      <c r="AL26" s="401"/>
      <c r="AM26" s="401"/>
      <c r="AN26" s="401"/>
      <c r="AO26" s="401"/>
    </row>
    <row r="27" spans="1:41" ht="12" x14ac:dyDescent="0.2">
      <c r="A27" s="424"/>
      <c r="B27" s="424" t="s">
        <v>13</v>
      </c>
      <c r="C27" s="424"/>
      <c r="D27" s="426">
        <v>0</v>
      </c>
      <c r="E27" s="443">
        <v>0</v>
      </c>
      <c r="F27" s="443">
        <v>0</v>
      </c>
      <c r="G27" s="443">
        <v>0</v>
      </c>
      <c r="H27" s="443">
        <v>0</v>
      </c>
      <c r="I27" s="443"/>
      <c r="J27" s="427"/>
      <c r="K27" s="427">
        <f>H27+G27+F27-E27-D27</f>
        <v>0</v>
      </c>
      <c r="L27" s="427">
        <f>I27+H27+G27-F27-E27</f>
        <v>0</v>
      </c>
      <c r="N27" s="401"/>
      <c r="O27" s="401"/>
      <c r="P27" s="401"/>
      <c r="Q27" s="401"/>
      <c r="R27" s="401"/>
      <c r="S27" s="401"/>
      <c r="T27" s="401"/>
      <c r="U27" s="401"/>
      <c r="V27" s="401"/>
      <c r="W27" s="401"/>
      <c r="X27" s="401"/>
      <c r="Y27" s="401"/>
      <c r="Z27" s="401"/>
      <c r="AA27" s="401"/>
      <c r="AB27" s="401"/>
      <c r="AC27" s="401"/>
      <c r="AD27" s="401"/>
      <c r="AE27" s="401"/>
      <c r="AF27" s="401"/>
      <c r="AG27" s="401"/>
      <c r="AH27" s="401"/>
      <c r="AI27" s="401"/>
      <c r="AJ27" s="401"/>
      <c r="AK27" s="401"/>
      <c r="AL27" s="401"/>
      <c r="AM27" s="401"/>
      <c r="AN27" s="401"/>
      <c r="AO27" s="401"/>
    </row>
    <row r="28" spans="1:41" ht="12" x14ac:dyDescent="0.2">
      <c r="A28" s="424"/>
      <c r="B28" s="424" t="s">
        <v>188</v>
      </c>
      <c r="C28" s="424"/>
      <c r="D28" s="444">
        <v>0</v>
      </c>
      <c r="E28" s="445">
        <v>0</v>
      </c>
      <c r="F28" s="445">
        <v>0</v>
      </c>
      <c r="G28" s="445">
        <v>0</v>
      </c>
      <c r="H28" s="445">
        <v>0</v>
      </c>
      <c r="I28" s="445"/>
      <c r="J28" s="446"/>
      <c r="K28" s="447">
        <f>H28+G28+F28-E28-D28</f>
        <v>0</v>
      </c>
      <c r="L28" s="447">
        <f>I28+H28+G28-F28-E28</f>
        <v>0</v>
      </c>
      <c r="N28" s="401"/>
      <c r="O28" s="401"/>
      <c r="P28" s="401"/>
      <c r="Q28" s="401"/>
      <c r="R28" s="401"/>
      <c r="S28" s="401"/>
      <c r="T28" s="401"/>
      <c r="U28" s="401"/>
      <c r="V28" s="401"/>
      <c r="W28" s="401"/>
      <c r="X28" s="401"/>
      <c r="Y28" s="401"/>
      <c r="Z28" s="401"/>
      <c r="AA28" s="401"/>
      <c r="AB28" s="401"/>
      <c r="AC28" s="401"/>
      <c r="AD28" s="401"/>
      <c r="AE28" s="401"/>
      <c r="AF28" s="401"/>
      <c r="AG28" s="401"/>
      <c r="AH28" s="401"/>
      <c r="AI28" s="401"/>
      <c r="AJ28" s="401"/>
      <c r="AK28" s="401"/>
      <c r="AL28" s="401"/>
      <c r="AM28" s="401"/>
      <c r="AN28" s="401"/>
      <c r="AO28" s="401"/>
    </row>
    <row r="29" spans="1:41" ht="12" x14ac:dyDescent="0.2">
      <c r="A29" s="424"/>
      <c r="B29" s="420" t="s">
        <v>257</v>
      </c>
      <c r="C29" s="424"/>
      <c r="D29" s="423">
        <f>SUM(D27:D28)</f>
        <v>0</v>
      </c>
      <c r="E29" s="423">
        <f>SUM(E27:E28)</f>
        <v>0</v>
      </c>
      <c r="F29" s="423">
        <f>SUM(F27:F28)</f>
        <v>0</v>
      </c>
      <c r="G29" s="423">
        <f>SUM(G27:G28)</f>
        <v>0</v>
      </c>
      <c r="H29" s="423">
        <f>SUM(H27:H28)</f>
        <v>0</v>
      </c>
      <c r="I29" s="423"/>
      <c r="J29" s="423"/>
      <c r="K29" s="423">
        <f>SUM(K27:K28)</f>
        <v>0</v>
      </c>
      <c r="L29" s="423">
        <f>SUM(L27:L28)</f>
        <v>0</v>
      </c>
      <c r="N29" s="401"/>
      <c r="O29" s="401"/>
      <c r="P29" s="401"/>
      <c r="Q29" s="401"/>
      <c r="R29" s="401"/>
      <c r="S29" s="401"/>
      <c r="T29" s="401"/>
      <c r="U29" s="401"/>
      <c r="V29" s="401"/>
      <c r="W29" s="401"/>
      <c r="X29" s="401"/>
      <c r="Y29" s="401"/>
      <c r="Z29" s="401"/>
      <c r="AA29" s="401"/>
      <c r="AB29" s="401"/>
      <c r="AC29" s="401"/>
      <c r="AD29" s="401"/>
      <c r="AE29" s="401"/>
      <c r="AF29" s="401"/>
      <c r="AG29" s="401"/>
      <c r="AH29" s="401"/>
      <c r="AI29" s="401"/>
      <c r="AJ29" s="401"/>
      <c r="AK29" s="401"/>
      <c r="AL29" s="401"/>
      <c r="AM29" s="401"/>
      <c r="AN29" s="401"/>
      <c r="AO29" s="401"/>
    </row>
    <row r="30" spans="1:41" ht="12" x14ac:dyDescent="0.2">
      <c r="A30" s="420" t="s">
        <v>87</v>
      </c>
      <c r="B30" s="424"/>
      <c r="C30" s="436"/>
      <c r="D30" s="429"/>
      <c r="E30" s="429"/>
      <c r="F30" s="429"/>
      <c r="G30" s="429"/>
      <c r="H30" s="429"/>
      <c r="I30" s="429"/>
      <c r="J30" s="429"/>
      <c r="K30" s="429"/>
      <c r="L30" s="429"/>
      <c r="N30" s="401"/>
      <c r="O30" s="401"/>
      <c r="P30" s="401"/>
      <c r="Q30" s="401"/>
      <c r="R30" s="401"/>
      <c r="S30" s="401"/>
      <c r="T30" s="401"/>
      <c r="U30" s="401"/>
      <c r="V30" s="401"/>
      <c r="W30" s="401"/>
      <c r="X30" s="401"/>
      <c r="Y30" s="401"/>
      <c r="Z30" s="401"/>
      <c r="AA30" s="401"/>
      <c r="AB30" s="401"/>
      <c r="AC30" s="401"/>
      <c r="AD30" s="401"/>
      <c r="AE30" s="401"/>
      <c r="AF30" s="401"/>
      <c r="AG30" s="401"/>
      <c r="AH30" s="401"/>
      <c r="AI30" s="401"/>
      <c r="AJ30" s="401"/>
      <c r="AK30" s="401"/>
      <c r="AL30" s="401"/>
      <c r="AM30" s="401"/>
      <c r="AN30" s="401"/>
      <c r="AO30" s="401"/>
    </row>
    <row r="31" spans="1:41" ht="12" x14ac:dyDescent="0.2">
      <c r="A31" s="424"/>
      <c r="B31" s="424" t="s">
        <v>161</v>
      </c>
      <c r="C31" s="424"/>
      <c r="D31" s="426">
        <v>65.590999999999994</v>
      </c>
      <c r="E31" s="426">
        <v>60.652999999999999</v>
      </c>
      <c r="F31" s="426">
        <v>204.99100000000001</v>
      </c>
      <c r="G31" s="426">
        <v>37.073999999999998</v>
      </c>
      <c r="H31" s="426">
        <v>35.665999999999997</v>
      </c>
      <c r="I31" s="426"/>
      <c r="J31" s="428"/>
      <c r="K31" s="427">
        <f>H31+G31+F31-E31-D31</f>
        <v>151.48700000000002</v>
      </c>
      <c r="L31" s="427">
        <f>K31</f>
        <v>151.48700000000002</v>
      </c>
      <c r="N31" s="401"/>
      <c r="O31" s="401"/>
      <c r="P31" s="401"/>
      <c r="Q31" s="401"/>
      <c r="R31" s="401"/>
      <c r="S31" s="401"/>
      <c r="T31" s="401"/>
      <c r="U31" s="401"/>
      <c r="V31" s="401"/>
      <c r="W31" s="401"/>
      <c r="X31" s="401"/>
      <c r="Y31" s="401"/>
      <c r="Z31" s="401"/>
      <c r="AA31" s="401"/>
      <c r="AB31" s="401"/>
      <c r="AC31" s="401"/>
      <c r="AD31" s="401"/>
      <c r="AE31" s="401"/>
      <c r="AF31" s="401"/>
      <c r="AG31" s="401"/>
      <c r="AH31" s="401"/>
      <c r="AI31" s="401"/>
      <c r="AJ31" s="401"/>
      <c r="AK31" s="401"/>
      <c r="AL31" s="401"/>
      <c r="AM31" s="401"/>
      <c r="AN31" s="401"/>
      <c r="AO31" s="401"/>
    </row>
    <row r="32" spans="1:41" ht="12" x14ac:dyDescent="0.2">
      <c r="A32" s="424"/>
      <c r="B32" s="424" t="s">
        <v>48</v>
      </c>
      <c r="C32" s="424"/>
      <c r="D32" s="426">
        <v>-1.9E-2</v>
      </c>
      <c r="E32" s="426">
        <v>-2.5999999999999999E-2</v>
      </c>
      <c r="F32" s="426">
        <v>-9.0999999999999998E-2</v>
      </c>
      <c r="G32" s="426">
        <v>0</v>
      </c>
      <c r="H32" s="426">
        <v>0</v>
      </c>
      <c r="I32" s="426"/>
      <c r="J32" s="428"/>
      <c r="K32" s="427">
        <f>H32+G32+F32-E32-D32</f>
        <v>-4.5999999999999999E-2</v>
      </c>
      <c r="L32" s="427">
        <f>K32</f>
        <v>-4.5999999999999999E-2</v>
      </c>
      <c r="N32" s="401"/>
      <c r="O32" s="401"/>
      <c r="P32" s="401"/>
      <c r="Q32" s="401"/>
      <c r="R32" s="401"/>
      <c r="S32" s="401"/>
      <c r="T32" s="401"/>
      <c r="U32" s="401"/>
      <c r="V32" s="401"/>
      <c r="W32" s="401"/>
      <c r="X32" s="401"/>
      <c r="Y32" s="401"/>
      <c r="Z32" s="401"/>
      <c r="AA32" s="401"/>
      <c r="AB32" s="401"/>
      <c r="AC32" s="401"/>
      <c r="AD32" s="401"/>
      <c r="AE32" s="401"/>
      <c r="AF32" s="401"/>
      <c r="AG32" s="401"/>
      <c r="AH32" s="401"/>
      <c r="AI32" s="401"/>
      <c r="AJ32" s="401"/>
      <c r="AK32" s="401"/>
      <c r="AL32" s="401"/>
      <c r="AM32" s="401"/>
      <c r="AN32" s="401"/>
      <c r="AO32" s="401"/>
    </row>
    <row r="33" spans="1:41" ht="12" x14ac:dyDescent="0.2">
      <c r="A33" s="424"/>
      <c r="B33" s="420" t="s">
        <v>86</v>
      </c>
      <c r="C33" s="424"/>
      <c r="D33" s="448">
        <f>SUM(D31:D32)</f>
        <v>65.571999999999989</v>
      </c>
      <c r="E33" s="448">
        <f>SUM(E31:E32)</f>
        <v>60.626999999999995</v>
      </c>
      <c r="F33" s="448">
        <f>SUM(F31:F32)</f>
        <v>204.9</v>
      </c>
      <c r="G33" s="448">
        <f>SUM(G31:G32)</f>
        <v>37.073999999999998</v>
      </c>
      <c r="H33" s="448">
        <f>SUM(H31:H32)</f>
        <v>35.665999999999997</v>
      </c>
      <c r="I33" s="448"/>
      <c r="J33" s="448"/>
      <c r="K33" s="448">
        <f>SUM(K31:K32)</f>
        <v>151.44100000000003</v>
      </c>
      <c r="L33" s="448">
        <f>SUM(L31:L32)</f>
        <v>151.44100000000003</v>
      </c>
      <c r="N33" s="401"/>
      <c r="O33" s="401"/>
      <c r="P33" s="401"/>
      <c r="Q33" s="401"/>
      <c r="R33" s="401"/>
      <c r="S33" s="401"/>
      <c r="T33" s="401"/>
      <c r="U33" s="401"/>
      <c r="V33" s="401"/>
      <c r="W33" s="401"/>
      <c r="X33" s="401"/>
      <c r="Y33" s="401"/>
      <c r="Z33" s="401"/>
      <c r="AA33" s="401"/>
      <c r="AB33" s="401"/>
      <c r="AC33" s="401"/>
      <c r="AD33" s="401"/>
      <c r="AE33" s="401"/>
      <c r="AF33" s="401"/>
      <c r="AG33" s="401"/>
      <c r="AH33" s="401"/>
      <c r="AI33" s="401"/>
      <c r="AJ33" s="401"/>
      <c r="AK33" s="401"/>
      <c r="AL33" s="401"/>
      <c r="AM33" s="401"/>
      <c r="AN33" s="401"/>
      <c r="AO33" s="401"/>
    </row>
    <row r="34" spans="1:41" ht="12" x14ac:dyDescent="0.2">
      <c r="A34" s="420" t="s">
        <v>259</v>
      </c>
      <c r="B34" s="420"/>
      <c r="C34" s="424"/>
      <c r="D34" s="432">
        <f>D24-D29-D33</f>
        <v>256.04599999999994</v>
      </c>
      <c r="E34" s="432">
        <f>E24-E29-E33</f>
        <v>289.4020000000001</v>
      </c>
      <c r="F34" s="432">
        <f>F24-F29-F33</f>
        <v>1285.9039999999995</v>
      </c>
      <c r="G34" s="432">
        <f>G24-G29-G33</f>
        <v>347.24999999999977</v>
      </c>
      <c r="H34" s="432">
        <f>H24-H29-H33</f>
        <v>351.5480000000004</v>
      </c>
      <c r="I34" s="432"/>
      <c r="J34" s="432"/>
      <c r="K34" s="432">
        <f>K24-K29-K33</f>
        <v>1439.2540000000006</v>
      </c>
      <c r="L34" s="432">
        <f>L24-L29-L33</f>
        <v>1630.1374000000001</v>
      </c>
      <c r="N34" s="401"/>
      <c r="O34" s="401"/>
      <c r="P34" s="401"/>
      <c r="Q34" s="401"/>
      <c r="R34" s="401"/>
      <c r="S34" s="401"/>
      <c r="T34" s="401"/>
      <c r="U34" s="401"/>
      <c r="V34" s="401"/>
      <c r="W34" s="401"/>
      <c r="X34" s="401"/>
      <c r="Y34" s="401"/>
      <c r="Z34" s="401"/>
      <c r="AA34" s="401"/>
      <c r="AB34" s="401"/>
      <c r="AC34" s="401"/>
      <c r="AD34" s="401"/>
      <c r="AE34" s="401"/>
      <c r="AF34" s="401"/>
      <c r="AG34" s="401"/>
      <c r="AH34" s="401"/>
      <c r="AI34" s="401"/>
      <c r="AJ34" s="401"/>
      <c r="AK34" s="401"/>
      <c r="AL34" s="401"/>
      <c r="AM34" s="401"/>
      <c r="AN34" s="401"/>
      <c r="AO34" s="401"/>
    </row>
    <row r="35" spans="1:41" ht="12" x14ac:dyDescent="0.2">
      <c r="A35" s="424"/>
      <c r="B35" s="436" t="s">
        <v>54</v>
      </c>
      <c r="C35" s="433"/>
      <c r="D35" s="429">
        <f>D34/D9</f>
        <v>7.4179744050535124E-2</v>
      </c>
      <c r="E35" s="429">
        <f>E34/E9</f>
        <v>8.0947215731509981E-2</v>
      </c>
      <c r="F35" s="429">
        <f>F34/F9</f>
        <v>8.6843227762084169E-2</v>
      </c>
      <c r="G35" s="429">
        <f>G34/G9</f>
        <v>8.9010959434328574E-2</v>
      </c>
      <c r="H35" s="429">
        <f>H34/H9</f>
        <v>8.9029808884291073E-2</v>
      </c>
      <c r="I35" s="429"/>
      <c r="J35" s="429"/>
      <c r="K35" s="429">
        <f>K34/K9</f>
        <v>9.2081864564764151E-2</v>
      </c>
      <c r="L35" s="429">
        <f>L34/L9</f>
        <v>9.3119974510081444E-2</v>
      </c>
      <c r="N35" s="401"/>
      <c r="O35" s="401"/>
      <c r="P35" s="401"/>
      <c r="Q35" s="401"/>
      <c r="R35" s="401"/>
      <c r="S35" s="401"/>
      <c r="T35" s="401"/>
      <c r="U35" s="401"/>
      <c r="V35" s="401"/>
      <c r="W35" s="401"/>
      <c r="X35" s="401"/>
      <c r="Y35" s="401"/>
      <c r="Z35" s="401"/>
      <c r="AA35" s="401"/>
      <c r="AB35" s="401"/>
      <c r="AC35" s="401"/>
      <c r="AD35" s="401"/>
      <c r="AE35" s="401"/>
      <c r="AF35" s="401"/>
      <c r="AG35" s="401"/>
      <c r="AH35" s="401"/>
      <c r="AI35" s="401"/>
      <c r="AJ35" s="401"/>
      <c r="AK35" s="401"/>
      <c r="AL35" s="401"/>
      <c r="AM35" s="401"/>
      <c r="AN35" s="401"/>
      <c r="AO35" s="401"/>
    </row>
    <row r="36" spans="1:41" ht="12" x14ac:dyDescent="0.2">
      <c r="A36" s="424" t="s">
        <v>55</v>
      </c>
      <c r="B36" s="424"/>
      <c r="C36" s="424"/>
      <c r="D36" s="428">
        <f>D34*D37</f>
        <v>97.671680432195586</v>
      </c>
      <c r="E36" s="428">
        <f>E34*E37</f>
        <v>106.56630880374452</v>
      </c>
      <c r="F36" s="428">
        <f>F34*F37</f>
        <v>481.29112235235925</v>
      </c>
      <c r="G36" s="428">
        <f>G34*G37</f>
        <v>132.8030609498841</v>
      </c>
      <c r="H36" s="428">
        <f>H34*H37</f>
        <v>119.90931240557431</v>
      </c>
      <c r="I36" s="428"/>
      <c r="J36" s="428"/>
      <c r="K36" s="427">
        <f>H36+G36+F36-E36-D36</f>
        <v>529.76550647187753</v>
      </c>
      <c r="L36" s="427">
        <f>L37*L34</f>
        <v>600.02651743872116</v>
      </c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401"/>
      <c r="AA36" s="401"/>
      <c r="AB36" s="401"/>
      <c r="AC36" s="401"/>
      <c r="AD36" s="401"/>
      <c r="AE36" s="401"/>
      <c r="AF36" s="401"/>
      <c r="AG36" s="401"/>
      <c r="AH36" s="401"/>
      <c r="AI36" s="401"/>
      <c r="AJ36" s="401"/>
      <c r="AK36" s="401"/>
      <c r="AL36" s="401"/>
      <c r="AM36" s="401"/>
      <c r="AN36" s="401"/>
      <c r="AO36" s="401"/>
    </row>
    <row r="37" spans="1:41" ht="12" x14ac:dyDescent="0.2">
      <c r="A37" s="424"/>
      <c r="B37" s="436" t="s">
        <v>258</v>
      </c>
      <c r="C37" s="433"/>
      <c r="D37" s="438">
        <v>0.3814614578325598</v>
      </c>
      <c r="E37" s="438">
        <v>0.36822934466155893</v>
      </c>
      <c r="F37" s="438">
        <v>0.37428231217288338</v>
      </c>
      <c r="G37" s="438">
        <v>0.38244222015805379</v>
      </c>
      <c r="H37" s="438">
        <v>0.34108944555387649</v>
      </c>
      <c r="I37" s="449"/>
      <c r="J37" s="437"/>
      <c r="K37" s="438">
        <f>K36/K34</f>
        <v>0.36808340047821808</v>
      </c>
      <c r="L37" s="438">
        <f>K37</f>
        <v>0.36808340047821808</v>
      </c>
      <c r="N37" s="450"/>
      <c r="O37" s="401"/>
      <c r="P37" s="401"/>
      <c r="Q37" s="401"/>
      <c r="R37" s="401"/>
      <c r="S37" s="401"/>
      <c r="T37" s="401"/>
      <c r="U37" s="401"/>
      <c r="V37" s="401"/>
      <c r="W37" s="401"/>
      <c r="X37" s="401"/>
      <c r="Y37" s="401"/>
      <c r="Z37" s="401"/>
      <c r="AA37" s="401"/>
      <c r="AB37" s="401"/>
      <c r="AC37" s="401"/>
      <c r="AD37" s="401"/>
      <c r="AE37" s="401"/>
      <c r="AF37" s="401"/>
      <c r="AG37" s="401"/>
      <c r="AH37" s="401"/>
      <c r="AI37" s="401"/>
      <c r="AJ37" s="401"/>
      <c r="AK37" s="401"/>
      <c r="AL37" s="401"/>
      <c r="AM37" s="401"/>
      <c r="AN37" s="401"/>
      <c r="AO37" s="401"/>
    </row>
    <row r="38" spans="1:41" ht="12" x14ac:dyDescent="0.2">
      <c r="A38" s="420" t="s">
        <v>264</v>
      </c>
      <c r="B38" s="420"/>
      <c r="C38" s="424"/>
      <c r="D38" s="432">
        <f>D34-D36</f>
        <v>158.37431956780435</v>
      </c>
      <c r="E38" s="432">
        <f>E34-E36</f>
        <v>182.8356911962556</v>
      </c>
      <c r="F38" s="432">
        <f>F34-F36</f>
        <v>804.61287764764029</v>
      </c>
      <c r="G38" s="432">
        <f>G34-G36</f>
        <v>214.44693905011567</v>
      </c>
      <c r="H38" s="432">
        <f>H34-H36</f>
        <v>231.63868759442607</v>
      </c>
      <c r="I38" s="432"/>
      <c r="J38" s="432"/>
      <c r="K38" s="432">
        <f>K34-K36</f>
        <v>909.48849352812306</v>
      </c>
      <c r="L38" s="432">
        <f>L34-L36</f>
        <v>1030.1108825612789</v>
      </c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401"/>
      <c r="AB38" s="401"/>
      <c r="AC38" s="401"/>
      <c r="AD38" s="401"/>
      <c r="AE38" s="401"/>
      <c r="AF38" s="401"/>
      <c r="AG38" s="401"/>
      <c r="AH38" s="401"/>
      <c r="AI38" s="401"/>
      <c r="AJ38" s="401"/>
      <c r="AK38" s="401"/>
      <c r="AL38" s="401"/>
      <c r="AM38" s="401"/>
      <c r="AN38" s="401"/>
      <c r="AO38" s="401"/>
    </row>
    <row r="39" spans="1:41" ht="12" x14ac:dyDescent="0.2">
      <c r="A39" s="424"/>
      <c r="B39" s="424" t="s">
        <v>262</v>
      </c>
      <c r="C39" s="424"/>
      <c r="D39" s="426">
        <v>0</v>
      </c>
      <c r="E39" s="426">
        <v>0</v>
      </c>
      <c r="F39" s="426">
        <v>0</v>
      </c>
      <c r="G39" s="426">
        <v>0</v>
      </c>
      <c r="H39" s="426">
        <v>0</v>
      </c>
      <c r="I39" s="426"/>
      <c r="J39" s="428"/>
      <c r="K39" s="426">
        <v>0</v>
      </c>
      <c r="L39" s="428">
        <f>L40*L38</f>
        <v>0</v>
      </c>
      <c r="N39" s="401"/>
      <c r="O39" s="401"/>
      <c r="P39" s="401"/>
      <c r="Q39" s="401"/>
      <c r="R39" s="401"/>
      <c r="S39" s="401"/>
      <c r="T39" s="401"/>
      <c r="U39" s="401"/>
      <c r="V39" s="401"/>
      <c r="W39" s="401"/>
      <c r="X39" s="401"/>
      <c r="Y39" s="401"/>
      <c r="Z39" s="401"/>
      <c r="AA39" s="401"/>
      <c r="AB39" s="401"/>
      <c r="AC39" s="401"/>
      <c r="AD39" s="401"/>
      <c r="AE39" s="401"/>
      <c r="AF39" s="401"/>
      <c r="AG39" s="401"/>
      <c r="AH39" s="401"/>
      <c r="AI39" s="401"/>
      <c r="AJ39" s="401"/>
      <c r="AK39" s="401"/>
      <c r="AL39" s="401"/>
      <c r="AM39" s="401"/>
      <c r="AN39" s="401"/>
      <c r="AO39" s="401"/>
    </row>
    <row r="40" spans="1:41" ht="12" x14ac:dyDescent="0.2">
      <c r="A40" s="424"/>
      <c r="B40" s="424"/>
      <c r="C40" s="436" t="s">
        <v>263</v>
      </c>
      <c r="D40" s="437">
        <f>D39/D38</f>
        <v>0</v>
      </c>
      <c r="E40" s="437">
        <f>E39/E38</f>
        <v>0</v>
      </c>
      <c r="F40" s="437">
        <f>F39/F38</f>
        <v>0</v>
      </c>
      <c r="G40" s="437">
        <f>G39/G38</f>
        <v>0</v>
      </c>
      <c r="H40" s="437">
        <f>H39/H38</f>
        <v>0</v>
      </c>
      <c r="I40" s="437"/>
      <c r="J40" s="437"/>
      <c r="K40" s="437">
        <f>K39/K38</f>
        <v>0</v>
      </c>
      <c r="L40" s="451">
        <f>K40</f>
        <v>0</v>
      </c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401"/>
      <c r="AA40" s="401"/>
      <c r="AB40" s="401"/>
      <c r="AC40" s="401"/>
      <c r="AD40" s="401"/>
      <c r="AE40" s="401"/>
      <c r="AF40" s="401"/>
      <c r="AG40" s="401"/>
      <c r="AH40" s="401"/>
      <c r="AI40" s="401"/>
      <c r="AJ40" s="401"/>
      <c r="AK40" s="401"/>
      <c r="AL40" s="401"/>
      <c r="AM40" s="401"/>
      <c r="AN40" s="401"/>
      <c r="AO40" s="401"/>
    </row>
    <row r="41" spans="1:41" ht="12" x14ac:dyDescent="0.2">
      <c r="A41" s="420" t="s">
        <v>260</v>
      </c>
      <c r="B41" s="424"/>
      <c r="C41" s="436"/>
      <c r="D41" s="432">
        <f>D38-D39</f>
        <v>158.37431956780435</v>
      </c>
      <c r="E41" s="432">
        <f>E38-E39</f>
        <v>182.8356911962556</v>
      </c>
      <c r="F41" s="432">
        <f>F38-F39</f>
        <v>804.61287764764029</v>
      </c>
      <c r="G41" s="432">
        <f>G38-G39</f>
        <v>214.44693905011567</v>
      </c>
      <c r="H41" s="432">
        <f>H38-H39</f>
        <v>231.63868759442607</v>
      </c>
      <c r="I41" s="432"/>
      <c r="J41" s="432"/>
      <c r="K41" s="432">
        <f>K38-K39</f>
        <v>909.48849352812306</v>
      </c>
      <c r="L41" s="432">
        <f>L38-L39</f>
        <v>1030.1108825612789</v>
      </c>
      <c r="M41" s="452"/>
      <c r="N41" s="401"/>
      <c r="O41" s="401"/>
      <c r="P41" s="401"/>
      <c r="Q41" s="401"/>
      <c r="R41" s="401"/>
      <c r="S41" s="401"/>
      <c r="T41" s="401"/>
      <c r="U41" s="401"/>
      <c r="V41" s="401"/>
      <c r="W41" s="401"/>
      <c r="X41" s="401"/>
      <c r="Y41" s="401"/>
      <c r="Z41" s="401"/>
      <c r="AA41" s="401"/>
      <c r="AB41" s="401"/>
      <c r="AC41" s="401"/>
      <c r="AD41" s="401"/>
      <c r="AE41" s="401"/>
      <c r="AF41" s="401"/>
      <c r="AG41" s="401"/>
      <c r="AH41" s="401"/>
      <c r="AI41" s="401"/>
      <c r="AJ41" s="401"/>
      <c r="AK41" s="401"/>
      <c r="AL41" s="401"/>
      <c r="AM41" s="401"/>
      <c r="AN41" s="401"/>
      <c r="AO41" s="401"/>
    </row>
    <row r="42" spans="1:41" ht="12" x14ac:dyDescent="0.2">
      <c r="A42" s="420" t="s">
        <v>56</v>
      </c>
      <c r="B42" s="424"/>
      <c r="C42" s="424"/>
      <c r="D42" s="439"/>
      <c r="E42" s="439"/>
      <c r="F42" s="439"/>
      <c r="G42" s="439"/>
      <c r="H42" s="439"/>
      <c r="I42" s="439"/>
      <c r="J42" s="439"/>
      <c r="K42" s="439"/>
      <c r="L42" s="439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401"/>
      <c r="AB42" s="401"/>
      <c r="AC42" s="401"/>
      <c r="AD42" s="401"/>
      <c r="AE42" s="401"/>
      <c r="AF42" s="401"/>
      <c r="AG42" s="401"/>
      <c r="AH42" s="401"/>
      <c r="AI42" s="401"/>
      <c r="AJ42" s="401"/>
      <c r="AK42" s="401"/>
      <c r="AL42" s="401"/>
      <c r="AM42" s="401"/>
      <c r="AN42" s="401"/>
      <c r="AO42" s="401"/>
    </row>
    <row r="43" spans="1:41" ht="12" x14ac:dyDescent="0.2">
      <c r="A43" s="424"/>
      <c r="B43" s="424" t="s">
        <v>187</v>
      </c>
      <c r="C43" s="424"/>
      <c r="D43" s="426">
        <v>0</v>
      </c>
      <c r="E43" s="426">
        <v>0</v>
      </c>
      <c r="F43" s="426">
        <v>0</v>
      </c>
      <c r="G43" s="426">
        <v>0</v>
      </c>
      <c r="H43" s="426">
        <v>0</v>
      </c>
      <c r="I43" s="426"/>
      <c r="J43" s="428"/>
      <c r="K43" s="426">
        <v>0</v>
      </c>
      <c r="L43" s="426">
        <f>K43</f>
        <v>0</v>
      </c>
      <c r="N43" s="401"/>
      <c r="O43" s="401"/>
      <c r="P43" s="401"/>
      <c r="Q43" s="401"/>
      <c r="R43" s="401"/>
      <c r="S43" s="401"/>
      <c r="T43" s="401"/>
      <c r="U43" s="401"/>
      <c r="V43" s="401"/>
      <c r="W43" s="401"/>
      <c r="X43" s="401"/>
      <c r="Y43" s="401"/>
      <c r="Z43" s="401"/>
      <c r="AA43" s="401"/>
      <c r="AB43" s="401"/>
      <c r="AC43" s="401"/>
      <c r="AD43" s="401"/>
      <c r="AE43" s="401"/>
      <c r="AF43" s="401"/>
      <c r="AG43" s="401"/>
      <c r="AH43" s="401"/>
      <c r="AI43" s="401"/>
      <c r="AJ43" s="401"/>
      <c r="AK43" s="401"/>
      <c r="AL43" s="401"/>
      <c r="AM43" s="401"/>
      <c r="AN43" s="401"/>
      <c r="AO43" s="401"/>
    </row>
    <row r="44" spans="1:41" ht="12" x14ac:dyDescent="0.2">
      <c r="A44" s="424"/>
      <c r="B44" s="424" t="s">
        <v>58</v>
      </c>
      <c r="C44" s="424"/>
      <c r="D44" s="426">
        <f>2.272*(1-D37)</f>
        <v>1.4053195678044239</v>
      </c>
      <c r="E44" s="426">
        <f>58.239*(1-E37)</f>
        <v>36.793691196255466</v>
      </c>
      <c r="F44" s="445">
        <f>60.615*(1-F37)</f>
        <v>37.927877647640678</v>
      </c>
      <c r="G44" s="445">
        <f>1.671*(1-G37)</f>
        <v>1.0319390501158923</v>
      </c>
      <c r="H44" s="445">
        <f>26.557*(1-H37)</f>
        <v>17.498687594425704</v>
      </c>
      <c r="I44" s="444"/>
      <c r="J44" s="447"/>
      <c r="K44" s="427">
        <f>H44+G44+F44-E44-D44</f>
        <v>18.25949352812238</v>
      </c>
      <c r="L44" s="444">
        <f>K44</f>
        <v>18.25949352812238</v>
      </c>
      <c r="N44" s="401"/>
      <c r="O44" s="401"/>
      <c r="P44" s="401"/>
      <c r="Q44" s="401"/>
      <c r="R44" s="401"/>
      <c r="S44" s="401"/>
      <c r="T44" s="401"/>
      <c r="U44" s="401"/>
      <c r="V44" s="401"/>
      <c r="W44" s="401"/>
      <c r="X44" s="401"/>
      <c r="Y44" s="401"/>
      <c r="Z44" s="401"/>
      <c r="AA44" s="401"/>
      <c r="AB44" s="401"/>
      <c r="AC44" s="401"/>
      <c r="AD44" s="401"/>
      <c r="AE44" s="401"/>
      <c r="AF44" s="401"/>
      <c r="AG44" s="401"/>
      <c r="AH44" s="401"/>
      <c r="AI44" s="401"/>
      <c r="AJ44" s="401"/>
      <c r="AK44" s="401"/>
      <c r="AL44" s="401"/>
      <c r="AM44" s="401"/>
      <c r="AN44" s="401"/>
      <c r="AO44" s="401"/>
    </row>
    <row r="45" spans="1:41" ht="12" x14ac:dyDescent="0.2">
      <c r="A45" s="424"/>
      <c r="B45" s="420" t="s">
        <v>88</v>
      </c>
      <c r="C45" s="424"/>
      <c r="D45" s="453">
        <f>SUM(D43:D44)</f>
        <v>1.4053195678044239</v>
      </c>
      <c r="E45" s="453">
        <f>SUM(E43:E44)</f>
        <v>36.793691196255466</v>
      </c>
      <c r="F45" s="453">
        <f>SUM(F43:F44)</f>
        <v>37.927877647640678</v>
      </c>
      <c r="G45" s="453">
        <f>SUM(G43:G44)</f>
        <v>1.0319390501158923</v>
      </c>
      <c r="H45" s="453">
        <f>SUM(H43:H44)</f>
        <v>17.498687594425704</v>
      </c>
      <c r="I45" s="453"/>
      <c r="J45" s="453"/>
      <c r="K45" s="453">
        <f>SUM(K43:K44)</f>
        <v>18.25949352812238</v>
      </c>
      <c r="L45" s="453">
        <f>SUM(L43:L44)</f>
        <v>18.25949352812238</v>
      </c>
      <c r="N45" s="401"/>
      <c r="O45" s="401"/>
      <c r="P45" s="401"/>
      <c r="Q45" s="401"/>
      <c r="R45" s="401"/>
      <c r="S45" s="401"/>
      <c r="T45" s="401"/>
      <c r="U45" s="401"/>
      <c r="V45" s="401"/>
      <c r="W45" s="401"/>
      <c r="X45" s="401"/>
      <c r="Y45" s="401"/>
      <c r="Z45" s="401"/>
      <c r="AA45" s="401"/>
      <c r="AB45" s="401"/>
      <c r="AC45" s="401"/>
      <c r="AD45" s="401"/>
      <c r="AE45" s="401"/>
      <c r="AF45" s="401"/>
      <c r="AG45" s="401"/>
      <c r="AH45" s="401"/>
      <c r="AI45" s="401"/>
      <c r="AJ45" s="401"/>
      <c r="AK45" s="401"/>
      <c r="AL45" s="401"/>
      <c r="AM45" s="401"/>
      <c r="AN45" s="401"/>
      <c r="AO45" s="401"/>
    </row>
    <row r="46" spans="1:41" ht="12" x14ac:dyDescent="0.2">
      <c r="A46" s="420" t="s">
        <v>261</v>
      </c>
      <c r="B46" s="420"/>
      <c r="C46" s="422"/>
      <c r="D46" s="432">
        <f>D41-D45</f>
        <v>156.96899999999994</v>
      </c>
      <c r="E46" s="432">
        <f>E41-E45</f>
        <v>146.04200000000014</v>
      </c>
      <c r="F46" s="432">
        <f>F41-F45</f>
        <v>766.6849999999996</v>
      </c>
      <c r="G46" s="432">
        <f>G41-G45</f>
        <v>213.41499999999979</v>
      </c>
      <c r="H46" s="432">
        <f>H41-H45</f>
        <v>214.14000000000038</v>
      </c>
      <c r="I46" s="432"/>
      <c r="J46" s="432"/>
      <c r="K46" s="432">
        <f>K41-K45</f>
        <v>891.22900000000072</v>
      </c>
      <c r="L46" s="432">
        <f>L41-L45</f>
        <v>1011.8513890331566</v>
      </c>
      <c r="N46" s="454"/>
      <c r="O46" s="454"/>
      <c r="P46" s="454"/>
      <c r="Q46" s="454"/>
      <c r="R46" s="454"/>
      <c r="S46" s="401"/>
      <c r="T46" s="401"/>
      <c r="U46" s="401"/>
      <c r="V46" s="401"/>
      <c r="W46" s="401"/>
      <c r="X46" s="401"/>
      <c r="Y46" s="401"/>
      <c r="Z46" s="401"/>
      <c r="AA46" s="401"/>
      <c r="AB46" s="401"/>
      <c r="AC46" s="401"/>
      <c r="AD46" s="401"/>
      <c r="AE46" s="401"/>
      <c r="AF46" s="401"/>
      <c r="AG46" s="401"/>
      <c r="AH46" s="401"/>
      <c r="AI46" s="401"/>
      <c r="AJ46" s="401"/>
      <c r="AK46" s="401"/>
      <c r="AL46" s="401"/>
      <c r="AM46" s="401"/>
      <c r="AN46" s="401"/>
      <c r="AO46" s="401"/>
    </row>
    <row r="47" spans="1:41" ht="12" x14ac:dyDescent="0.2">
      <c r="A47" s="420" t="s">
        <v>265</v>
      </c>
      <c r="B47" s="424"/>
      <c r="C47" s="424"/>
      <c r="D47" s="455"/>
      <c r="E47" s="455"/>
      <c r="F47" s="455"/>
      <c r="G47" s="455"/>
      <c r="H47" s="455"/>
      <c r="I47" s="455"/>
      <c r="J47" s="455"/>
      <c r="K47" s="455"/>
      <c r="L47" s="455"/>
      <c r="N47" s="456"/>
      <c r="O47" s="456"/>
      <c r="P47" s="456"/>
      <c r="Q47" s="456"/>
      <c r="R47" s="456"/>
      <c r="S47" s="401"/>
      <c r="T47" s="401"/>
      <c r="U47" s="401"/>
      <c r="V47" s="401"/>
      <c r="W47" s="401"/>
      <c r="X47" s="401"/>
      <c r="Y47" s="401"/>
      <c r="Z47" s="401"/>
      <c r="AA47" s="401"/>
      <c r="AB47" s="401"/>
      <c r="AC47" s="401"/>
      <c r="AD47" s="401"/>
      <c r="AE47" s="401"/>
      <c r="AF47" s="401"/>
      <c r="AG47" s="401"/>
      <c r="AH47" s="401"/>
      <c r="AI47" s="401"/>
      <c r="AJ47" s="401"/>
      <c r="AK47" s="401"/>
      <c r="AL47" s="401"/>
      <c r="AM47" s="401"/>
      <c r="AN47" s="401"/>
      <c r="AO47" s="401"/>
    </row>
    <row r="48" spans="1:41" ht="12" x14ac:dyDescent="0.2">
      <c r="A48" s="424"/>
      <c r="B48" s="424" t="s">
        <v>4</v>
      </c>
      <c r="C48" s="424"/>
      <c r="D48" s="457">
        <f>D46/D54</f>
        <v>0.45961607158543211</v>
      </c>
      <c r="E48" s="457">
        <f>E46/E54</f>
        <v>0.42760603629506916</v>
      </c>
      <c r="F48" s="457">
        <f>F46/F54</f>
        <v>2.2468013152265005</v>
      </c>
      <c r="G48" s="457">
        <f>G46/G54</f>
        <v>0.63501249702451734</v>
      </c>
      <c r="H48" s="457">
        <f>H46/H54</f>
        <v>0.64306113194855385</v>
      </c>
      <c r="I48" s="457"/>
      <c r="J48" s="457"/>
      <c r="K48" s="457">
        <f>K46/K54</f>
        <v>2.6763553262602837</v>
      </c>
      <c r="L48" s="457">
        <f>L46/L54</f>
        <v>3.0322563639167393</v>
      </c>
      <c r="N48" s="456"/>
      <c r="O48" s="456"/>
      <c r="P48" s="456"/>
      <c r="Q48" s="456"/>
      <c r="R48" s="456"/>
      <c r="S48" s="401"/>
      <c r="T48" s="401"/>
      <c r="U48" s="401"/>
      <c r="V48" s="401"/>
      <c r="W48" s="401"/>
      <c r="X48" s="401"/>
      <c r="Y48" s="401"/>
      <c r="Z48" s="401"/>
      <c r="AA48" s="401"/>
      <c r="AB48" s="401"/>
      <c r="AC48" s="401"/>
      <c r="AD48" s="401"/>
      <c r="AE48" s="401"/>
      <c r="AF48" s="401"/>
      <c r="AG48" s="401"/>
      <c r="AH48" s="401"/>
      <c r="AI48" s="401"/>
      <c r="AJ48" s="401"/>
      <c r="AK48" s="401"/>
      <c r="AL48" s="401"/>
      <c r="AM48" s="401"/>
      <c r="AN48" s="401"/>
      <c r="AO48" s="401"/>
    </row>
    <row r="49" spans="1:41" ht="12" x14ac:dyDescent="0.2">
      <c r="A49" s="424"/>
      <c r="B49" s="424" t="s">
        <v>5</v>
      </c>
      <c r="C49" s="424"/>
      <c r="D49" s="457">
        <f>D46/D55</f>
        <v>0.45446491388070964</v>
      </c>
      <c r="E49" s="457">
        <f>E46/E55</f>
        <v>0.42254466546112157</v>
      </c>
      <c r="F49" s="457">
        <f>F46/F55</f>
        <v>2.2215219766050343</v>
      </c>
      <c r="G49" s="457">
        <f>G46/G55</f>
        <v>0.62863412766208071</v>
      </c>
      <c r="H49" s="457">
        <f>H46/H55</f>
        <v>0.63823128805648643</v>
      </c>
      <c r="I49" s="457"/>
      <c r="J49" s="457"/>
      <c r="K49" s="457">
        <f>K46/K55</f>
        <v>2.656254004965414</v>
      </c>
      <c r="L49" s="457">
        <f>L46/L55</f>
        <v>3.0098900774932869</v>
      </c>
      <c r="N49" s="456"/>
      <c r="O49" s="456"/>
      <c r="P49" s="456"/>
      <c r="Q49" s="456"/>
      <c r="R49" s="456"/>
      <c r="S49" s="401"/>
      <c r="T49" s="401"/>
      <c r="U49" s="401"/>
      <c r="V49" s="401"/>
      <c r="W49" s="401"/>
      <c r="X49" s="401"/>
      <c r="Y49" s="401"/>
      <c r="Z49" s="401"/>
      <c r="AA49" s="401"/>
      <c r="AB49" s="401"/>
      <c r="AC49" s="401"/>
      <c r="AD49" s="401"/>
      <c r="AE49" s="401"/>
      <c r="AF49" s="401"/>
      <c r="AG49" s="401"/>
      <c r="AH49" s="401"/>
      <c r="AI49" s="401"/>
      <c r="AJ49" s="401"/>
      <c r="AK49" s="401"/>
      <c r="AL49" s="401"/>
      <c r="AM49" s="401"/>
      <c r="AN49" s="401"/>
      <c r="AO49" s="401"/>
    </row>
    <row r="50" spans="1:41" ht="12" x14ac:dyDescent="0.2">
      <c r="A50" s="420" t="s">
        <v>266</v>
      </c>
      <c r="B50" s="424"/>
      <c r="C50" s="424"/>
      <c r="D50" s="455"/>
      <c r="E50" s="455"/>
      <c r="F50" s="455"/>
      <c r="G50" s="455"/>
      <c r="H50" s="455"/>
      <c r="I50" s="455"/>
      <c r="J50" s="455"/>
      <c r="K50" s="455"/>
      <c r="L50" s="455"/>
      <c r="N50" s="456"/>
      <c r="O50" s="456"/>
      <c r="P50" s="456"/>
      <c r="Q50" s="456"/>
      <c r="R50" s="456"/>
      <c r="S50" s="401"/>
      <c r="T50" s="401"/>
      <c r="U50" s="401"/>
      <c r="V50" s="401"/>
      <c r="W50" s="401"/>
      <c r="X50" s="401"/>
      <c r="Y50" s="401"/>
      <c r="Z50" s="401"/>
      <c r="AA50" s="401"/>
      <c r="AB50" s="401"/>
      <c r="AC50" s="401"/>
      <c r="AD50" s="401"/>
      <c r="AE50" s="401"/>
      <c r="AF50" s="401"/>
      <c r="AG50" s="401"/>
      <c r="AH50" s="401"/>
      <c r="AI50" s="401"/>
      <c r="AJ50" s="401"/>
      <c r="AK50" s="401"/>
      <c r="AL50" s="401"/>
      <c r="AM50" s="401"/>
      <c r="AN50" s="401"/>
      <c r="AO50" s="401"/>
    </row>
    <row r="51" spans="1:41" ht="12" x14ac:dyDescent="0.2">
      <c r="A51" s="424"/>
      <c r="B51" s="424" t="s">
        <v>4</v>
      </c>
      <c r="C51" s="424"/>
      <c r="D51" s="457">
        <f>D41/D54</f>
        <v>0.46373094432512213</v>
      </c>
      <c r="E51" s="457">
        <f>E41/E54</f>
        <v>0.53533671961285145</v>
      </c>
      <c r="F51" s="457">
        <f>F41/F54</f>
        <v>2.3579504904190096</v>
      </c>
      <c r="G51" s="457">
        <f>G41/G54</f>
        <v>0.63808301312221993</v>
      </c>
      <c r="H51" s="457">
        <f>H41/H54</f>
        <v>0.69560958554006169</v>
      </c>
      <c r="I51" s="457"/>
      <c r="J51" s="457"/>
      <c r="K51" s="457">
        <f>K41/K54</f>
        <v>2.7311884754944371</v>
      </c>
      <c r="L51" s="457">
        <f>L41/L54</f>
        <v>3.0869753335724024</v>
      </c>
      <c r="N51" s="456"/>
      <c r="O51" s="456"/>
      <c r="P51" s="456"/>
      <c r="Q51" s="456"/>
      <c r="R51" s="456"/>
      <c r="S51" s="401"/>
      <c r="T51" s="401"/>
      <c r="U51" s="401"/>
      <c r="V51" s="401"/>
      <c r="W51" s="401"/>
      <c r="X51" s="401"/>
      <c r="Y51" s="401"/>
      <c r="Z51" s="401"/>
      <c r="AA51" s="401"/>
      <c r="AB51" s="401"/>
      <c r="AC51" s="401"/>
      <c r="AD51" s="401"/>
      <c r="AE51" s="401"/>
      <c r="AF51" s="401"/>
      <c r="AG51" s="401"/>
      <c r="AH51" s="401"/>
      <c r="AI51" s="401"/>
      <c r="AJ51" s="401"/>
      <c r="AK51" s="401"/>
      <c r="AL51" s="401"/>
      <c r="AM51" s="401"/>
      <c r="AN51" s="401"/>
      <c r="AO51" s="401"/>
    </row>
    <row r="52" spans="1:41" ht="12" x14ac:dyDescent="0.2">
      <c r="A52" s="424"/>
      <c r="B52" s="424" t="s">
        <v>5</v>
      </c>
      <c r="C52" s="424"/>
      <c r="D52" s="457">
        <f>D41/D55</f>
        <v>0.45853366908942672</v>
      </c>
      <c r="E52" s="457">
        <f>E41/E55</f>
        <v>0.52900019152623678</v>
      </c>
      <c r="F52" s="457">
        <f>F41/F55</f>
        <v>2.3314205838821045</v>
      </c>
      <c r="G52" s="457">
        <f>G41/G55</f>
        <v>0.63167380202690993</v>
      </c>
      <c r="H52" s="457">
        <f>H41/H55</f>
        <v>0.69038506559776014</v>
      </c>
      <c r="I52" s="457"/>
      <c r="J52" s="457"/>
      <c r="K52" s="457">
        <f>K41/K55</f>
        <v>2.7106753184692551</v>
      </c>
      <c r="L52" s="457">
        <f>L41/L55</f>
        <v>3.0642054334694868</v>
      </c>
      <c r="N52" s="456"/>
      <c r="O52" s="456"/>
      <c r="P52" s="456"/>
      <c r="Q52" s="456"/>
      <c r="R52" s="456"/>
      <c r="S52" s="401"/>
      <c r="T52" s="401"/>
      <c r="U52" s="401"/>
      <c r="V52" s="401"/>
      <c r="W52" s="401"/>
      <c r="X52" s="401"/>
      <c r="Y52" s="401"/>
      <c r="Z52" s="401"/>
      <c r="AA52" s="401"/>
      <c r="AB52" s="401"/>
      <c r="AC52" s="401"/>
      <c r="AD52" s="401"/>
      <c r="AE52" s="401"/>
      <c r="AF52" s="401"/>
      <c r="AG52" s="401"/>
      <c r="AH52" s="401"/>
      <c r="AI52" s="401"/>
      <c r="AJ52" s="401"/>
      <c r="AK52" s="401"/>
      <c r="AL52" s="401"/>
      <c r="AM52" s="401"/>
      <c r="AN52" s="401"/>
      <c r="AO52" s="401"/>
    </row>
    <row r="53" spans="1:41" ht="12" x14ac:dyDescent="0.2">
      <c r="A53" s="420" t="s">
        <v>61</v>
      </c>
      <c r="B53" s="424"/>
      <c r="C53" s="422"/>
      <c r="D53" s="432"/>
      <c r="E53" s="432"/>
      <c r="F53" s="432"/>
      <c r="G53" s="432"/>
      <c r="H53" s="432"/>
      <c r="I53" s="432"/>
      <c r="J53" s="432"/>
      <c r="K53" s="432"/>
      <c r="L53" s="432"/>
      <c r="N53" s="456"/>
      <c r="O53" s="456"/>
      <c r="P53" s="456"/>
      <c r="Q53" s="456"/>
      <c r="R53" s="456"/>
      <c r="S53" s="401"/>
      <c r="T53" s="401"/>
      <c r="U53" s="401"/>
      <c r="V53" s="401"/>
      <c r="W53" s="401"/>
      <c r="X53" s="401"/>
      <c r="Y53" s="401"/>
      <c r="Z53" s="401"/>
      <c r="AA53" s="401"/>
      <c r="AB53" s="401"/>
      <c r="AC53" s="401"/>
      <c r="AD53" s="401"/>
      <c r="AE53" s="401"/>
      <c r="AF53" s="401"/>
      <c r="AG53" s="401"/>
      <c r="AH53" s="401"/>
      <c r="AI53" s="401"/>
      <c r="AJ53" s="401"/>
      <c r="AK53" s="401"/>
      <c r="AL53" s="401"/>
      <c r="AM53" s="401"/>
      <c r="AN53" s="401"/>
      <c r="AO53" s="401"/>
    </row>
    <row r="54" spans="1:41" ht="12" x14ac:dyDescent="0.2">
      <c r="A54" s="424"/>
      <c r="B54" s="424" t="s">
        <v>4</v>
      </c>
      <c r="C54" s="424"/>
      <c r="D54" s="458">
        <v>341.52199999999999</v>
      </c>
      <c r="E54" s="458">
        <v>341.53399999999999</v>
      </c>
      <c r="F54" s="458">
        <v>341.23399999999998</v>
      </c>
      <c r="G54" s="458">
        <v>336.08</v>
      </c>
      <c r="H54" s="458">
        <v>333.00099999999998</v>
      </c>
      <c r="I54" s="458"/>
      <c r="J54" s="459"/>
      <c r="K54" s="458">
        <v>333.00099999999998</v>
      </c>
      <c r="L54" s="460">
        <f>D60/1000000</f>
        <v>333.69585799999999</v>
      </c>
      <c r="N54" s="461"/>
      <c r="O54" s="461"/>
      <c r="P54" s="461"/>
      <c r="Q54" s="461"/>
      <c r="R54" s="461"/>
      <c r="S54" s="401"/>
      <c r="T54" s="401"/>
      <c r="U54" s="401"/>
      <c r="V54" s="401"/>
      <c r="W54" s="401"/>
      <c r="X54" s="401"/>
      <c r="Y54" s="401"/>
      <c r="Z54" s="401"/>
      <c r="AA54" s="401"/>
      <c r="AB54" s="401"/>
      <c r="AC54" s="401"/>
      <c r="AD54" s="401"/>
      <c r="AE54" s="401"/>
      <c r="AF54" s="401"/>
      <c r="AG54" s="401"/>
      <c r="AH54" s="401"/>
      <c r="AI54" s="401"/>
      <c r="AJ54" s="401"/>
      <c r="AK54" s="401"/>
      <c r="AL54" s="401"/>
      <c r="AM54" s="401"/>
      <c r="AN54" s="401"/>
      <c r="AO54" s="401"/>
    </row>
    <row r="55" spans="1:41" ht="12" x14ac:dyDescent="0.2">
      <c r="A55" s="462"/>
      <c r="B55" s="462" t="s">
        <v>5</v>
      </c>
      <c r="C55" s="462"/>
      <c r="D55" s="463">
        <v>345.39299999999997</v>
      </c>
      <c r="E55" s="463">
        <v>345.625</v>
      </c>
      <c r="F55" s="463">
        <v>345.11700000000002</v>
      </c>
      <c r="G55" s="463">
        <v>339.49</v>
      </c>
      <c r="H55" s="463">
        <v>335.52100000000002</v>
      </c>
      <c r="I55" s="463"/>
      <c r="J55" s="464"/>
      <c r="K55" s="463">
        <v>335.52100000000002</v>
      </c>
      <c r="L55" s="465">
        <f>D66/1000000</f>
        <v>336.17552899999998</v>
      </c>
      <c r="N55" s="461"/>
      <c r="O55" s="461"/>
      <c r="P55" s="461"/>
      <c r="Q55" s="461"/>
      <c r="R55" s="461"/>
      <c r="S55" s="401"/>
      <c r="T55" s="401"/>
      <c r="U55" s="401"/>
      <c r="V55" s="401"/>
      <c r="W55" s="401"/>
      <c r="X55" s="401"/>
      <c r="Y55" s="401"/>
      <c r="Z55" s="401"/>
      <c r="AA55" s="401"/>
      <c r="AB55" s="401"/>
      <c r="AC55" s="401"/>
      <c r="AD55" s="401"/>
      <c r="AE55" s="401"/>
      <c r="AF55" s="401"/>
      <c r="AG55" s="401"/>
      <c r="AH55" s="401"/>
      <c r="AI55" s="401"/>
      <c r="AJ55" s="401"/>
      <c r="AK55" s="401"/>
      <c r="AL55" s="401"/>
      <c r="AM55" s="401"/>
      <c r="AN55" s="401"/>
      <c r="AO55" s="401"/>
    </row>
    <row r="56" spans="1:41" ht="12" x14ac:dyDescent="0.2">
      <c r="N56" s="401"/>
      <c r="O56" s="401"/>
      <c r="P56" s="401"/>
      <c r="Q56" s="401"/>
      <c r="R56" s="401"/>
      <c r="S56" s="401"/>
      <c r="T56" s="401"/>
      <c r="U56" s="401"/>
      <c r="V56" s="401"/>
      <c r="W56" s="401"/>
      <c r="X56" s="401"/>
      <c r="Y56" s="401"/>
      <c r="Z56" s="401"/>
      <c r="AA56" s="401"/>
      <c r="AB56" s="401"/>
      <c r="AC56" s="401"/>
      <c r="AD56" s="401"/>
      <c r="AE56" s="401"/>
      <c r="AF56" s="401"/>
      <c r="AG56" s="401"/>
      <c r="AH56" s="401"/>
      <c r="AI56" s="401"/>
      <c r="AJ56" s="401"/>
      <c r="AK56" s="401"/>
      <c r="AL56" s="401"/>
      <c r="AM56" s="401"/>
      <c r="AN56" s="401"/>
      <c r="AO56" s="401"/>
    </row>
    <row r="57" spans="1:41" ht="12.75" x14ac:dyDescent="0.2">
      <c r="C57" s="466"/>
      <c r="D57" s="466"/>
      <c r="E57" s="467"/>
      <c r="F57" s="467"/>
      <c r="L57" s="468"/>
      <c r="N57" s="401"/>
      <c r="O57" s="401"/>
      <c r="P57" s="401"/>
      <c r="Q57" s="401"/>
      <c r="R57" s="401"/>
      <c r="S57" s="401"/>
      <c r="T57" s="401"/>
      <c r="U57" s="401"/>
      <c r="V57" s="401"/>
      <c r="W57" s="401"/>
      <c r="X57" s="401"/>
      <c r="Y57" s="401"/>
      <c r="Z57" s="401"/>
      <c r="AA57" s="401"/>
      <c r="AB57" s="401"/>
      <c r="AC57" s="401"/>
      <c r="AD57" s="401"/>
      <c r="AE57" s="401"/>
      <c r="AF57" s="401"/>
      <c r="AG57" s="401"/>
      <c r="AH57" s="401"/>
      <c r="AI57" s="401"/>
      <c r="AJ57" s="401"/>
      <c r="AK57" s="401"/>
      <c r="AL57" s="401"/>
      <c r="AM57" s="401"/>
      <c r="AN57" s="401"/>
      <c r="AO57" s="401"/>
    </row>
    <row r="58" spans="1:41" ht="15" x14ac:dyDescent="0.25">
      <c r="A58" s="695" t="s">
        <v>300</v>
      </c>
      <c r="B58" s="696"/>
      <c r="C58" s="696"/>
      <c r="D58" s="697"/>
      <c r="E58" s="469"/>
      <c r="L58" s="470"/>
      <c r="N58" s="401"/>
      <c r="O58" s="401"/>
      <c r="P58" s="401"/>
      <c r="Q58" s="401"/>
      <c r="R58" s="401"/>
      <c r="S58" s="401"/>
      <c r="T58" s="401"/>
      <c r="U58" s="401"/>
      <c r="V58" s="401"/>
      <c r="W58" s="401"/>
      <c r="X58" s="401"/>
      <c r="Y58" s="401"/>
      <c r="Z58" s="401"/>
      <c r="AA58" s="401"/>
      <c r="AB58" s="401"/>
      <c r="AC58" s="401"/>
      <c r="AD58" s="401"/>
      <c r="AE58" s="401"/>
      <c r="AF58" s="401"/>
      <c r="AG58" s="401"/>
      <c r="AH58" s="401"/>
      <c r="AI58" s="401"/>
      <c r="AJ58" s="401"/>
      <c r="AK58" s="401"/>
      <c r="AL58" s="401"/>
      <c r="AM58" s="401"/>
      <c r="AN58" s="401"/>
      <c r="AO58" s="401"/>
    </row>
    <row r="59" spans="1:41" ht="12.75" x14ac:dyDescent="0.2">
      <c r="A59" s="471" t="s">
        <v>170</v>
      </c>
      <c r="B59" s="471"/>
      <c r="C59" s="471"/>
      <c r="D59" s="654">
        <v>47.16</v>
      </c>
      <c r="E59" s="472"/>
      <c r="K59" s="468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  <c r="Y59" s="401"/>
      <c r="Z59" s="401"/>
      <c r="AA59" s="401"/>
      <c r="AB59" s="401"/>
      <c r="AC59" s="401"/>
      <c r="AD59" s="401"/>
      <c r="AE59" s="401"/>
      <c r="AF59" s="401"/>
      <c r="AG59" s="401"/>
      <c r="AH59" s="401"/>
      <c r="AI59" s="401"/>
      <c r="AJ59" s="401"/>
      <c r="AK59" s="401"/>
      <c r="AL59" s="401"/>
      <c r="AM59" s="401"/>
      <c r="AN59" s="401"/>
      <c r="AO59" s="401"/>
    </row>
    <row r="60" spans="1:41" ht="12.75" x14ac:dyDescent="0.2">
      <c r="A60" s="471" t="s">
        <v>273</v>
      </c>
      <c r="B60" s="471"/>
      <c r="C60" s="473"/>
      <c r="D60" s="655">
        <v>333695858</v>
      </c>
      <c r="E60" s="467"/>
      <c r="K60" s="474"/>
      <c r="N60" s="401"/>
      <c r="O60" s="401"/>
      <c r="P60" s="401"/>
      <c r="Q60" s="401"/>
      <c r="R60" s="401"/>
      <c r="S60" s="401"/>
      <c r="T60" s="401"/>
      <c r="U60" s="401"/>
      <c r="V60" s="401"/>
      <c r="W60" s="401"/>
      <c r="X60" s="401"/>
      <c r="Y60" s="401"/>
      <c r="Z60" s="401"/>
      <c r="AA60" s="401"/>
      <c r="AB60" s="401"/>
      <c r="AC60" s="401"/>
      <c r="AD60" s="401"/>
      <c r="AE60" s="401"/>
      <c r="AF60" s="401"/>
      <c r="AG60" s="401"/>
      <c r="AH60" s="401"/>
      <c r="AI60" s="401"/>
      <c r="AJ60" s="401"/>
      <c r="AK60" s="401"/>
      <c r="AL60" s="401"/>
      <c r="AM60" s="401"/>
      <c r="AN60" s="401"/>
      <c r="AO60" s="401"/>
    </row>
    <row r="61" spans="1:41" ht="12.75" x14ac:dyDescent="0.2">
      <c r="A61" s="471" t="s">
        <v>271</v>
      </c>
      <c r="B61" s="471"/>
      <c r="C61" s="471"/>
      <c r="D61" s="655">
        <v>3098603</v>
      </c>
      <c r="E61" s="467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401"/>
      <c r="AB61" s="401"/>
      <c r="AC61" s="401"/>
      <c r="AD61" s="401"/>
      <c r="AE61" s="401"/>
      <c r="AF61" s="401"/>
      <c r="AG61" s="401"/>
      <c r="AH61" s="401"/>
      <c r="AI61" s="401"/>
      <c r="AJ61" s="401"/>
      <c r="AK61" s="401"/>
      <c r="AL61" s="401"/>
      <c r="AM61" s="401"/>
      <c r="AN61" s="401"/>
      <c r="AO61" s="401"/>
    </row>
    <row r="62" spans="1:41" ht="12.75" x14ac:dyDescent="0.2">
      <c r="A62" s="475" t="s">
        <v>269</v>
      </c>
      <c r="B62" s="475"/>
      <c r="C62" s="475"/>
      <c r="D62" s="654">
        <v>9.42</v>
      </c>
      <c r="E62" s="476"/>
      <c r="N62" s="401"/>
      <c r="O62" s="401"/>
      <c r="P62" s="401"/>
      <c r="Q62" s="401"/>
      <c r="R62" s="401"/>
      <c r="S62" s="401"/>
      <c r="T62" s="401"/>
      <c r="U62" s="401"/>
      <c r="V62" s="401"/>
      <c r="W62" s="401"/>
      <c r="X62" s="401"/>
      <c r="Y62" s="401"/>
      <c r="Z62" s="401"/>
      <c r="AA62" s="401"/>
      <c r="AB62" s="401"/>
      <c r="AC62" s="401"/>
      <c r="AD62" s="401"/>
      <c r="AE62" s="401"/>
      <c r="AF62" s="401"/>
      <c r="AG62" s="401"/>
      <c r="AH62" s="401"/>
      <c r="AI62" s="401"/>
      <c r="AJ62" s="401"/>
      <c r="AK62" s="401"/>
      <c r="AL62" s="401"/>
      <c r="AM62" s="401"/>
      <c r="AN62" s="401"/>
      <c r="AO62" s="401"/>
    </row>
    <row r="63" spans="1:41" ht="12.75" x14ac:dyDescent="0.2">
      <c r="A63" s="475" t="s">
        <v>270</v>
      </c>
      <c r="B63" s="475"/>
      <c r="C63" s="475"/>
      <c r="D63" s="656">
        <f>D61*D62</f>
        <v>29188840.260000002</v>
      </c>
      <c r="E63" s="476"/>
      <c r="F63" s="401"/>
      <c r="G63" s="401"/>
      <c r="H63" s="401"/>
      <c r="I63" s="401"/>
      <c r="J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401"/>
      <c r="AA63" s="401"/>
      <c r="AB63" s="401"/>
      <c r="AC63" s="401"/>
      <c r="AD63" s="401"/>
      <c r="AE63" s="401"/>
      <c r="AF63" s="401"/>
      <c r="AG63" s="401"/>
      <c r="AH63" s="401"/>
      <c r="AI63" s="401"/>
      <c r="AJ63" s="401"/>
      <c r="AK63" s="401"/>
      <c r="AL63" s="401"/>
      <c r="AM63" s="401"/>
      <c r="AN63" s="401"/>
      <c r="AO63" s="401"/>
    </row>
    <row r="64" spans="1:41" ht="12.75" x14ac:dyDescent="0.2">
      <c r="A64" s="471" t="s">
        <v>274</v>
      </c>
      <c r="B64" s="475"/>
      <c r="C64" s="475"/>
      <c r="D64" s="656">
        <f>+ROUNDDOWN(D63/D59,0)</f>
        <v>618932</v>
      </c>
      <c r="E64" s="467"/>
      <c r="F64" s="401"/>
      <c r="G64" s="401"/>
      <c r="H64" s="401"/>
      <c r="I64" s="401"/>
      <c r="J64" s="401"/>
      <c r="N64" s="401"/>
      <c r="O64" s="401"/>
      <c r="P64" s="401"/>
      <c r="Q64" s="401"/>
      <c r="R64" s="401"/>
      <c r="S64" s="401"/>
      <c r="T64" s="401"/>
      <c r="U64" s="401"/>
      <c r="V64" s="401"/>
      <c r="W64" s="401"/>
      <c r="X64" s="401"/>
      <c r="Y64" s="401"/>
      <c r="Z64" s="401"/>
      <c r="AA64" s="401"/>
      <c r="AB64" s="401"/>
      <c r="AC64" s="401"/>
      <c r="AD64" s="401"/>
      <c r="AE64" s="401"/>
      <c r="AF64" s="401"/>
      <c r="AG64" s="401"/>
      <c r="AH64" s="401"/>
      <c r="AI64" s="401"/>
      <c r="AJ64" s="401"/>
      <c r="AK64" s="401"/>
      <c r="AL64" s="401"/>
      <c r="AM64" s="401"/>
      <c r="AN64" s="401"/>
      <c r="AO64" s="401"/>
    </row>
    <row r="65" spans="1:41" ht="12.75" x14ac:dyDescent="0.2">
      <c r="A65" s="477" t="s">
        <v>275</v>
      </c>
      <c r="B65" s="478"/>
      <c r="C65" s="478"/>
      <c r="D65" s="657">
        <f>D61-D64</f>
        <v>2479671</v>
      </c>
      <c r="E65" s="467"/>
      <c r="F65" s="401"/>
      <c r="G65" s="401"/>
      <c r="H65" s="401"/>
      <c r="I65" s="401"/>
      <c r="J65" s="401"/>
      <c r="N65" s="401"/>
      <c r="O65" s="401"/>
      <c r="P65" s="401"/>
      <c r="Q65" s="401"/>
      <c r="R65" s="401"/>
      <c r="S65" s="401"/>
      <c r="T65" s="401"/>
      <c r="U65" s="401"/>
      <c r="V65" s="401"/>
      <c r="W65" s="401"/>
      <c r="X65" s="401"/>
      <c r="Y65" s="401"/>
      <c r="Z65" s="401"/>
      <c r="AA65" s="401"/>
      <c r="AB65" s="401"/>
      <c r="AC65" s="401"/>
      <c r="AD65" s="401"/>
      <c r="AE65" s="401"/>
      <c r="AF65" s="401"/>
      <c r="AG65" s="401"/>
      <c r="AH65" s="401"/>
      <c r="AI65" s="401"/>
      <c r="AJ65" s="401"/>
      <c r="AK65" s="401"/>
      <c r="AL65" s="401"/>
      <c r="AM65" s="401"/>
      <c r="AN65" s="401"/>
      <c r="AO65" s="401"/>
    </row>
    <row r="66" spans="1:41" ht="15" x14ac:dyDescent="0.25">
      <c r="A66" s="479" t="s">
        <v>272</v>
      </c>
      <c r="B66" s="478"/>
      <c r="C66" s="478"/>
      <c r="D66" s="658">
        <f>D65+D60</f>
        <v>336175529</v>
      </c>
      <c r="E66" s="404"/>
      <c r="F66" s="401"/>
      <c r="G66" s="401"/>
      <c r="H66" s="401"/>
      <c r="I66" s="401"/>
      <c r="J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401"/>
      <c r="AB66" s="401"/>
      <c r="AC66" s="401"/>
      <c r="AD66" s="401"/>
      <c r="AE66" s="401"/>
      <c r="AF66" s="401"/>
      <c r="AG66" s="401"/>
      <c r="AH66" s="401"/>
      <c r="AI66" s="401"/>
      <c r="AJ66" s="401"/>
      <c r="AK66" s="401"/>
      <c r="AL66" s="401"/>
      <c r="AM66" s="401"/>
      <c r="AN66" s="401"/>
      <c r="AO66" s="401"/>
    </row>
    <row r="68" spans="1:41" ht="15" x14ac:dyDescent="0.25">
      <c r="A68" s="695" t="s">
        <v>301</v>
      </c>
      <c r="B68" s="696"/>
      <c r="C68" s="696"/>
      <c r="D68" s="697"/>
      <c r="F68" s="401"/>
      <c r="G68" s="401"/>
      <c r="H68" s="401"/>
      <c r="I68" s="401"/>
      <c r="J68" s="401"/>
      <c r="N68" s="401"/>
      <c r="O68" s="401"/>
      <c r="P68" s="401"/>
      <c r="Q68" s="401"/>
      <c r="R68" s="401"/>
      <c r="S68" s="401"/>
      <c r="T68" s="401"/>
      <c r="U68" s="401"/>
      <c r="V68" s="401"/>
      <c r="W68" s="401"/>
      <c r="X68" s="401"/>
      <c r="Y68" s="401"/>
      <c r="Z68" s="401"/>
      <c r="AA68" s="401"/>
      <c r="AB68" s="401"/>
      <c r="AC68" s="401"/>
      <c r="AD68" s="401"/>
      <c r="AE68" s="401"/>
      <c r="AF68" s="401"/>
      <c r="AG68" s="401"/>
      <c r="AH68" s="401"/>
      <c r="AI68" s="401"/>
      <c r="AJ68" s="401"/>
      <c r="AK68" s="401"/>
      <c r="AL68" s="401"/>
      <c r="AM68" s="401"/>
      <c r="AN68" s="401"/>
      <c r="AO68" s="401"/>
    </row>
    <row r="69" spans="1:41" ht="12.75" x14ac:dyDescent="0.2">
      <c r="A69" s="479" t="s">
        <v>171</v>
      </c>
      <c r="B69" s="480"/>
      <c r="C69" s="480"/>
      <c r="D69" s="659">
        <f>D66*D59/1000000</f>
        <v>15854.037947639999</v>
      </c>
      <c r="F69" s="401"/>
      <c r="G69" s="401"/>
      <c r="H69" s="401"/>
      <c r="I69" s="401"/>
      <c r="J69" s="401"/>
      <c r="N69" s="401"/>
      <c r="O69" s="401"/>
      <c r="P69" s="401"/>
      <c r="Q69" s="401"/>
      <c r="R69" s="401"/>
      <c r="S69" s="401"/>
      <c r="T69" s="401"/>
      <c r="U69" s="401"/>
      <c r="V69" s="401"/>
      <c r="W69" s="401"/>
      <c r="X69" s="401"/>
      <c r="Y69" s="401"/>
      <c r="Z69" s="401"/>
      <c r="AA69" s="401"/>
      <c r="AB69" s="401"/>
      <c r="AC69" s="401"/>
      <c r="AD69" s="401"/>
      <c r="AE69" s="401"/>
      <c r="AF69" s="401"/>
      <c r="AG69" s="401"/>
      <c r="AH69" s="401"/>
      <c r="AI69" s="401"/>
      <c r="AJ69" s="401"/>
      <c r="AK69" s="401"/>
      <c r="AL69" s="401"/>
      <c r="AM69" s="401"/>
      <c r="AN69" s="401"/>
      <c r="AO69" s="401"/>
    </row>
    <row r="70" spans="1:41" ht="12.75" x14ac:dyDescent="0.2">
      <c r="A70" s="471" t="s">
        <v>34</v>
      </c>
      <c r="B70" s="471"/>
      <c r="C70" s="471"/>
      <c r="D70" s="660">
        <v>0</v>
      </c>
      <c r="F70" s="401"/>
      <c r="G70" s="401"/>
      <c r="H70" s="401"/>
      <c r="I70" s="401"/>
      <c r="J70" s="401"/>
      <c r="N70" s="401"/>
      <c r="O70" s="401"/>
      <c r="P70" s="401"/>
      <c r="Q70" s="401"/>
      <c r="R70" s="401"/>
      <c r="S70" s="401"/>
      <c r="T70" s="401"/>
      <c r="U70" s="401"/>
      <c r="V70" s="401"/>
      <c r="W70" s="401"/>
      <c r="X70" s="401"/>
      <c r="Y70" s="401"/>
      <c r="Z70" s="401"/>
      <c r="AA70" s="401"/>
      <c r="AB70" s="401"/>
      <c r="AC70" s="401"/>
      <c r="AD70" s="401"/>
      <c r="AE70" s="401"/>
      <c r="AF70" s="401"/>
      <c r="AG70" s="401"/>
      <c r="AH70" s="401"/>
      <c r="AI70" s="401"/>
      <c r="AJ70" s="401"/>
      <c r="AK70" s="401"/>
      <c r="AL70" s="401"/>
      <c r="AM70" s="401"/>
      <c r="AN70" s="401"/>
      <c r="AO70" s="401"/>
    </row>
    <row r="71" spans="1:41" ht="12.75" x14ac:dyDescent="0.2">
      <c r="A71" s="471" t="s">
        <v>279</v>
      </c>
      <c r="B71" s="471"/>
      <c r="C71" s="471"/>
      <c r="D71" s="660">
        <v>2613.3919999999998</v>
      </c>
      <c r="F71" s="401"/>
      <c r="G71" s="401"/>
      <c r="H71" s="401"/>
      <c r="I71" s="401"/>
      <c r="J71" s="401"/>
      <c r="N71" s="401"/>
      <c r="O71" s="401"/>
      <c r="P71" s="401"/>
      <c r="Q71" s="401"/>
      <c r="R71" s="401"/>
      <c r="S71" s="401"/>
      <c r="T71" s="401"/>
      <c r="U71" s="401"/>
      <c r="V71" s="401"/>
      <c r="W71" s="401"/>
      <c r="X71" s="401"/>
      <c r="Y71" s="401"/>
      <c r="Z71" s="401"/>
      <c r="AA71" s="401"/>
      <c r="AB71" s="401"/>
      <c r="AC71" s="401"/>
      <c r="AD71" s="401"/>
      <c r="AE71" s="401"/>
      <c r="AF71" s="401"/>
      <c r="AG71" s="401"/>
      <c r="AH71" s="401"/>
      <c r="AI71" s="401"/>
      <c r="AJ71" s="401"/>
      <c r="AK71" s="401"/>
      <c r="AL71" s="401"/>
      <c r="AM71" s="401"/>
      <c r="AN71" s="401"/>
      <c r="AO71" s="401"/>
    </row>
    <row r="72" spans="1:41" ht="12.75" x14ac:dyDescent="0.2">
      <c r="A72" s="471" t="s">
        <v>277</v>
      </c>
      <c r="B72" s="471"/>
      <c r="C72" s="471"/>
      <c r="D72" s="660">
        <v>5.0890000000000004</v>
      </c>
      <c r="F72" s="401"/>
      <c r="G72" s="401"/>
      <c r="H72" s="401"/>
      <c r="I72" s="401"/>
      <c r="J72" s="401"/>
      <c r="N72" s="401"/>
      <c r="O72" s="401"/>
      <c r="P72" s="401"/>
      <c r="Q72" s="401"/>
      <c r="R72" s="401"/>
      <c r="S72" s="401"/>
      <c r="T72" s="401"/>
      <c r="U72" s="401"/>
      <c r="V72" s="401"/>
      <c r="W72" s="401"/>
      <c r="X72" s="401"/>
      <c r="Y72" s="401"/>
      <c r="Z72" s="401"/>
      <c r="AA72" s="401"/>
      <c r="AB72" s="401"/>
      <c r="AC72" s="401"/>
      <c r="AD72" s="401"/>
      <c r="AE72" s="401"/>
      <c r="AF72" s="401"/>
      <c r="AG72" s="401"/>
      <c r="AH72" s="401"/>
      <c r="AI72" s="401"/>
      <c r="AJ72" s="401"/>
      <c r="AK72" s="401"/>
      <c r="AL72" s="401"/>
      <c r="AM72" s="401"/>
      <c r="AN72" s="401"/>
      <c r="AO72" s="401"/>
    </row>
    <row r="73" spans="1:41" ht="12.75" x14ac:dyDescent="0.2">
      <c r="A73" s="471" t="s">
        <v>172</v>
      </c>
      <c r="B73" s="471"/>
      <c r="C73" s="471"/>
      <c r="D73" s="660">
        <v>0</v>
      </c>
      <c r="F73" s="401"/>
      <c r="G73" s="401"/>
      <c r="H73" s="401"/>
      <c r="I73" s="401"/>
      <c r="J73" s="401"/>
      <c r="N73" s="401"/>
      <c r="O73" s="401"/>
      <c r="P73" s="401"/>
      <c r="Q73" s="401"/>
      <c r="R73" s="401"/>
      <c r="S73" s="401"/>
      <c r="T73" s="401"/>
      <c r="U73" s="401"/>
      <c r="V73" s="401"/>
      <c r="W73" s="401"/>
      <c r="X73" s="401"/>
      <c r="Y73" s="401"/>
      <c r="Z73" s="401"/>
      <c r="AA73" s="401"/>
      <c r="AB73" s="401"/>
      <c r="AC73" s="401"/>
      <c r="AD73" s="401"/>
      <c r="AE73" s="401"/>
      <c r="AF73" s="401"/>
      <c r="AG73" s="401"/>
      <c r="AH73" s="401"/>
      <c r="AI73" s="401"/>
      <c r="AJ73" s="401"/>
      <c r="AK73" s="401"/>
      <c r="AL73" s="401"/>
      <c r="AM73" s="401"/>
      <c r="AN73" s="401"/>
      <c r="AO73" s="401"/>
    </row>
    <row r="74" spans="1:41" ht="12.75" x14ac:dyDescent="0.2">
      <c r="A74" s="471" t="s">
        <v>278</v>
      </c>
      <c r="B74" s="471"/>
      <c r="C74" s="471"/>
      <c r="D74" s="660">
        <v>0</v>
      </c>
      <c r="F74" s="401"/>
      <c r="G74" s="401"/>
      <c r="H74" s="401"/>
      <c r="I74" s="401"/>
      <c r="J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  <c r="AA74" s="401"/>
      <c r="AB74" s="401"/>
      <c r="AC74" s="401"/>
      <c r="AD74" s="401"/>
      <c r="AE74" s="401"/>
      <c r="AF74" s="401"/>
      <c r="AG74" s="401"/>
      <c r="AH74" s="401"/>
      <c r="AI74" s="401"/>
      <c r="AJ74" s="401"/>
      <c r="AK74" s="401"/>
      <c r="AL74" s="401"/>
      <c r="AM74" s="401"/>
      <c r="AN74" s="401"/>
      <c r="AO74" s="401"/>
    </row>
    <row r="75" spans="1:41" ht="12.75" x14ac:dyDescent="0.2">
      <c r="A75" s="471" t="s">
        <v>173</v>
      </c>
      <c r="B75" s="471"/>
      <c r="C75" s="471"/>
      <c r="D75" s="660">
        <v>0</v>
      </c>
      <c r="F75" s="401"/>
      <c r="G75" s="401"/>
      <c r="H75" s="401"/>
      <c r="I75" s="401"/>
      <c r="J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  <c r="AA75" s="401"/>
      <c r="AB75" s="401"/>
      <c r="AC75" s="401"/>
      <c r="AD75" s="401"/>
      <c r="AE75" s="401"/>
      <c r="AF75" s="401"/>
      <c r="AG75" s="401"/>
      <c r="AH75" s="401"/>
      <c r="AI75" s="401"/>
      <c r="AJ75" s="401"/>
      <c r="AK75" s="401"/>
      <c r="AL75" s="401"/>
      <c r="AM75" s="401"/>
      <c r="AN75" s="401"/>
      <c r="AO75" s="401"/>
    </row>
    <row r="76" spans="1:41" ht="12.75" x14ac:dyDescent="0.2">
      <c r="A76" s="471" t="s">
        <v>174</v>
      </c>
      <c r="B76" s="471"/>
      <c r="C76" s="471"/>
      <c r="D76" s="660">
        <v>-134.15700000000001</v>
      </c>
      <c r="F76" s="401"/>
      <c r="G76" s="401"/>
      <c r="H76" s="401"/>
      <c r="I76" s="401"/>
      <c r="J76" s="401"/>
      <c r="N76" s="401"/>
      <c r="O76" s="401"/>
      <c r="P76" s="401"/>
      <c r="Q76" s="401"/>
      <c r="R76" s="401"/>
      <c r="S76" s="401"/>
      <c r="T76" s="401"/>
      <c r="U76" s="401"/>
      <c r="V76" s="401"/>
      <c r="W76" s="401"/>
      <c r="X76" s="401"/>
      <c r="Y76" s="401"/>
      <c r="Z76" s="401"/>
      <c r="AA76" s="401"/>
      <c r="AB76" s="401"/>
      <c r="AC76" s="401"/>
      <c r="AD76" s="401"/>
      <c r="AE76" s="401"/>
      <c r="AF76" s="401"/>
      <c r="AG76" s="401"/>
      <c r="AH76" s="401"/>
      <c r="AI76" s="401"/>
      <c r="AJ76" s="401"/>
      <c r="AK76" s="401"/>
      <c r="AL76" s="401"/>
      <c r="AM76" s="401"/>
      <c r="AN76" s="401"/>
      <c r="AO76" s="401"/>
    </row>
    <row r="77" spans="1:41" ht="12.75" x14ac:dyDescent="0.2">
      <c r="A77" s="479" t="s">
        <v>175</v>
      </c>
      <c r="B77" s="481"/>
      <c r="C77" s="481"/>
      <c r="D77" s="661">
        <f>SUM(D69:D76)</f>
        <v>18338.361947639998</v>
      </c>
      <c r="F77" s="401"/>
      <c r="G77" s="401"/>
      <c r="H77" s="401"/>
      <c r="I77" s="401"/>
      <c r="J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401"/>
      <c r="AB77" s="401"/>
      <c r="AC77" s="401"/>
      <c r="AD77" s="401"/>
      <c r="AE77" s="401"/>
      <c r="AF77" s="401"/>
      <c r="AG77" s="401"/>
      <c r="AH77" s="401"/>
      <c r="AI77" s="401"/>
      <c r="AJ77" s="401"/>
      <c r="AK77" s="401"/>
      <c r="AL77" s="401"/>
      <c r="AM77" s="401"/>
      <c r="AN77" s="401"/>
      <c r="AO77" s="401"/>
    </row>
  </sheetData>
  <mergeCells count="2">
    <mergeCell ref="A58:D58"/>
    <mergeCell ref="A68:D68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66CCFF"/>
  </sheetPr>
  <dimension ref="A1:AN64"/>
  <sheetViews>
    <sheetView showGridLines="0"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outlineLevelRow="1" x14ac:dyDescent="0.2"/>
  <cols>
    <col min="1" max="2" width="2.7109375" style="51" customWidth="1"/>
    <col min="3" max="3" width="37.5703125" style="51" bestFit="1" customWidth="1"/>
    <col min="4" max="4" width="17" style="69" customWidth="1"/>
    <col min="5" max="9" width="9.7109375" style="69" customWidth="1"/>
    <col min="10" max="10" width="9.7109375" style="51" customWidth="1"/>
    <col min="11" max="11" width="9.7109375" style="51" customWidth="1" collapsed="1"/>
    <col min="12" max="12" width="9.140625" style="51"/>
    <col min="13" max="17" width="9.140625" style="482"/>
    <col min="18" max="18" width="9.7109375" style="482" bestFit="1" customWidth="1"/>
    <col min="19" max="40" width="9.140625" style="482"/>
    <col min="41" max="16384" width="9.140625" style="51"/>
  </cols>
  <sheetData>
    <row r="1" spans="1:40" ht="58.5" customHeight="1" x14ac:dyDescent="0.2"/>
    <row r="2" spans="1:40" ht="12.75" customHeight="1" x14ac:dyDescent="0.2">
      <c r="A2" s="483" t="s">
        <v>303</v>
      </c>
      <c r="B2" s="484"/>
      <c r="C2" s="483"/>
      <c r="D2" s="485"/>
      <c r="E2" s="485"/>
      <c r="F2" s="485"/>
      <c r="G2" s="485"/>
      <c r="H2" s="485"/>
      <c r="I2" s="485"/>
      <c r="J2" s="483"/>
      <c r="K2" s="483"/>
    </row>
    <row r="3" spans="1:40" ht="12.75" customHeight="1" x14ac:dyDescent="0.2">
      <c r="A3" s="486" t="s">
        <v>304</v>
      </c>
      <c r="B3" s="487"/>
      <c r="C3" s="488"/>
      <c r="D3" s="489"/>
      <c r="E3" s="489" t="s">
        <v>32</v>
      </c>
      <c r="F3" s="489"/>
      <c r="G3" s="489"/>
      <c r="H3" s="489"/>
      <c r="I3" s="489"/>
      <c r="J3" s="489"/>
      <c r="K3" s="490" t="s">
        <v>33</v>
      </c>
      <c r="L3" s="482"/>
    </row>
    <row r="4" spans="1:40" ht="12.75" customHeight="1" x14ac:dyDescent="0.2">
      <c r="A4" s="486"/>
      <c r="B4" s="487"/>
      <c r="C4" s="488"/>
      <c r="D4" s="491"/>
      <c r="E4" s="491"/>
      <c r="F4" s="491"/>
      <c r="G4" s="491"/>
      <c r="H4" s="491"/>
      <c r="I4" s="491"/>
      <c r="J4" s="492"/>
      <c r="K4" s="492"/>
    </row>
    <row r="5" spans="1:40" ht="12.75" customHeight="1" x14ac:dyDescent="0.2">
      <c r="A5" s="493"/>
      <c r="B5" s="494"/>
      <c r="C5" s="495"/>
      <c r="D5" s="496"/>
      <c r="E5" s="496" t="s">
        <v>248</v>
      </c>
      <c r="F5" s="496" t="s">
        <v>249</v>
      </c>
      <c r="G5" s="496" t="s">
        <v>305</v>
      </c>
      <c r="H5" s="496" t="s">
        <v>251</v>
      </c>
      <c r="I5" s="496" t="s">
        <v>252</v>
      </c>
      <c r="J5" s="496" t="s">
        <v>157</v>
      </c>
      <c r="K5" s="497" t="s">
        <v>254</v>
      </c>
    </row>
    <row r="6" spans="1:40" ht="12.75" customHeight="1" x14ac:dyDescent="0.2">
      <c r="B6" s="69"/>
      <c r="C6" s="498"/>
      <c r="D6" s="499"/>
      <c r="E6" s="499"/>
      <c r="F6" s="499"/>
      <c r="G6" s="499"/>
      <c r="H6" s="499"/>
      <c r="I6" s="499"/>
      <c r="J6" s="499"/>
      <c r="K6" s="499"/>
    </row>
    <row r="7" spans="1:40" ht="12.75" customHeight="1" x14ac:dyDescent="0.2">
      <c r="A7" s="51" t="s">
        <v>306</v>
      </c>
      <c r="B7" s="69"/>
      <c r="C7" s="498"/>
      <c r="D7" s="72"/>
      <c r="E7" s="500">
        <v>1545.9</v>
      </c>
      <c r="F7" s="500">
        <v>1542.4</v>
      </c>
      <c r="G7" s="500">
        <v>6630.5</v>
      </c>
      <c r="H7" s="500">
        <v>1723.6</v>
      </c>
      <c r="I7" s="500">
        <v>1704.6</v>
      </c>
      <c r="J7" s="501">
        <f>G7+H7+I7-F7-E7</f>
        <v>6970.4000000000015</v>
      </c>
      <c r="K7" s="501">
        <f>G7*(1+K8)</f>
        <v>7293.55</v>
      </c>
    </row>
    <row r="8" spans="1:40" s="234" customFormat="1" ht="12.75" customHeight="1" x14ac:dyDescent="0.2">
      <c r="B8" s="502" t="s">
        <v>40</v>
      </c>
      <c r="C8" s="503"/>
      <c r="D8" s="504"/>
      <c r="E8" s="505"/>
      <c r="F8" s="505"/>
      <c r="G8" s="505"/>
      <c r="H8" s="505"/>
      <c r="I8" s="505"/>
      <c r="J8" s="505"/>
      <c r="K8" s="506">
        <v>0.1</v>
      </c>
      <c r="M8" s="507"/>
      <c r="N8" s="507"/>
      <c r="O8" s="507"/>
      <c r="P8" s="507"/>
      <c r="Q8" s="507"/>
      <c r="R8" s="507"/>
      <c r="S8" s="507"/>
      <c r="T8" s="507"/>
      <c r="U8" s="507"/>
      <c r="V8" s="507"/>
      <c r="W8" s="507"/>
      <c r="X8" s="507"/>
      <c r="Y8" s="507"/>
      <c r="Z8" s="507"/>
      <c r="AA8" s="507"/>
      <c r="AB8" s="507"/>
      <c r="AC8" s="507"/>
      <c r="AD8" s="507"/>
      <c r="AE8" s="507"/>
      <c r="AF8" s="507"/>
      <c r="AG8" s="507"/>
      <c r="AH8" s="507"/>
      <c r="AI8" s="507"/>
      <c r="AJ8" s="507"/>
      <c r="AK8" s="507"/>
      <c r="AL8" s="507"/>
      <c r="AM8" s="507"/>
      <c r="AN8" s="507"/>
    </row>
    <row r="9" spans="1:40" ht="12.75" customHeight="1" x14ac:dyDescent="0.2">
      <c r="A9" s="51" t="s">
        <v>307</v>
      </c>
      <c r="B9" s="69"/>
      <c r="C9" s="498"/>
      <c r="D9" s="72"/>
      <c r="E9" s="508">
        <f>1005.1-E18</f>
        <v>965.9</v>
      </c>
      <c r="F9" s="508">
        <f>1000-F18</f>
        <v>960.4</v>
      </c>
      <c r="G9" s="508">
        <f>4252.2-G18</f>
        <v>4088.2999999999997</v>
      </c>
      <c r="H9" s="508">
        <f>1120.9-H18</f>
        <v>1079.1000000000001</v>
      </c>
      <c r="I9" s="508">
        <f>1105-I18</f>
        <v>1062</v>
      </c>
      <c r="J9" s="501">
        <f>G9+H9+I9-F9-E9</f>
        <v>4303.1000000000004</v>
      </c>
      <c r="K9" s="72">
        <f>K10*K$7</f>
        <v>4502.5931087168592</v>
      </c>
    </row>
    <row r="10" spans="1:40" s="234" customFormat="1" ht="12.75" customHeight="1" x14ac:dyDescent="0.2">
      <c r="B10" s="502" t="s">
        <v>308</v>
      </c>
      <c r="C10" s="503"/>
      <c r="D10" s="504"/>
      <c r="E10" s="509">
        <f t="shared" ref="E10:J10" si="0">E9/E$7</f>
        <v>0.62481402419302667</v>
      </c>
      <c r="F10" s="509">
        <f t="shared" si="0"/>
        <v>0.62266597510373434</v>
      </c>
      <c r="G10" s="509">
        <f t="shared" si="0"/>
        <v>0.61659000075409087</v>
      </c>
      <c r="H10" s="509">
        <f t="shared" si="0"/>
        <v>0.62607333488048278</v>
      </c>
      <c r="I10" s="509">
        <f t="shared" si="0"/>
        <v>0.62302006335797255</v>
      </c>
      <c r="J10" s="509">
        <f t="shared" si="0"/>
        <v>0.6173390336279122</v>
      </c>
      <c r="K10" s="506">
        <f>J10</f>
        <v>0.6173390336279122</v>
      </c>
      <c r="M10" s="507"/>
      <c r="N10" s="507"/>
      <c r="O10" s="507"/>
      <c r="P10" s="507"/>
      <c r="Q10" s="507"/>
      <c r="R10" s="507"/>
      <c r="S10" s="507"/>
      <c r="T10" s="507"/>
      <c r="U10" s="507"/>
      <c r="V10" s="507"/>
      <c r="W10" s="507"/>
      <c r="X10" s="507"/>
      <c r="Y10" s="507"/>
      <c r="Z10" s="507"/>
      <c r="AA10" s="507"/>
      <c r="AB10" s="507"/>
      <c r="AC10" s="507"/>
      <c r="AD10" s="507"/>
      <c r="AE10" s="507"/>
      <c r="AF10" s="507"/>
      <c r="AG10" s="507"/>
      <c r="AH10" s="507"/>
      <c r="AI10" s="507"/>
      <c r="AJ10" s="507"/>
      <c r="AK10" s="507"/>
      <c r="AL10" s="507"/>
      <c r="AM10" s="507"/>
      <c r="AN10" s="507"/>
    </row>
    <row r="11" spans="1:40" s="70" customFormat="1" ht="12.75" customHeight="1" x14ac:dyDescent="0.2">
      <c r="A11" s="70" t="s">
        <v>62</v>
      </c>
      <c r="C11" s="510"/>
      <c r="D11" s="72"/>
      <c r="E11" s="511">
        <f>E7-E9</f>
        <v>580.00000000000011</v>
      </c>
      <c r="F11" s="511">
        <f t="shared" ref="F11:K11" si="1">F7-F9</f>
        <v>582.00000000000011</v>
      </c>
      <c r="G11" s="511">
        <f t="shared" si="1"/>
        <v>2542.2000000000003</v>
      </c>
      <c r="H11" s="511">
        <f t="shared" si="1"/>
        <v>644.49999999999977</v>
      </c>
      <c r="I11" s="511">
        <f t="shared" si="1"/>
        <v>642.59999999999991</v>
      </c>
      <c r="J11" s="511">
        <f t="shared" si="1"/>
        <v>2667.3000000000011</v>
      </c>
      <c r="K11" s="511">
        <f t="shared" si="1"/>
        <v>2790.956891283141</v>
      </c>
      <c r="M11" s="512"/>
      <c r="N11" s="512"/>
      <c r="O11" s="512"/>
      <c r="P11" s="512"/>
      <c r="Q11" s="512"/>
      <c r="R11" s="512"/>
      <c r="S11" s="512"/>
      <c r="T11" s="512"/>
      <c r="U11" s="512"/>
      <c r="V11" s="512"/>
      <c r="W11" s="512"/>
      <c r="X11" s="512"/>
      <c r="Y11" s="512"/>
      <c r="Z11" s="512"/>
      <c r="AA11" s="512"/>
      <c r="AB11" s="512"/>
      <c r="AC11" s="512"/>
      <c r="AD11" s="512"/>
      <c r="AE11" s="512"/>
      <c r="AF11" s="512"/>
      <c r="AG11" s="512"/>
      <c r="AH11" s="512"/>
      <c r="AI11" s="512"/>
      <c r="AJ11" s="512"/>
      <c r="AK11" s="512"/>
      <c r="AL11" s="512"/>
      <c r="AM11" s="512"/>
      <c r="AN11" s="512"/>
    </row>
    <row r="12" spans="1:40" s="234" customFormat="1" ht="12.75" customHeight="1" x14ac:dyDescent="0.2">
      <c r="B12" s="502" t="s">
        <v>309</v>
      </c>
      <c r="C12" s="503"/>
      <c r="D12" s="504"/>
      <c r="E12" s="509">
        <f t="shared" ref="E12:J12" si="2">E11/E$7</f>
        <v>0.37518597580697333</v>
      </c>
      <c r="F12" s="509">
        <f t="shared" si="2"/>
        <v>0.37733402489626561</v>
      </c>
      <c r="G12" s="509">
        <f t="shared" si="2"/>
        <v>0.38340999924590907</v>
      </c>
      <c r="H12" s="509">
        <f t="shared" si="2"/>
        <v>0.37392666511951717</v>
      </c>
      <c r="I12" s="509">
        <f t="shared" si="2"/>
        <v>0.37697993664202745</v>
      </c>
      <c r="J12" s="509">
        <f t="shared" si="2"/>
        <v>0.38266096637208774</v>
      </c>
      <c r="K12" s="506">
        <f>J12</f>
        <v>0.38266096637208774</v>
      </c>
      <c r="M12" s="507"/>
      <c r="N12" s="507"/>
      <c r="O12" s="507"/>
      <c r="P12" s="507"/>
      <c r="Q12" s="507"/>
      <c r="R12" s="507"/>
      <c r="S12" s="507"/>
      <c r="T12" s="507"/>
      <c r="U12" s="507"/>
      <c r="V12" s="507"/>
      <c r="W12" s="507"/>
      <c r="X12" s="507"/>
      <c r="Y12" s="507"/>
      <c r="Z12" s="507"/>
      <c r="AA12" s="507"/>
      <c r="AB12" s="507"/>
      <c r="AC12" s="507"/>
      <c r="AD12" s="507"/>
      <c r="AE12" s="507"/>
      <c r="AF12" s="507"/>
      <c r="AG12" s="507"/>
      <c r="AH12" s="507"/>
      <c r="AI12" s="507"/>
      <c r="AJ12" s="507"/>
      <c r="AK12" s="507"/>
      <c r="AL12" s="507"/>
      <c r="AM12" s="507"/>
      <c r="AN12" s="507"/>
    </row>
    <row r="13" spans="1:40" ht="12.75" customHeight="1" x14ac:dyDescent="0.2">
      <c r="A13" s="51" t="s">
        <v>310</v>
      </c>
      <c r="C13" s="498"/>
      <c r="D13" s="72"/>
      <c r="E13" s="508">
        <v>379.1</v>
      </c>
      <c r="F13" s="508">
        <v>388.9</v>
      </c>
      <c r="G13" s="508">
        <v>1596.2</v>
      </c>
      <c r="H13" s="508">
        <v>414.7</v>
      </c>
      <c r="I13" s="508">
        <v>415.2</v>
      </c>
      <c r="J13" s="72">
        <f>G13+H13+I13-F13-E13</f>
        <v>1658.1</v>
      </c>
      <c r="K13" s="72">
        <f>K14*K$7</f>
        <v>1734.9700526512104</v>
      </c>
    </row>
    <row r="14" spans="1:40" s="234" customFormat="1" ht="12.75" customHeight="1" x14ac:dyDescent="0.2">
      <c r="B14" s="502" t="s">
        <v>311</v>
      </c>
      <c r="C14" s="503"/>
      <c r="D14" s="504"/>
      <c r="E14" s="509">
        <f t="shared" ref="E14:J14" si="3">E13/E$7</f>
        <v>0.24522931625590272</v>
      </c>
      <c r="F14" s="509">
        <f t="shared" si="3"/>
        <v>0.25213952282157676</v>
      </c>
      <c r="G14" s="509">
        <f t="shared" si="3"/>
        <v>0.24073599276072696</v>
      </c>
      <c r="H14" s="509">
        <f t="shared" si="3"/>
        <v>0.24060106753307031</v>
      </c>
      <c r="I14" s="509">
        <f t="shared" si="3"/>
        <v>0.24357620556142204</v>
      </c>
      <c r="J14" s="509">
        <f t="shared" si="3"/>
        <v>0.23787730976701474</v>
      </c>
      <c r="K14" s="506">
        <f>J14</f>
        <v>0.23787730976701474</v>
      </c>
      <c r="M14" s="507"/>
      <c r="N14" s="507"/>
      <c r="O14" s="507"/>
      <c r="P14" s="507"/>
      <c r="Q14" s="507"/>
      <c r="R14" s="507"/>
      <c r="S14" s="507"/>
      <c r="T14" s="507"/>
      <c r="U14" s="507"/>
      <c r="V14" s="507"/>
      <c r="W14" s="507"/>
      <c r="X14" s="507"/>
      <c r="Y14" s="507"/>
      <c r="Z14" s="507"/>
      <c r="AA14" s="507"/>
      <c r="AB14" s="507"/>
      <c r="AC14" s="507"/>
      <c r="AD14" s="507"/>
      <c r="AE14" s="507"/>
      <c r="AF14" s="507"/>
      <c r="AG14" s="507"/>
      <c r="AH14" s="507"/>
      <c r="AI14" s="507"/>
      <c r="AJ14" s="507"/>
      <c r="AK14" s="507"/>
      <c r="AL14" s="507"/>
      <c r="AM14" s="507"/>
      <c r="AN14" s="507"/>
    </row>
    <row r="15" spans="1:40" s="70" customFormat="1" ht="12.75" customHeight="1" collapsed="1" x14ac:dyDescent="0.2">
      <c r="A15" s="70" t="s">
        <v>2</v>
      </c>
      <c r="C15" s="510"/>
      <c r="D15" s="513"/>
      <c r="E15" s="511">
        <f>E11-E13</f>
        <v>200.90000000000009</v>
      </c>
      <c r="F15" s="511">
        <f t="shared" ref="F15:K15" si="4">F11-F13</f>
        <v>193.10000000000014</v>
      </c>
      <c r="G15" s="511">
        <f t="shared" si="4"/>
        <v>946.00000000000023</v>
      </c>
      <c r="H15" s="511">
        <f t="shared" si="4"/>
        <v>229.79999999999978</v>
      </c>
      <c r="I15" s="511">
        <f t="shared" si="4"/>
        <v>227.39999999999992</v>
      </c>
      <c r="J15" s="511">
        <f t="shared" si="4"/>
        <v>1009.2000000000012</v>
      </c>
      <c r="K15" s="511">
        <f t="shared" si="4"/>
        <v>1055.9868386319306</v>
      </c>
      <c r="M15" s="512"/>
      <c r="N15" s="512"/>
      <c r="O15" s="512"/>
      <c r="P15" s="512"/>
      <c r="Q15" s="512"/>
      <c r="R15" s="512"/>
      <c r="S15" s="512"/>
      <c r="T15" s="512"/>
      <c r="U15" s="512"/>
      <c r="V15" s="512"/>
      <c r="W15" s="512"/>
      <c r="X15" s="512"/>
      <c r="Y15" s="512"/>
      <c r="Z15" s="512"/>
      <c r="AA15" s="512"/>
      <c r="AB15" s="512"/>
      <c r="AC15" s="512"/>
      <c r="AD15" s="512"/>
      <c r="AE15" s="512"/>
      <c r="AF15" s="512"/>
      <c r="AG15" s="512"/>
      <c r="AH15" s="512"/>
      <c r="AI15" s="512"/>
      <c r="AJ15" s="512"/>
      <c r="AK15" s="512"/>
      <c r="AL15" s="512"/>
      <c r="AM15" s="512"/>
      <c r="AN15" s="512"/>
    </row>
    <row r="16" spans="1:40" s="234" customFormat="1" ht="12.75" customHeight="1" x14ac:dyDescent="0.2">
      <c r="B16" s="502" t="s">
        <v>45</v>
      </c>
      <c r="C16" s="503"/>
      <c r="D16" s="504"/>
      <c r="E16" s="509">
        <f t="shared" ref="E16:K16" si="5">E15/E$7</f>
        <v>0.12995665955107064</v>
      </c>
      <c r="F16" s="509">
        <f t="shared" si="5"/>
        <v>0.12519450207468888</v>
      </c>
      <c r="G16" s="509">
        <f t="shared" si="5"/>
        <v>0.14267400648518214</v>
      </c>
      <c r="H16" s="509">
        <f t="shared" si="5"/>
        <v>0.13332559758644685</v>
      </c>
      <c r="I16" s="509">
        <f t="shared" si="5"/>
        <v>0.13340373108060538</v>
      </c>
      <c r="J16" s="509">
        <f t="shared" si="5"/>
        <v>0.14478365660507303</v>
      </c>
      <c r="K16" s="509">
        <f t="shared" si="5"/>
        <v>0.14478365660507306</v>
      </c>
      <c r="M16" s="507"/>
      <c r="N16" s="507"/>
      <c r="O16" s="507"/>
      <c r="P16" s="507"/>
      <c r="Q16" s="507"/>
      <c r="R16" s="507"/>
      <c r="S16" s="507"/>
      <c r="T16" s="507"/>
      <c r="U16" s="507"/>
      <c r="V16" s="507"/>
      <c r="W16" s="507"/>
      <c r="X16" s="507"/>
      <c r="Y16" s="507"/>
      <c r="Z16" s="507"/>
      <c r="AA16" s="507"/>
      <c r="AB16" s="507"/>
      <c r="AC16" s="507"/>
      <c r="AD16" s="507"/>
      <c r="AE16" s="507"/>
      <c r="AF16" s="507"/>
      <c r="AG16" s="507"/>
      <c r="AH16" s="507"/>
      <c r="AI16" s="507"/>
      <c r="AJ16" s="507"/>
      <c r="AK16" s="507"/>
      <c r="AL16" s="507"/>
      <c r="AM16" s="507"/>
      <c r="AN16" s="507"/>
    </row>
    <row r="17" spans="1:40" s="234" customFormat="1" ht="12.75" customHeight="1" x14ac:dyDescent="0.2">
      <c r="B17" s="502"/>
      <c r="C17" s="503"/>
      <c r="D17" s="504"/>
      <c r="E17" s="509"/>
      <c r="F17" s="509"/>
      <c r="G17" s="509"/>
      <c r="H17" s="509"/>
      <c r="I17" s="509"/>
      <c r="J17" s="509"/>
      <c r="K17" s="506"/>
      <c r="M17" s="507"/>
      <c r="N17" s="507"/>
      <c r="O17" s="507"/>
      <c r="P17" s="507"/>
      <c r="Q17" s="507"/>
      <c r="R17" s="507"/>
      <c r="S17" s="507"/>
      <c r="T17" s="507"/>
      <c r="U17" s="507"/>
      <c r="V17" s="507"/>
      <c r="W17" s="507"/>
      <c r="X17" s="507"/>
      <c r="Y17" s="507"/>
      <c r="Z17" s="507"/>
      <c r="AA17" s="507"/>
      <c r="AB17" s="507"/>
      <c r="AC17" s="507"/>
      <c r="AD17" s="507"/>
      <c r="AE17" s="507"/>
      <c r="AF17" s="507"/>
      <c r="AG17" s="507"/>
      <c r="AH17" s="507"/>
      <c r="AI17" s="507"/>
      <c r="AJ17" s="507"/>
      <c r="AK17" s="507"/>
      <c r="AL17" s="507"/>
      <c r="AM17" s="507"/>
      <c r="AN17" s="507"/>
    </row>
    <row r="18" spans="1:40" ht="12.75" customHeight="1" x14ac:dyDescent="0.2">
      <c r="A18" s="51" t="s">
        <v>3</v>
      </c>
      <c r="C18" s="498"/>
      <c r="D18" s="72"/>
      <c r="E18" s="508">
        <v>39.200000000000003</v>
      </c>
      <c r="F18" s="508">
        <f>78.8-E18</f>
        <v>39.599999999999994</v>
      </c>
      <c r="G18" s="508">
        <v>163.9</v>
      </c>
      <c r="H18" s="508">
        <v>41.8</v>
      </c>
      <c r="I18" s="508">
        <f>84.8-H18</f>
        <v>43</v>
      </c>
      <c r="J18" s="72">
        <f>G18+H18+I18-F18-E18</f>
        <v>169.89999999999998</v>
      </c>
      <c r="K18" s="72">
        <f>K19*K$7</f>
        <v>177.77661898886717</v>
      </c>
    </row>
    <row r="19" spans="1:40" s="234" customFormat="1" ht="12.75" customHeight="1" x14ac:dyDescent="0.2">
      <c r="B19" s="502" t="s">
        <v>312</v>
      </c>
      <c r="C19" s="503"/>
      <c r="D19" s="504"/>
      <c r="E19" s="509">
        <f t="shared" ref="E19:J19" si="6">E18/E$7</f>
        <v>2.5357396985574748E-2</v>
      </c>
      <c r="F19" s="509">
        <f t="shared" si="6"/>
        <v>2.5674273858921157E-2</v>
      </c>
      <c r="G19" s="509">
        <f t="shared" si="6"/>
        <v>2.4719101123595506E-2</v>
      </c>
      <c r="H19" s="509">
        <f t="shared" si="6"/>
        <v>2.4251566488744488E-2</v>
      </c>
      <c r="I19" s="509">
        <f t="shared" si="6"/>
        <v>2.5225859439164614E-2</v>
      </c>
      <c r="J19" s="509">
        <f t="shared" si="6"/>
        <v>2.4374497876735905E-2</v>
      </c>
      <c r="K19" s="506">
        <f>J19</f>
        <v>2.4374497876735905E-2</v>
      </c>
      <c r="M19" s="507"/>
      <c r="N19" s="507"/>
      <c r="O19" s="507"/>
      <c r="P19" s="507"/>
      <c r="Q19" s="507"/>
      <c r="R19" s="507"/>
      <c r="S19" s="507"/>
      <c r="T19" s="507"/>
      <c r="U19" s="507"/>
      <c r="V19" s="507"/>
      <c r="W19" s="507"/>
      <c r="X19" s="507"/>
      <c r="Y19" s="507"/>
      <c r="Z19" s="507"/>
      <c r="AA19" s="507"/>
      <c r="AB19" s="507"/>
      <c r="AC19" s="507"/>
      <c r="AD19" s="507"/>
      <c r="AE19" s="507"/>
      <c r="AF19" s="507"/>
      <c r="AG19" s="507"/>
      <c r="AH19" s="507"/>
      <c r="AI19" s="507"/>
      <c r="AJ19" s="507"/>
      <c r="AK19" s="507"/>
      <c r="AL19" s="507"/>
      <c r="AM19" s="507"/>
      <c r="AN19" s="507"/>
    </row>
    <row r="20" spans="1:40" s="234" customFormat="1" ht="12.75" customHeight="1" x14ac:dyDescent="0.2">
      <c r="B20" s="502"/>
      <c r="C20" s="503"/>
      <c r="D20" s="504"/>
      <c r="E20" s="509"/>
      <c r="F20" s="509"/>
      <c r="G20" s="509"/>
      <c r="H20" s="509"/>
      <c r="I20" s="509"/>
      <c r="J20" s="509"/>
      <c r="K20" s="506"/>
      <c r="M20" s="507"/>
      <c r="N20" s="507"/>
      <c r="O20" s="507"/>
      <c r="P20" s="507"/>
      <c r="Q20" s="507"/>
      <c r="R20" s="507"/>
      <c r="S20" s="507"/>
      <c r="T20" s="507"/>
      <c r="U20" s="507"/>
      <c r="V20" s="507"/>
      <c r="W20" s="507"/>
      <c r="X20" s="507"/>
      <c r="Y20" s="507"/>
      <c r="Z20" s="507"/>
      <c r="AA20" s="507"/>
      <c r="AB20" s="507"/>
      <c r="AC20" s="507"/>
      <c r="AD20" s="507"/>
      <c r="AE20" s="507"/>
      <c r="AF20" s="507"/>
      <c r="AG20" s="507"/>
      <c r="AH20" s="507"/>
      <c r="AI20" s="507"/>
      <c r="AJ20" s="507"/>
      <c r="AK20" s="507"/>
      <c r="AL20" s="507"/>
      <c r="AM20" s="507"/>
      <c r="AN20" s="507"/>
    </row>
    <row r="21" spans="1:40" s="70" customFormat="1" ht="12.75" customHeight="1" x14ac:dyDescent="0.2">
      <c r="A21" s="70" t="s">
        <v>1</v>
      </c>
      <c r="C21" s="510"/>
      <c r="D21" s="513"/>
      <c r="E21" s="514">
        <f>E15-E18</f>
        <v>161.7000000000001</v>
      </c>
      <c r="F21" s="514">
        <f t="shared" ref="F21:K21" si="7">F15-F18</f>
        <v>153.50000000000014</v>
      </c>
      <c r="G21" s="514">
        <f t="shared" si="7"/>
        <v>782.10000000000025</v>
      </c>
      <c r="H21" s="514">
        <f t="shared" si="7"/>
        <v>187.99999999999977</v>
      </c>
      <c r="I21" s="514">
        <f t="shared" si="7"/>
        <v>184.39999999999992</v>
      </c>
      <c r="J21" s="514">
        <f t="shared" si="7"/>
        <v>839.30000000000121</v>
      </c>
      <c r="K21" s="514">
        <f t="shared" si="7"/>
        <v>878.2102196430634</v>
      </c>
      <c r="M21" s="512"/>
      <c r="N21" s="512"/>
      <c r="O21" s="512"/>
      <c r="P21" s="512"/>
      <c r="Q21" s="512"/>
      <c r="R21" s="512"/>
      <c r="S21" s="512"/>
      <c r="T21" s="512"/>
      <c r="U21" s="512"/>
      <c r="V21" s="512"/>
      <c r="W21" s="512"/>
      <c r="X21" s="512"/>
      <c r="Y21" s="512"/>
      <c r="Z21" s="512"/>
      <c r="AA21" s="512"/>
      <c r="AB21" s="512"/>
      <c r="AC21" s="512"/>
      <c r="AD21" s="512"/>
      <c r="AE21" s="512"/>
      <c r="AF21" s="512"/>
      <c r="AG21" s="512"/>
      <c r="AH21" s="512"/>
      <c r="AI21" s="512"/>
      <c r="AJ21" s="512"/>
      <c r="AK21" s="512"/>
      <c r="AL21" s="512"/>
      <c r="AM21" s="512"/>
      <c r="AN21" s="512"/>
    </row>
    <row r="22" spans="1:40" s="234" customFormat="1" ht="12.75" customHeight="1" x14ac:dyDescent="0.2">
      <c r="B22" s="502" t="s">
        <v>47</v>
      </c>
      <c r="C22" s="503"/>
      <c r="D22" s="504"/>
      <c r="E22" s="509">
        <f t="shared" ref="E22:K22" si="8">E21/E$7</f>
        <v>0.10459926256549588</v>
      </c>
      <c r="F22" s="509">
        <f t="shared" si="8"/>
        <v>9.9520228215767725E-2</v>
      </c>
      <c r="G22" s="509">
        <f t="shared" si="8"/>
        <v>0.11795490536158665</v>
      </c>
      <c r="H22" s="509">
        <f t="shared" si="8"/>
        <v>0.10907403109770236</v>
      </c>
      <c r="I22" s="509">
        <f t="shared" si="8"/>
        <v>0.10817787164144077</v>
      </c>
      <c r="J22" s="509">
        <f t="shared" si="8"/>
        <v>0.12040915872833712</v>
      </c>
      <c r="K22" s="509">
        <f t="shared" si="8"/>
        <v>0.12040915872833714</v>
      </c>
      <c r="M22" s="507"/>
      <c r="N22" s="507"/>
      <c r="O22" s="507"/>
      <c r="P22" s="507"/>
      <c r="Q22" s="507"/>
      <c r="R22" s="507"/>
      <c r="S22" s="507"/>
      <c r="T22" s="507"/>
      <c r="U22" s="507"/>
      <c r="V22" s="507"/>
      <c r="W22" s="507"/>
      <c r="X22" s="507"/>
      <c r="Y22" s="507"/>
      <c r="Z22" s="507"/>
      <c r="AA22" s="507"/>
      <c r="AB22" s="507"/>
      <c r="AC22" s="507"/>
      <c r="AD22" s="507"/>
      <c r="AE22" s="507"/>
      <c r="AF22" s="507"/>
      <c r="AG22" s="507"/>
      <c r="AH22" s="507"/>
      <c r="AI22" s="507"/>
      <c r="AJ22" s="507"/>
      <c r="AK22" s="507"/>
      <c r="AL22" s="507"/>
      <c r="AM22" s="507"/>
      <c r="AN22" s="507"/>
    </row>
    <row r="23" spans="1:40" s="234" customFormat="1" ht="12.75" customHeight="1" x14ac:dyDescent="0.2">
      <c r="B23" s="502"/>
      <c r="C23" s="503"/>
      <c r="D23" s="504"/>
      <c r="E23" s="509"/>
      <c r="F23" s="509"/>
      <c r="G23" s="509"/>
      <c r="H23" s="509"/>
      <c r="I23" s="509"/>
      <c r="J23" s="509"/>
      <c r="K23" s="506"/>
      <c r="M23" s="507"/>
      <c r="N23" s="507"/>
      <c r="O23" s="507"/>
      <c r="P23" s="507"/>
      <c r="Q23" s="507"/>
      <c r="R23" s="507"/>
      <c r="S23" s="507"/>
      <c r="T23" s="507"/>
      <c r="U23" s="507"/>
      <c r="V23" s="507"/>
      <c r="W23" s="507"/>
      <c r="X23" s="507"/>
      <c r="Y23" s="507"/>
      <c r="Z23" s="507"/>
      <c r="AA23" s="507"/>
      <c r="AB23" s="507"/>
      <c r="AC23" s="507"/>
      <c r="AD23" s="507"/>
      <c r="AE23" s="507"/>
      <c r="AF23" s="507"/>
      <c r="AG23" s="507"/>
      <c r="AH23" s="507"/>
      <c r="AI23" s="507"/>
      <c r="AJ23" s="507"/>
      <c r="AK23" s="507"/>
      <c r="AL23" s="507"/>
      <c r="AM23" s="507"/>
      <c r="AN23" s="507"/>
    </row>
    <row r="24" spans="1:40" ht="12.75" customHeight="1" x14ac:dyDescent="0.2">
      <c r="A24" s="51" t="s">
        <v>313</v>
      </c>
      <c r="C24" s="498"/>
      <c r="D24" s="72"/>
      <c r="E24" s="508">
        <v>0.9</v>
      </c>
      <c r="F24" s="508">
        <v>0.7</v>
      </c>
      <c r="G24" s="508">
        <v>2.9</v>
      </c>
      <c r="H24" s="508">
        <v>0.5</v>
      </c>
      <c r="I24" s="508">
        <v>1.1000000000000001</v>
      </c>
      <c r="J24" s="72">
        <f>G24+H24+I24-F24-E24</f>
        <v>2.9</v>
      </c>
      <c r="K24" s="508">
        <f>J24</f>
        <v>2.9</v>
      </c>
    </row>
    <row r="25" spans="1:40" ht="12.75" customHeight="1" x14ac:dyDescent="0.2">
      <c r="A25" s="51" t="s">
        <v>314</v>
      </c>
      <c r="C25" s="498"/>
      <c r="D25" s="72"/>
      <c r="E25" s="508">
        <v>-0.7</v>
      </c>
      <c r="F25" s="508">
        <v>0.5</v>
      </c>
      <c r="G25" s="508">
        <v>-0.3</v>
      </c>
      <c r="H25" s="508">
        <v>-1.1000000000000001</v>
      </c>
      <c r="I25" s="508">
        <v>0</v>
      </c>
      <c r="J25" s="72">
        <f>G25+H25+I25-F25-E25</f>
        <v>-1.2000000000000002</v>
      </c>
      <c r="K25" s="508">
        <f>J25</f>
        <v>-1.2000000000000002</v>
      </c>
    </row>
    <row r="26" spans="1:40" s="70" customFormat="1" ht="12.75" customHeight="1" x14ac:dyDescent="0.2">
      <c r="A26" s="70" t="s">
        <v>315</v>
      </c>
      <c r="C26" s="510"/>
      <c r="D26" s="513"/>
      <c r="E26" s="511">
        <f>E21-E24-E25</f>
        <v>161.50000000000009</v>
      </c>
      <c r="F26" s="511">
        <f t="shared" ref="F26:K26" si="9">F21-F24-F25</f>
        <v>152.30000000000015</v>
      </c>
      <c r="G26" s="511">
        <f t="shared" si="9"/>
        <v>779.50000000000023</v>
      </c>
      <c r="H26" s="511">
        <f t="shared" si="9"/>
        <v>188.59999999999977</v>
      </c>
      <c r="I26" s="511">
        <f t="shared" si="9"/>
        <v>183.29999999999993</v>
      </c>
      <c r="J26" s="511">
        <f t="shared" si="9"/>
        <v>837.60000000000127</v>
      </c>
      <c r="K26" s="511">
        <f t="shared" si="9"/>
        <v>876.51021964306346</v>
      </c>
      <c r="M26" s="512"/>
      <c r="N26" s="512"/>
      <c r="O26" s="512"/>
      <c r="P26" s="512"/>
      <c r="Q26" s="512"/>
      <c r="R26" s="512"/>
      <c r="S26" s="512"/>
      <c r="T26" s="512"/>
      <c r="U26" s="512"/>
      <c r="V26" s="512"/>
      <c r="W26" s="512"/>
      <c r="X26" s="512"/>
      <c r="Y26" s="512"/>
      <c r="Z26" s="512"/>
      <c r="AA26" s="512"/>
      <c r="AB26" s="512"/>
      <c r="AC26" s="512"/>
      <c r="AD26" s="512"/>
      <c r="AE26" s="512"/>
      <c r="AF26" s="512"/>
      <c r="AG26" s="512"/>
      <c r="AH26" s="512"/>
      <c r="AI26" s="512"/>
      <c r="AJ26" s="512"/>
      <c r="AK26" s="512"/>
      <c r="AL26" s="512"/>
      <c r="AM26" s="512"/>
      <c r="AN26" s="512"/>
    </row>
    <row r="27" spans="1:40" s="234" customFormat="1" ht="12.75" customHeight="1" x14ac:dyDescent="0.2">
      <c r="B27" s="502" t="s">
        <v>213</v>
      </c>
      <c r="C27" s="503"/>
      <c r="D27" s="504"/>
      <c r="E27" s="509">
        <f t="shared" ref="E27:K27" si="10">E26/E$7</f>
        <v>0.10446988809107968</v>
      </c>
      <c r="F27" s="509">
        <f t="shared" si="10"/>
        <v>9.8742219917012541E-2</v>
      </c>
      <c r="G27" s="509">
        <f t="shared" si="10"/>
        <v>0.11756277807103541</v>
      </c>
      <c r="H27" s="509">
        <f t="shared" si="10"/>
        <v>0.10942213970758864</v>
      </c>
      <c r="I27" s="509">
        <f t="shared" si="10"/>
        <v>0.1075325589581133</v>
      </c>
      <c r="J27" s="509">
        <f t="shared" si="10"/>
        <v>0.12016527028578003</v>
      </c>
      <c r="K27" s="509">
        <f t="shared" si="10"/>
        <v>0.12017607607311438</v>
      </c>
      <c r="M27" s="507"/>
      <c r="N27" s="507"/>
      <c r="O27" s="507"/>
      <c r="P27" s="507"/>
      <c r="Q27" s="507"/>
      <c r="R27" s="507"/>
      <c r="S27" s="507"/>
      <c r="T27" s="507"/>
      <c r="U27" s="507"/>
      <c r="V27" s="507"/>
      <c r="W27" s="507"/>
      <c r="X27" s="507"/>
      <c r="Y27" s="507"/>
      <c r="Z27" s="507"/>
      <c r="AA27" s="507"/>
      <c r="AB27" s="507"/>
      <c r="AC27" s="507"/>
      <c r="AD27" s="507"/>
      <c r="AE27" s="507"/>
      <c r="AF27" s="507"/>
      <c r="AG27" s="507"/>
      <c r="AH27" s="507"/>
      <c r="AI27" s="507"/>
      <c r="AJ27" s="507"/>
      <c r="AK27" s="507"/>
      <c r="AL27" s="507"/>
      <c r="AM27" s="507"/>
      <c r="AN27" s="507"/>
    </row>
    <row r="28" spans="1:40" s="234" customFormat="1" ht="12.75" customHeight="1" x14ac:dyDescent="0.2">
      <c r="B28" s="502"/>
      <c r="C28" s="503"/>
      <c r="D28" s="504"/>
      <c r="E28" s="509"/>
      <c r="F28" s="509"/>
      <c r="G28" s="509"/>
      <c r="H28" s="509"/>
      <c r="I28" s="509"/>
      <c r="J28" s="509"/>
      <c r="K28" s="506"/>
      <c r="M28" s="507"/>
      <c r="N28" s="507"/>
      <c r="O28" s="507"/>
      <c r="P28" s="507"/>
      <c r="Q28" s="507"/>
      <c r="R28" s="507"/>
      <c r="S28" s="507"/>
      <c r="T28" s="507"/>
      <c r="U28" s="507"/>
      <c r="V28" s="507"/>
      <c r="W28" s="507"/>
      <c r="X28" s="507"/>
      <c r="Y28" s="507"/>
      <c r="Z28" s="507"/>
      <c r="AA28" s="507"/>
      <c r="AB28" s="507"/>
      <c r="AC28" s="507"/>
      <c r="AD28" s="507"/>
      <c r="AE28" s="507"/>
      <c r="AF28" s="507"/>
      <c r="AG28" s="507"/>
      <c r="AH28" s="507"/>
      <c r="AI28" s="507"/>
      <c r="AJ28" s="507"/>
      <c r="AK28" s="507"/>
      <c r="AL28" s="507"/>
      <c r="AM28" s="507"/>
      <c r="AN28" s="507"/>
    </row>
    <row r="29" spans="1:40" s="234" customFormat="1" ht="12.75" customHeight="1" x14ac:dyDescent="0.2">
      <c r="A29" s="51" t="s">
        <v>316</v>
      </c>
      <c r="B29" s="502"/>
      <c r="C29" s="503"/>
      <c r="D29" s="504"/>
      <c r="E29" s="72">
        <f t="shared" ref="E29:K29" si="11">E26*E32</f>
        <v>60.500000000000021</v>
      </c>
      <c r="F29" s="72">
        <f t="shared" si="11"/>
        <v>57.400000000000013</v>
      </c>
      <c r="G29" s="72">
        <f t="shared" si="11"/>
        <v>291.20000000000005</v>
      </c>
      <c r="H29" s="72">
        <f t="shared" si="11"/>
        <v>72.499999999999972</v>
      </c>
      <c r="I29" s="72">
        <f t="shared" si="11"/>
        <v>64.099999999999994</v>
      </c>
      <c r="J29" s="72">
        <f t="shared" si="11"/>
        <v>292.90867430441955</v>
      </c>
      <c r="K29" s="72">
        <f t="shared" si="11"/>
        <v>306.51557599083679</v>
      </c>
      <c r="M29" s="507"/>
      <c r="N29" s="507"/>
      <c r="O29" s="507"/>
      <c r="P29" s="507"/>
      <c r="Q29" s="507"/>
      <c r="R29" s="507"/>
      <c r="S29" s="507"/>
      <c r="T29" s="507"/>
      <c r="U29" s="507"/>
      <c r="V29" s="507"/>
      <c r="W29" s="507"/>
      <c r="X29" s="507"/>
      <c r="Y29" s="507"/>
      <c r="Z29" s="507"/>
      <c r="AA29" s="507"/>
      <c r="AB29" s="507"/>
      <c r="AC29" s="507"/>
      <c r="AD29" s="507"/>
      <c r="AE29" s="507"/>
      <c r="AF29" s="507"/>
      <c r="AG29" s="507"/>
      <c r="AH29" s="507"/>
      <c r="AI29" s="507"/>
      <c r="AJ29" s="507"/>
      <c r="AK29" s="507"/>
      <c r="AL29" s="507"/>
      <c r="AM29" s="507"/>
      <c r="AN29" s="507"/>
    </row>
    <row r="30" spans="1:40" s="234" customFormat="1" ht="12.75" customHeight="1" outlineLevel="1" x14ac:dyDescent="0.2">
      <c r="B30" s="502"/>
      <c r="C30" s="51" t="s">
        <v>317</v>
      </c>
      <c r="D30" s="504"/>
      <c r="E30" s="508">
        <v>161.50000000000003</v>
      </c>
      <c r="F30" s="508">
        <v>152.30000000000013</v>
      </c>
      <c r="G30" s="508">
        <v>779.50000000000011</v>
      </c>
      <c r="H30" s="508">
        <v>188.59999999999982</v>
      </c>
      <c r="I30" s="508">
        <v>183.29999999999993</v>
      </c>
      <c r="J30" s="72"/>
      <c r="K30" s="506"/>
      <c r="M30" s="507"/>
      <c r="N30" s="507"/>
      <c r="O30" s="507"/>
      <c r="P30" s="507"/>
      <c r="Q30" s="507"/>
      <c r="R30" s="507"/>
      <c r="S30" s="507"/>
      <c r="T30" s="507"/>
      <c r="U30" s="507"/>
      <c r="V30" s="507"/>
      <c r="W30" s="507"/>
      <c r="X30" s="507"/>
      <c r="Y30" s="507"/>
      <c r="Z30" s="507"/>
      <c r="AA30" s="507"/>
      <c r="AB30" s="507"/>
      <c r="AC30" s="507"/>
      <c r="AD30" s="507"/>
      <c r="AE30" s="507"/>
      <c r="AF30" s="507"/>
      <c r="AG30" s="507"/>
      <c r="AH30" s="507"/>
      <c r="AI30" s="507"/>
      <c r="AJ30" s="507"/>
      <c r="AK30" s="507"/>
      <c r="AL30" s="507"/>
      <c r="AM30" s="507"/>
      <c r="AN30" s="507"/>
    </row>
    <row r="31" spans="1:40" ht="12.75" customHeight="1" outlineLevel="1" x14ac:dyDescent="0.2">
      <c r="C31" s="51" t="s">
        <v>316</v>
      </c>
      <c r="D31" s="72"/>
      <c r="E31" s="508">
        <v>60.5</v>
      </c>
      <c r="F31" s="508">
        <v>57.4</v>
      </c>
      <c r="G31" s="508">
        <v>291.2</v>
      </c>
      <c r="H31" s="508">
        <v>72.5</v>
      </c>
      <c r="I31" s="508">
        <v>64.099999999999994</v>
      </c>
      <c r="J31" s="72"/>
      <c r="K31" s="72"/>
    </row>
    <row r="32" spans="1:40" s="234" customFormat="1" ht="12.75" customHeight="1" x14ac:dyDescent="0.2">
      <c r="B32" s="502" t="s">
        <v>318</v>
      </c>
      <c r="C32" s="503"/>
      <c r="D32" s="504"/>
      <c r="E32" s="509">
        <f>E31/E30</f>
        <v>0.37461300309597517</v>
      </c>
      <c r="F32" s="509">
        <f>F31/F30</f>
        <v>0.37688772160210082</v>
      </c>
      <c r="G32" s="509">
        <f>G31/G30</f>
        <v>0.37357280307889668</v>
      </c>
      <c r="H32" s="509">
        <f>H31/H30</f>
        <v>0.38441145281018063</v>
      </c>
      <c r="I32" s="509">
        <f>I31/I30</f>
        <v>0.3496999454446264</v>
      </c>
      <c r="J32" s="506">
        <f>I32</f>
        <v>0.3496999454446264</v>
      </c>
      <c r="K32" s="506">
        <f>J32</f>
        <v>0.3496999454446264</v>
      </c>
      <c r="M32" s="507"/>
      <c r="N32" s="507"/>
      <c r="O32" s="507"/>
      <c r="P32" s="507"/>
      <c r="Q32" s="507"/>
      <c r="R32" s="507"/>
      <c r="S32" s="507"/>
      <c r="T32" s="507"/>
      <c r="U32" s="507"/>
      <c r="V32" s="507"/>
      <c r="W32" s="507"/>
      <c r="X32" s="507"/>
      <c r="Y32" s="507"/>
      <c r="Z32" s="507"/>
      <c r="AA32" s="507"/>
      <c r="AB32" s="507"/>
      <c r="AC32" s="507"/>
      <c r="AD32" s="507"/>
      <c r="AE32" s="507"/>
      <c r="AF32" s="507"/>
      <c r="AG32" s="507"/>
      <c r="AH32" s="507"/>
      <c r="AI32" s="507"/>
      <c r="AJ32" s="507"/>
      <c r="AK32" s="507"/>
      <c r="AL32" s="507"/>
      <c r="AM32" s="507"/>
      <c r="AN32" s="507"/>
    </row>
    <row r="33" spans="1:40" s="70" customFormat="1" ht="12.75" customHeight="1" x14ac:dyDescent="0.2">
      <c r="A33" s="70" t="s">
        <v>59</v>
      </c>
      <c r="D33" s="513"/>
      <c r="E33" s="511">
        <f>E26-E29</f>
        <v>101.00000000000006</v>
      </c>
      <c r="F33" s="511">
        <f t="shared" ref="F33:K33" si="12">F26-F29</f>
        <v>94.900000000000148</v>
      </c>
      <c r="G33" s="511">
        <f t="shared" si="12"/>
        <v>488.30000000000018</v>
      </c>
      <c r="H33" s="511">
        <f t="shared" si="12"/>
        <v>116.0999999999998</v>
      </c>
      <c r="I33" s="511">
        <f t="shared" si="12"/>
        <v>119.19999999999993</v>
      </c>
      <c r="J33" s="511">
        <f t="shared" si="12"/>
        <v>544.69132569558178</v>
      </c>
      <c r="K33" s="511">
        <f t="shared" si="12"/>
        <v>569.99464365222661</v>
      </c>
      <c r="M33" s="512"/>
      <c r="N33" s="512"/>
      <c r="O33" s="512"/>
      <c r="P33" s="512"/>
      <c r="Q33" s="512"/>
      <c r="R33" s="512"/>
      <c r="S33" s="512"/>
      <c r="T33" s="512"/>
      <c r="U33" s="512"/>
      <c r="V33" s="512"/>
      <c r="W33" s="512"/>
      <c r="X33" s="512"/>
      <c r="Y33" s="512"/>
      <c r="Z33" s="512"/>
      <c r="AA33" s="512"/>
      <c r="AB33" s="512"/>
      <c r="AC33" s="512"/>
      <c r="AD33" s="512"/>
      <c r="AE33" s="512"/>
      <c r="AF33" s="512"/>
      <c r="AG33" s="512"/>
      <c r="AH33" s="512"/>
      <c r="AI33" s="512"/>
      <c r="AJ33" s="512"/>
      <c r="AK33" s="512"/>
      <c r="AL33" s="512"/>
      <c r="AM33" s="512"/>
      <c r="AN33" s="512"/>
    </row>
    <row r="34" spans="1:40" ht="12.75" customHeight="1" x14ac:dyDescent="0.2">
      <c r="D34" s="72"/>
      <c r="E34" s="72"/>
      <c r="F34" s="72"/>
      <c r="G34" s="72"/>
      <c r="H34" s="72"/>
      <c r="I34" s="72"/>
      <c r="J34" s="72"/>
      <c r="K34" s="72"/>
      <c r="M34" s="515"/>
      <c r="N34" s="515"/>
      <c r="O34" s="515"/>
      <c r="P34" s="515"/>
      <c r="Q34" s="515"/>
      <c r="R34" s="515"/>
      <c r="S34" s="515"/>
      <c r="T34" s="515"/>
      <c r="U34" s="515"/>
    </row>
    <row r="35" spans="1:40" s="70" customFormat="1" ht="12.75" customHeight="1" x14ac:dyDescent="0.2">
      <c r="A35" s="70" t="s">
        <v>319</v>
      </c>
      <c r="D35" s="513"/>
      <c r="E35" s="513"/>
      <c r="F35" s="513"/>
      <c r="G35" s="513"/>
      <c r="H35" s="513"/>
      <c r="I35" s="513"/>
      <c r="J35" s="513"/>
      <c r="K35" s="513"/>
      <c r="M35" s="512"/>
      <c r="N35" s="512"/>
      <c r="O35" s="512"/>
      <c r="P35" s="512"/>
      <c r="Q35" s="512"/>
      <c r="R35" s="512"/>
      <c r="S35" s="512"/>
      <c r="T35" s="512"/>
      <c r="U35" s="512"/>
      <c r="V35" s="512"/>
      <c r="W35" s="512"/>
      <c r="X35" s="512"/>
      <c r="Y35" s="512"/>
      <c r="Z35" s="512"/>
      <c r="AA35" s="512"/>
      <c r="AB35" s="512"/>
      <c r="AC35" s="512"/>
      <c r="AD35" s="512"/>
      <c r="AE35" s="512"/>
      <c r="AF35" s="512"/>
      <c r="AG35" s="512"/>
      <c r="AH35" s="512"/>
      <c r="AI35" s="512"/>
      <c r="AJ35" s="512"/>
      <c r="AK35" s="512"/>
      <c r="AL35" s="512"/>
      <c r="AM35" s="512"/>
      <c r="AN35" s="512"/>
    </row>
    <row r="36" spans="1:40" ht="12.75" customHeight="1" x14ac:dyDescent="0.2">
      <c r="B36" s="51" t="s">
        <v>4</v>
      </c>
      <c r="C36" s="498"/>
      <c r="D36" s="72"/>
      <c r="E36" s="516">
        <f t="shared" ref="E36:K37" si="13">E$33/E40</f>
        <v>0.82381729200652576</v>
      </c>
      <c r="F36" s="516">
        <f t="shared" si="13"/>
        <v>0.38798037612428515</v>
      </c>
      <c r="G36" s="516">
        <f t="shared" si="13"/>
        <v>4.0590191188694948</v>
      </c>
      <c r="H36" s="516">
        <f t="shared" si="13"/>
        <v>1.0025906735751278</v>
      </c>
      <c r="I36" s="516">
        <f t="shared" si="13"/>
        <v>0.51534803285776021</v>
      </c>
      <c r="J36" s="516">
        <f t="shared" si="13"/>
        <v>2.3549127786233539</v>
      </c>
      <c r="K36" s="516">
        <f t="shared" si="13"/>
        <v>2.4747364101014142</v>
      </c>
    </row>
    <row r="37" spans="1:40" ht="12.75" customHeight="1" x14ac:dyDescent="0.2">
      <c r="B37" s="51" t="s">
        <v>5</v>
      </c>
      <c r="D37" s="72"/>
      <c r="E37" s="516">
        <f t="shared" si="13"/>
        <v>0.81781376518218674</v>
      </c>
      <c r="F37" s="516">
        <f t="shared" si="13"/>
        <v>0.38561560341324724</v>
      </c>
      <c r="G37" s="516">
        <f t="shared" si="13"/>
        <v>4.0288778877887799</v>
      </c>
      <c r="H37" s="516">
        <f t="shared" si="13"/>
        <v>0.99742268041236937</v>
      </c>
      <c r="I37" s="516">
        <f t="shared" si="13"/>
        <v>0.51246775580395498</v>
      </c>
      <c r="J37" s="516">
        <f t="shared" si="13"/>
        <v>2.3417511852776518</v>
      </c>
      <c r="K37" s="516">
        <f t="shared" si="13"/>
        <v>2.4734284296765976</v>
      </c>
    </row>
    <row r="38" spans="1:40" ht="12.75" customHeight="1" collapsed="1" x14ac:dyDescent="0.2">
      <c r="C38" s="498"/>
      <c r="D38" s="72"/>
      <c r="E38" s="72"/>
      <c r="F38" s="72"/>
      <c r="G38" s="72"/>
      <c r="H38" s="72"/>
      <c r="I38" s="72"/>
      <c r="J38" s="72"/>
      <c r="K38" s="72"/>
    </row>
    <row r="39" spans="1:40" ht="12.75" customHeight="1" x14ac:dyDescent="0.2">
      <c r="A39" s="70" t="s">
        <v>320</v>
      </c>
      <c r="C39" s="498"/>
      <c r="D39" s="72"/>
      <c r="E39" s="72"/>
      <c r="F39" s="72"/>
      <c r="G39" s="72"/>
      <c r="H39" s="72"/>
      <c r="I39" s="72"/>
      <c r="J39" s="72"/>
      <c r="K39" s="72"/>
    </row>
    <row r="40" spans="1:40" ht="12.75" customHeight="1" x14ac:dyDescent="0.2">
      <c r="B40" s="51" t="s">
        <v>4</v>
      </c>
      <c r="D40" s="72"/>
      <c r="E40" s="517">
        <v>122.6</v>
      </c>
      <c r="F40" s="517">
        <v>244.6</v>
      </c>
      <c r="G40" s="517">
        <v>120.3</v>
      </c>
      <c r="H40" s="517">
        <v>115.8</v>
      </c>
      <c r="I40" s="517">
        <v>231.3</v>
      </c>
      <c r="J40" s="508">
        <f>I40</f>
        <v>231.3</v>
      </c>
      <c r="K40" s="508">
        <f>D47/1000000</f>
        <v>230.32539600000001</v>
      </c>
    </row>
    <row r="41" spans="1:40" ht="12.75" customHeight="1" x14ac:dyDescent="0.2">
      <c r="B41" s="51" t="s">
        <v>5</v>
      </c>
      <c r="D41" s="72"/>
      <c r="E41" s="517">
        <v>123.5</v>
      </c>
      <c r="F41" s="517">
        <v>246.1</v>
      </c>
      <c r="G41" s="517">
        <v>121.2</v>
      </c>
      <c r="H41" s="517">
        <v>116.4</v>
      </c>
      <c r="I41" s="517">
        <v>232.6</v>
      </c>
      <c r="J41" s="508">
        <f>I41</f>
        <v>232.6</v>
      </c>
      <c r="K41" s="508">
        <f>D53/1000000</f>
        <v>230.44719499999999</v>
      </c>
    </row>
    <row r="42" spans="1:40" ht="12.75" customHeight="1" x14ac:dyDescent="0.2">
      <c r="A42" s="518"/>
      <c r="B42" s="518"/>
      <c r="C42" s="518"/>
      <c r="D42" s="519"/>
      <c r="E42" s="519"/>
      <c r="F42" s="519"/>
      <c r="G42" s="519"/>
      <c r="H42" s="519"/>
      <c r="I42" s="519"/>
      <c r="J42" s="519"/>
      <c r="K42" s="519"/>
    </row>
    <row r="43" spans="1:40" ht="12.75" customHeight="1" x14ac:dyDescent="0.2"/>
    <row r="44" spans="1:40" ht="12.75" customHeight="1" x14ac:dyDescent="0.2">
      <c r="C44" s="520"/>
      <c r="D44" s="520"/>
      <c r="K44" s="521"/>
    </row>
    <row r="45" spans="1:40" ht="18.75" customHeight="1" x14ac:dyDescent="0.2">
      <c r="A45" s="698" t="s">
        <v>321</v>
      </c>
      <c r="B45" s="699"/>
      <c r="C45" s="699"/>
      <c r="D45" s="700"/>
      <c r="K45" s="522"/>
    </row>
    <row r="46" spans="1:40" ht="20.100000000000001" customHeight="1" x14ac:dyDescent="0.2">
      <c r="A46" s="482" t="s">
        <v>170</v>
      </c>
      <c r="B46" s="482"/>
      <c r="C46" s="482"/>
      <c r="D46" s="523">
        <v>37.74</v>
      </c>
      <c r="J46" s="521"/>
    </row>
    <row r="47" spans="1:40" ht="20.100000000000001" customHeight="1" x14ac:dyDescent="0.2">
      <c r="A47" s="482" t="s">
        <v>273</v>
      </c>
      <c r="B47" s="482"/>
      <c r="C47" s="512"/>
      <c r="D47" s="524">
        <v>230325396</v>
      </c>
      <c r="J47" s="525"/>
    </row>
    <row r="48" spans="1:40" ht="20.100000000000001" customHeight="1" x14ac:dyDescent="0.2">
      <c r="A48" s="482" t="s">
        <v>271</v>
      </c>
      <c r="B48" s="482"/>
      <c r="C48" s="482"/>
      <c r="D48" s="524">
        <v>675980</v>
      </c>
    </row>
    <row r="49" spans="1:40" ht="20.100000000000001" customHeight="1" x14ac:dyDescent="0.2">
      <c r="A49" s="526" t="s">
        <v>269</v>
      </c>
      <c r="B49" s="526"/>
      <c r="C49" s="526"/>
      <c r="D49" s="523">
        <v>30.94</v>
      </c>
    </row>
    <row r="50" spans="1:40" s="69" customFormat="1" ht="20.100000000000001" customHeight="1" x14ac:dyDescent="0.2">
      <c r="A50" s="526" t="s">
        <v>270</v>
      </c>
      <c r="B50" s="526"/>
      <c r="C50" s="526"/>
      <c r="D50" s="527">
        <f>D48*D49</f>
        <v>20914821.199999999</v>
      </c>
      <c r="J50" s="51"/>
      <c r="K50" s="51"/>
      <c r="L50" s="51"/>
      <c r="M50" s="482"/>
      <c r="N50" s="482"/>
      <c r="O50" s="482"/>
      <c r="P50" s="482"/>
      <c r="Q50" s="482"/>
      <c r="R50" s="482"/>
      <c r="S50" s="482"/>
      <c r="T50" s="482"/>
      <c r="U50" s="482"/>
      <c r="V50" s="482"/>
      <c r="W50" s="482"/>
      <c r="X50" s="482"/>
      <c r="Y50" s="482"/>
      <c r="Z50" s="482"/>
      <c r="AA50" s="482"/>
      <c r="AB50" s="482"/>
      <c r="AC50" s="482"/>
      <c r="AD50" s="482"/>
      <c r="AE50" s="482"/>
      <c r="AF50" s="482"/>
      <c r="AG50" s="482"/>
      <c r="AH50" s="482"/>
      <c r="AI50" s="482"/>
      <c r="AJ50" s="482"/>
      <c r="AK50" s="482"/>
      <c r="AL50" s="482"/>
      <c r="AM50" s="482"/>
      <c r="AN50" s="482"/>
    </row>
    <row r="51" spans="1:40" s="69" customFormat="1" ht="20.100000000000001" customHeight="1" x14ac:dyDescent="0.2">
      <c r="A51" s="482" t="s">
        <v>274</v>
      </c>
      <c r="B51" s="526"/>
      <c r="C51" s="526"/>
      <c r="D51" s="527">
        <f>+ROUNDDOWN(D50/D46,0)</f>
        <v>554181</v>
      </c>
      <c r="J51" s="51"/>
      <c r="K51" s="51"/>
      <c r="L51" s="51"/>
      <c r="M51" s="482"/>
      <c r="N51" s="482"/>
      <c r="O51" s="482"/>
      <c r="P51" s="482"/>
      <c r="Q51" s="482"/>
      <c r="R51" s="482"/>
      <c r="S51" s="482"/>
      <c r="T51" s="482"/>
      <c r="U51" s="482"/>
      <c r="V51" s="482"/>
      <c r="W51" s="482"/>
      <c r="X51" s="482"/>
      <c r="Y51" s="482"/>
      <c r="Z51" s="482"/>
      <c r="AA51" s="482"/>
      <c r="AB51" s="482"/>
      <c r="AC51" s="482"/>
      <c r="AD51" s="482"/>
      <c r="AE51" s="482"/>
      <c r="AF51" s="482"/>
      <c r="AG51" s="482"/>
      <c r="AH51" s="482"/>
      <c r="AI51" s="482"/>
      <c r="AJ51" s="482"/>
      <c r="AK51" s="482"/>
      <c r="AL51" s="482"/>
      <c r="AM51" s="482"/>
      <c r="AN51" s="482"/>
    </row>
    <row r="52" spans="1:40" s="69" customFormat="1" ht="20.100000000000001" customHeight="1" x14ac:dyDescent="0.2">
      <c r="A52" s="528" t="s">
        <v>275</v>
      </c>
      <c r="B52" s="529"/>
      <c r="C52" s="529"/>
      <c r="D52" s="530">
        <f>D48-D51</f>
        <v>121799</v>
      </c>
      <c r="J52" s="51"/>
      <c r="K52" s="51"/>
      <c r="L52" s="51"/>
      <c r="M52" s="482"/>
      <c r="N52" s="482"/>
      <c r="O52" s="482"/>
      <c r="P52" s="482"/>
      <c r="Q52" s="482"/>
      <c r="R52" s="482"/>
      <c r="S52" s="482"/>
      <c r="T52" s="482"/>
      <c r="U52" s="482"/>
      <c r="V52" s="482"/>
      <c r="W52" s="482"/>
      <c r="X52" s="482"/>
      <c r="Y52" s="482"/>
      <c r="Z52" s="482"/>
      <c r="AA52" s="482"/>
      <c r="AB52" s="482"/>
      <c r="AC52" s="482"/>
      <c r="AD52" s="482"/>
      <c r="AE52" s="482"/>
      <c r="AF52" s="482"/>
      <c r="AG52" s="482"/>
      <c r="AH52" s="482"/>
      <c r="AI52" s="482"/>
      <c r="AJ52" s="482"/>
      <c r="AK52" s="482"/>
      <c r="AL52" s="482"/>
      <c r="AM52" s="482"/>
      <c r="AN52" s="482"/>
    </row>
    <row r="53" spans="1:40" s="69" customFormat="1" ht="20.100000000000001" customHeight="1" x14ac:dyDescent="0.2">
      <c r="A53" s="531" t="s">
        <v>272</v>
      </c>
      <c r="B53" s="529"/>
      <c r="C53" s="529"/>
      <c r="D53" s="532">
        <f>D52+D47</f>
        <v>230447195</v>
      </c>
      <c r="J53" s="51"/>
      <c r="K53" s="51"/>
      <c r="L53" s="51"/>
      <c r="M53" s="482"/>
      <c r="N53" s="482"/>
      <c r="O53" s="482"/>
      <c r="P53" s="482"/>
      <c r="Q53" s="482"/>
      <c r="R53" s="482"/>
      <c r="S53" s="482"/>
      <c r="T53" s="482"/>
      <c r="U53" s="482"/>
      <c r="V53" s="482"/>
      <c r="W53" s="482"/>
      <c r="X53" s="482"/>
      <c r="Y53" s="482"/>
      <c r="Z53" s="482"/>
      <c r="AA53" s="482"/>
      <c r="AB53" s="482"/>
      <c r="AC53" s="482"/>
      <c r="AD53" s="482"/>
      <c r="AE53" s="482"/>
      <c r="AF53" s="482"/>
      <c r="AG53" s="482"/>
      <c r="AH53" s="482"/>
      <c r="AI53" s="482"/>
      <c r="AJ53" s="482"/>
      <c r="AK53" s="482"/>
      <c r="AL53" s="482"/>
      <c r="AM53" s="482"/>
      <c r="AN53" s="482"/>
    </row>
    <row r="55" spans="1:40" s="69" customFormat="1" ht="20.100000000000001" customHeight="1" x14ac:dyDescent="0.2">
      <c r="A55" s="698" t="s">
        <v>322</v>
      </c>
      <c r="B55" s="699"/>
      <c r="C55" s="699"/>
      <c r="D55" s="700"/>
      <c r="J55" s="51"/>
      <c r="K55" s="51"/>
      <c r="L55" s="51"/>
      <c r="M55" s="482"/>
      <c r="N55" s="482"/>
      <c r="O55" s="482"/>
      <c r="P55" s="482"/>
      <c r="Q55" s="482"/>
      <c r="R55" s="482"/>
      <c r="S55" s="482"/>
      <c r="T55" s="482"/>
      <c r="U55" s="482"/>
      <c r="V55" s="482"/>
      <c r="W55" s="482"/>
      <c r="X55" s="482"/>
      <c r="Y55" s="482"/>
      <c r="Z55" s="482"/>
      <c r="AA55" s="482"/>
      <c r="AB55" s="482"/>
      <c r="AC55" s="482"/>
      <c r="AD55" s="482"/>
      <c r="AE55" s="482"/>
      <c r="AF55" s="482"/>
      <c r="AG55" s="482"/>
      <c r="AH55" s="482"/>
      <c r="AI55" s="482"/>
      <c r="AJ55" s="482"/>
      <c r="AK55" s="482"/>
      <c r="AL55" s="482"/>
      <c r="AM55" s="482"/>
      <c r="AN55" s="482"/>
    </row>
    <row r="56" spans="1:40" s="69" customFormat="1" ht="20.100000000000001" customHeight="1" x14ac:dyDescent="0.2">
      <c r="A56" s="531" t="s">
        <v>171</v>
      </c>
      <c r="B56" s="533"/>
      <c r="C56" s="533"/>
      <c r="D56" s="534">
        <f>D53*D46/1000000</f>
        <v>8697.0771393000014</v>
      </c>
      <c r="J56" s="51"/>
      <c r="K56" s="51"/>
      <c r="L56" s="51"/>
      <c r="M56" s="482"/>
      <c r="N56" s="482"/>
      <c r="O56" s="482"/>
      <c r="P56" s="482"/>
      <c r="Q56" s="482"/>
      <c r="R56" s="482"/>
      <c r="S56" s="482"/>
      <c r="T56" s="482"/>
      <c r="U56" s="482"/>
      <c r="V56" s="482"/>
      <c r="W56" s="482"/>
      <c r="X56" s="482"/>
      <c r="Y56" s="482"/>
      <c r="Z56" s="482"/>
      <c r="AA56" s="482"/>
      <c r="AB56" s="482"/>
      <c r="AC56" s="482"/>
      <c r="AD56" s="482"/>
      <c r="AE56" s="482"/>
      <c r="AF56" s="482"/>
      <c r="AG56" s="482"/>
      <c r="AH56" s="482"/>
      <c r="AI56" s="482"/>
      <c r="AJ56" s="482"/>
      <c r="AK56" s="482"/>
      <c r="AL56" s="482"/>
      <c r="AM56" s="482"/>
      <c r="AN56" s="482"/>
    </row>
    <row r="57" spans="1:40" s="69" customFormat="1" ht="20.100000000000001" customHeight="1" x14ac:dyDescent="0.2">
      <c r="A57" s="482" t="s">
        <v>34</v>
      </c>
      <c r="B57" s="482"/>
      <c r="C57" s="482"/>
      <c r="D57" s="535">
        <v>14.3</v>
      </c>
      <c r="J57" s="51"/>
      <c r="K57" s="51"/>
      <c r="L57" s="51"/>
      <c r="M57" s="482"/>
      <c r="N57" s="482"/>
      <c r="O57" s="482"/>
      <c r="P57" s="482"/>
      <c r="Q57" s="482"/>
      <c r="R57" s="482"/>
      <c r="S57" s="482"/>
      <c r="T57" s="482"/>
      <c r="U57" s="482"/>
      <c r="V57" s="482"/>
      <c r="W57" s="482"/>
      <c r="X57" s="482"/>
      <c r="Y57" s="482"/>
      <c r="Z57" s="482"/>
      <c r="AA57" s="482"/>
      <c r="AB57" s="482"/>
      <c r="AC57" s="482"/>
      <c r="AD57" s="482"/>
      <c r="AE57" s="482"/>
      <c r="AF57" s="482"/>
      <c r="AG57" s="482"/>
      <c r="AH57" s="482"/>
      <c r="AI57" s="482"/>
      <c r="AJ57" s="482"/>
      <c r="AK57" s="482"/>
      <c r="AL57" s="482"/>
      <c r="AM57" s="482"/>
      <c r="AN57" s="482"/>
    </row>
    <row r="58" spans="1:40" s="69" customFormat="1" ht="20.100000000000001" customHeight="1" x14ac:dyDescent="0.2">
      <c r="A58" s="482" t="s">
        <v>279</v>
      </c>
      <c r="B58" s="482"/>
      <c r="C58" s="482"/>
      <c r="D58" s="535">
        <v>250</v>
      </c>
      <c r="J58" s="51"/>
      <c r="K58" s="51"/>
      <c r="L58" s="51"/>
      <c r="M58" s="482"/>
      <c r="N58" s="482"/>
      <c r="O58" s="482"/>
      <c r="P58" s="482"/>
      <c r="Q58" s="482"/>
      <c r="R58" s="482"/>
      <c r="S58" s="482"/>
      <c r="T58" s="482"/>
      <c r="U58" s="482"/>
      <c r="V58" s="482"/>
      <c r="W58" s="482"/>
      <c r="X58" s="482"/>
      <c r="Y58" s="482"/>
      <c r="Z58" s="482"/>
      <c r="AA58" s="482"/>
      <c r="AB58" s="482"/>
      <c r="AC58" s="482"/>
      <c r="AD58" s="482"/>
      <c r="AE58" s="482"/>
      <c r="AF58" s="482"/>
      <c r="AG58" s="482"/>
      <c r="AH58" s="482"/>
      <c r="AI58" s="482"/>
      <c r="AJ58" s="482"/>
      <c r="AK58" s="482"/>
      <c r="AL58" s="482"/>
      <c r="AM58" s="482"/>
      <c r="AN58" s="482"/>
    </row>
    <row r="59" spans="1:40" s="69" customFormat="1" ht="20.100000000000001" customHeight="1" x14ac:dyDescent="0.2">
      <c r="A59" s="482" t="s">
        <v>277</v>
      </c>
      <c r="B59" s="482"/>
      <c r="C59" s="482"/>
      <c r="D59" s="535">
        <v>0</v>
      </c>
      <c r="J59" s="51"/>
      <c r="K59" s="51"/>
      <c r="L59" s="51"/>
      <c r="M59" s="482"/>
      <c r="N59" s="482"/>
      <c r="O59" s="482"/>
      <c r="P59" s="482"/>
      <c r="Q59" s="482"/>
      <c r="R59" s="482"/>
      <c r="S59" s="482"/>
      <c r="T59" s="482"/>
      <c r="U59" s="482"/>
      <c r="V59" s="482"/>
      <c r="W59" s="482"/>
      <c r="X59" s="482"/>
      <c r="Y59" s="482"/>
      <c r="Z59" s="482"/>
      <c r="AA59" s="482"/>
      <c r="AB59" s="482"/>
      <c r="AC59" s="482"/>
      <c r="AD59" s="482"/>
      <c r="AE59" s="482"/>
      <c r="AF59" s="482"/>
      <c r="AG59" s="482"/>
      <c r="AH59" s="482"/>
      <c r="AI59" s="482"/>
      <c r="AJ59" s="482"/>
      <c r="AK59" s="482"/>
      <c r="AL59" s="482"/>
      <c r="AM59" s="482"/>
      <c r="AN59" s="482"/>
    </row>
    <row r="60" spans="1:40" s="69" customFormat="1" ht="20.100000000000001" customHeight="1" x14ac:dyDescent="0.2">
      <c r="A60" s="482" t="s">
        <v>172</v>
      </c>
      <c r="B60" s="482"/>
      <c r="C60" s="482"/>
      <c r="D60" s="535">
        <v>0</v>
      </c>
      <c r="J60" s="51"/>
      <c r="K60" s="51"/>
      <c r="L60" s="51"/>
      <c r="M60" s="482"/>
      <c r="N60" s="482"/>
      <c r="O60" s="482"/>
      <c r="P60" s="482"/>
      <c r="Q60" s="482"/>
      <c r="R60" s="482"/>
      <c r="S60" s="482"/>
      <c r="T60" s="482"/>
      <c r="U60" s="482"/>
      <c r="V60" s="482"/>
      <c r="W60" s="482"/>
      <c r="X60" s="482"/>
      <c r="Y60" s="482"/>
      <c r="Z60" s="482"/>
      <c r="AA60" s="482"/>
      <c r="AB60" s="482"/>
      <c r="AC60" s="482"/>
      <c r="AD60" s="482"/>
      <c r="AE60" s="482"/>
      <c r="AF60" s="482"/>
      <c r="AG60" s="482"/>
      <c r="AH60" s="482"/>
      <c r="AI60" s="482"/>
      <c r="AJ60" s="482"/>
      <c r="AK60" s="482"/>
      <c r="AL60" s="482"/>
      <c r="AM60" s="482"/>
      <c r="AN60" s="482"/>
    </row>
    <row r="61" spans="1:40" s="69" customFormat="1" ht="20.100000000000001" customHeight="1" x14ac:dyDescent="0.2">
      <c r="A61" s="482" t="s">
        <v>278</v>
      </c>
      <c r="B61" s="482"/>
      <c r="C61" s="482"/>
      <c r="D61" s="535">
        <v>0</v>
      </c>
      <c r="J61" s="51"/>
      <c r="K61" s="51"/>
      <c r="L61" s="51"/>
      <c r="M61" s="482"/>
      <c r="N61" s="482"/>
      <c r="O61" s="482"/>
      <c r="P61" s="482"/>
      <c r="Q61" s="482"/>
      <c r="R61" s="482"/>
      <c r="S61" s="482"/>
      <c r="T61" s="482"/>
      <c r="U61" s="482"/>
      <c r="V61" s="482"/>
      <c r="W61" s="482"/>
      <c r="X61" s="482"/>
      <c r="Y61" s="482"/>
      <c r="Z61" s="482"/>
      <c r="AA61" s="482"/>
      <c r="AB61" s="482"/>
      <c r="AC61" s="482"/>
      <c r="AD61" s="482"/>
      <c r="AE61" s="482"/>
      <c r="AF61" s="482"/>
      <c r="AG61" s="482"/>
      <c r="AH61" s="482"/>
      <c r="AI61" s="482"/>
      <c r="AJ61" s="482"/>
      <c r="AK61" s="482"/>
      <c r="AL61" s="482"/>
      <c r="AM61" s="482"/>
      <c r="AN61" s="482"/>
    </row>
    <row r="62" spans="1:40" s="69" customFormat="1" ht="20.100000000000001" customHeight="1" x14ac:dyDescent="0.2">
      <c r="A62" s="482" t="s">
        <v>173</v>
      </c>
      <c r="B62" s="482"/>
      <c r="C62" s="482"/>
      <c r="D62" s="535">
        <v>0</v>
      </c>
      <c r="J62" s="51"/>
      <c r="K62" s="51"/>
      <c r="L62" s="51"/>
      <c r="M62" s="482"/>
      <c r="N62" s="482"/>
      <c r="O62" s="482"/>
      <c r="P62" s="482"/>
      <c r="Q62" s="482"/>
      <c r="R62" s="482"/>
      <c r="S62" s="482"/>
      <c r="T62" s="482"/>
      <c r="U62" s="482"/>
      <c r="V62" s="482"/>
      <c r="W62" s="482"/>
      <c r="X62" s="482"/>
      <c r="Y62" s="482"/>
      <c r="Z62" s="482"/>
      <c r="AA62" s="482"/>
      <c r="AB62" s="482"/>
      <c r="AC62" s="482"/>
      <c r="AD62" s="482"/>
      <c r="AE62" s="482"/>
      <c r="AF62" s="482"/>
      <c r="AG62" s="482"/>
      <c r="AH62" s="482"/>
      <c r="AI62" s="482"/>
      <c r="AJ62" s="482"/>
      <c r="AK62" s="482"/>
      <c r="AL62" s="482"/>
      <c r="AM62" s="482"/>
      <c r="AN62" s="482"/>
    </row>
    <row r="63" spans="1:40" s="69" customFormat="1" ht="20.100000000000001" customHeight="1" x14ac:dyDescent="0.2">
      <c r="A63" s="482" t="s">
        <v>174</v>
      </c>
      <c r="B63" s="482"/>
      <c r="C63" s="482"/>
      <c r="D63" s="535">
        <v>-379.8</v>
      </c>
      <c r="J63" s="51"/>
      <c r="K63" s="51"/>
      <c r="L63" s="51"/>
      <c r="M63" s="482"/>
      <c r="N63" s="482"/>
      <c r="O63" s="482"/>
      <c r="P63" s="482"/>
      <c r="Q63" s="482"/>
      <c r="R63" s="482"/>
      <c r="S63" s="482"/>
      <c r="T63" s="482"/>
      <c r="U63" s="482"/>
      <c r="V63" s="482"/>
      <c r="W63" s="482"/>
      <c r="X63" s="482"/>
      <c r="Y63" s="482"/>
      <c r="Z63" s="482"/>
      <c r="AA63" s="482"/>
      <c r="AB63" s="482"/>
      <c r="AC63" s="482"/>
      <c r="AD63" s="482"/>
      <c r="AE63" s="482"/>
      <c r="AF63" s="482"/>
      <c r="AG63" s="482"/>
      <c r="AH63" s="482"/>
      <c r="AI63" s="482"/>
      <c r="AJ63" s="482"/>
      <c r="AK63" s="482"/>
      <c r="AL63" s="482"/>
      <c r="AM63" s="482"/>
      <c r="AN63" s="482"/>
    </row>
    <row r="64" spans="1:40" s="69" customFormat="1" ht="20.100000000000001" customHeight="1" x14ac:dyDescent="0.2">
      <c r="A64" s="531" t="s">
        <v>175</v>
      </c>
      <c r="B64" s="536"/>
      <c r="C64" s="536"/>
      <c r="D64" s="537">
        <f>SUM(D56:D63)</f>
        <v>8581.5771393000014</v>
      </c>
      <c r="J64" s="51"/>
      <c r="K64" s="51"/>
      <c r="L64" s="51"/>
      <c r="M64" s="482"/>
      <c r="N64" s="482"/>
      <c r="O64" s="482"/>
      <c r="P64" s="482"/>
      <c r="Q64" s="482"/>
      <c r="R64" s="482"/>
      <c r="S64" s="482"/>
      <c r="T64" s="482"/>
      <c r="U64" s="482"/>
      <c r="V64" s="482"/>
      <c r="W64" s="482"/>
      <c r="X64" s="482"/>
      <c r="Y64" s="482"/>
      <c r="Z64" s="482"/>
      <c r="AA64" s="482"/>
      <c r="AB64" s="482"/>
      <c r="AC64" s="482"/>
      <c r="AD64" s="482"/>
      <c r="AE64" s="482"/>
      <c r="AF64" s="482"/>
      <c r="AG64" s="482"/>
      <c r="AH64" s="482"/>
      <c r="AI64" s="482"/>
      <c r="AJ64" s="482"/>
      <c r="AK64" s="482"/>
      <c r="AL64" s="482"/>
      <c r="AM64" s="482"/>
      <c r="AN64" s="482"/>
    </row>
  </sheetData>
  <mergeCells count="2">
    <mergeCell ref="A45:D45"/>
    <mergeCell ref="A55:D55"/>
  </mergeCell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6CCFF"/>
  </sheetPr>
  <dimension ref="A1:BB62"/>
  <sheetViews>
    <sheetView topLeftCell="A19" workbookViewId="0">
      <selection activeCell="D24" sqref="D24"/>
    </sheetView>
  </sheetViews>
  <sheetFormatPr defaultColWidth="9.140625" defaultRowHeight="20.100000000000001" customHeight="1" outlineLevelCol="1" x14ac:dyDescent="0.2"/>
  <cols>
    <col min="1" max="2" width="2.7109375" style="51" customWidth="1"/>
    <col min="3" max="3" width="37.28515625" style="51" bestFit="1" customWidth="1"/>
    <col min="4" max="4" width="13.42578125" style="69" bestFit="1" customWidth="1" outlineLevel="1"/>
    <col min="5" max="7" width="9.7109375" style="69" customWidth="1" outlineLevel="1"/>
    <col min="8" max="8" width="9.7109375" style="69" customWidth="1"/>
    <col min="9" max="13" width="9.7109375" style="69" customWidth="1" outlineLevel="1"/>
    <col min="14" max="14" width="13.85546875" style="69" bestFit="1" customWidth="1" outlineLevel="1"/>
    <col min="15" max="15" width="9.7109375" style="69" customWidth="1" outlineLevel="1"/>
    <col min="16" max="16" width="9.7109375" style="51" customWidth="1"/>
    <col min="17" max="54" width="9.140625" style="482"/>
    <col min="55" max="16384" width="9.140625" style="51"/>
  </cols>
  <sheetData>
    <row r="1" spans="1:16" ht="60.75" customHeight="1" x14ac:dyDescent="0.2">
      <c r="B1" s="49"/>
      <c r="C1" s="49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49"/>
    </row>
    <row r="2" spans="1:16" ht="12.75" customHeight="1" x14ac:dyDescent="0.2">
      <c r="A2" s="52" t="s">
        <v>329</v>
      </c>
      <c r="B2" s="53"/>
      <c r="C2" s="52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2"/>
    </row>
    <row r="3" spans="1:16" ht="12.75" customHeight="1" x14ac:dyDescent="0.2">
      <c r="A3" s="55"/>
      <c r="B3" s="56"/>
      <c r="C3" s="57"/>
      <c r="D3" s="590" t="s">
        <v>32</v>
      </c>
      <c r="E3" s="590"/>
      <c r="F3" s="590"/>
      <c r="G3" s="590"/>
      <c r="H3" s="590"/>
      <c r="I3" s="590"/>
      <c r="J3" s="590"/>
      <c r="K3" s="590"/>
      <c r="L3" s="590"/>
      <c r="M3" s="590"/>
      <c r="N3" s="590"/>
      <c r="O3" s="590"/>
      <c r="P3" s="60" t="s">
        <v>33</v>
      </c>
    </row>
    <row r="4" spans="1:16" ht="12.75" customHeight="1" x14ac:dyDescent="0.2">
      <c r="A4" s="55"/>
      <c r="B4" s="56"/>
      <c r="C4" s="57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4"/>
    </row>
    <row r="5" spans="1:16" ht="12.75" customHeight="1" x14ac:dyDescent="0.2">
      <c r="A5" s="228"/>
      <c r="B5" s="589"/>
      <c r="C5" s="588"/>
      <c r="D5" s="587" t="s">
        <v>158</v>
      </c>
      <c r="E5" s="587" t="s">
        <v>159</v>
      </c>
      <c r="F5" s="587" t="s">
        <v>328</v>
      </c>
      <c r="G5" s="587" t="s">
        <v>327</v>
      </c>
      <c r="H5" s="587">
        <v>2010</v>
      </c>
      <c r="I5" s="587" t="s">
        <v>183</v>
      </c>
      <c r="J5" s="587" t="s">
        <v>184</v>
      </c>
      <c r="K5" s="587" t="s">
        <v>326</v>
      </c>
      <c r="L5" s="587" t="s">
        <v>325</v>
      </c>
      <c r="M5" s="587" t="s">
        <v>305</v>
      </c>
      <c r="N5" s="587" t="s">
        <v>324</v>
      </c>
      <c r="O5" s="587" t="s">
        <v>185</v>
      </c>
      <c r="P5" s="586" t="s">
        <v>254</v>
      </c>
    </row>
    <row r="6" spans="1:16" ht="21" customHeight="1" x14ac:dyDescent="0.2">
      <c r="A6" s="308" t="s">
        <v>39</v>
      </c>
      <c r="B6" s="310"/>
      <c r="C6" s="558"/>
      <c r="D6" s="585"/>
      <c r="E6" s="585"/>
      <c r="F6" s="585"/>
      <c r="G6" s="585"/>
      <c r="H6" s="585"/>
      <c r="I6" s="585"/>
      <c r="J6" s="585"/>
      <c r="K6" s="585"/>
      <c r="L6" s="585"/>
      <c r="M6" s="585"/>
      <c r="N6" s="585"/>
      <c r="O6" s="585"/>
      <c r="P6" s="585"/>
    </row>
    <row r="7" spans="1:16" ht="12.75" x14ac:dyDescent="0.2">
      <c r="A7" s="309"/>
      <c r="B7" s="310"/>
      <c r="C7" s="582" t="s">
        <v>154</v>
      </c>
      <c r="D7" s="581">
        <v>1996.941</v>
      </c>
      <c r="E7" s="581">
        <v>2263.1689999999999</v>
      </c>
      <c r="F7" s="581">
        <v>2153.395</v>
      </c>
      <c r="G7" s="566">
        <f>H7-F7-E7-D7</f>
        <v>2134.329999999999</v>
      </c>
      <c r="H7" s="581">
        <v>8547.8349999999991</v>
      </c>
      <c r="I7" s="581">
        <v>2148.2869999999998</v>
      </c>
      <c r="J7" s="581">
        <v>2458.636</v>
      </c>
      <c r="K7" s="581">
        <v>2359.9569999999999</v>
      </c>
      <c r="L7" s="566">
        <f>M7-K7-J7-I7</f>
        <v>2364.1249999999986</v>
      </c>
      <c r="M7" s="581">
        <v>9331.0049999999992</v>
      </c>
      <c r="N7" s="566">
        <f>H7+I7+(2/3)*J7-D7-(2/3)*E7</f>
        <v>8829.4923333333318</v>
      </c>
      <c r="O7" s="566">
        <f>M7*11/12+H7*1/12</f>
        <v>9265.7408333333333</v>
      </c>
      <c r="P7" s="565">
        <f>M7*(1+P10)</f>
        <v>10264.1055</v>
      </c>
    </row>
    <row r="8" spans="1:16" ht="12.75" x14ac:dyDescent="0.2">
      <c r="A8" s="309"/>
      <c r="B8" s="310"/>
      <c r="C8" s="582"/>
      <c r="D8" s="581"/>
      <c r="E8" s="581"/>
      <c r="F8" s="581"/>
      <c r="G8" s="581"/>
      <c r="H8" s="584"/>
      <c r="I8" s="581"/>
      <c r="J8" s="581"/>
      <c r="K8" s="581"/>
      <c r="L8" s="581"/>
      <c r="M8" s="581"/>
      <c r="N8" s="581"/>
      <c r="O8" s="581"/>
      <c r="P8" s="583"/>
    </row>
    <row r="9" spans="1:16" ht="12.75" customHeight="1" x14ac:dyDescent="0.2">
      <c r="A9" s="309"/>
      <c r="B9" s="308" t="s">
        <v>63</v>
      </c>
      <c r="C9" s="558"/>
      <c r="D9" s="557">
        <f>SUM(D7:D8)</f>
        <v>1996.941</v>
      </c>
      <c r="E9" s="557">
        <f>SUM(E7:E8)</f>
        <v>2263.1689999999999</v>
      </c>
      <c r="F9" s="557">
        <f>SUM(F7:F8)</f>
        <v>2153.395</v>
      </c>
      <c r="G9" s="557">
        <f>H9-F9-E9-D9</f>
        <v>2134.329999999999</v>
      </c>
      <c r="H9" s="557">
        <f>SUM(H7:H8)</f>
        <v>8547.8349999999991</v>
      </c>
      <c r="I9" s="557">
        <f>SUM(I7:I8)</f>
        <v>2148.2869999999998</v>
      </c>
      <c r="J9" s="557">
        <f>SUM(J7:J8)</f>
        <v>2458.636</v>
      </c>
      <c r="K9" s="557">
        <f>SUM(K7:K8)</f>
        <v>2359.9569999999999</v>
      </c>
      <c r="L9" s="557">
        <f>M9-K9-J9-I9</f>
        <v>2364.1249999999986</v>
      </c>
      <c r="M9" s="557">
        <f>SUM(M7:M8)</f>
        <v>9331.0049999999992</v>
      </c>
      <c r="N9" s="557">
        <f>SUM(N7:N8)</f>
        <v>8829.4923333333318</v>
      </c>
      <c r="O9" s="557">
        <f>SUM(O7:O8)</f>
        <v>9265.7408333333333</v>
      </c>
      <c r="P9" s="557">
        <f>SUM(P7:P8)</f>
        <v>10264.1055</v>
      </c>
    </row>
    <row r="10" spans="1:16" ht="12.75" customHeight="1" x14ac:dyDescent="0.2">
      <c r="A10" s="309"/>
      <c r="B10" s="309"/>
      <c r="C10" s="563" t="s">
        <v>40</v>
      </c>
      <c r="D10" s="568"/>
      <c r="E10" s="568"/>
      <c r="F10" s="568"/>
      <c r="G10" s="568"/>
      <c r="H10" s="568">
        <f>H7/7866.971-1</f>
        <v>8.6547160272994583E-2</v>
      </c>
      <c r="I10" s="568">
        <f>I9/D9-1</f>
        <v>7.5788919151842604E-2</v>
      </c>
      <c r="J10" s="568">
        <f>J9/E9-1</f>
        <v>8.6368715725604339E-2</v>
      </c>
      <c r="K10" s="568">
        <f>K9/F9-1</f>
        <v>9.592387834094529E-2</v>
      </c>
      <c r="L10" s="568">
        <f>L9/G9-1</f>
        <v>0.10766610599110704</v>
      </c>
      <c r="M10" s="568">
        <f>M9/H9-1</f>
        <v>9.1622030607750427E-2</v>
      </c>
      <c r="N10" s="568"/>
      <c r="O10" s="568"/>
      <c r="P10" s="568">
        <v>0.1</v>
      </c>
    </row>
    <row r="11" spans="1:16" ht="21" customHeight="1" x14ac:dyDescent="0.2">
      <c r="A11" s="308" t="s">
        <v>41</v>
      </c>
      <c r="B11" s="309"/>
      <c r="C11" s="563"/>
      <c r="D11" s="568"/>
      <c r="E11" s="568"/>
      <c r="F11" s="568"/>
      <c r="G11" s="568"/>
      <c r="H11" s="568"/>
      <c r="I11" s="568"/>
      <c r="J11" s="568"/>
      <c r="K11" s="568"/>
      <c r="L11" s="568"/>
      <c r="M11" s="568"/>
      <c r="N11" s="568"/>
      <c r="O11" s="568"/>
      <c r="P11" s="579"/>
    </row>
    <row r="12" spans="1:16" ht="12.75" x14ac:dyDescent="0.2">
      <c r="A12" s="308"/>
      <c r="B12" s="309"/>
      <c r="C12" s="582" t="s">
        <v>177</v>
      </c>
      <c r="D12" s="581">
        <v>1277.376</v>
      </c>
      <c r="E12" s="581">
        <v>1455.8019999999999</v>
      </c>
      <c r="F12" s="581">
        <v>1373.6389999999999</v>
      </c>
      <c r="G12" s="566">
        <f>H12-F12-E12-D12</f>
        <v>1408.7230000000002</v>
      </c>
      <c r="H12" s="581">
        <v>5515.54</v>
      </c>
      <c r="I12" s="581">
        <v>1390.7149999999999</v>
      </c>
      <c r="J12" s="581">
        <v>1601.2370000000001</v>
      </c>
      <c r="K12" s="581">
        <v>1514.684</v>
      </c>
      <c r="L12" s="581">
        <f>M12-K12-J12-I12</f>
        <v>1564.4219999999998</v>
      </c>
      <c r="M12" s="581">
        <v>6071.058</v>
      </c>
      <c r="N12" s="566">
        <f>H12+I12+(2/3)*J12-D12-(2/3)*E12</f>
        <v>5725.8356666666668</v>
      </c>
      <c r="O12" s="566">
        <f>M12*11/12+H12*1/12</f>
        <v>6024.7648333333336</v>
      </c>
      <c r="P12" s="565">
        <f>P7*P13</f>
        <v>6671.6685749999997</v>
      </c>
    </row>
    <row r="13" spans="1:16" ht="12.75" x14ac:dyDescent="0.2">
      <c r="A13" s="308"/>
      <c r="B13" s="309"/>
      <c r="C13" s="580" t="s">
        <v>179</v>
      </c>
      <c r="D13" s="568">
        <f t="shared" ref="D13:O13" si="0">D12/D9</f>
        <v>0.63966636971247526</v>
      </c>
      <c r="E13" s="568">
        <f t="shared" si="0"/>
        <v>0.64325819238421877</v>
      </c>
      <c r="F13" s="568">
        <f t="shared" si="0"/>
        <v>0.63789458041836256</v>
      </c>
      <c r="G13" s="568">
        <f t="shared" si="0"/>
        <v>0.66003054822825002</v>
      </c>
      <c r="H13" s="568">
        <f t="shared" si="0"/>
        <v>0.64525578699167685</v>
      </c>
      <c r="I13" s="568">
        <f t="shared" si="0"/>
        <v>0.64735996633596915</v>
      </c>
      <c r="J13" s="568">
        <f t="shared" si="0"/>
        <v>0.65127046053177462</v>
      </c>
      <c r="K13" s="568">
        <f t="shared" si="0"/>
        <v>0.64182694854185907</v>
      </c>
      <c r="L13" s="568">
        <f t="shared" si="0"/>
        <v>0.66173404536562186</v>
      </c>
      <c r="M13" s="568">
        <f t="shared" si="0"/>
        <v>0.6506328096491214</v>
      </c>
      <c r="N13" s="568">
        <f t="shared" si="0"/>
        <v>0.64848979426034969</v>
      </c>
      <c r="O13" s="568">
        <f t="shared" si="0"/>
        <v>0.65021944188848368</v>
      </c>
      <c r="P13" s="579">
        <v>0.65</v>
      </c>
    </row>
    <row r="14" spans="1:16" ht="21" customHeight="1" x14ac:dyDescent="0.2">
      <c r="A14" s="335"/>
      <c r="B14" s="578" t="s">
        <v>62</v>
      </c>
      <c r="C14" s="577"/>
      <c r="D14" s="576">
        <f>D7-D12</f>
        <v>719.56500000000005</v>
      </c>
      <c r="E14" s="576">
        <f>E7-E12</f>
        <v>807.36699999999996</v>
      </c>
      <c r="F14" s="576">
        <f>F7-F12</f>
        <v>779.75600000000009</v>
      </c>
      <c r="G14" s="576">
        <f>H14-F14-E14-D14</f>
        <v>725.60699999999883</v>
      </c>
      <c r="H14" s="576">
        <f>H7-H12</f>
        <v>3032.2949999999992</v>
      </c>
      <c r="I14" s="576">
        <f>I7-I12</f>
        <v>757.57199999999989</v>
      </c>
      <c r="J14" s="576">
        <f>J7-J12</f>
        <v>857.39899999999989</v>
      </c>
      <c r="K14" s="576">
        <f>K7-K12</f>
        <v>845.27299999999991</v>
      </c>
      <c r="L14" s="576">
        <f>M14-K14-J14-I14</f>
        <v>799.70299999999929</v>
      </c>
      <c r="M14" s="576">
        <f>M7-M12</f>
        <v>3259.9469999999992</v>
      </c>
      <c r="N14" s="576">
        <f>N7-N12</f>
        <v>3103.6566666666649</v>
      </c>
      <c r="O14" s="576">
        <f>O7-O12</f>
        <v>3240.9759999999997</v>
      </c>
      <c r="P14" s="576">
        <f>P7-P12</f>
        <v>3592.436925</v>
      </c>
    </row>
    <row r="15" spans="1:16" ht="12.75" customHeight="1" x14ac:dyDescent="0.2">
      <c r="A15" s="309"/>
      <c r="B15" s="564"/>
      <c r="C15" s="563" t="s">
        <v>43</v>
      </c>
      <c r="D15" s="568">
        <f t="shared" ref="D15:P15" si="1">D14/D9</f>
        <v>0.3603336302875248</v>
      </c>
      <c r="E15" s="568">
        <f t="shared" si="1"/>
        <v>0.35674180761578123</v>
      </c>
      <c r="F15" s="568">
        <f t="shared" si="1"/>
        <v>0.36210541958163739</v>
      </c>
      <c r="G15" s="568">
        <f t="shared" si="1"/>
        <v>0.33996945177174998</v>
      </c>
      <c r="H15" s="568">
        <f t="shared" si="1"/>
        <v>0.35474421300832309</v>
      </c>
      <c r="I15" s="568">
        <f t="shared" si="1"/>
        <v>0.35264003366403091</v>
      </c>
      <c r="J15" s="568">
        <f t="shared" si="1"/>
        <v>0.34872953946822544</v>
      </c>
      <c r="K15" s="568">
        <f t="shared" si="1"/>
        <v>0.35817305145814093</v>
      </c>
      <c r="L15" s="568">
        <f t="shared" si="1"/>
        <v>0.33826595463437836</v>
      </c>
      <c r="M15" s="568">
        <f t="shared" si="1"/>
        <v>0.34936719035087854</v>
      </c>
      <c r="N15" s="568">
        <f t="shared" si="1"/>
        <v>0.35151020573965036</v>
      </c>
      <c r="O15" s="568">
        <f t="shared" si="1"/>
        <v>0.34978055811151632</v>
      </c>
      <c r="P15" s="568">
        <f t="shared" si="1"/>
        <v>0.35000000000000003</v>
      </c>
    </row>
    <row r="16" spans="1:16" ht="21" customHeight="1" x14ac:dyDescent="0.2">
      <c r="A16" s="308" t="s">
        <v>49</v>
      </c>
      <c r="B16" s="309"/>
      <c r="C16" s="309"/>
      <c r="D16" s="575"/>
      <c r="E16" s="575"/>
      <c r="F16" s="575"/>
      <c r="G16" s="575"/>
      <c r="H16" s="575"/>
      <c r="I16" s="575"/>
      <c r="J16" s="575"/>
      <c r="K16" s="575"/>
      <c r="L16" s="575"/>
      <c r="M16" s="575"/>
      <c r="N16" s="575"/>
      <c r="O16" s="575"/>
      <c r="P16" s="575"/>
    </row>
    <row r="17" spans="1:16" ht="12.75" customHeight="1" x14ac:dyDescent="0.2">
      <c r="A17" s="309"/>
      <c r="B17" s="309" t="s">
        <v>44</v>
      </c>
      <c r="C17" s="309"/>
      <c r="D17" s="572">
        <f>597.983-D22</f>
        <v>553.99099999999999</v>
      </c>
      <c r="E17" s="572">
        <f>607.002-E22</f>
        <v>562.0569999999999</v>
      </c>
      <c r="F17" s="572">
        <f>595.403-F22</f>
        <v>549.31399999999996</v>
      </c>
      <c r="G17" s="565">
        <f>H17-F17-E17-D17</f>
        <v>546.4060000000004</v>
      </c>
      <c r="H17" s="572">
        <f>2394.223-H22</f>
        <v>2211.768</v>
      </c>
      <c r="I17" s="572">
        <f>622.662-I22</f>
        <v>573.52700000000004</v>
      </c>
      <c r="J17" s="572">
        <f>636.271-J22</f>
        <v>585.44899999999996</v>
      </c>
      <c r="K17" s="572">
        <f>645.867-K22</f>
        <v>592.69399999999996</v>
      </c>
      <c r="L17" s="572">
        <f>M17-K17-J17-I17</f>
        <v>609.42799999999988</v>
      </c>
      <c r="M17" s="572">
        <f>2560.346+11.5-M22</f>
        <v>2361.098</v>
      </c>
      <c r="N17" s="565">
        <f>H17+I17+(2/3)*J17-D17-(2/3)*E17</f>
        <v>2246.8986666666669</v>
      </c>
      <c r="O17" s="566">
        <f>M17*11/12+H17*1/12</f>
        <v>2348.6538333333333</v>
      </c>
      <c r="P17" s="565">
        <f>P7*P18</f>
        <v>2596.8186915000001</v>
      </c>
    </row>
    <row r="18" spans="1:16" ht="12.75" customHeight="1" x14ac:dyDescent="0.2">
      <c r="A18" s="309"/>
      <c r="B18" s="309"/>
      <c r="C18" s="563" t="s">
        <v>100</v>
      </c>
      <c r="D18" s="568">
        <f t="shared" ref="D18:O18" si="2">D17/D9</f>
        <v>0.27741981360490869</v>
      </c>
      <c r="E18" s="568">
        <f t="shared" si="2"/>
        <v>0.24834954879640006</v>
      </c>
      <c r="F18" s="568">
        <f t="shared" si="2"/>
        <v>0.25509207553653646</v>
      </c>
      <c r="G18" s="568">
        <f t="shared" si="2"/>
        <v>0.25600820866501461</v>
      </c>
      <c r="H18" s="568">
        <f t="shared" si="2"/>
        <v>0.25875183599121887</v>
      </c>
      <c r="I18" s="568">
        <f t="shared" si="2"/>
        <v>0.2669694505436192</v>
      </c>
      <c r="J18" s="568">
        <f t="shared" si="2"/>
        <v>0.23811942882150916</v>
      </c>
      <c r="K18" s="568">
        <f t="shared" si="2"/>
        <v>0.25114610139083043</v>
      </c>
      <c r="L18" s="568">
        <f t="shared" si="2"/>
        <v>0.25778163168191204</v>
      </c>
      <c r="M18" s="574">
        <f t="shared" si="2"/>
        <v>0.25303790963567163</v>
      </c>
      <c r="N18" s="568">
        <f t="shared" si="2"/>
        <v>0.25447654087473592</v>
      </c>
      <c r="O18" s="574">
        <f t="shared" si="2"/>
        <v>0.2534771774410195</v>
      </c>
      <c r="P18" s="573">
        <v>0.253</v>
      </c>
    </row>
    <row r="19" spans="1:16" ht="12.75" customHeight="1" x14ac:dyDescent="0.2">
      <c r="A19" s="309"/>
      <c r="B19" s="308" t="s">
        <v>50</v>
      </c>
      <c r="C19" s="309"/>
      <c r="D19" s="557">
        <f>D17</f>
        <v>553.99099999999999</v>
      </c>
      <c r="E19" s="557">
        <f>E17</f>
        <v>562.0569999999999</v>
      </c>
      <c r="F19" s="557">
        <f>F17</f>
        <v>549.31399999999996</v>
      </c>
      <c r="G19" s="557">
        <f>H19-F19-E19-D19</f>
        <v>546.4060000000004</v>
      </c>
      <c r="H19" s="557">
        <f>H17</f>
        <v>2211.768</v>
      </c>
      <c r="I19" s="557">
        <f>I17</f>
        <v>573.52700000000004</v>
      </c>
      <c r="J19" s="557">
        <f>J17</f>
        <v>585.44899999999996</v>
      </c>
      <c r="K19" s="557">
        <f>K17</f>
        <v>592.69399999999996</v>
      </c>
      <c r="L19" s="557">
        <f>M19-K19-J19-I19</f>
        <v>609.42799999999988</v>
      </c>
      <c r="M19" s="557">
        <f>M17</f>
        <v>2361.098</v>
      </c>
      <c r="N19" s="557">
        <f>N17</f>
        <v>2246.8986666666669</v>
      </c>
      <c r="O19" s="557">
        <f>O17</f>
        <v>2348.6538333333333</v>
      </c>
      <c r="P19" s="557">
        <f>P17</f>
        <v>2596.8186915000001</v>
      </c>
    </row>
    <row r="20" spans="1:16" ht="21" customHeight="1" x14ac:dyDescent="0.2">
      <c r="A20" s="309"/>
      <c r="B20" s="308" t="s">
        <v>2</v>
      </c>
      <c r="C20" s="558"/>
      <c r="D20" s="557">
        <f>D14-D19</f>
        <v>165.57400000000007</v>
      </c>
      <c r="E20" s="557">
        <f>E14-E19</f>
        <v>245.31000000000006</v>
      </c>
      <c r="F20" s="557">
        <f>F14-F19</f>
        <v>230.44200000000012</v>
      </c>
      <c r="G20" s="557">
        <f>H20-F20-E20-D20</f>
        <v>179.20099999999888</v>
      </c>
      <c r="H20" s="557">
        <f>H14-H19</f>
        <v>820.52699999999913</v>
      </c>
      <c r="I20" s="557">
        <f>I14-I19</f>
        <v>184.04499999999985</v>
      </c>
      <c r="J20" s="557">
        <f>J14-J19</f>
        <v>271.94999999999993</v>
      </c>
      <c r="K20" s="557">
        <f>K14-K19</f>
        <v>252.57899999999995</v>
      </c>
      <c r="L20" s="557">
        <f>M20-K20-J20-I20</f>
        <v>190.27499999999952</v>
      </c>
      <c r="M20" s="557">
        <f>M14-M19</f>
        <v>898.84899999999925</v>
      </c>
      <c r="N20" s="557">
        <f>N14-N19</f>
        <v>856.75799999999799</v>
      </c>
      <c r="O20" s="557">
        <f>O14-O19</f>
        <v>892.32216666666636</v>
      </c>
      <c r="P20" s="557">
        <f>P14-P19</f>
        <v>995.61823349999986</v>
      </c>
    </row>
    <row r="21" spans="1:16" ht="12.75" customHeight="1" x14ac:dyDescent="0.2">
      <c r="A21" s="309"/>
      <c r="B21" s="564"/>
      <c r="C21" s="563" t="s">
        <v>45</v>
      </c>
      <c r="D21" s="568">
        <f t="shared" ref="D21:P21" si="3">D20/D9</f>
        <v>8.291381668261609E-2</v>
      </c>
      <c r="E21" s="568">
        <f t="shared" si="3"/>
        <v>0.10839225881938118</v>
      </c>
      <c r="F21" s="568">
        <f t="shared" si="3"/>
        <v>0.10701334404510093</v>
      </c>
      <c r="G21" s="568">
        <f t="shared" si="3"/>
        <v>8.3961243106735584E-2</v>
      </c>
      <c r="H21" s="568">
        <f t="shared" si="3"/>
        <v>9.5992377017104238E-2</v>
      </c>
      <c r="I21" s="568">
        <f t="shared" si="3"/>
        <v>8.5670583120411689E-2</v>
      </c>
      <c r="J21" s="568">
        <f t="shared" si="3"/>
        <v>0.11061011064671629</v>
      </c>
      <c r="K21" s="568">
        <f t="shared" si="3"/>
        <v>0.10702695006731053</v>
      </c>
      <c r="L21" s="568">
        <f t="shared" si="3"/>
        <v>8.0484322952466408E-2</v>
      </c>
      <c r="M21" s="568">
        <f t="shared" si="3"/>
        <v>9.6329280715206925E-2</v>
      </c>
      <c r="N21" s="568">
        <f t="shared" si="3"/>
        <v>9.7033664864914451E-2</v>
      </c>
      <c r="O21" s="568">
        <f t="shared" si="3"/>
        <v>9.6303380670496819E-2</v>
      </c>
      <c r="P21" s="568">
        <f t="shared" si="3"/>
        <v>9.6999999999999989E-2</v>
      </c>
    </row>
    <row r="22" spans="1:16" ht="21" customHeight="1" x14ac:dyDescent="0.2">
      <c r="A22" s="309"/>
      <c r="B22" s="309" t="s">
        <v>46</v>
      </c>
      <c r="C22" s="309"/>
      <c r="D22" s="572">
        <v>43.991999999999997</v>
      </c>
      <c r="E22" s="572">
        <f>88.937-D22</f>
        <v>44.945</v>
      </c>
      <c r="F22" s="572">
        <f>135.026-88.937</f>
        <v>46.089000000000013</v>
      </c>
      <c r="G22" s="565">
        <f>H22-F22-E22-D22</f>
        <v>47.428999999999995</v>
      </c>
      <c r="H22" s="572">
        <v>182.45500000000001</v>
      </c>
      <c r="I22" s="572">
        <v>49.134999999999998</v>
      </c>
      <c r="J22" s="572">
        <f>99.957-I22</f>
        <v>50.821999999999996</v>
      </c>
      <c r="K22" s="572">
        <f>153.13-99.957</f>
        <v>53.173000000000002</v>
      </c>
      <c r="L22" s="572">
        <f>M22-K22-J22-I22</f>
        <v>57.617999999999988</v>
      </c>
      <c r="M22" s="572">
        <v>210.74799999999999</v>
      </c>
      <c r="N22" s="565">
        <f>H22+I22+(2/3)*J22-D22-(2/3)*E22</f>
        <v>191.51600000000002</v>
      </c>
      <c r="O22" s="566">
        <f>M22*11/12+H22*1/12</f>
        <v>208.39025000000001</v>
      </c>
      <c r="P22" s="565">
        <f>P7*P23</f>
        <v>231.96878429999998</v>
      </c>
    </row>
    <row r="23" spans="1:16" ht="12.75" x14ac:dyDescent="0.2">
      <c r="A23" s="309"/>
      <c r="B23" s="555"/>
      <c r="C23" s="555" t="s">
        <v>182</v>
      </c>
      <c r="D23" s="562">
        <f t="shared" ref="D23:O23" si="4">D22/D9</f>
        <v>2.2029694417611736E-2</v>
      </c>
      <c r="E23" s="562">
        <f t="shared" si="4"/>
        <v>1.98593211554241E-2</v>
      </c>
      <c r="F23" s="562">
        <f t="shared" si="4"/>
        <v>2.1402947438811742E-2</v>
      </c>
      <c r="G23" s="562">
        <f t="shared" si="4"/>
        <v>2.2221961927162161E-2</v>
      </c>
      <c r="H23" s="562">
        <f t="shared" si="4"/>
        <v>2.1345171028687385E-2</v>
      </c>
      <c r="I23" s="562">
        <f t="shared" si="4"/>
        <v>2.2871711275076374E-2</v>
      </c>
      <c r="J23" s="562">
        <f t="shared" si="4"/>
        <v>2.0670810969984982E-2</v>
      </c>
      <c r="K23" s="562">
        <f t="shared" si="4"/>
        <v>2.2531342732092154E-2</v>
      </c>
      <c r="L23" s="562">
        <f t="shared" si="4"/>
        <v>2.4371807751282195E-2</v>
      </c>
      <c r="M23" s="562">
        <f t="shared" si="4"/>
        <v>2.2585777201919836E-2</v>
      </c>
      <c r="N23" s="562">
        <f t="shared" si="4"/>
        <v>2.1690488282886184E-2</v>
      </c>
      <c r="O23" s="562">
        <f t="shared" si="4"/>
        <v>2.249040349265111E-2</v>
      </c>
      <c r="P23" s="562">
        <v>2.2599999999999999E-2</v>
      </c>
    </row>
    <row r="24" spans="1:16" ht="21" customHeight="1" x14ac:dyDescent="0.2">
      <c r="A24" s="309"/>
      <c r="B24" s="308" t="s">
        <v>1</v>
      </c>
      <c r="C24" s="558"/>
      <c r="D24" s="557">
        <f>D20-D22</f>
        <v>121.58200000000008</v>
      </c>
      <c r="E24" s="557">
        <f>E20-E22</f>
        <v>200.36500000000007</v>
      </c>
      <c r="F24" s="557">
        <f>F20-F22</f>
        <v>184.35300000000012</v>
      </c>
      <c r="G24" s="557">
        <f>H24-F24-E24-D24</f>
        <v>131.77199999999883</v>
      </c>
      <c r="H24" s="557">
        <f>H20-H22</f>
        <v>638.07199999999909</v>
      </c>
      <c r="I24" s="557">
        <f>I20-I22</f>
        <v>134.90999999999985</v>
      </c>
      <c r="J24" s="557">
        <f>J20-J22</f>
        <v>221.12799999999993</v>
      </c>
      <c r="K24" s="557">
        <f>K20-K22</f>
        <v>199.40599999999995</v>
      </c>
      <c r="L24" s="557">
        <f>M24-K24-J24-I24</f>
        <v>132.65699999999947</v>
      </c>
      <c r="M24" s="557">
        <f>M20-M22</f>
        <v>688.1009999999992</v>
      </c>
      <c r="N24" s="557">
        <f>N20-N22</f>
        <v>665.24199999999792</v>
      </c>
      <c r="O24" s="557">
        <f>O20-O22</f>
        <v>683.93191666666632</v>
      </c>
      <c r="P24" s="557">
        <f>P20-P22</f>
        <v>763.64944919999994</v>
      </c>
    </row>
    <row r="25" spans="1:16" ht="12.75" customHeight="1" x14ac:dyDescent="0.2">
      <c r="A25" s="309"/>
      <c r="B25" s="309"/>
      <c r="C25" s="564" t="s">
        <v>47</v>
      </c>
      <c r="D25" s="568">
        <f t="shared" ref="D25:P25" si="5">D24/D9</f>
        <v>6.0884122265004365E-2</v>
      </c>
      <c r="E25" s="568">
        <f t="shared" si="5"/>
        <v>8.8532937663957076E-2</v>
      </c>
      <c r="F25" s="568">
        <f t="shared" si="5"/>
        <v>8.5610396606289191E-2</v>
      </c>
      <c r="G25" s="568">
        <f t="shared" si="5"/>
        <v>6.1739281179573398E-2</v>
      </c>
      <c r="H25" s="568">
        <f t="shared" si="5"/>
        <v>7.4647205988416857E-2</v>
      </c>
      <c r="I25" s="568">
        <f t="shared" si="5"/>
        <v>6.2798871845335308E-2</v>
      </c>
      <c r="J25" s="568">
        <f t="shared" si="5"/>
        <v>8.9939299676731296E-2</v>
      </c>
      <c r="K25" s="568">
        <f t="shared" si="5"/>
        <v>8.4495607335218381E-2</v>
      </c>
      <c r="L25" s="568">
        <f t="shared" si="5"/>
        <v>5.6112515201184182E-2</v>
      </c>
      <c r="M25" s="568">
        <f t="shared" si="5"/>
        <v>7.3743503513287081E-2</v>
      </c>
      <c r="N25" s="568">
        <f t="shared" si="5"/>
        <v>7.5343176582028257E-2</v>
      </c>
      <c r="O25" s="568">
        <f t="shared" si="5"/>
        <v>7.3812977177845698E-2</v>
      </c>
      <c r="P25" s="568">
        <f t="shared" si="5"/>
        <v>7.4399999999999994E-2</v>
      </c>
    </row>
    <row r="26" spans="1:16" ht="21" customHeight="1" x14ac:dyDescent="0.2">
      <c r="A26" s="308" t="s">
        <v>87</v>
      </c>
      <c r="B26" s="309"/>
      <c r="C26" s="564"/>
      <c r="D26" s="568"/>
      <c r="E26" s="568"/>
      <c r="F26" s="568"/>
      <c r="G26" s="568"/>
      <c r="H26" s="568"/>
      <c r="I26" s="568"/>
      <c r="J26" s="568"/>
      <c r="K26" s="568"/>
      <c r="L26" s="568"/>
      <c r="M26" s="568"/>
      <c r="N26" s="568"/>
      <c r="O26" s="568"/>
      <c r="P26" s="568"/>
    </row>
    <row r="27" spans="1:16" ht="12.75" customHeight="1" x14ac:dyDescent="0.2">
      <c r="A27" s="309"/>
      <c r="B27" s="309" t="s">
        <v>161</v>
      </c>
      <c r="C27" s="309"/>
      <c r="D27" s="572">
        <v>3.5179999999999998</v>
      </c>
      <c r="E27" s="572">
        <v>4.5819999999999999</v>
      </c>
      <c r="F27" s="572">
        <v>7.1440000000000001</v>
      </c>
      <c r="G27" s="565">
        <f>H27-F27-E27-D27</f>
        <v>7.2020000000000026</v>
      </c>
      <c r="H27" s="572">
        <v>22.446000000000002</v>
      </c>
      <c r="I27" s="572">
        <v>6.7119999999999997</v>
      </c>
      <c r="J27" s="572">
        <v>6.4249999999999998</v>
      </c>
      <c r="K27" s="572">
        <v>5.6349999999999998</v>
      </c>
      <c r="L27" s="572">
        <f>M27-K27-J27-I27</f>
        <v>6.3179999999999978</v>
      </c>
      <c r="M27" s="572">
        <v>25.09</v>
      </c>
      <c r="N27" s="565">
        <f>H27+I27+(2/3)*J27-D27-(2/3)*E27</f>
        <v>26.868666666666666</v>
      </c>
      <c r="O27" s="566">
        <f>M27*11/12+H27*1/12</f>
        <v>24.869666666666667</v>
      </c>
      <c r="P27" s="566">
        <f>M27</f>
        <v>25.09</v>
      </c>
    </row>
    <row r="28" spans="1:16" ht="12.75" customHeight="1" x14ac:dyDescent="0.2">
      <c r="A28" s="309"/>
      <c r="B28" s="309" t="s">
        <v>48</v>
      </c>
      <c r="C28" s="309"/>
      <c r="D28" s="571">
        <v>0.38700000000000001</v>
      </c>
      <c r="E28" s="571">
        <v>0.42199999999999999</v>
      </c>
      <c r="F28" s="571">
        <v>0.45500000000000002</v>
      </c>
      <c r="G28" s="570">
        <f>H28-F28-E28-D28</f>
        <v>0.26800000000000002</v>
      </c>
      <c r="H28" s="571">
        <v>1.532</v>
      </c>
      <c r="I28" s="571">
        <v>0.23400000000000001</v>
      </c>
      <c r="J28" s="571">
        <v>0.20799999999999999</v>
      </c>
      <c r="K28" s="571">
        <v>0.27400000000000002</v>
      </c>
      <c r="L28" s="571">
        <f>M28-K28-J28-I28</f>
        <v>0.21100000000000005</v>
      </c>
      <c r="M28" s="571">
        <v>0.92700000000000005</v>
      </c>
      <c r="N28" s="570">
        <f>H28+I28+(2/3)*J28-D28-(2/3)*E28</f>
        <v>1.2363333333333335</v>
      </c>
      <c r="O28" s="570">
        <f>M28*11/12+H28*1/12</f>
        <v>0.97741666666666682</v>
      </c>
      <c r="P28" s="570">
        <f>M28</f>
        <v>0.92700000000000005</v>
      </c>
    </row>
    <row r="29" spans="1:16" ht="12.75" customHeight="1" x14ac:dyDescent="0.2">
      <c r="A29" s="309"/>
      <c r="B29" s="308" t="s">
        <v>86</v>
      </c>
      <c r="C29" s="309"/>
      <c r="D29" s="569">
        <f>D28-D27</f>
        <v>-3.1309999999999998</v>
      </c>
      <c r="E29" s="569">
        <f>E28-E27</f>
        <v>-4.16</v>
      </c>
      <c r="F29" s="569">
        <f>F28-F27</f>
        <v>-6.6890000000000001</v>
      </c>
      <c r="G29" s="569">
        <f>H29-F29-E29-D29</f>
        <v>-6.9340000000000011</v>
      </c>
      <c r="H29" s="569">
        <f>H28-H27</f>
        <v>-20.914000000000001</v>
      </c>
      <c r="I29" s="569">
        <f>I28-I27</f>
        <v>-6.4779999999999998</v>
      </c>
      <c r="J29" s="569">
        <f>J28-J27</f>
        <v>-6.2169999999999996</v>
      </c>
      <c r="K29" s="569">
        <f>K28-K27</f>
        <v>-5.3609999999999998</v>
      </c>
      <c r="L29" s="569">
        <f>M29-K29-J29-I29</f>
        <v>-6.1070000000000011</v>
      </c>
      <c r="M29" s="569">
        <f>M28-M27</f>
        <v>-24.163</v>
      </c>
      <c r="N29" s="569">
        <f>N28-N27</f>
        <v>-25.632333333333332</v>
      </c>
      <c r="O29" s="569">
        <f>O28-O27</f>
        <v>-23.892250000000001</v>
      </c>
      <c r="P29" s="569">
        <f>P28-P27</f>
        <v>-24.163</v>
      </c>
    </row>
    <row r="30" spans="1:16" ht="21" customHeight="1" x14ac:dyDescent="0.2">
      <c r="A30" s="309"/>
      <c r="B30" s="308" t="s">
        <v>52</v>
      </c>
      <c r="C30" s="309"/>
      <c r="D30" s="557">
        <f>D24+D29</f>
        <v>118.45100000000008</v>
      </c>
      <c r="E30" s="557">
        <f>E24+E29</f>
        <v>196.20500000000007</v>
      </c>
      <c r="F30" s="557">
        <f>F24+F29</f>
        <v>177.66400000000013</v>
      </c>
      <c r="G30" s="557">
        <f>H30-F30-E30-D30</f>
        <v>124.83799999999886</v>
      </c>
      <c r="H30" s="557">
        <f>H24+H29</f>
        <v>617.15799999999911</v>
      </c>
      <c r="I30" s="557">
        <f>I24+I29</f>
        <v>128.43199999999985</v>
      </c>
      <c r="J30" s="557">
        <f>J24+J29</f>
        <v>214.91099999999992</v>
      </c>
      <c r="K30" s="557">
        <f>K24+K29</f>
        <v>194.04499999999996</v>
      </c>
      <c r="L30" s="557">
        <f>M30-K30-J30-I30</f>
        <v>126.54999999999947</v>
      </c>
      <c r="M30" s="557">
        <f>M24+M29</f>
        <v>663.93799999999919</v>
      </c>
      <c r="N30" s="557">
        <f>N24+N29</f>
        <v>639.60966666666457</v>
      </c>
      <c r="O30" s="557">
        <f>O24+O29</f>
        <v>660.03966666666634</v>
      </c>
      <c r="P30" s="557">
        <f>P24+P29</f>
        <v>739.48644919999992</v>
      </c>
    </row>
    <row r="31" spans="1:16" ht="12.75" customHeight="1" x14ac:dyDescent="0.2">
      <c r="A31" s="309"/>
      <c r="B31" s="564"/>
      <c r="C31" s="563" t="s">
        <v>54</v>
      </c>
      <c r="D31" s="568">
        <f t="shared" ref="D31:P31" si="6">D30/D9</f>
        <v>5.9316224164860189E-2</v>
      </c>
      <c r="E31" s="568">
        <f t="shared" si="6"/>
        <v>8.6694807148737049E-2</v>
      </c>
      <c r="F31" s="568">
        <f t="shared" si="6"/>
        <v>8.2504138813362216E-2</v>
      </c>
      <c r="G31" s="568">
        <f t="shared" si="6"/>
        <v>5.8490486475849056E-2</v>
      </c>
      <c r="H31" s="568">
        <f t="shared" si="6"/>
        <v>7.2200504572210292E-2</v>
      </c>
      <c r="I31" s="568">
        <f t="shared" si="6"/>
        <v>5.9783446066563668E-2</v>
      </c>
      <c r="J31" s="568">
        <f t="shared" si="6"/>
        <v>8.7410661846649904E-2</v>
      </c>
      <c r="K31" s="568">
        <f t="shared" si="6"/>
        <v>8.2223955775465388E-2</v>
      </c>
      <c r="L31" s="568">
        <f t="shared" si="6"/>
        <v>5.3529318458203162E-2</v>
      </c>
      <c r="M31" s="568">
        <f t="shared" si="6"/>
        <v>7.1153964658683524E-2</v>
      </c>
      <c r="N31" s="568">
        <f t="shared" si="6"/>
        <v>7.2440140669468994E-2</v>
      </c>
      <c r="O31" s="568">
        <f t="shared" si="6"/>
        <v>7.1234419194219814E-2</v>
      </c>
      <c r="P31" s="568">
        <f t="shared" si="6"/>
        <v>7.2045873768542226E-2</v>
      </c>
    </row>
    <row r="32" spans="1:16" ht="21" customHeight="1" x14ac:dyDescent="0.2">
      <c r="A32" s="309"/>
      <c r="B32" s="309" t="s">
        <v>55</v>
      </c>
      <c r="C32" s="309"/>
      <c r="D32" s="567">
        <v>44.136000000000003</v>
      </c>
      <c r="E32" s="567">
        <v>73.025000000000006</v>
      </c>
      <c r="F32" s="567">
        <v>66.563000000000002</v>
      </c>
      <c r="G32" s="565">
        <f>H32-F32-E32-D32</f>
        <v>44.988999999999969</v>
      </c>
      <c r="H32" s="567">
        <v>228.71299999999999</v>
      </c>
      <c r="I32" s="567">
        <v>48.082000000000001</v>
      </c>
      <c r="J32" s="567">
        <v>78.492000000000004</v>
      </c>
      <c r="K32" s="567">
        <v>69.504999999999995</v>
      </c>
      <c r="L32" s="567">
        <f>M32-K32-J32-I32</f>
        <v>45.619000000000007</v>
      </c>
      <c r="M32" s="567">
        <v>241.69800000000001</v>
      </c>
      <c r="N32" s="565">
        <f>H32+I32+(2/3)*J32-D32-(2/3)*E32</f>
        <v>236.30366666666669</v>
      </c>
      <c r="O32" s="566">
        <f>M32*11/12+H32*1/12</f>
        <v>240.61591666666666</v>
      </c>
      <c r="P32" s="565">
        <f>P30*P33</f>
        <v>266.21512171199998</v>
      </c>
    </row>
    <row r="33" spans="1:16" ht="12.75" customHeight="1" x14ac:dyDescent="0.2">
      <c r="A33" s="309"/>
      <c r="B33" s="564"/>
      <c r="C33" s="563" t="s">
        <v>53</v>
      </c>
      <c r="D33" s="562">
        <f t="shared" ref="D33:O33" si="7">D32/D30</f>
        <v>0.3726097711289898</v>
      </c>
      <c r="E33" s="562">
        <f t="shared" si="7"/>
        <v>0.37218725312810569</v>
      </c>
      <c r="F33" s="562">
        <f t="shared" si="7"/>
        <v>0.37465665525936576</v>
      </c>
      <c r="G33" s="562">
        <f t="shared" si="7"/>
        <v>0.36037905125042358</v>
      </c>
      <c r="H33" s="562">
        <f t="shared" si="7"/>
        <v>0.37059067532139311</v>
      </c>
      <c r="I33" s="562">
        <f t="shared" si="7"/>
        <v>0.37437710227980608</v>
      </c>
      <c r="J33" s="562">
        <f t="shared" si="7"/>
        <v>0.3652302581068444</v>
      </c>
      <c r="K33" s="562">
        <f t="shared" si="7"/>
        <v>0.35819011054136934</v>
      </c>
      <c r="L33" s="562">
        <f t="shared" si="7"/>
        <v>0.36048202291584508</v>
      </c>
      <c r="M33" s="562">
        <f t="shared" si="7"/>
        <v>0.36403700345514234</v>
      </c>
      <c r="N33" s="562">
        <f t="shared" si="7"/>
        <v>0.36944980506340191</v>
      </c>
      <c r="O33" s="562">
        <f t="shared" si="7"/>
        <v>0.36454766102441338</v>
      </c>
      <c r="P33" s="561">
        <v>0.36</v>
      </c>
    </row>
    <row r="34" spans="1:16" ht="21" customHeight="1" x14ac:dyDescent="0.2">
      <c r="A34" s="309"/>
      <c r="B34" s="308" t="s">
        <v>59</v>
      </c>
      <c r="C34" s="309"/>
      <c r="D34" s="557">
        <f>D30-D32</f>
        <v>74.315000000000083</v>
      </c>
      <c r="E34" s="557">
        <f>E30-E32</f>
        <v>123.18000000000006</v>
      </c>
      <c r="F34" s="557">
        <f>F30-F32</f>
        <v>111.10100000000013</v>
      </c>
      <c r="G34" s="557">
        <f>H34-F34-E34-D34</f>
        <v>79.848999999998881</v>
      </c>
      <c r="H34" s="557">
        <f>H30-H32</f>
        <v>388.44499999999914</v>
      </c>
      <c r="I34" s="557">
        <f>I30-I32</f>
        <v>80.349999999999852</v>
      </c>
      <c r="J34" s="557">
        <f>J30-J32</f>
        <v>136.41899999999993</v>
      </c>
      <c r="K34" s="557">
        <f>K30-K32</f>
        <v>124.53999999999996</v>
      </c>
      <c r="L34" s="557">
        <f>M34-K34-J34-I34</f>
        <v>80.930999999999472</v>
      </c>
      <c r="M34" s="557">
        <f>M30-M32</f>
        <v>422.23999999999921</v>
      </c>
      <c r="N34" s="557">
        <f>N30-N32</f>
        <v>403.30599999999788</v>
      </c>
      <c r="O34" s="557">
        <f>O30-O32</f>
        <v>419.4237499999997</v>
      </c>
      <c r="P34" s="557">
        <f>P30-P32</f>
        <v>473.27132748799994</v>
      </c>
    </row>
    <row r="35" spans="1:16" ht="21" customHeight="1" x14ac:dyDescent="0.2">
      <c r="A35" s="308" t="s">
        <v>60</v>
      </c>
      <c r="B35" s="309"/>
      <c r="C35" s="309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0"/>
      <c r="P35" s="560"/>
    </row>
    <row r="36" spans="1:16" ht="12.75" customHeight="1" x14ac:dyDescent="0.2">
      <c r="A36" s="309"/>
      <c r="B36" s="309" t="s">
        <v>4</v>
      </c>
      <c r="C36" s="309"/>
      <c r="D36" s="559">
        <f t="shared" ref="D36:P36" si="8">D34/D39</f>
        <v>0.58065851981497751</v>
      </c>
      <c r="E36" s="559">
        <f t="shared" si="8"/>
        <v>0.98845280414704073</v>
      </c>
      <c r="F36" s="559">
        <f t="shared" si="8"/>
        <v>0.91406545669952222</v>
      </c>
      <c r="G36" s="559">
        <f t="shared" si="8"/>
        <v>0.65449999999999087</v>
      </c>
      <c r="H36" s="559">
        <f t="shared" si="8"/>
        <v>3.148873216601809</v>
      </c>
      <c r="I36" s="559">
        <f t="shared" si="8"/>
        <v>0.68296373109843567</v>
      </c>
      <c r="J36" s="559">
        <f t="shared" si="8"/>
        <v>1.1607361649989782</v>
      </c>
      <c r="K36" s="559">
        <f t="shared" si="8"/>
        <v>1.0661302058810938</v>
      </c>
      <c r="L36" s="559">
        <f t="shared" si="8"/>
        <v>0.69171794871794423</v>
      </c>
      <c r="M36" s="559">
        <f t="shared" si="8"/>
        <v>3.6058993825631678</v>
      </c>
      <c r="N36" s="559">
        <f t="shared" si="8"/>
        <v>3.4470598290598109</v>
      </c>
      <c r="O36" s="559">
        <f t="shared" si="8"/>
        <v>3.5818488091069773</v>
      </c>
      <c r="P36" s="559">
        <f t="shared" si="8"/>
        <v>4.1010315138349478</v>
      </c>
    </row>
    <row r="37" spans="1:16" ht="12.75" customHeight="1" x14ac:dyDescent="0.2">
      <c r="A37" s="309"/>
      <c r="B37" s="309" t="s">
        <v>5</v>
      </c>
      <c r="C37" s="309"/>
      <c r="D37" s="559">
        <f t="shared" ref="D37:P37" si="9">D34/D40</f>
        <v>0.57545628421647721</v>
      </c>
      <c r="E37" s="559">
        <f t="shared" si="9"/>
        <v>0.97994447140436491</v>
      </c>
      <c r="F37" s="559">
        <f t="shared" si="9"/>
        <v>0.90579343855987582</v>
      </c>
      <c r="G37" s="559">
        <f t="shared" si="9"/>
        <v>0.64917886178860884</v>
      </c>
      <c r="H37" s="559">
        <f t="shared" si="9"/>
        <v>3.1203910479893251</v>
      </c>
      <c r="I37" s="559">
        <f t="shared" si="9"/>
        <v>0.67753876769737886</v>
      </c>
      <c r="J37" s="559">
        <f t="shared" si="9"/>
        <v>1.1531224641601292</v>
      </c>
      <c r="K37" s="559">
        <f t="shared" si="9"/>
        <v>1.0587165166237362</v>
      </c>
      <c r="L37" s="559">
        <f t="shared" si="9"/>
        <v>0.68585593220338537</v>
      </c>
      <c r="M37" s="559">
        <f t="shared" si="9"/>
        <v>3.5765471209066662</v>
      </c>
      <c r="N37" s="559">
        <f t="shared" si="9"/>
        <v>3.4178474576271007</v>
      </c>
      <c r="O37" s="559">
        <f t="shared" si="9"/>
        <v>3.5526923207237093</v>
      </c>
      <c r="P37" s="559">
        <f t="shared" si="9"/>
        <v>4.092817506261512</v>
      </c>
    </row>
    <row r="38" spans="1:16" ht="21" customHeight="1" x14ac:dyDescent="0.2">
      <c r="A38" s="308" t="s">
        <v>61</v>
      </c>
      <c r="B38" s="309"/>
      <c r="C38" s="558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</row>
    <row r="39" spans="1:16" ht="12.75" customHeight="1" x14ac:dyDescent="0.2">
      <c r="A39" s="309"/>
      <c r="B39" s="309" t="s">
        <v>4</v>
      </c>
      <c r="C39" s="309"/>
      <c r="D39" s="556">
        <v>127.98399999999999</v>
      </c>
      <c r="E39" s="556">
        <v>124.619</v>
      </c>
      <c r="F39" s="556">
        <v>121.54600000000001</v>
      </c>
      <c r="G39" s="556">
        <v>122</v>
      </c>
      <c r="H39" s="556">
        <f>123.36</f>
        <v>123.36</v>
      </c>
      <c r="I39" s="556">
        <v>117.649</v>
      </c>
      <c r="J39" s="556">
        <v>117.52800000000001</v>
      </c>
      <c r="K39" s="556">
        <v>116.815</v>
      </c>
      <c r="L39" s="556">
        <v>117</v>
      </c>
      <c r="M39" s="556">
        <v>117.09699999999999</v>
      </c>
      <c r="N39" s="556">
        <v>117</v>
      </c>
      <c r="O39" s="556">
        <v>117.09699999999999</v>
      </c>
      <c r="P39" s="591">
        <f>D45/1000000</f>
        <v>115.402997</v>
      </c>
    </row>
    <row r="40" spans="1:16" ht="12.75" customHeight="1" x14ac:dyDescent="0.2">
      <c r="A40" s="555"/>
      <c r="B40" s="555" t="s">
        <v>5</v>
      </c>
      <c r="C40" s="555"/>
      <c r="D40" s="554">
        <v>129.14099999999999</v>
      </c>
      <c r="E40" s="554">
        <v>125.70099999999999</v>
      </c>
      <c r="F40" s="554">
        <v>122.65600000000001</v>
      </c>
      <c r="G40" s="554">
        <v>123</v>
      </c>
      <c r="H40" s="554">
        <v>124.486</v>
      </c>
      <c r="I40" s="554">
        <v>118.59099999999999</v>
      </c>
      <c r="J40" s="554">
        <v>118.304</v>
      </c>
      <c r="K40" s="554">
        <v>117.633</v>
      </c>
      <c r="L40" s="554">
        <v>118</v>
      </c>
      <c r="M40" s="554">
        <v>118.05800000000001</v>
      </c>
      <c r="N40" s="554">
        <v>118</v>
      </c>
      <c r="O40" s="554">
        <v>118.05800000000001</v>
      </c>
      <c r="P40" s="592">
        <f>D51/1000000</f>
        <v>115.634603</v>
      </c>
    </row>
    <row r="41" spans="1:16" ht="12.75" customHeight="1" x14ac:dyDescent="0.2">
      <c r="A41" s="309"/>
      <c r="B41" s="309"/>
      <c r="C41" s="309"/>
      <c r="D41" s="310"/>
      <c r="E41" s="310">
        <f>E39-D39</f>
        <v>-3.3649999999999949</v>
      </c>
      <c r="F41" s="310">
        <f>F39-E39</f>
        <v>-3.0729999999999933</v>
      </c>
      <c r="G41" s="310">
        <f>G39-F39</f>
        <v>0.45399999999999352</v>
      </c>
      <c r="H41" s="310">
        <f>H39-E39</f>
        <v>-1.2590000000000003</v>
      </c>
      <c r="I41" s="310">
        <f t="shared" ref="I41:N41" si="10">I39-H39</f>
        <v>-5.7109999999999985</v>
      </c>
      <c r="J41" s="310">
        <f t="shared" si="10"/>
        <v>-0.12099999999999511</v>
      </c>
      <c r="K41" s="310">
        <f t="shared" si="10"/>
        <v>-0.71300000000000807</v>
      </c>
      <c r="L41" s="310">
        <f t="shared" si="10"/>
        <v>0.18500000000000227</v>
      </c>
      <c r="M41" s="553">
        <f t="shared" si="10"/>
        <v>9.6999999999994202E-2</v>
      </c>
      <c r="N41" s="310">
        <f t="shared" si="10"/>
        <v>-9.6999999999994202E-2</v>
      </c>
      <c r="O41" s="553"/>
      <c r="P41" s="553">
        <f>P39-N39</f>
        <v>-1.5970030000000008</v>
      </c>
    </row>
    <row r="42" spans="1:16" ht="12.75" customHeight="1" x14ac:dyDescent="0.2">
      <c r="P42" s="521"/>
    </row>
    <row r="43" spans="1:16" ht="12.75" customHeight="1" x14ac:dyDescent="0.2">
      <c r="A43" s="701" t="s">
        <v>298</v>
      </c>
      <c r="B43" s="699"/>
      <c r="C43" s="699"/>
      <c r="D43" s="700"/>
      <c r="P43" s="522"/>
    </row>
    <row r="44" spans="1:16" ht="12.75" customHeight="1" x14ac:dyDescent="0.2">
      <c r="A44" s="334" t="s">
        <v>170</v>
      </c>
      <c r="B44" s="334"/>
      <c r="C44" s="334"/>
      <c r="D44" s="550">
        <v>66.12</v>
      </c>
    </row>
    <row r="45" spans="1:16" ht="12.75" customHeight="1" x14ac:dyDescent="0.2">
      <c r="A45" s="334" t="s">
        <v>273</v>
      </c>
      <c r="B45" s="334"/>
      <c r="C45" s="552"/>
      <c r="D45" s="551">
        <v>115402997</v>
      </c>
    </row>
    <row r="46" spans="1:16" ht="20.100000000000001" customHeight="1" x14ac:dyDescent="0.2">
      <c r="A46" s="334" t="s">
        <v>271</v>
      </c>
      <c r="B46" s="334"/>
      <c r="C46" s="334"/>
      <c r="D46" s="551">
        <v>377000</v>
      </c>
    </row>
    <row r="47" spans="1:16" ht="20.100000000000001" customHeight="1" x14ac:dyDescent="0.2">
      <c r="A47" s="549" t="s">
        <v>269</v>
      </c>
      <c r="B47" s="549"/>
      <c r="C47" s="549"/>
      <c r="D47" s="550">
        <v>25.5</v>
      </c>
    </row>
    <row r="48" spans="1:16" ht="20.100000000000001" customHeight="1" x14ac:dyDescent="0.2">
      <c r="A48" s="549" t="s">
        <v>270</v>
      </c>
      <c r="B48" s="549"/>
      <c r="C48" s="549"/>
      <c r="D48" s="548">
        <f>D46*D47</f>
        <v>9613500</v>
      </c>
    </row>
    <row r="49" spans="1:4" ht="20.100000000000001" customHeight="1" x14ac:dyDescent="0.2">
      <c r="A49" s="334" t="s">
        <v>274</v>
      </c>
      <c r="B49" s="549"/>
      <c r="C49" s="549"/>
      <c r="D49" s="548">
        <f>+ROUNDDOWN(D48/D44,0)</f>
        <v>145394</v>
      </c>
    </row>
    <row r="50" spans="1:4" ht="20.100000000000001" customHeight="1" x14ac:dyDescent="0.2">
      <c r="A50" s="547" t="s">
        <v>275</v>
      </c>
      <c r="B50" s="545"/>
      <c r="C50" s="545"/>
      <c r="D50" s="546">
        <f>D46-D49</f>
        <v>231606</v>
      </c>
    </row>
    <row r="51" spans="1:4" ht="20.100000000000001" customHeight="1" x14ac:dyDescent="0.2">
      <c r="A51" s="540" t="s">
        <v>272</v>
      </c>
      <c r="B51" s="545"/>
      <c r="C51" s="545"/>
      <c r="D51" s="544">
        <f>D50+D45</f>
        <v>115634603</v>
      </c>
    </row>
    <row r="53" spans="1:4" ht="20.100000000000001" customHeight="1" x14ac:dyDescent="0.2">
      <c r="A53" s="701" t="s">
        <v>296</v>
      </c>
      <c r="B53" s="699"/>
      <c r="C53" s="699"/>
      <c r="D53" s="700"/>
    </row>
    <row r="54" spans="1:4" ht="20.100000000000001" customHeight="1" x14ac:dyDescent="0.2">
      <c r="A54" s="540" t="s">
        <v>171</v>
      </c>
      <c r="B54" s="543"/>
      <c r="C54" s="543"/>
      <c r="D54" s="542">
        <f>D51*D44/1000000</f>
        <v>7645.7599503600004</v>
      </c>
    </row>
    <row r="55" spans="1:4" ht="20.100000000000001" customHeight="1" x14ac:dyDescent="0.2">
      <c r="A55" s="334" t="s">
        <v>34</v>
      </c>
      <c r="B55" s="334"/>
      <c r="C55" s="334"/>
      <c r="D55" s="541">
        <f>16.2+15</f>
        <v>31.2</v>
      </c>
    </row>
    <row r="56" spans="1:4" ht="20.100000000000001" customHeight="1" x14ac:dyDescent="0.2">
      <c r="A56" s="334" t="s">
        <v>279</v>
      </c>
      <c r="B56" s="334"/>
      <c r="C56" s="334"/>
      <c r="D56" s="541">
        <v>516.32000000000005</v>
      </c>
    </row>
    <row r="57" spans="1:4" ht="20.100000000000001" customHeight="1" x14ac:dyDescent="0.2">
      <c r="A57" s="334" t="s">
        <v>277</v>
      </c>
      <c r="B57" s="334"/>
      <c r="C57" s="334"/>
      <c r="D57" s="541">
        <v>0</v>
      </c>
    </row>
    <row r="58" spans="1:4" ht="20.100000000000001" customHeight="1" x14ac:dyDescent="0.2">
      <c r="A58" s="334" t="s">
        <v>172</v>
      </c>
      <c r="B58" s="334"/>
      <c r="C58" s="334"/>
      <c r="D58" s="541">
        <v>0</v>
      </c>
    </row>
    <row r="59" spans="1:4" ht="20.100000000000001" customHeight="1" x14ac:dyDescent="0.2">
      <c r="A59" s="334" t="s">
        <v>278</v>
      </c>
      <c r="B59" s="334"/>
      <c r="C59" s="334"/>
      <c r="D59" s="541">
        <v>0</v>
      </c>
    </row>
    <row r="60" spans="1:4" ht="20.100000000000001" customHeight="1" x14ac:dyDescent="0.2">
      <c r="A60" s="334" t="s">
        <v>173</v>
      </c>
      <c r="B60" s="334"/>
      <c r="C60" s="334"/>
      <c r="D60" s="541">
        <v>0</v>
      </c>
    </row>
    <row r="61" spans="1:4" ht="20.100000000000001" customHeight="1" x14ac:dyDescent="0.2">
      <c r="A61" s="334" t="s">
        <v>174</v>
      </c>
      <c r="B61" s="334"/>
      <c r="C61" s="334"/>
      <c r="D61" s="541">
        <v>-92.332999999999998</v>
      </c>
    </row>
    <row r="62" spans="1:4" ht="20.100000000000001" customHeight="1" x14ac:dyDescent="0.2">
      <c r="A62" s="540" t="s">
        <v>175</v>
      </c>
      <c r="B62" s="539"/>
      <c r="C62" s="539"/>
      <c r="D62" s="538">
        <f>SUM(D54:D61)</f>
        <v>8100.9469503600003</v>
      </c>
    </row>
  </sheetData>
  <mergeCells count="2">
    <mergeCell ref="A43:D43"/>
    <mergeCell ref="A53:D53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6CCFF"/>
  </sheetPr>
  <dimension ref="A1:I16"/>
  <sheetViews>
    <sheetView workbookViewId="0">
      <selection activeCell="A3" sqref="A3"/>
    </sheetView>
  </sheetViews>
  <sheetFormatPr defaultColWidth="9.140625" defaultRowHeight="20.100000000000001" customHeight="1" x14ac:dyDescent="0.2"/>
  <cols>
    <col min="1" max="1" width="2.42578125" style="51" customWidth="1"/>
    <col min="2" max="2" width="47.28515625" style="51" customWidth="1"/>
    <col min="3" max="3" width="12" style="69" customWidth="1"/>
    <col min="4" max="4" width="12.140625" style="69" customWidth="1"/>
    <col min="5" max="5" width="15.28515625" style="51" bestFit="1" customWidth="1"/>
    <col min="6" max="6" width="11.7109375" style="51" bestFit="1" customWidth="1"/>
    <col min="7" max="7" width="8" style="51" bestFit="1" customWidth="1"/>
    <col min="8" max="8" width="6.85546875" style="51" bestFit="1" customWidth="1"/>
    <col min="9" max="9" width="7.140625" style="51" bestFit="1" customWidth="1"/>
    <col min="10" max="16384" width="9.140625" style="51"/>
  </cols>
  <sheetData>
    <row r="1" spans="1:9" ht="58.5" customHeight="1" x14ac:dyDescent="0.2">
      <c r="A1" s="49"/>
      <c r="B1" s="49"/>
      <c r="C1" s="50"/>
      <c r="D1" s="50"/>
      <c r="E1" s="49"/>
      <c r="F1" s="49"/>
      <c r="G1" s="49"/>
      <c r="H1" s="49"/>
      <c r="I1" s="49"/>
    </row>
    <row r="2" spans="1:9" ht="13.5" customHeight="1" x14ac:dyDescent="0.2">
      <c r="A2" s="301" t="s">
        <v>380</v>
      </c>
      <c r="B2" s="52"/>
      <c r="C2" s="54"/>
      <c r="D2" s="54"/>
      <c r="E2" s="52"/>
      <c r="F2" s="52"/>
      <c r="G2" s="52"/>
      <c r="H2" s="52"/>
      <c r="I2" s="270"/>
    </row>
    <row r="3" spans="1:9" ht="12" customHeight="1" x14ac:dyDescent="0.2">
      <c r="A3" s="302" t="s">
        <v>106</v>
      </c>
      <c r="B3" s="57"/>
      <c r="C3" s="269"/>
      <c r="D3" s="269"/>
      <c r="E3" s="269"/>
      <c r="F3" s="269"/>
      <c r="G3" s="307"/>
      <c r="H3" s="307"/>
      <c r="I3" s="268"/>
    </row>
    <row r="4" spans="1:9" ht="12" customHeight="1" x14ac:dyDescent="0.2">
      <c r="A4" s="302"/>
      <c r="B4" s="57"/>
      <c r="C4" s="689" t="s">
        <v>381</v>
      </c>
      <c r="D4" s="702" t="s">
        <v>382</v>
      </c>
      <c r="E4" s="703"/>
      <c r="F4" s="266" t="s">
        <v>383</v>
      </c>
      <c r="G4" s="704" t="s">
        <v>384</v>
      </c>
      <c r="H4" s="705"/>
      <c r="I4" s="706"/>
    </row>
    <row r="5" spans="1:9" ht="12" customHeight="1" x14ac:dyDescent="0.2">
      <c r="A5" s="305"/>
      <c r="B5" s="231"/>
      <c r="C5" s="690"/>
      <c r="D5" s="637" t="s">
        <v>385</v>
      </c>
      <c r="E5" s="637" t="s">
        <v>289</v>
      </c>
      <c r="F5" s="638" t="s">
        <v>386</v>
      </c>
      <c r="G5" s="262" t="s">
        <v>39</v>
      </c>
      <c r="H5" s="262" t="s">
        <v>1</v>
      </c>
      <c r="I5" s="639" t="s">
        <v>2</v>
      </c>
    </row>
    <row r="6" spans="1:9" ht="12" customHeight="1" x14ac:dyDescent="0.2">
      <c r="A6" s="306"/>
      <c r="B6" s="228" t="s">
        <v>387</v>
      </c>
      <c r="C6" s="691"/>
      <c r="D6" s="640" t="s">
        <v>149</v>
      </c>
      <c r="E6" s="640" t="s">
        <v>149</v>
      </c>
      <c r="F6" s="252" t="s">
        <v>150</v>
      </c>
      <c r="G6" s="252" t="s">
        <v>150</v>
      </c>
      <c r="H6" s="252" t="s">
        <v>150</v>
      </c>
      <c r="I6" s="641" t="s">
        <v>150</v>
      </c>
    </row>
    <row r="7" spans="1:9" s="49" customFormat="1" ht="12" x14ac:dyDescent="0.2">
      <c r="A7" s="294"/>
      <c r="B7" s="642" t="s">
        <v>388</v>
      </c>
      <c r="C7" s="643">
        <v>39269</v>
      </c>
      <c r="D7" s="273"/>
      <c r="E7" s="274"/>
      <c r="F7" s="275"/>
      <c r="G7" s="275"/>
      <c r="H7" s="275"/>
      <c r="I7" s="276"/>
    </row>
    <row r="8" spans="1:9" s="49" customFormat="1" ht="12" x14ac:dyDescent="0.2">
      <c r="A8" s="296"/>
      <c r="B8" s="644" t="s">
        <v>389</v>
      </c>
      <c r="C8" s="645">
        <v>39140</v>
      </c>
      <c r="D8" s="285">
        <f>E8-'A&amp;P - Pathmark'!L39</f>
        <v>818.1</v>
      </c>
      <c r="E8" s="286">
        <v>1400</v>
      </c>
      <c r="F8" s="287" t="s">
        <v>390</v>
      </c>
      <c r="G8" s="287">
        <f>E8/'A&amp;P - Pathmark'!R8</f>
        <v>0.3453294195999112</v>
      </c>
      <c r="H8" s="287">
        <f>E8/'A&amp;P - Pathmark'!R14</f>
        <v>54.05405405405309</v>
      </c>
      <c r="I8" s="292">
        <f>E8/'A&amp;P - Pathmark'!R12</f>
        <v>11.715481171548072</v>
      </c>
    </row>
    <row r="9" spans="1:9" s="49" customFormat="1" ht="12" x14ac:dyDescent="0.2">
      <c r="A9" s="296"/>
      <c r="B9" s="644" t="s">
        <v>391</v>
      </c>
      <c r="C9" s="645">
        <v>39134</v>
      </c>
      <c r="D9" s="285">
        <v>565</v>
      </c>
      <c r="E9" s="286">
        <f>D9+'WFM - Wild Oats'!K51/M_to_MM</f>
        <v>672.81500000000005</v>
      </c>
      <c r="F9" s="646">
        <f>D9/'WFM - Wild Oats'!L24</f>
        <v>4.0630630939697668E-2</v>
      </c>
      <c r="G9" s="287">
        <f>E9/('WFM - Wild Oats'!L7/M_to_MM)</f>
        <v>0.56872568726532569</v>
      </c>
      <c r="H9" s="287">
        <f>E9/('WFM - Wild Oats'!L16/M_to_MM)</f>
        <v>37.182370820668702</v>
      </c>
      <c r="I9" s="292">
        <f>E9/('WFM - Wild Oats'!L14/M_to_MM)</f>
        <v>15.238607537597392</v>
      </c>
    </row>
    <row r="10" spans="1:9" s="49" customFormat="1" ht="12" x14ac:dyDescent="0.2">
      <c r="A10" s="296"/>
      <c r="B10" s="644" t="s">
        <v>392</v>
      </c>
      <c r="C10" s="645">
        <v>38953</v>
      </c>
      <c r="D10" s="285">
        <v>2550</v>
      </c>
      <c r="E10" s="286">
        <v>3400</v>
      </c>
      <c r="F10" s="646" t="s">
        <v>393</v>
      </c>
      <c r="G10" s="287" t="s">
        <v>393</v>
      </c>
      <c r="H10" s="287" t="s">
        <v>393</v>
      </c>
      <c r="I10" s="292" t="s">
        <v>393</v>
      </c>
    </row>
    <row r="11" spans="1:9" s="49" customFormat="1" ht="24" x14ac:dyDescent="0.2">
      <c r="A11" s="296"/>
      <c r="B11" s="644" t="s">
        <v>394</v>
      </c>
      <c r="C11" s="645">
        <v>38740</v>
      </c>
      <c r="D11" s="646" t="s">
        <v>393</v>
      </c>
      <c r="E11" s="285">
        <v>17400</v>
      </c>
      <c r="F11" s="646" t="s">
        <v>393</v>
      </c>
      <c r="G11" s="287" t="s">
        <v>393</v>
      </c>
      <c r="H11" s="287" t="s">
        <v>393</v>
      </c>
      <c r="I11" s="292" t="s">
        <v>393</v>
      </c>
    </row>
    <row r="12" spans="1:9" s="49" customFormat="1" ht="12" x14ac:dyDescent="0.2">
      <c r="A12" s="296"/>
      <c r="B12" s="644" t="s">
        <v>395</v>
      </c>
      <c r="C12" s="645">
        <v>38656</v>
      </c>
      <c r="D12" s="646" t="s">
        <v>393</v>
      </c>
      <c r="E12" s="285">
        <v>1047.28</v>
      </c>
      <c r="F12" s="646" t="s">
        <v>393</v>
      </c>
      <c r="G12" s="287">
        <f>E12/2200</f>
        <v>0.47603636363636365</v>
      </c>
      <c r="H12" s="287" t="s">
        <v>393</v>
      </c>
      <c r="I12" s="292" t="s">
        <v>393</v>
      </c>
    </row>
    <row r="13" spans="1:9" s="49" customFormat="1" ht="12" x14ac:dyDescent="0.2">
      <c r="A13" s="626"/>
      <c r="B13" s="647" t="s">
        <v>396</v>
      </c>
      <c r="C13" s="648">
        <v>38309</v>
      </c>
      <c r="D13" s="651">
        <f>+(1032.5+49.492)*0.857142857</f>
        <v>927.42171413114397</v>
      </c>
      <c r="E13" s="629">
        <f>+(1032.5)*0.857142857</f>
        <v>884.99999985250008</v>
      </c>
      <c r="F13" s="652">
        <f>D13/(44.819*0.857142857)</f>
        <v>24.14136861598875</v>
      </c>
      <c r="G13" s="631">
        <f>E13/501.0882857</f>
        <v>1.7661558354256697</v>
      </c>
      <c r="H13" s="631">
        <f>E13/63.45428571</f>
        <v>13.947048492471323</v>
      </c>
      <c r="I13" s="632">
        <f>E13/71.409</f>
        <v>12.393395788381017</v>
      </c>
    </row>
    <row r="14" spans="1:9" s="236" customFormat="1" ht="12" x14ac:dyDescent="0.2">
      <c r="A14" s="649"/>
      <c r="B14" s="245" t="s">
        <v>167</v>
      </c>
      <c r="C14" s="244"/>
      <c r="D14" s="244">
        <f t="shared" ref="D14:I14" si="0">MEDIAN(D7:D13)</f>
        <v>872.76085706557205</v>
      </c>
      <c r="E14" s="244">
        <f t="shared" si="0"/>
        <v>1223.6399999999999</v>
      </c>
      <c r="F14" s="243">
        <f t="shared" si="0"/>
        <v>12.090999623464223</v>
      </c>
      <c r="G14" s="243">
        <f t="shared" si="0"/>
        <v>0.52238102545084464</v>
      </c>
      <c r="H14" s="243">
        <f t="shared" si="0"/>
        <v>37.182370820668702</v>
      </c>
      <c r="I14" s="242">
        <f t="shared" si="0"/>
        <v>12.393395788381017</v>
      </c>
    </row>
    <row r="15" spans="1:9" s="236" customFormat="1" ht="12" x14ac:dyDescent="0.2">
      <c r="A15" s="649"/>
      <c r="B15" s="245" t="s">
        <v>151</v>
      </c>
      <c r="C15" s="244"/>
      <c r="D15" s="244">
        <f t="shared" ref="D15:I15" si="1">MAX(D7:D13)</f>
        <v>2550</v>
      </c>
      <c r="E15" s="244">
        <f t="shared" si="1"/>
        <v>17400</v>
      </c>
      <c r="F15" s="243">
        <f t="shared" si="1"/>
        <v>24.14136861598875</v>
      </c>
      <c r="G15" s="243">
        <f t="shared" si="1"/>
        <v>1.7661558354256697</v>
      </c>
      <c r="H15" s="243">
        <f t="shared" si="1"/>
        <v>54.05405405405309</v>
      </c>
      <c r="I15" s="242">
        <f t="shared" si="1"/>
        <v>15.238607537597392</v>
      </c>
    </row>
    <row r="16" spans="1:9" s="236" customFormat="1" ht="12" x14ac:dyDescent="0.2">
      <c r="A16" s="650"/>
      <c r="B16" s="240" t="s">
        <v>152</v>
      </c>
      <c r="C16" s="239"/>
      <c r="D16" s="239">
        <f t="shared" ref="D16:I16" si="2">MIN(D7:D13)</f>
        <v>565</v>
      </c>
      <c r="E16" s="239">
        <f t="shared" si="2"/>
        <v>672.81500000000005</v>
      </c>
      <c r="F16" s="238">
        <f t="shared" si="2"/>
        <v>4.0630630939697668E-2</v>
      </c>
      <c r="G16" s="238">
        <f t="shared" si="2"/>
        <v>0.3453294195999112</v>
      </c>
      <c r="H16" s="238">
        <f t="shared" si="2"/>
        <v>13.947048492471323</v>
      </c>
      <c r="I16" s="237">
        <f t="shared" si="2"/>
        <v>11.715481171548072</v>
      </c>
    </row>
  </sheetData>
  <mergeCells count="3">
    <mergeCell ref="C4:C6"/>
    <mergeCell ref="D4:E4"/>
    <mergeCell ref="G4:I4"/>
  </mergeCells>
  <pageMargins left="0.75" right="0.75" top="1" bottom="1" header="0.5" footer="0.5"/>
  <pageSetup scale="83" orientation="landscape" r:id="rId1"/>
  <headerFooter alignWithMargins="0">
    <oddFooter>&amp;LThe Analyst Exchange&amp;8
On - Line Training
www.theanalystexchange.com
&amp;R&amp;F, &amp;A
&amp;P of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66CCFF"/>
  </sheetPr>
  <dimension ref="A2:S45"/>
  <sheetViews>
    <sheetView showGridLines="0" workbookViewId="0">
      <selection activeCell="A25" sqref="A25"/>
    </sheetView>
  </sheetViews>
  <sheetFormatPr defaultColWidth="9.140625" defaultRowHeight="15" outlineLevelRow="1" x14ac:dyDescent="0.3"/>
  <cols>
    <col min="1" max="6" width="2.7109375" style="593" customWidth="1"/>
    <col min="7" max="12" width="9.140625" style="593"/>
    <col min="13" max="13" width="9.85546875" style="593" bestFit="1" customWidth="1"/>
    <col min="14" max="18" width="9.42578125" style="593" customWidth="1"/>
    <col min="19" max="19" width="2.7109375" style="593" customWidth="1"/>
    <col min="20" max="16384" width="9.140625" style="593"/>
  </cols>
  <sheetData>
    <row r="2" spans="1:19" ht="18" x14ac:dyDescent="0.35">
      <c r="A2" s="597" t="s">
        <v>150</v>
      </c>
      <c r="B2" s="607" t="s">
        <v>360</v>
      </c>
      <c r="M2" s="617"/>
      <c r="N2" s="617"/>
      <c r="O2" s="617"/>
      <c r="P2" s="617"/>
      <c r="Q2" s="617"/>
      <c r="R2" s="617"/>
      <c r="S2" s="597" t="s">
        <v>150</v>
      </c>
    </row>
    <row r="3" spans="1:19" x14ac:dyDescent="0.3">
      <c r="B3" s="593" t="s">
        <v>346</v>
      </c>
      <c r="M3" s="617"/>
      <c r="N3" s="617"/>
      <c r="O3" s="617"/>
      <c r="P3" s="617"/>
      <c r="Q3" s="617"/>
      <c r="R3" s="617"/>
    </row>
    <row r="4" spans="1:19" x14ac:dyDescent="0.3">
      <c r="B4" s="605"/>
      <c r="C4" s="605"/>
      <c r="D4" s="605"/>
      <c r="E4" s="605"/>
      <c r="F4" s="605"/>
      <c r="G4" s="605"/>
      <c r="H4" s="605"/>
      <c r="I4" s="605"/>
      <c r="J4" s="605"/>
      <c r="K4" s="605"/>
      <c r="L4" s="605"/>
      <c r="M4" s="606" t="s">
        <v>358</v>
      </c>
      <c r="N4" s="606" t="s">
        <v>358</v>
      </c>
      <c r="O4" s="606" t="s">
        <v>359</v>
      </c>
      <c r="P4" s="606" t="s">
        <v>358</v>
      </c>
      <c r="Q4" s="606" t="s">
        <v>358</v>
      </c>
      <c r="R4" s="606"/>
      <c r="S4" s="605"/>
    </row>
    <row r="5" spans="1:19" x14ac:dyDescent="0.3">
      <c r="B5" s="605"/>
      <c r="C5" s="605"/>
      <c r="D5" s="605"/>
      <c r="E5" s="605"/>
      <c r="F5" s="605"/>
      <c r="G5" s="605"/>
      <c r="H5" s="605"/>
      <c r="I5" s="605"/>
      <c r="J5" s="605"/>
      <c r="K5" s="605"/>
      <c r="L5" s="605"/>
      <c r="M5" s="606" t="s">
        <v>357</v>
      </c>
      <c r="N5" s="606" t="s">
        <v>357</v>
      </c>
      <c r="O5" s="606" t="s">
        <v>357</v>
      </c>
      <c r="P5" s="606" t="s">
        <v>357</v>
      </c>
      <c r="Q5" s="606" t="s">
        <v>357</v>
      </c>
      <c r="R5" s="606"/>
      <c r="S5" s="605"/>
    </row>
    <row r="6" spans="1:19" x14ac:dyDescent="0.3">
      <c r="B6" s="605"/>
      <c r="C6" s="605"/>
      <c r="D6" s="605"/>
      <c r="E6" s="605"/>
      <c r="F6" s="605"/>
      <c r="G6" s="605"/>
      <c r="H6" s="605"/>
      <c r="I6" s="605"/>
      <c r="J6" s="605"/>
      <c r="K6" s="605"/>
      <c r="L6" s="605"/>
      <c r="M6" s="604">
        <v>38836</v>
      </c>
      <c r="N6" s="604">
        <v>38927</v>
      </c>
      <c r="O6" s="604">
        <v>39116</v>
      </c>
      <c r="P6" s="604">
        <v>39207</v>
      </c>
      <c r="Q6" s="604">
        <v>39298</v>
      </c>
      <c r="R6" s="604" t="s">
        <v>157</v>
      </c>
      <c r="S6" s="605"/>
    </row>
    <row r="8" spans="1:19" x14ac:dyDescent="0.3">
      <c r="C8" s="593" t="s">
        <v>154</v>
      </c>
      <c r="M8" s="602">
        <v>998.5</v>
      </c>
      <c r="N8" s="602">
        <v>1002.9</v>
      </c>
      <c r="O8" s="602">
        <v>4058</v>
      </c>
      <c r="P8" s="602">
        <v>999</v>
      </c>
      <c r="Q8" s="602">
        <v>998.5</v>
      </c>
      <c r="R8" s="616">
        <f>O8+P8+Q8-M8-N8</f>
        <v>4054.1</v>
      </c>
      <c r="S8" s="610"/>
    </row>
    <row r="9" spans="1:19" x14ac:dyDescent="0.3">
      <c r="C9" s="593" t="s">
        <v>356</v>
      </c>
      <c r="M9" s="601">
        <v>-709</v>
      </c>
      <c r="N9" s="601">
        <v>-718</v>
      </c>
      <c r="O9" s="601">
        <v>-2875.2</v>
      </c>
      <c r="P9" s="601">
        <v>-702.7</v>
      </c>
      <c r="Q9" s="601">
        <v>-709.2</v>
      </c>
      <c r="R9" s="610">
        <f>O9+P9+Q9-M9-N9</f>
        <v>-2860.0999999999995</v>
      </c>
      <c r="S9" s="610"/>
    </row>
    <row r="10" spans="1:19" s="598" customFormat="1" x14ac:dyDescent="0.3">
      <c r="C10" s="598" t="s">
        <v>355</v>
      </c>
      <c r="M10" s="615">
        <f t="shared" ref="M10:R10" si="0">M8+M9</f>
        <v>289.5</v>
      </c>
      <c r="N10" s="615">
        <f t="shared" si="0"/>
        <v>284.89999999999998</v>
      </c>
      <c r="O10" s="615">
        <f t="shared" si="0"/>
        <v>1182.8000000000002</v>
      </c>
      <c r="P10" s="615">
        <f t="shared" si="0"/>
        <v>296.29999999999995</v>
      </c>
      <c r="Q10" s="615">
        <f t="shared" si="0"/>
        <v>289.29999999999995</v>
      </c>
      <c r="R10" s="615">
        <f t="shared" si="0"/>
        <v>1194.0000000000005</v>
      </c>
      <c r="S10" s="603"/>
    </row>
    <row r="11" spans="1:19" x14ac:dyDescent="0.3">
      <c r="C11" s="593" t="s">
        <v>354</v>
      </c>
      <c r="M11" s="601">
        <v>-259.8</v>
      </c>
      <c r="N11" s="601">
        <v>-261.10000000000002</v>
      </c>
      <c r="O11" s="601">
        <v>-1056.8</v>
      </c>
      <c r="P11" s="601">
        <v>-267.3</v>
      </c>
      <c r="Q11" s="601">
        <v>-271.3</v>
      </c>
      <c r="R11" s="610">
        <f>O11+P11+Q11-M11-N11</f>
        <v>-1074.5</v>
      </c>
      <c r="S11" s="610"/>
    </row>
    <row r="12" spans="1:19" s="598" customFormat="1" x14ac:dyDescent="0.3">
      <c r="C12" s="598" t="s">
        <v>2</v>
      </c>
      <c r="M12" s="615">
        <f t="shared" ref="M12:R12" si="1">M10+M11</f>
        <v>29.699999999999989</v>
      </c>
      <c r="N12" s="615">
        <f t="shared" si="1"/>
        <v>23.799999999999955</v>
      </c>
      <c r="O12" s="615">
        <f t="shared" si="1"/>
        <v>126.00000000000023</v>
      </c>
      <c r="P12" s="615">
        <f t="shared" si="1"/>
        <v>28.999999999999943</v>
      </c>
      <c r="Q12" s="615">
        <f t="shared" si="1"/>
        <v>17.999999999999943</v>
      </c>
      <c r="R12" s="615">
        <f t="shared" si="1"/>
        <v>119.50000000000045</v>
      </c>
      <c r="S12" s="603"/>
    </row>
    <row r="13" spans="1:19" x14ac:dyDescent="0.3">
      <c r="C13" s="593" t="s">
        <v>46</v>
      </c>
      <c r="M13" s="601">
        <v>-23</v>
      </c>
      <c r="N13" s="601">
        <v>-23.1</v>
      </c>
      <c r="O13" s="601">
        <v>-92.6</v>
      </c>
      <c r="P13" s="601">
        <v>-23.5</v>
      </c>
      <c r="Q13" s="601">
        <v>-23.6</v>
      </c>
      <c r="R13" s="610">
        <f>O13+P13+Q13-M13-N13</f>
        <v>-93.6</v>
      </c>
      <c r="S13" s="610"/>
    </row>
    <row r="14" spans="1:19" s="598" customFormat="1" x14ac:dyDescent="0.3">
      <c r="C14" s="598" t="s">
        <v>1</v>
      </c>
      <c r="M14" s="615">
        <f t="shared" ref="M14:R14" si="2">M12+M13</f>
        <v>6.6999999999999886</v>
      </c>
      <c r="N14" s="615">
        <f t="shared" si="2"/>
        <v>0.6999999999999531</v>
      </c>
      <c r="O14" s="615">
        <f t="shared" si="2"/>
        <v>33.400000000000233</v>
      </c>
      <c r="P14" s="615">
        <f t="shared" si="2"/>
        <v>5.4999999999999432</v>
      </c>
      <c r="Q14" s="615">
        <f t="shared" si="2"/>
        <v>-5.6000000000000583</v>
      </c>
      <c r="R14" s="615">
        <f t="shared" si="2"/>
        <v>25.90000000000046</v>
      </c>
      <c r="S14" s="603"/>
    </row>
    <row r="15" spans="1:19" x14ac:dyDescent="0.3">
      <c r="C15" s="593" t="s">
        <v>161</v>
      </c>
      <c r="M15" s="601">
        <v>-15.5</v>
      </c>
      <c r="N15" s="601">
        <v>-15.4</v>
      </c>
      <c r="O15" s="601">
        <v>-62.3</v>
      </c>
      <c r="P15" s="601">
        <v>-15.9</v>
      </c>
      <c r="Q15" s="601">
        <v>-15.9</v>
      </c>
      <c r="R15" s="610">
        <f>O15+P15+Q15-M15-N15</f>
        <v>-63.20000000000001</v>
      </c>
      <c r="S15" s="610"/>
    </row>
    <row r="16" spans="1:19" x14ac:dyDescent="0.3">
      <c r="C16" s="593" t="s">
        <v>353</v>
      </c>
      <c r="M16" s="601">
        <v>0</v>
      </c>
      <c r="N16" s="601">
        <v>0</v>
      </c>
      <c r="O16" s="601">
        <v>0</v>
      </c>
      <c r="P16" s="601">
        <v>0</v>
      </c>
      <c r="Q16" s="601">
        <v>0</v>
      </c>
      <c r="R16" s="610">
        <f>O16+P16+Q16-M16-N16</f>
        <v>0</v>
      </c>
      <c r="S16" s="610"/>
    </row>
    <row r="17" spans="1:19" s="598" customFormat="1" x14ac:dyDescent="0.3">
      <c r="C17" s="598" t="s">
        <v>352</v>
      </c>
      <c r="M17" s="615">
        <f t="shared" ref="M17:R17" si="3">M14+M15+M16</f>
        <v>-8.8000000000000114</v>
      </c>
      <c r="N17" s="615">
        <f t="shared" si="3"/>
        <v>-14.700000000000047</v>
      </c>
      <c r="O17" s="615">
        <f t="shared" si="3"/>
        <v>-28.899999999999764</v>
      </c>
      <c r="P17" s="615">
        <f t="shared" si="3"/>
        <v>-10.400000000000057</v>
      </c>
      <c r="Q17" s="615">
        <f t="shared" si="3"/>
        <v>-21.500000000000057</v>
      </c>
      <c r="R17" s="615">
        <f t="shared" si="3"/>
        <v>-37.29999999999955</v>
      </c>
      <c r="S17" s="603"/>
    </row>
    <row r="18" spans="1:19" x14ac:dyDescent="0.3">
      <c r="C18" s="593" t="s">
        <v>351</v>
      </c>
      <c r="M18" s="610">
        <f t="shared" ref="M18:R18" si="4">-M17*M21</f>
        <v>3.4</v>
      </c>
      <c r="N18" s="610">
        <f t="shared" si="4"/>
        <v>5.9</v>
      </c>
      <c r="O18" s="610">
        <f t="shared" si="4"/>
        <v>10.6</v>
      </c>
      <c r="P18" s="610">
        <f t="shared" si="4"/>
        <v>1.9</v>
      </c>
      <c r="Q18" s="610">
        <f t="shared" si="4"/>
        <v>4.4451476793248954</v>
      </c>
      <c r="R18" s="610">
        <f t="shared" si="4"/>
        <v>9.3249999999998874</v>
      </c>
      <c r="S18" s="610"/>
    </row>
    <row r="19" spans="1:19" hidden="1" outlineLevel="1" x14ac:dyDescent="0.3">
      <c r="E19" s="593" t="s">
        <v>352</v>
      </c>
      <c r="M19" s="601">
        <v>-8.8000000000000114</v>
      </c>
      <c r="N19" s="601">
        <v>-14.700000000000047</v>
      </c>
      <c r="O19" s="601">
        <v>-28.899999999999764</v>
      </c>
      <c r="P19" s="601">
        <v>-10.400000000000057</v>
      </c>
      <c r="Q19" s="601">
        <v>-23.70000000000006</v>
      </c>
      <c r="R19" s="610"/>
      <c r="S19" s="610"/>
    </row>
    <row r="20" spans="1:19" hidden="1" outlineLevel="1" x14ac:dyDescent="0.3">
      <c r="E20" s="593" t="s">
        <v>351</v>
      </c>
      <c r="M20" s="601">
        <v>3.4</v>
      </c>
      <c r="N20" s="601">
        <v>5.9</v>
      </c>
      <c r="O20" s="601">
        <v>10.6</v>
      </c>
      <c r="P20" s="601">
        <v>1.9</v>
      </c>
      <c r="Q20" s="601">
        <v>4.9000000000000004</v>
      </c>
      <c r="R20" s="610"/>
      <c r="S20" s="610"/>
    </row>
    <row r="21" spans="1:19" s="611" customFormat="1" collapsed="1" x14ac:dyDescent="0.3">
      <c r="D21" s="611" t="s">
        <v>318</v>
      </c>
      <c r="M21" s="614">
        <f>(-M20/M19)</f>
        <v>0.38636363636363585</v>
      </c>
      <c r="N21" s="614">
        <f>(-N20/N19)</f>
        <v>0.4013605442176858</v>
      </c>
      <c r="O21" s="614">
        <f>(-O20/O19)</f>
        <v>0.36678200692041818</v>
      </c>
      <c r="P21" s="614">
        <f>(-P20/P19)</f>
        <v>0.18269230769230668</v>
      </c>
      <c r="Q21" s="614">
        <f>(-Q20/Q19)</f>
        <v>0.20675105485232018</v>
      </c>
      <c r="R21" s="613">
        <v>0.25</v>
      </c>
      <c r="S21" s="612"/>
    </row>
    <row r="22" spans="1:19" s="598" customFormat="1" x14ac:dyDescent="0.3">
      <c r="C22" s="598" t="s">
        <v>350</v>
      </c>
      <c r="M22" s="600">
        <f t="shared" ref="M22:R22" si="5">M17+M18</f>
        <v>-5.400000000000011</v>
      </c>
      <c r="N22" s="600">
        <f t="shared" si="5"/>
        <v>-8.8000000000000469</v>
      </c>
      <c r="O22" s="600">
        <f t="shared" si="5"/>
        <v>-18.299999999999763</v>
      </c>
      <c r="P22" s="600">
        <f t="shared" si="5"/>
        <v>-8.5000000000000568</v>
      </c>
      <c r="Q22" s="600">
        <f t="shared" si="5"/>
        <v>-17.05485232067516</v>
      </c>
      <c r="R22" s="600">
        <f t="shared" si="5"/>
        <v>-27.97499999999966</v>
      </c>
      <c r="S22" s="603"/>
    </row>
    <row r="23" spans="1:19" x14ac:dyDescent="0.3">
      <c r="C23" s="593" t="s">
        <v>349</v>
      </c>
      <c r="M23" s="601">
        <v>0</v>
      </c>
      <c r="N23" s="601">
        <v>0</v>
      </c>
      <c r="O23" s="601">
        <v>0</v>
      </c>
      <c r="P23" s="601">
        <v>0</v>
      </c>
      <c r="Q23" s="601">
        <f>-2.2*(1-Q21)</f>
        <v>-1.7451476793248959</v>
      </c>
      <c r="R23" s="610">
        <f>O23+P23+Q23-M23-N23</f>
        <v>-1.7451476793248959</v>
      </c>
      <c r="S23" s="610"/>
    </row>
    <row r="24" spans="1:19" s="598" customFormat="1" x14ac:dyDescent="0.3">
      <c r="C24" s="598" t="s">
        <v>348</v>
      </c>
      <c r="M24" s="600">
        <f t="shared" ref="M24:R24" si="6">M22+M23</f>
        <v>-5.400000000000011</v>
      </c>
      <c r="N24" s="600">
        <f t="shared" si="6"/>
        <v>-8.8000000000000469</v>
      </c>
      <c r="O24" s="600">
        <f t="shared" si="6"/>
        <v>-18.299999999999763</v>
      </c>
      <c r="P24" s="600">
        <f t="shared" si="6"/>
        <v>-8.5000000000000568</v>
      </c>
      <c r="Q24" s="600">
        <f t="shared" si="6"/>
        <v>-18.800000000000054</v>
      </c>
      <c r="R24" s="600">
        <f t="shared" si="6"/>
        <v>-29.720147679324555</v>
      </c>
      <c r="S24" s="603"/>
    </row>
    <row r="25" spans="1:19" ht="15.75" thickBot="1" x14ac:dyDescent="0.35">
      <c r="A25" s="597" t="s">
        <v>150</v>
      </c>
      <c r="B25" s="595" t="s">
        <v>150</v>
      </c>
      <c r="C25" s="596"/>
      <c r="D25" s="596"/>
      <c r="E25" s="596"/>
      <c r="F25" s="596"/>
      <c r="G25" s="596"/>
      <c r="H25" s="596"/>
      <c r="I25" s="596"/>
      <c r="J25" s="596"/>
      <c r="K25" s="596"/>
      <c r="L25" s="596"/>
      <c r="M25" s="609"/>
      <c r="N25" s="609"/>
      <c r="O25" s="609"/>
      <c r="P25" s="609"/>
      <c r="Q25" s="609"/>
      <c r="R25" s="596"/>
      <c r="S25" s="595" t="s">
        <v>150</v>
      </c>
    </row>
    <row r="26" spans="1:19" x14ac:dyDescent="0.3">
      <c r="M26" s="608"/>
      <c r="N26" s="608"/>
      <c r="O26" s="608"/>
      <c r="P26" s="608"/>
      <c r="Q26" s="608"/>
      <c r="R26" s="608"/>
    </row>
    <row r="27" spans="1:19" ht="18" x14ac:dyDescent="0.35">
      <c r="A27" s="597" t="s">
        <v>150</v>
      </c>
      <c r="B27" s="607" t="s">
        <v>347</v>
      </c>
      <c r="M27" s="597" t="s">
        <v>150</v>
      </c>
      <c r="S27" s="597" t="s">
        <v>150</v>
      </c>
    </row>
    <row r="28" spans="1:19" x14ac:dyDescent="0.3">
      <c r="B28" s="593" t="s">
        <v>346</v>
      </c>
      <c r="M28" s="482"/>
    </row>
    <row r="29" spans="1:19" x14ac:dyDescent="0.3">
      <c r="B29" s="605"/>
      <c r="C29" s="605"/>
      <c r="D29" s="605"/>
      <c r="E29" s="605"/>
      <c r="F29" s="605"/>
      <c r="G29" s="605"/>
      <c r="H29" s="605"/>
      <c r="I29" s="605"/>
      <c r="J29" s="605"/>
      <c r="K29" s="606"/>
      <c r="L29" s="606"/>
      <c r="M29" s="606"/>
      <c r="N29" s="482"/>
      <c r="P29" s="482"/>
    </row>
    <row r="30" spans="1:19" x14ac:dyDescent="0.3">
      <c r="B30" s="605"/>
      <c r="C30" s="605"/>
      <c r="D30" s="605"/>
      <c r="E30" s="605"/>
      <c r="F30" s="605"/>
      <c r="G30" s="605"/>
      <c r="H30" s="605"/>
      <c r="I30" s="605"/>
      <c r="J30" s="605"/>
      <c r="K30" s="606"/>
      <c r="L30" s="606" t="s">
        <v>345</v>
      </c>
      <c r="M30" s="606"/>
      <c r="N30" s="482"/>
      <c r="P30" s="482"/>
    </row>
    <row r="31" spans="1:19" x14ac:dyDescent="0.3">
      <c r="B31" s="605"/>
      <c r="C31" s="605"/>
      <c r="D31" s="605"/>
      <c r="E31" s="605"/>
      <c r="F31" s="605"/>
      <c r="G31" s="605"/>
      <c r="H31" s="605"/>
      <c r="I31" s="605"/>
      <c r="J31" s="605"/>
      <c r="K31" s="604"/>
      <c r="L31" s="604">
        <v>39249</v>
      </c>
      <c r="M31" s="604"/>
      <c r="N31" s="482"/>
      <c r="P31" s="482"/>
    </row>
    <row r="32" spans="1:19" x14ac:dyDescent="0.3">
      <c r="N32" s="482"/>
      <c r="P32" s="482"/>
    </row>
    <row r="33" spans="1:16" s="598" customFormat="1" x14ac:dyDescent="0.3">
      <c r="C33" s="598" t="s">
        <v>199</v>
      </c>
      <c r="K33" s="603"/>
      <c r="L33" s="603"/>
      <c r="M33" s="603"/>
      <c r="N33" s="482"/>
      <c r="P33" s="482"/>
    </row>
    <row r="34" spans="1:16" x14ac:dyDescent="0.3">
      <c r="D34" s="593" t="s">
        <v>344</v>
      </c>
      <c r="K34" s="602"/>
      <c r="L34" s="602">
        <v>23.3</v>
      </c>
      <c r="M34" s="602"/>
      <c r="N34" s="482"/>
      <c r="P34" s="482"/>
    </row>
    <row r="35" spans="1:16" x14ac:dyDescent="0.3">
      <c r="D35" s="593" t="s">
        <v>343</v>
      </c>
      <c r="K35" s="601"/>
      <c r="L35" s="601">
        <v>10.9</v>
      </c>
      <c r="M35" s="601"/>
      <c r="N35" s="482"/>
      <c r="P35" s="482"/>
    </row>
    <row r="36" spans="1:16" x14ac:dyDescent="0.3">
      <c r="D36" s="593" t="s">
        <v>35</v>
      </c>
      <c r="K36" s="601"/>
      <c r="L36" s="601">
        <v>422.9</v>
      </c>
      <c r="M36" s="601"/>
      <c r="N36" s="482"/>
      <c r="P36" s="482"/>
    </row>
    <row r="37" spans="1:16" x14ac:dyDescent="0.3">
      <c r="D37" s="593" t="s">
        <v>113</v>
      </c>
      <c r="K37" s="601"/>
      <c r="L37" s="601">
        <v>156.6</v>
      </c>
      <c r="M37" s="601"/>
      <c r="N37" s="482"/>
      <c r="P37" s="482"/>
    </row>
    <row r="38" spans="1:16" x14ac:dyDescent="0.3">
      <c r="D38" s="593" t="s">
        <v>342</v>
      </c>
      <c r="K38" s="601"/>
      <c r="L38" s="601">
        <v>-31.8</v>
      </c>
      <c r="M38" s="601"/>
      <c r="N38" s="482"/>
      <c r="P38" s="482"/>
    </row>
    <row r="39" spans="1:16" s="598" customFormat="1" x14ac:dyDescent="0.3">
      <c r="C39" s="598" t="s">
        <v>341</v>
      </c>
      <c r="K39" s="600"/>
      <c r="L39" s="600">
        <f>SUM(L34:L38)</f>
        <v>581.9</v>
      </c>
      <c r="M39" s="599"/>
      <c r="N39" s="482"/>
      <c r="P39" s="482"/>
    </row>
    <row r="40" spans="1:16" ht="15.75" thickBot="1" x14ac:dyDescent="0.35">
      <c r="A40" s="597" t="s">
        <v>150</v>
      </c>
      <c r="B40" s="595" t="s">
        <v>150</v>
      </c>
      <c r="C40" s="596"/>
      <c r="D40" s="596"/>
      <c r="E40" s="596"/>
      <c r="F40" s="596"/>
      <c r="G40" s="596"/>
      <c r="H40" s="596"/>
      <c r="I40" s="596"/>
      <c r="J40" s="596"/>
      <c r="K40" s="596"/>
      <c r="L40" s="596"/>
      <c r="M40" s="595" t="s">
        <v>150</v>
      </c>
      <c r="N40" s="482"/>
      <c r="P40" s="482"/>
    </row>
    <row r="41" spans="1:16" x14ac:dyDescent="0.3">
      <c r="N41" s="482"/>
      <c r="P41" s="482"/>
    </row>
    <row r="42" spans="1:16" x14ac:dyDescent="0.3">
      <c r="C42" s="594" t="s">
        <v>340</v>
      </c>
      <c r="I42" s="482"/>
      <c r="J42" s="482"/>
      <c r="K42" s="482"/>
      <c r="L42" s="482"/>
    </row>
    <row r="43" spans="1:16" x14ac:dyDescent="0.3">
      <c r="D43" s="593" t="s">
        <v>339</v>
      </c>
    </row>
    <row r="44" spans="1:16" x14ac:dyDescent="0.3">
      <c r="D44" s="593" t="s">
        <v>338</v>
      </c>
    </row>
    <row r="45" spans="1:16" x14ac:dyDescent="0.3">
      <c r="D45" s="593" t="s">
        <v>337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66CCFF"/>
  </sheetPr>
  <dimension ref="A2:O56"/>
  <sheetViews>
    <sheetView showGridLines="0" workbookViewId="0"/>
  </sheetViews>
  <sheetFormatPr defaultColWidth="9.140625" defaultRowHeight="15" outlineLevelRow="1" x14ac:dyDescent="0.3"/>
  <cols>
    <col min="1" max="6" width="2.7109375" style="593" customWidth="1"/>
    <col min="7" max="9" width="9.140625" style="593"/>
    <col min="10" max="12" width="11.7109375" style="593" customWidth="1"/>
    <col min="13" max="13" width="2.7109375" style="593" customWidth="1"/>
    <col min="14" max="16384" width="9.140625" style="593"/>
  </cols>
  <sheetData>
    <row r="2" spans="1:13" ht="18" x14ac:dyDescent="0.35">
      <c r="A2" s="597" t="s">
        <v>150</v>
      </c>
      <c r="B2" s="607" t="s">
        <v>377</v>
      </c>
      <c r="J2" s="617"/>
      <c r="K2" s="617"/>
      <c r="L2" s="617"/>
      <c r="M2" s="597" t="s">
        <v>150</v>
      </c>
    </row>
    <row r="3" spans="1:13" x14ac:dyDescent="0.3">
      <c r="B3" s="593" t="s">
        <v>365</v>
      </c>
      <c r="J3" s="617"/>
      <c r="K3" s="617"/>
      <c r="L3" s="617"/>
    </row>
    <row r="4" spans="1:13" x14ac:dyDescent="0.3">
      <c r="B4" s="605"/>
      <c r="C4" s="605"/>
      <c r="D4" s="605"/>
      <c r="E4" s="605"/>
      <c r="F4" s="605"/>
      <c r="G4" s="605"/>
      <c r="H4" s="605"/>
      <c r="I4" s="605"/>
      <c r="J4" s="606"/>
      <c r="K4" s="606"/>
      <c r="L4" s="606"/>
      <c r="M4" s="605"/>
    </row>
    <row r="5" spans="1:13" x14ac:dyDescent="0.3">
      <c r="B5" s="605" t="s">
        <v>376</v>
      </c>
      <c r="C5" s="605"/>
      <c r="D5" s="605"/>
      <c r="E5" s="605"/>
      <c r="F5" s="605"/>
      <c r="G5" s="605"/>
      <c r="H5" s="605"/>
      <c r="I5" s="605"/>
      <c r="J5" s="604"/>
      <c r="K5" s="604"/>
      <c r="L5" s="604" t="s">
        <v>364</v>
      </c>
      <c r="M5" s="605"/>
    </row>
    <row r="7" spans="1:13" x14ac:dyDescent="0.3">
      <c r="C7" s="593" t="s">
        <v>154</v>
      </c>
      <c r="H7" s="610"/>
      <c r="I7" s="610"/>
      <c r="J7" s="610"/>
      <c r="K7" s="610"/>
      <c r="L7" s="623">
        <v>1183022</v>
      </c>
      <c r="M7" s="610"/>
    </row>
    <row r="8" spans="1:13" x14ac:dyDescent="0.3">
      <c r="C8" s="593" t="s">
        <v>375</v>
      </c>
      <c r="H8" s="610"/>
      <c r="I8" s="610"/>
      <c r="J8" s="610"/>
      <c r="K8" s="610"/>
      <c r="L8" s="618">
        <f>827827-L15</f>
        <v>801770</v>
      </c>
      <c r="M8" s="610"/>
    </row>
    <row r="9" spans="1:13" s="598" customFormat="1" x14ac:dyDescent="0.3">
      <c r="C9" s="598" t="s">
        <v>62</v>
      </c>
      <c r="H9" s="603"/>
      <c r="I9" s="603"/>
      <c r="J9" s="603"/>
      <c r="K9" s="603"/>
      <c r="L9" s="621">
        <f>L7-L8</f>
        <v>381252</v>
      </c>
      <c r="M9" s="603"/>
    </row>
    <row r="10" spans="1:13" x14ac:dyDescent="0.3">
      <c r="C10" s="593" t="s">
        <v>49</v>
      </c>
      <c r="H10" s="610"/>
      <c r="I10" s="610"/>
      <c r="J10" s="610"/>
      <c r="K10" s="610"/>
      <c r="L10" s="622"/>
      <c r="M10" s="610"/>
    </row>
    <row r="11" spans="1:13" s="598" customFormat="1" x14ac:dyDescent="0.3">
      <c r="C11" s="593"/>
      <c r="D11" s="593" t="s">
        <v>374</v>
      </c>
      <c r="E11" s="593"/>
      <c r="F11" s="593"/>
      <c r="G11" s="593"/>
      <c r="H11" s="610"/>
      <c r="I11" s="610"/>
      <c r="J11" s="610"/>
      <c r="K11" s="610"/>
      <c r="L11" s="618">
        <v>277043</v>
      </c>
      <c r="M11" s="603"/>
    </row>
    <row r="12" spans="1:13" x14ac:dyDescent="0.3">
      <c r="D12" s="593" t="s">
        <v>310</v>
      </c>
      <c r="H12" s="610"/>
      <c r="I12" s="610"/>
      <c r="J12" s="610"/>
      <c r="K12" s="610"/>
      <c r="L12" s="618">
        <v>54848</v>
      </c>
      <c r="M12" s="610"/>
    </row>
    <row r="13" spans="1:13" x14ac:dyDescent="0.3">
      <c r="D13" s="593" t="s">
        <v>331</v>
      </c>
      <c r="H13" s="610"/>
      <c r="I13" s="610"/>
      <c r="J13" s="610"/>
      <c r="K13" s="610"/>
      <c r="L13" s="618">
        <v>5209</v>
      </c>
      <c r="M13" s="610"/>
    </row>
    <row r="14" spans="1:13" s="598" customFormat="1" x14ac:dyDescent="0.3">
      <c r="C14" s="598" t="s">
        <v>2</v>
      </c>
      <c r="H14" s="603"/>
      <c r="I14" s="603"/>
      <c r="J14" s="603"/>
      <c r="K14" s="603"/>
      <c r="L14" s="621">
        <f>L9-L11-L12-L13</f>
        <v>44152</v>
      </c>
      <c r="M14" s="603"/>
    </row>
    <row r="15" spans="1:13" x14ac:dyDescent="0.3">
      <c r="C15" s="593" t="s">
        <v>3</v>
      </c>
      <c r="H15" s="610"/>
      <c r="I15" s="610"/>
      <c r="J15" s="610"/>
      <c r="K15" s="610"/>
      <c r="L15" s="618">
        <v>26057</v>
      </c>
      <c r="M15" s="610"/>
    </row>
    <row r="16" spans="1:13" s="598" customFormat="1" x14ac:dyDescent="0.3">
      <c r="C16" s="598" t="s">
        <v>1</v>
      </c>
      <c r="H16" s="603"/>
      <c r="I16" s="603"/>
      <c r="J16" s="603"/>
      <c r="K16" s="603"/>
      <c r="L16" s="621">
        <f>L14-L15</f>
        <v>18095</v>
      </c>
      <c r="M16" s="603"/>
    </row>
    <row r="17" spans="3:15" s="611" customFormat="1" x14ac:dyDescent="0.3">
      <c r="C17" s="593" t="s">
        <v>48</v>
      </c>
      <c r="D17" s="593"/>
      <c r="E17" s="593"/>
      <c r="F17" s="593"/>
      <c r="G17" s="593"/>
      <c r="H17" s="610"/>
      <c r="I17" s="610"/>
      <c r="J17" s="610"/>
      <c r="K17" s="610"/>
      <c r="L17" s="618">
        <v>2647</v>
      </c>
      <c r="M17" s="612"/>
    </row>
    <row r="18" spans="3:15" s="598" customFormat="1" x14ac:dyDescent="0.3">
      <c r="C18" s="593" t="s">
        <v>161</v>
      </c>
      <c r="D18" s="593"/>
      <c r="E18" s="593"/>
      <c r="F18" s="593"/>
      <c r="G18" s="593"/>
      <c r="H18" s="610"/>
      <c r="I18" s="610"/>
      <c r="J18" s="610"/>
      <c r="K18" s="610"/>
      <c r="L18" s="618">
        <v>-7387</v>
      </c>
      <c r="M18" s="603"/>
    </row>
    <row r="19" spans="3:15" s="598" customFormat="1" x14ac:dyDescent="0.3">
      <c r="C19" s="598" t="s">
        <v>373</v>
      </c>
      <c r="H19" s="603"/>
      <c r="I19" s="603"/>
      <c r="J19" s="603"/>
      <c r="K19" s="603"/>
      <c r="L19" s="621">
        <f>L16+L17+L18</f>
        <v>13355</v>
      </c>
      <c r="M19" s="603"/>
    </row>
    <row r="20" spans="3:15" x14ac:dyDescent="0.3">
      <c r="C20" s="593" t="s">
        <v>55</v>
      </c>
      <c r="H20" s="610"/>
      <c r="I20" s="610"/>
      <c r="J20" s="610"/>
      <c r="K20" s="610"/>
      <c r="L20" s="622">
        <f>-L23*L19</f>
        <v>-550.7648609629025</v>
      </c>
      <c r="M20" s="610"/>
    </row>
    <row r="21" spans="3:15" hidden="1" outlineLevel="1" x14ac:dyDescent="0.3">
      <c r="E21" s="593" t="s">
        <v>373</v>
      </c>
      <c r="H21" s="610"/>
      <c r="I21" s="610"/>
      <c r="J21" s="610"/>
      <c r="K21" s="610"/>
      <c r="L21" s="618">
        <v>-15931</v>
      </c>
      <c r="M21" s="610"/>
    </row>
    <row r="22" spans="3:15" hidden="1" outlineLevel="1" x14ac:dyDescent="0.3">
      <c r="E22" s="593" t="s">
        <v>55</v>
      </c>
      <c r="H22" s="610"/>
      <c r="I22" s="610"/>
      <c r="J22" s="610"/>
      <c r="K22" s="610"/>
      <c r="L22" s="618">
        <v>657</v>
      </c>
      <c r="M22" s="610"/>
    </row>
    <row r="23" spans="3:15" s="611" customFormat="1" collapsed="1" x14ac:dyDescent="0.3">
      <c r="D23" s="611" t="s">
        <v>318</v>
      </c>
      <c r="H23" s="612"/>
      <c r="I23" s="612"/>
      <c r="J23" s="612"/>
      <c r="K23" s="612"/>
      <c r="L23" s="614">
        <f>L22/-L21</f>
        <v>4.1240349005084428E-2</v>
      </c>
      <c r="M23" s="612"/>
    </row>
    <row r="24" spans="3:15" s="598" customFormat="1" x14ac:dyDescent="0.3">
      <c r="C24" s="598" t="s">
        <v>372</v>
      </c>
      <c r="H24" s="603"/>
      <c r="I24" s="603"/>
      <c r="J24" s="603"/>
      <c r="K24" s="603"/>
      <c r="L24" s="621">
        <f>L19-L20</f>
        <v>13905.764860962903</v>
      </c>
      <c r="M24" s="603"/>
      <c r="O24" s="619"/>
    </row>
    <row r="25" spans="3:15" s="598" customFormat="1" x14ac:dyDescent="0.3">
      <c r="C25" s="598" t="s">
        <v>371</v>
      </c>
      <c r="H25" s="603"/>
      <c r="I25" s="603"/>
      <c r="J25" s="603"/>
      <c r="K25" s="603"/>
      <c r="L25" s="619"/>
      <c r="M25" s="603"/>
    </row>
    <row r="26" spans="3:15" s="598" customFormat="1" x14ac:dyDescent="0.3">
      <c r="D26" s="593" t="s">
        <v>370</v>
      </c>
      <c r="E26" s="593"/>
      <c r="F26" s="593"/>
      <c r="G26" s="593"/>
      <c r="H26" s="610"/>
      <c r="I26" s="610"/>
      <c r="J26" s="610"/>
      <c r="K26" s="610"/>
      <c r="L26" s="618">
        <f>1116*(1+L23)</f>
        <v>1162.0242294896741</v>
      </c>
      <c r="M26" s="603"/>
    </row>
    <row r="27" spans="3:15" x14ac:dyDescent="0.3">
      <c r="D27" s="593" t="s">
        <v>369</v>
      </c>
      <c r="H27" s="610"/>
      <c r="I27" s="610"/>
      <c r="J27" s="610"/>
      <c r="K27" s="610"/>
      <c r="L27" s="618">
        <f>28170*(1+L23)</f>
        <v>29331.740631473225</v>
      </c>
      <c r="M27" s="610"/>
    </row>
    <row r="28" spans="3:15" s="598" customFormat="1" x14ac:dyDescent="0.3">
      <c r="C28" s="598" t="s">
        <v>368</v>
      </c>
      <c r="H28" s="603"/>
      <c r="I28" s="603"/>
      <c r="J28" s="603"/>
      <c r="K28" s="603"/>
      <c r="L28" s="621">
        <f>L26+L27</f>
        <v>30493.7648609629</v>
      </c>
      <c r="M28" s="603"/>
    </row>
    <row r="29" spans="3:15" s="598" customFormat="1" x14ac:dyDescent="0.3">
      <c r="H29" s="603"/>
      <c r="I29" s="603"/>
      <c r="J29" s="603"/>
      <c r="K29" s="603"/>
      <c r="L29" s="619"/>
      <c r="M29" s="603"/>
    </row>
    <row r="30" spans="3:15" s="598" customFormat="1" x14ac:dyDescent="0.3">
      <c r="C30" s="598" t="s">
        <v>367</v>
      </c>
      <c r="H30" s="603"/>
      <c r="I30" s="603"/>
      <c r="J30" s="603"/>
      <c r="K30" s="603"/>
      <c r="L30" s="620">
        <f>L24-L28</f>
        <v>-16587.999999999996</v>
      </c>
      <c r="M30" s="603"/>
      <c r="O30" s="619"/>
    </row>
    <row r="31" spans="3:15" s="598" customFormat="1" x14ac:dyDescent="0.3">
      <c r="H31" s="603"/>
      <c r="I31" s="603"/>
      <c r="J31" s="603"/>
      <c r="K31" s="603"/>
      <c r="L31" s="619"/>
      <c r="M31" s="603"/>
    </row>
    <row r="32" spans="3:15" s="598" customFormat="1" x14ac:dyDescent="0.3">
      <c r="H32" s="603"/>
      <c r="I32" s="603"/>
      <c r="J32" s="603"/>
      <c r="K32" s="603"/>
      <c r="L32" s="619"/>
      <c r="M32" s="603"/>
    </row>
    <row r="33" spans="1:13" s="598" customFormat="1" x14ac:dyDescent="0.3">
      <c r="H33" s="603"/>
      <c r="I33" s="603"/>
      <c r="J33" s="603"/>
      <c r="K33" s="603"/>
      <c r="L33" s="619"/>
      <c r="M33" s="603"/>
    </row>
    <row r="34" spans="1:13" s="598" customFormat="1" x14ac:dyDescent="0.3">
      <c r="H34" s="603"/>
      <c r="I34" s="603"/>
      <c r="J34" s="603"/>
      <c r="K34" s="603"/>
      <c r="L34" s="619"/>
      <c r="M34" s="603"/>
    </row>
    <row r="35" spans="1:13" s="598" customFormat="1" x14ac:dyDescent="0.3">
      <c r="H35" s="603"/>
      <c r="I35" s="603"/>
      <c r="J35" s="603"/>
      <c r="K35" s="603"/>
      <c r="L35" s="619"/>
      <c r="M35" s="603"/>
    </row>
    <row r="36" spans="1:13" s="598" customFormat="1" x14ac:dyDescent="0.3">
      <c r="H36" s="603"/>
      <c r="I36" s="603"/>
      <c r="J36" s="603"/>
      <c r="K36" s="603"/>
      <c r="L36" s="619"/>
      <c r="M36" s="603"/>
    </row>
    <row r="37" spans="1:13" ht="15.75" thickBot="1" x14ac:dyDescent="0.35">
      <c r="A37" s="597" t="s">
        <v>150</v>
      </c>
      <c r="B37" s="595" t="s">
        <v>150</v>
      </c>
      <c r="C37" s="596"/>
      <c r="D37" s="596"/>
      <c r="E37" s="596"/>
      <c r="F37" s="596"/>
      <c r="G37" s="596"/>
      <c r="H37" s="596"/>
      <c r="I37" s="596"/>
      <c r="J37" s="609"/>
      <c r="K37" s="609"/>
      <c r="L37" s="609"/>
      <c r="M37" s="595" t="s">
        <v>150</v>
      </c>
    </row>
    <row r="38" spans="1:13" x14ac:dyDescent="0.3">
      <c r="J38" s="608"/>
      <c r="K38" s="608"/>
      <c r="L38" s="608"/>
    </row>
    <row r="39" spans="1:13" ht="18" x14ac:dyDescent="0.35">
      <c r="A39" s="597" t="s">
        <v>150</v>
      </c>
      <c r="B39" s="607" t="s">
        <v>366</v>
      </c>
      <c r="J39" s="597"/>
      <c r="K39" s="597"/>
      <c r="L39" s="597" t="s">
        <v>150</v>
      </c>
      <c r="M39" s="597" t="s">
        <v>150</v>
      </c>
    </row>
    <row r="40" spans="1:13" x14ac:dyDescent="0.3">
      <c r="B40" s="593" t="s">
        <v>365</v>
      </c>
      <c r="J40" s="482"/>
      <c r="K40" s="482"/>
      <c r="L40" s="482"/>
    </row>
    <row r="41" spans="1:13" x14ac:dyDescent="0.3">
      <c r="B41" s="605"/>
      <c r="C41" s="605"/>
      <c r="D41" s="605"/>
      <c r="E41" s="605"/>
      <c r="F41" s="605"/>
      <c r="G41" s="605"/>
      <c r="H41" s="605"/>
      <c r="I41" s="605"/>
      <c r="J41" s="606"/>
      <c r="K41" s="606"/>
      <c r="L41" s="606"/>
    </row>
    <row r="42" spans="1:13" x14ac:dyDescent="0.3">
      <c r="B42" s="605"/>
      <c r="C42" s="605"/>
      <c r="D42" s="605"/>
      <c r="E42" s="605"/>
      <c r="F42" s="605"/>
      <c r="G42" s="605"/>
      <c r="H42" s="605"/>
      <c r="I42" s="605"/>
      <c r="J42" s="606"/>
      <c r="K42" s="606"/>
      <c r="L42" s="606"/>
    </row>
    <row r="43" spans="1:13" x14ac:dyDescent="0.3">
      <c r="B43" s="605"/>
      <c r="C43" s="605"/>
      <c r="D43" s="605"/>
      <c r="E43" s="605"/>
      <c r="F43" s="605"/>
      <c r="G43" s="605"/>
      <c r="H43" s="605"/>
      <c r="I43" s="605"/>
      <c r="J43" s="604"/>
      <c r="K43" s="604" t="s">
        <v>364</v>
      </c>
      <c r="L43" s="604"/>
    </row>
    <row r="45" spans="1:13" s="598" customFormat="1" x14ac:dyDescent="0.3">
      <c r="C45" s="598" t="s">
        <v>199</v>
      </c>
      <c r="J45" s="603"/>
      <c r="K45" s="603"/>
      <c r="L45" s="603"/>
    </row>
    <row r="46" spans="1:13" x14ac:dyDescent="0.3">
      <c r="D46" s="593" t="s">
        <v>344</v>
      </c>
      <c r="J46" s="602"/>
      <c r="K46" s="602">
        <v>573</v>
      </c>
      <c r="L46" s="602"/>
    </row>
    <row r="47" spans="1:13" x14ac:dyDescent="0.3">
      <c r="D47" s="593" t="s">
        <v>343</v>
      </c>
      <c r="J47" s="601"/>
      <c r="K47" s="601"/>
      <c r="L47" s="601"/>
    </row>
    <row r="48" spans="1:13" x14ac:dyDescent="0.3">
      <c r="D48" s="593" t="s">
        <v>35</v>
      </c>
      <c r="J48" s="601"/>
      <c r="K48" s="601">
        <v>147662</v>
      </c>
      <c r="L48" s="601"/>
    </row>
    <row r="49" spans="1:12" x14ac:dyDescent="0.3">
      <c r="D49" s="593" t="s">
        <v>113</v>
      </c>
      <c r="J49" s="601"/>
      <c r="K49" s="601"/>
      <c r="L49" s="601"/>
    </row>
    <row r="50" spans="1:12" x14ac:dyDescent="0.3">
      <c r="D50" s="593" t="s">
        <v>342</v>
      </c>
      <c r="J50" s="601"/>
      <c r="K50" s="601">
        <v>-40420</v>
      </c>
      <c r="L50" s="601"/>
    </row>
    <row r="51" spans="1:12" s="598" customFormat="1" x14ac:dyDescent="0.3">
      <c r="C51" s="598" t="s">
        <v>341</v>
      </c>
      <c r="J51" s="599"/>
      <c r="K51" s="599">
        <f>SUM(K46:K50)</f>
        <v>107815</v>
      </c>
      <c r="L51" s="599"/>
    </row>
    <row r="52" spans="1:12" ht="15.75" thickBot="1" x14ac:dyDescent="0.35">
      <c r="A52" s="597" t="s">
        <v>150</v>
      </c>
      <c r="B52" s="595" t="s">
        <v>150</v>
      </c>
      <c r="C52" s="596"/>
      <c r="D52" s="596"/>
      <c r="E52" s="596"/>
      <c r="F52" s="596"/>
      <c r="G52" s="596"/>
      <c r="H52" s="596"/>
      <c r="I52" s="596"/>
      <c r="J52" s="595"/>
      <c r="K52" s="595"/>
      <c r="L52" s="595" t="s">
        <v>150</v>
      </c>
    </row>
    <row r="53" spans="1:12" x14ac:dyDescent="0.3">
      <c r="K53" s="482"/>
      <c r="L53" s="482"/>
    </row>
    <row r="54" spans="1:12" x14ac:dyDescent="0.3">
      <c r="C54" s="594" t="s">
        <v>340</v>
      </c>
      <c r="J54" s="593" t="s">
        <v>363</v>
      </c>
      <c r="L54" s="618">
        <v>1000</v>
      </c>
    </row>
    <row r="55" spans="1:12" x14ac:dyDescent="0.3">
      <c r="D55" s="593" t="s">
        <v>362</v>
      </c>
    </row>
    <row r="56" spans="1:12" x14ac:dyDescent="0.3">
      <c r="D56" s="593" t="s">
        <v>361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6CCFF"/>
  </sheetPr>
  <dimension ref="B4:W34"/>
  <sheetViews>
    <sheetView showGridLines="0" zoomScaleSheetLayoutView="80" workbookViewId="0"/>
  </sheetViews>
  <sheetFormatPr defaultColWidth="9.140625" defaultRowHeight="15" outlineLevelCol="1" x14ac:dyDescent="0.3"/>
  <cols>
    <col min="1" max="1" width="9.140625" style="79"/>
    <col min="2" max="2" width="17.28515625" style="79" customWidth="1"/>
    <col min="3" max="3" width="12.7109375" style="79" customWidth="1" outlineLevel="1"/>
    <col min="4" max="4" width="10.7109375" style="79" customWidth="1" outlineLevel="1"/>
    <col min="5" max="5" width="10" style="79" customWidth="1" outlineLevel="1"/>
    <col min="6" max="6" width="2.7109375" style="79" customWidth="1" outlineLevel="1" collapsed="1"/>
    <col min="7" max="7" width="10.5703125" style="79" customWidth="1" outlineLevel="1"/>
    <col min="8" max="8" width="9.140625" style="79" customWidth="1" outlineLevel="1"/>
    <col min="9" max="9" width="10.5703125" style="79" customWidth="1" outlineLevel="1"/>
    <col min="10" max="10" width="2.7109375" style="79" customWidth="1"/>
    <col min="11" max="11" width="10.5703125" style="79" bestFit="1" customWidth="1"/>
    <col min="12" max="12" width="9.140625" style="79"/>
    <col min="13" max="13" width="10.5703125" style="79" bestFit="1" customWidth="1"/>
    <col min="14" max="14" width="2.7109375" style="79" customWidth="1"/>
    <col min="15" max="15" width="10.5703125" style="79" bestFit="1" customWidth="1"/>
    <col min="16" max="16" width="9.140625" style="79"/>
    <col min="17" max="17" width="10.5703125" style="79" bestFit="1" customWidth="1"/>
    <col min="18" max="19" width="9.140625" style="79"/>
    <col min="20" max="20" width="26.5703125" style="79" bestFit="1" customWidth="1"/>
    <col min="21" max="21" width="18.140625" style="79" customWidth="1"/>
    <col min="22" max="22" width="12.7109375" style="79" bestFit="1" customWidth="1"/>
    <col min="23" max="23" width="11.7109375" style="79" customWidth="1"/>
    <col min="24" max="16384" width="9.140625" style="79"/>
  </cols>
  <sheetData>
    <row r="4" spans="2:23" x14ac:dyDescent="0.3">
      <c r="C4" s="358" t="s">
        <v>190</v>
      </c>
      <c r="D4" s="359"/>
      <c r="E4" s="359"/>
      <c r="F4" s="360"/>
      <c r="G4" s="358" t="s">
        <v>291</v>
      </c>
      <c r="H4" s="359"/>
      <c r="I4" s="359"/>
      <c r="J4" s="360"/>
      <c r="K4" s="358" t="s">
        <v>191</v>
      </c>
      <c r="L4" s="359"/>
      <c r="M4" s="359"/>
      <c r="N4" s="360"/>
      <c r="O4" s="358" t="s">
        <v>192</v>
      </c>
      <c r="P4" s="359"/>
      <c r="Q4" s="359"/>
    </row>
    <row r="5" spans="2:23" x14ac:dyDescent="0.3">
      <c r="C5" s="358" t="s">
        <v>193</v>
      </c>
      <c r="D5" s="359"/>
      <c r="E5" s="359"/>
      <c r="F5" s="360"/>
      <c r="G5" s="358" t="s">
        <v>292</v>
      </c>
      <c r="H5" s="359"/>
      <c r="I5" s="359"/>
      <c r="J5" s="360"/>
      <c r="K5" s="358" t="s">
        <v>194</v>
      </c>
      <c r="L5" s="359"/>
      <c r="M5" s="359"/>
      <c r="N5" s="360"/>
      <c r="O5" s="358" t="s">
        <v>195</v>
      </c>
      <c r="P5" s="359"/>
      <c r="Q5" s="359"/>
    </row>
    <row r="6" spans="2:23" x14ac:dyDescent="0.3">
      <c r="C6" s="361" t="s">
        <v>152</v>
      </c>
      <c r="D6" s="361" t="s">
        <v>189</v>
      </c>
      <c r="E6" s="361" t="s">
        <v>151</v>
      </c>
      <c r="F6" s="362"/>
      <c r="G6" s="361" t="str">
        <f>C6</f>
        <v>Low</v>
      </c>
      <c r="H6" s="361" t="str">
        <f>D6</f>
        <v>—</v>
      </c>
      <c r="I6" s="361" t="str">
        <f>E6</f>
        <v>High</v>
      </c>
      <c r="J6" s="362"/>
      <c r="K6" s="361" t="str">
        <f>G6</f>
        <v>Low</v>
      </c>
      <c r="L6" s="361" t="str">
        <f>H6</f>
        <v>—</v>
      </c>
      <c r="M6" s="361" t="str">
        <f>I6</f>
        <v>High</v>
      </c>
      <c r="N6" s="362"/>
      <c r="O6" s="361" t="str">
        <f>K6</f>
        <v>Low</v>
      </c>
      <c r="P6" s="361" t="str">
        <f>L6</f>
        <v>—</v>
      </c>
      <c r="Q6" s="361" t="str">
        <f>M6</f>
        <v>High</v>
      </c>
    </row>
    <row r="8" spans="2:23" x14ac:dyDescent="0.3">
      <c r="B8" s="80" t="s">
        <v>196</v>
      </c>
      <c r="C8" s="363"/>
      <c r="D8" s="364" t="s">
        <v>189</v>
      </c>
      <c r="E8" s="363"/>
      <c r="F8" s="364"/>
      <c r="G8" s="365"/>
      <c r="H8" s="365" t="s">
        <v>189</v>
      </c>
      <c r="I8" s="365"/>
      <c r="K8" s="365"/>
      <c r="L8" s="365" t="s">
        <v>189</v>
      </c>
      <c r="M8" s="365"/>
      <c r="O8" s="366"/>
      <c r="P8" s="367" t="str">
        <f>L8</f>
        <v>—</v>
      </c>
      <c r="Q8" s="366"/>
    </row>
    <row r="9" spans="2:23" x14ac:dyDescent="0.3">
      <c r="B9" s="79" t="s">
        <v>197</v>
      </c>
      <c r="C9" s="377"/>
      <c r="D9" s="364" t="s">
        <v>189</v>
      </c>
      <c r="E9" s="377"/>
      <c r="F9" s="364"/>
      <c r="G9" s="369"/>
      <c r="H9" s="369"/>
      <c r="I9" s="369"/>
      <c r="K9" s="369"/>
      <c r="L9" s="369"/>
      <c r="M9" s="369"/>
      <c r="O9" s="369"/>
      <c r="Q9" s="369"/>
      <c r="T9" s="82" t="s">
        <v>200</v>
      </c>
    </row>
    <row r="10" spans="2:23" x14ac:dyDescent="0.3">
      <c r="B10" s="80" t="s">
        <v>198</v>
      </c>
      <c r="C10" s="368"/>
      <c r="D10" s="364" t="s">
        <v>189</v>
      </c>
      <c r="E10" s="368"/>
      <c r="F10" s="364"/>
      <c r="G10" s="369"/>
      <c r="H10" s="369"/>
      <c r="I10" s="369"/>
      <c r="K10" s="369"/>
      <c r="L10" s="369"/>
      <c r="M10" s="369"/>
      <c r="O10" s="369"/>
      <c r="Q10" s="369"/>
      <c r="T10" s="80" t="str">
        <f>T23</f>
        <v>52-Week high/low</v>
      </c>
      <c r="U10" s="79" t="str">
        <f>TEXT(U31,"$0,0")&amp;" / "&amp;""&amp;TEXT(U23,"$0.00")</f>
        <v>$00 / $0.00</v>
      </c>
      <c r="W10" s="79" t="str">
        <f>TEXT(W31,"$0,0")&amp;" / "&amp;""&amp;TEXT(W23,"$0.00")</f>
        <v>$00 / $0.00</v>
      </c>
    </row>
    <row r="11" spans="2:23" x14ac:dyDescent="0.3">
      <c r="B11" s="79" t="s">
        <v>408</v>
      </c>
      <c r="C11" s="378"/>
      <c r="D11" s="364" t="s">
        <v>189</v>
      </c>
      <c r="E11" s="378"/>
      <c r="F11" s="364"/>
      <c r="G11" s="369"/>
      <c r="H11" s="369"/>
      <c r="I11" s="369"/>
      <c r="K11" s="369"/>
      <c r="L11" s="369"/>
      <c r="M11" s="369"/>
      <c r="O11" s="369"/>
      <c r="Q11" s="369"/>
      <c r="T11" s="80" t="s">
        <v>205</v>
      </c>
      <c r="U11" s="79" t="str">
        <f>TEXT(U32,"$0,0")&amp;" / "&amp;""&amp;TEXT(U24,"$0.00")</f>
        <v>$00 / $0.00</v>
      </c>
      <c r="W11" s="79" t="str">
        <f>TEXT(W32,"$0,0")&amp;" / "&amp;""&amp;TEXT(W24,"$0.00")</f>
        <v>$00 / $0.00</v>
      </c>
    </row>
    <row r="12" spans="2:23" x14ac:dyDescent="0.3">
      <c r="B12" s="80" t="s">
        <v>175</v>
      </c>
      <c r="C12" s="370"/>
      <c r="D12" s="371" t="s">
        <v>189</v>
      </c>
      <c r="E12" s="370"/>
      <c r="F12" s="364"/>
      <c r="G12" s="372"/>
      <c r="H12" s="372" t="s">
        <v>189</v>
      </c>
      <c r="I12" s="372"/>
      <c r="K12" s="372"/>
      <c r="L12" s="372" t="s">
        <v>189</v>
      </c>
      <c r="M12" s="372"/>
      <c r="O12" s="372"/>
      <c r="P12" s="373" t="s">
        <v>189</v>
      </c>
      <c r="Q12" s="372"/>
      <c r="T12" s="80" t="s">
        <v>206</v>
      </c>
      <c r="U12" s="79" t="str">
        <f>TEXT(U33,"$0,0")&amp;" / "&amp;""&amp;TEXT(U25,"$0.00")</f>
        <v>$00 / $0.00</v>
      </c>
      <c r="W12" s="79" t="str">
        <f>TEXT(W33,"$0,0")&amp;" / "&amp;""&amp;TEXT(W25,"$0.00")</f>
        <v>$00 / $0.00</v>
      </c>
    </row>
    <row r="13" spans="2:23" x14ac:dyDescent="0.3">
      <c r="B13" s="79" t="s">
        <v>290</v>
      </c>
      <c r="C13" s="369"/>
      <c r="D13" s="364"/>
      <c r="E13" s="369"/>
      <c r="F13" s="364"/>
      <c r="G13" s="374"/>
      <c r="H13" s="364"/>
      <c r="I13" s="374"/>
      <c r="K13" s="374"/>
      <c r="L13" s="364"/>
      <c r="M13" s="374"/>
      <c r="O13" s="374"/>
      <c r="Q13" s="374"/>
      <c r="T13" s="80" t="s">
        <v>207</v>
      </c>
      <c r="U13" s="79" t="str">
        <f>TEXT(U34,"$0,0")&amp;" / "&amp;""&amp;TEXT(U26,"$0.00")</f>
        <v>$00 / $0.00</v>
      </c>
      <c r="W13" s="79" t="str">
        <f>TEXT(W34,"$0,0")&amp;" / "&amp;""&amp;TEXT(W26,"$0.00")</f>
        <v>$00 / $0.00</v>
      </c>
    </row>
    <row r="14" spans="2:23" x14ac:dyDescent="0.3">
      <c r="B14" s="79" t="s">
        <v>131</v>
      </c>
      <c r="C14" s="375"/>
      <c r="D14" s="371" t="s">
        <v>189</v>
      </c>
      <c r="E14" s="375"/>
      <c r="F14" s="364"/>
      <c r="G14" s="376"/>
      <c r="H14" s="371" t="s">
        <v>189</v>
      </c>
      <c r="I14" s="376"/>
      <c r="K14" s="376"/>
      <c r="L14" s="371" t="s">
        <v>189</v>
      </c>
      <c r="M14" s="376"/>
      <c r="O14" s="375"/>
      <c r="P14" s="373" t="s">
        <v>189</v>
      </c>
      <c r="Q14" s="375"/>
    </row>
    <row r="20" spans="3:23" x14ac:dyDescent="0.3">
      <c r="C20" s="80"/>
    </row>
    <row r="21" spans="3:23" x14ac:dyDescent="0.3">
      <c r="T21" s="81"/>
      <c r="U21" s="81"/>
      <c r="V21" s="81"/>
      <c r="W21" s="81"/>
    </row>
    <row r="22" spans="3:23" x14ac:dyDescent="0.3">
      <c r="T22" s="82" t="s">
        <v>200</v>
      </c>
      <c r="U22" s="82" t="s">
        <v>201</v>
      </c>
      <c r="V22" s="82" t="s">
        <v>202</v>
      </c>
      <c r="W22" s="82" t="s">
        <v>203</v>
      </c>
    </row>
    <row r="23" spans="3:23" x14ac:dyDescent="0.3">
      <c r="C23" s="80" t="s">
        <v>208</v>
      </c>
      <c r="T23" s="80" t="s">
        <v>204</v>
      </c>
      <c r="U23" s="83">
        <f>C8</f>
        <v>0</v>
      </c>
      <c r="V23" s="83">
        <f>W23-U23</f>
        <v>0</v>
      </c>
      <c r="W23" s="83">
        <f>E8</f>
        <v>0</v>
      </c>
    </row>
    <row r="24" spans="3:23" x14ac:dyDescent="0.3">
      <c r="C24" s="357">
        <f>'DCF Analysis'!O22</f>
        <v>0</v>
      </c>
      <c r="T24" s="80" t="s">
        <v>293</v>
      </c>
      <c r="U24" s="83">
        <f>G8</f>
        <v>0</v>
      </c>
      <c r="V24" s="83">
        <f>W24-U24</f>
        <v>0</v>
      </c>
      <c r="W24" s="83">
        <f>I8</f>
        <v>0</v>
      </c>
    </row>
    <row r="25" spans="3:23" x14ac:dyDescent="0.3">
      <c r="T25" s="80" t="s">
        <v>294</v>
      </c>
      <c r="U25" s="83">
        <f>K8</f>
        <v>0</v>
      </c>
      <c r="V25" s="83">
        <f>W25-U25</f>
        <v>0</v>
      </c>
      <c r="W25" s="83">
        <f>M8</f>
        <v>0</v>
      </c>
    </row>
    <row r="26" spans="3:23" x14ac:dyDescent="0.3">
      <c r="T26" s="80" t="s">
        <v>207</v>
      </c>
      <c r="U26" s="83">
        <f>O8</f>
        <v>0</v>
      </c>
      <c r="V26" s="83">
        <f>W26-U26</f>
        <v>0</v>
      </c>
      <c r="W26" s="83">
        <f>Q8</f>
        <v>0</v>
      </c>
    </row>
    <row r="27" spans="3:23" ht="3.95" customHeight="1" thickBot="1" x14ac:dyDescent="0.35">
      <c r="T27" s="84"/>
      <c r="U27" s="84"/>
      <c r="V27" s="84"/>
      <c r="W27" s="84"/>
    </row>
    <row r="30" spans="3:23" x14ac:dyDescent="0.3">
      <c r="T30" s="82" t="s">
        <v>200</v>
      </c>
      <c r="U30" s="82" t="s">
        <v>201</v>
      </c>
      <c r="V30" s="82" t="s">
        <v>202</v>
      </c>
      <c r="W30" s="82" t="s">
        <v>203</v>
      </c>
    </row>
    <row r="31" spans="3:23" x14ac:dyDescent="0.3">
      <c r="T31" s="80" t="str">
        <f>T23</f>
        <v>52-Week high/low</v>
      </c>
      <c r="U31" s="83">
        <f>C12</f>
        <v>0</v>
      </c>
      <c r="V31" s="83">
        <f>W31-U31</f>
        <v>0</v>
      </c>
      <c r="W31" s="83">
        <f>E12</f>
        <v>0</v>
      </c>
    </row>
    <row r="32" spans="3:23" x14ac:dyDescent="0.3">
      <c r="T32" s="80" t="str">
        <f>T24</f>
        <v>Comparable company analysis</v>
      </c>
      <c r="U32" s="83">
        <f>G12</f>
        <v>0</v>
      </c>
      <c r="V32" s="83">
        <f>W32-U32</f>
        <v>0</v>
      </c>
      <c r="W32" s="83">
        <f>I12</f>
        <v>0</v>
      </c>
    </row>
    <row r="33" spans="20:23" x14ac:dyDescent="0.3">
      <c r="T33" s="80" t="str">
        <f>T25</f>
        <v>Precedent transactions</v>
      </c>
      <c r="U33" s="83">
        <f>K12</f>
        <v>0</v>
      </c>
      <c r="V33" s="83">
        <f>W33-U33</f>
        <v>0</v>
      </c>
      <c r="W33" s="83">
        <f>M12</f>
        <v>0</v>
      </c>
    </row>
    <row r="34" spans="20:23" x14ac:dyDescent="0.3">
      <c r="T34" s="80" t="str">
        <f>T26</f>
        <v>Discounted cash flow analysis</v>
      </c>
      <c r="U34" s="83">
        <f>O12</f>
        <v>0</v>
      </c>
      <c r="V34" s="83">
        <f>W34-U34</f>
        <v>0</v>
      </c>
      <c r="W34" s="83">
        <f>Q12</f>
        <v>0</v>
      </c>
    </row>
  </sheetData>
  <pageMargins left="0.7" right="0.7" top="0.75" bottom="0.75" header="0.3" footer="0.3"/>
  <pageSetup scale="5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"/>
  <sheetViews>
    <sheetView workbookViewId="0">
      <pane xSplit="3" ySplit="5" topLeftCell="D26" activePane="bottomRight" state="frozen"/>
      <selection activeCell="D6" sqref="D6"/>
      <selection pane="topRight" activeCell="D6" sqref="D6"/>
      <selection pane="bottomLeft" activeCell="D6" sqref="D6"/>
      <selection pane="bottomRight" activeCell="D40" sqref="D40"/>
    </sheetView>
  </sheetViews>
  <sheetFormatPr defaultColWidth="9.140625" defaultRowHeight="20.100000000000001" customHeight="1" x14ac:dyDescent="0.2"/>
  <cols>
    <col min="1" max="2" width="2.7109375" style="2" customWidth="1"/>
    <col min="3" max="3" width="47.7109375" style="2" customWidth="1"/>
    <col min="4" max="5" width="9.7109375" style="4" customWidth="1"/>
    <col min="6" max="11" width="9.7109375" style="2" customWidth="1"/>
    <col min="12" max="16384" width="9.140625" style="2"/>
  </cols>
  <sheetData>
    <row r="1" spans="1:14" ht="58.5" customHeight="1" x14ac:dyDescent="0.2">
      <c r="E1" s="27"/>
      <c r="F1" s="26"/>
      <c r="G1" s="26"/>
      <c r="H1" s="26"/>
      <c r="I1" s="26"/>
      <c r="J1" s="26"/>
      <c r="K1" s="26"/>
    </row>
    <row r="2" spans="1:14" ht="12.75" customHeight="1" x14ac:dyDescent="0.2">
      <c r="A2" s="24" t="s">
        <v>14</v>
      </c>
      <c r="B2" s="24"/>
      <c r="C2" s="35"/>
      <c r="D2" s="25"/>
      <c r="E2" s="25"/>
      <c r="F2" s="24"/>
      <c r="G2" s="24"/>
      <c r="H2" s="24"/>
      <c r="I2" s="24"/>
      <c r="J2" s="24"/>
      <c r="K2" s="24"/>
    </row>
    <row r="3" spans="1:14" ht="12.75" customHeight="1" x14ac:dyDescent="0.2">
      <c r="A3" s="5" t="s">
        <v>106</v>
      </c>
      <c r="B3" s="6"/>
      <c r="C3" s="29"/>
      <c r="D3" s="34" t="s">
        <v>32</v>
      </c>
      <c r="E3" s="34"/>
      <c r="F3" s="36"/>
      <c r="G3" s="37" t="s">
        <v>33</v>
      </c>
      <c r="H3" s="38"/>
      <c r="I3" s="39"/>
      <c r="J3" s="38"/>
      <c r="K3" s="38"/>
      <c r="L3"/>
      <c r="M3"/>
    </row>
    <row r="4" spans="1:14" ht="12.75" customHeight="1" x14ac:dyDescent="0.2">
      <c r="A4" s="5"/>
      <c r="B4" s="6"/>
      <c r="C4" s="29"/>
      <c r="D4" s="29"/>
      <c r="E4" s="29"/>
      <c r="F4" s="28"/>
      <c r="G4" s="28"/>
      <c r="H4" s="28"/>
      <c r="I4" s="28"/>
      <c r="J4" s="28"/>
      <c r="K4" s="28"/>
    </row>
    <row r="5" spans="1:14" ht="12.75" customHeight="1" x14ac:dyDescent="0.2">
      <c r="A5" s="30" t="s">
        <v>334</v>
      </c>
      <c r="B5" s="31"/>
      <c r="C5" s="34"/>
      <c r="D5" s="40">
        <f>'Income Statement'!D5</f>
        <v>2019</v>
      </c>
      <c r="E5" s="40">
        <f>'Income Statement'!E5</f>
        <v>2020</v>
      </c>
      <c r="F5" s="40">
        <f>'Income Statement'!F5</f>
        <v>2021</v>
      </c>
      <c r="G5" s="41">
        <f>'Income Statement'!G5</f>
        <v>2022</v>
      </c>
      <c r="H5" s="41">
        <f>'Income Statement'!H5</f>
        <v>2023</v>
      </c>
      <c r="I5" s="41">
        <f>'Income Statement'!I5</f>
        <v>2024</v>
      </c>
      <c r="J5" s="41">
        <f>'Income Statement'!J5</f>
        <v>2025</v>
      </c>
      <c r="K5" s="41">
        <f>'Income Statement'!K5</f>
        <v>2026</v>
      </c>
    </row>
    <row r="6" spans="1:14" ht="21" customHeight="1" x14ac:dyDescent="0.2">
      <c r="A6" s="86" t="s">
        <v>20</v>
      </c>
      <c r="B6" s="86"/>
      <c r="C6" s="86"/>
      <c r="D6" s="119"/>
      <c r="E6" s="119"/>
      <c r="F6" s="119"/>
      <c r="G6" s="119"/>
      <c r="H6" s="119"/>
      <c r="I6" s="119"/>
      <c r="J6" s="119"/>
      <c r="K6" s="119"/>
    </row>
    <row r="7" spans="1:14" ht="12.75" customHeight="1" x14ac:dyDescent="0.2">
      <c r="A7" s="90"/>
      <c r="B7" s="90" t="s">
        <v>59</v>
      </c>
      <c r="C7" s="90"/>
      <c r="D7" s="122">
        <v>3659</v>
      </c>
      <c r="E7" s="122">
        <v>4002</v>
      </c>
      <c r="F7" s="122">
        <v>5007</v>
      </c>
      <c r="G7" s="120"/>
      <c r="H7" s="120"/>
      <c r="I7" s="120"/>
      <c r="J7" s="120"/>
      <c r="K7" s="120"/>
    </row>
    <row r="8" spans="1:14" ht="12.75" customHeight="1" x14ac:dyDescent="0.2">
      <c r="A8" s="90"/>
      <c r="B8" s="90" t="s">
        <v>409</v>
      </c>
      <c r="C8" s="90"/>
      <c r="D8" s="122"/>
      <c r="E8" s="122"/>
      <c r="F8" s="122"/>
      <c r="G8" s="120"/>
      <c r="H8" s="120"/>
      <c r="I8" s="120"/>
      <c r="J8" s="120"/>
      <c r="K8" s="120"/>
    </row>
    <row r="9" spans="1:14" ht="12.75" customHeight="1" x14ac:dyDescent="0.2">
      <c r="A9" s="90"/>
      <c r="B9" s="90" t="s">
        <v>46</v>
      </c>
      <c r="C9" s="90"/>
      <c r="D9" s="122">
        <v>1492</v>
      </c>
      <c r="E9" s="122">
        <v>1645</v>
      </c>
      <c r="F9" s="122">
        <v>1781</v>
      </c>
      <c r="G9" s="123"/>
      <c r="H9" s="123"/>
      <c r="I9" s="123"/>
      <c r="J9" s="123"/>
      <c r="K9" s="123"/>
    </row>
    <row r="10" spans="1:14" ht="12.75" customHeight="1" x14ac:dyDescent="0.2">
      <c r="A10" s="90"/>
      <c r="B10" s="90" t="s">
        <v>19</v>
      </c>
      <c r="C10" s="90"/>
      <c r="D10" s="122">
        <v>147</v>
      </c>
      <c r="E10" s="122">
        <v>104</v>
      </c>
      <c r="F10" s="122">
        <v>59</v>
      </c>
      <c r="G10" s="123"/>
      <c r="H10" s="123"/>
      <c r="I10" s="123"/>
      <c r="J10" s="123"/>
      <c r="K10" s="123"/>
    </row>
    <row r="11" spans="1:14" ht="12.75" customHeight="1" x14ac:dyDescent="0.2">
      <c r="A11" s="90"/>
      <c r="B11" s="90" t="s">
        <v>416</v>
      </c>
      <c r="C11" s="90"/>
      <c r="D11" s="122">
        <v>595</v>
      </c>
      <c r="E11" s="122">
        <v>619</v>
      </c>
      <c r="F11" s="122">
        <v>665</v>
      </c>
      <c r="G11" s="123"/>
      <c r="H11" s="123"/>
      <c r="I11" s="123"/>
      <c r="J11" s="123"/>
      <c r="K11" s="123"/>
    </row>
    <row r="12" spans="1:14" ht="12.75" customHeight="1" x14ac:dyDescent="0.2">
      <c r="A12" s="90"/>
      <c r="B12" s="90" t="s">
        <v>108</v>
      </c>
      <c r="C12" s="90"/>
      <c r="D12" s="122">
        <v>9</v>
      </c>
      <c r="E12" s="122">
        <v>236</v>
      </c>
      <c r="F12" s="122">
        <v>371</v>
      </c>
      <c r="G12" s="123"/>
      <c r="H12" s="123"/>
      <c r="I12" s="123"/>
      <c r="J12" s="123"/>
      <c r="K12" s="123"/>
      <c r="L12" s="684"/>
      <c r="M12" s="684"/>
      <c r="N12" s="684"/>
    </row>
    <row r="13" spans="1:14" ht="12.75" customHeight="1" x14ac:dyDescent="0.2">
      <c r="A13" s="90"/>
      <c r="B13" s="90" t="s">
        <v>417</v>
      </c>
      <c r="C13" s="90"/>
      <c r="D13" s="122">
        <v>45</v>
      </c>
      <c r="E13" s="122">
        <v>57</v>
      </c>
      <c r="F13" s="122">
        <v>72</v>
      </c>
      <c r="G13" s="123"/>
      <c r="H13" s="123"/>
      <c r="I13" s="123"/>
      <c r="J13" s="123"/>
      <c r="K13" s="123"/>
      <c r="L13" s="22"/>
    </row>
    <row r="14" spans="1:14" ht="12.75" customHeight="1" x14ac:dyDescent="0.2">
      <c r="A14" s="90"/>
      <c r="B14" s="86" t="s">
        <v>238</v>
      </c>
      <c r="C14" s="90"/>
      <c r="D14" s="123"/>
      <c r="E14" s="123"/>
      <c r="F14" s="123"/>
      <c r="G14" s="123"/>
      <c r="H14" s="123"/>
      <c r="I14" s="123"/>
      <c r="J14" s="123"/>
      <c r="K14" s="123"/>
    </row>
    <row r="15" spans="1:14" ht="12.75" customHeight="1" x14ac:dyDescent="0.2">
      <c r="A15" s="90"/>
      <c r="B15" s="90"/>
      <c r="C15" s="90" t="s">
        <v>23</v>
      </c>
      <c r="D15" s="122"/>
      <c r="E15" s="122"/>
      <c r="F15" s="122"/>
      <c r="G15" s="123"/>
      <c r="H15" s="123"/>
      <c r="I15" s="123"/>
      <c r="J15" s="123"/>
      <c r="K15" s="123"/>
    </row>
    <row r="16" spans="1:14" ht="12.75" customHeight="1" x14ac:dyDescent="0.2">
      <c r="A16" s="90"/>
      <c r="B16" s="90"/>
      <c r="C16" s="90" t="s">
        <v>24</v>
      </c>
      <c r="D16" s="122">
        <v>-536</v>
      </c>
      <c r="E16" s="122">
        <v>-791</v>
      </c>
      <c r="F16" s="122">
        <v>-1892</v>
      </c>
      <c r="G16" s="123"/>
      <c r="H16" s="123"/>
      <c r="I16" s="123"/>
      <c r="J16" s="123"/>
      <c r="K16" s="123"/>
    </row>
    <row r="17" spans="1:11" ht="12.75" customHeight="1" x14ac:dyDescent="0.2">
      <c r="A17" s="90"/>
      <c r="B17" s="90"/>
      <c r="C17" s="90" t="s">
        <v>25</v>
      </c>
      <c r="D17" s="122">
        <v>322</v>
      </c>
      <c r="E17" s="122">
        <v>2261</v>
      </c>
      <c r="F17" s="122">
        <v>1838</v>
      </c>
      <c r="G17" s="123"/>
      <c r="H17" s="123"/>
      <c r="I17" s="123"/>
      <c r="J17" s="123"/>
      <c r="K17" s="123"/>
    </row>
    <row r="18" spans="1:11" ht="12.75" customHeight="1" x14ac:dyDescent="0.2">
      <c r="A18" s="90"/>
      <c r="B18" s="90"/>
      <c r="C18" s="90" t="s">
        <v>109</v>
      </c>
      <c r="D18" s="122">
        <v>623</v>
      </c>
      <c r="E18" s="122">
        <v>728</v>
      </c>
      <c r="F18" s="122">
        <v>1057</v>
      </c>
      <c r="G18" s="123"/>
      <c r="H18" s="123"/>
      <c r="I18" s="123"/>
      <c r="J18" s="123"/>
      <c r="K18" s="123"/>
    </row>
    <row r="19" spans="1:11" ht="12.75" customHeight="1" x14ac:dyDescent="0.2">
      <c r="A19" s="90"/>
      <c r="B19" s="90"/>
      <c r="C19" s="86" t="s">
        <v>239</v>
      </c>
      <c r="D19" s="124">
        <f>SUM(D16:D18)</f>
        <v>409</v>
      </c>
      <c r="E19" s="124">
        <f t="shared" ref="E19:F19" si="0">SUM(E16:E18)</f>
        <v>2198</v>
      </c>
      <c r="F19" s="124">
        <f t="shared" si="0"/>
        <v>1003</v>
      </c>
      <c r="G19" s="124"/>
      <c r="H19" s="124"/>
      <c r="I19" s="124"/>
      <c r="J19" s="124"/>
      <c r="K19" s="124"/>
    </row>
    <row r="20" spans="1:11" ht="12.75" customHeight="1" x14ac:dyDescent="0.2">
      <c r="A20" s="90"/>
      <c r="B20" s="86" t="s">
        <v>220</v>
      </c>
      <c r="C20" s="90"/>
      <c r="D20" s="119">
        <f>SUM(D7:D18)</f>
        <v>6356</v>
      </c>
      <c r="E20" s="119">
        <f t="shared" ref="E20:F20" si="1">SUM(E7:E18)</f>
        <v>8861</v>
      </c>
      <c r="F20" s="119">
        <f t="shared" si="1"/>
        <v>8958</v>
      </c>
      <c r="G20" s="119"/>
      <c r="H20" s="119"/>
      <c r="I20" s="119"/>
      <c r="J20" s="119"/>
      <c r="K20" s="119"/>
    </row>
    <row r="21" spans="1:11" ht="21" customHeight="1" collapsed="1" x14ac:dyDescent="0.2">
      <c r="A21" s="86" t="s">
        <v>21</v>
      </c>
      <c r="B21" s="86"/>
      <c r="C21" s="86"/>
      <c r="D21" s="125"/>
      <c r="E21" s="125"/>
      <c r="F21" s="125"/>
      <c r="G21" s="125"/>
      <c r="H21" s="125"/>
      <c r="I21" s="125"/>
      <c r="J21" s="125"/>
      <c r="K21" s="125"/>
    </row>
    <row r="22" spans="1:11" ht="12.75" customHeight="1" x14ac:dyDescent="0.2">
      <c r="A22" s="86"/>
      <c r="B22" s="90" t="s">
        <v>227</v>
      </c>
      <c r="C22" s="90"/>
      <c r="D22" s="121">
        <v>-2998</v>
      </c>
      <c r="E22" s="121">
        <v>-2810</v>
      </c>
      <c r="F22" s="121">
        <v>-3588</v>
      </c>
      <c r="G22" s="120"/>
      <c r="H22" s="120"/>
      <c r="I22" s="120"/>
      <c r="J22" s="120"/>
      <c r="K22" s="120"/>
    </row>
    <row r="23" spans="1:11" ht="12.75" customHeight="1" x14ac:dyDescent="0.2">
      <c r="A23" s="86"/>
      <c r="B23" s="90" t="s">
        <v>418</v>
      </c>
      <c r="C23" s="90"/>
      <c r="D23" s="122">
        <v>137</v>
      </c>
      <c r="E23" s="122">
        <v>52</v>
      </c>
      <c r="F23" s="122">
        <v>115</v>
      </c>
      <c r="G23" s="122"/>
      <c r="H23" s="122"/>
      <c r="I23" s="122"/>
      <c r="J23" s="122"/>
      <c r="K23" s="122"/>
    </row>
    <row r="24" spans="1:11" ht="12.75" customHeight="1" x14ac:dyDescent="0.2">
      <c r="A24" s="86"/>
      <c r="B24" s="90" t="s">
        <v>221</v>
      </c>
      <c r="C24" s="90"/>
      <c r="D24" s="685">
        <v>0</v>
      </c>
      <c r="E24" s="685">
        <v>-1163</v>
      </c>
      <c r="F24" s="685">
        <v>0</v>
      </c>
      <c r="G24" s="122"/>
      <c r="H24" s="122"/>
      <c r="I24" s="122"/>
      <c r="J24" s="122"/>
      <c r="K24" s="122"/>
    </row>
    <row r="25" spans="1:11" ht="12.75" customHeight="1" x14ac:dyDescent="0.2">
      <c r="A25" s="86"/>
      <c r="B25" s="90" t="s">
        <v>222</v>
      </c>
      <c r="C25" s="90"/>
      <c r="D25" s="126">
        <v>-4</v>
      </c>
      <c r="E25" s="126">
        <v>30</v>
      </c>
      <c r="F25" s="126">
        <v>-62</v>
      </c>
      <c r="G25" s="128"/>
      <c r="H25" s="128"/>
      <c r="I25" s="128"/>
      <c r="J25" s="128"/>
      <c r="K25" s="128"/>
    </row>
    <row r="26" spans="1:11" ht="12.75" customHeight="1" x14ac:dyDescent="0.2">
      <c r="A26" s="90"/>
      <c r="B26" s="86" t="s">
        <v>223</v>
      </c>
      <c r="C26" s="90"/>
      <c r="D26" s="119">
        <f>SUM(D22:D25)</f>
        <v>-2865</v>
      </c>
      <c r="E26" s="119">
        <f t="shared" ref="E26:F26" si="2">SUM(E22:E25)</f>
        <v>-3891</v>
      </c>
      <c r="F26" s="119">
        <f t="shared" si="2"/>
        <v>-3535</v>
      </c>
      <c r="G26" s="119"/>
      <c r="H26" s="119"/>
      <c r="I26" s="119"/>
      <c r="J26" s="119"/>
      <c r="K26" s="119"/>
    </row>
    <row r="27" spans="1:11" ht="21" customHeight="1" x14ac:dyDescent="0.2">
      <c r="A27" s="86" t="s">
        <v>22</v>
      </c>
      <c r="B27" s="86"/>
      <c r="C27" s="86"/>
      <c r="D27" s="125"/>
      <c r="E27" s="125"/>
      <c r="F27" s="125"/>
      <c r="G27" s="125"/>
      <c r="H27" s="125"/>
      <c r="I27" s="125"/>
      <c r="J27" s="125"/>
      <c r="K27" s="125"/>
    </row>
    <row r="28" spans="1:11" ht="21" customHeight="1" x14ac:dyDescent="0.2">
      <c r="A28" s="86"/>
      <c r="B28" s="90" t="s">
        <v>419</v>
      </c>
      <c r="C28" s="90"/>
      <c r="D28" s="710">
        <v>210</v>
      </c>
      <c r="E28" s="710">
        <v>137</v>
      </c>
      <c r="F28" s="710">
        <v>188</v>
      </c>
      <c r="G28" s="125"/>
      <c r="H28" s="125"/>
      <c r="I28" s="125"/>
      <c r="J28" s="125"/>
      <c r="K28" s="125"/>
    </row>
    <row r="29" spans="1:11" ht="12.75" customHeight="1" x14ac:dyDescent="0.2">
      <c r="A29" s="90"/>
      <c r="B29" s="90" t="s">
        <v>36</v>
      </c>
      <c r="C29" s="90"/>
      <c r="D29" s="122"/>
      <c r="E29" s="122"/>
      <c r="F29" s="708">
        <v>41</v>
      </c>
      <c r="G29" s="707"/>
      <c r="H29" s="123"/>
      <c r="I29" s="123"/>
      <c r="J29" s="123"/>
      <c r="K29" s="123"/>
    </row>
    <row r="30" spans="1:11" ht="12.75" customHeight="1" x14ac:dyDescent="0.2">
      <c r="A30" s="90"/>
      <c r="B30" s="90" t="s">
        <v>37</v>
      </c>
      <c r="C30" s="90"/>
      <c r="D30" s="122">
        <v>209</v>
      </c>
      <c r="E30" s="122">
        <v>792</v>
      </c>
      <c r="F30" s="122">
        <v>-94</v>
      </c>
      <c r="G30" s="123"/>
      <c r="H30" s="123"/>
      <c r="I30" s="123"/>
      <c r="J30" s="123"/>
      <c r="K30" s="123"/>
    </row>
    <row r="31" spans="1:11" ht="12.75" customHeight="1" x14ac:dyDescent="0.2">
      <c r="A31" s="90"/>
      <c r="B31" s="90" t="s">
        <v>224</v>
      </c>
      <c r="C31" s="90"/>
      <c r="D31" s="122">
        <v>-1038</v>
      </c>
      <c r="E31" s="122">
        <v>-1479</v>
      </c>
      <c r="F31" s="122">
        <v>-5748</v>
      </c>
      <c r="G31" s="123"/>
      <c r="H31" s="123"/>
      <c r="I31" s="123"/>
      <c r="J31" s="123"/>
      <c r="K31" s="123"/>
    </row>
    <row r="32" spans="1:11" ht="12.75" customHeight="1" x14ac:dyDescent="0.2">
      <c r="A32" s="90"/>
      <c r="B32" s="90" t="s">
        <v>225</v>
      </c>
      <c r="C32" s="90"/>
      <c r="D32" s="122">
        <v>-247</v>
      </c>
      <c r="E32" s="122">
        <v>-196</v>
      </c>
      <c r="F32" s="122">
        <v>-496</v>
      </c>
      <c r="G32" s="122"/>
      <c r="H32" s="122"/>
      <c r="I32" s="122"/>
      <c r="J32" s="122"/>
      <c r="K32" s="122"/>
    </row>
    <row r="33" spans="1:11" ht="12.75" customHeight="1" x14ac:dyDescent="0.2">
      <c r="A33" s="90"/>
      <c r="B33" s="90" t="s">
        <v>110</v>
      </c>
      <c r="C33" s="90"/>
      <c r="D33" s="122"/>
      <c r="E33" s="122"/>
      <c r="F33" s="122"/>
      <c r="G33" s="122"/>
      <c r="H33" s="122"/>
      <c r="I33" s="122"/>
      <c r="J33" s="122"/>
      <c r="K33" s="122"/>
    </row>
    <row r="34" spans="1:11" ht="12.75" customHeight="1" x14ac:dyDescent="0.2">
      <c r="A34" s="90"/>
      <c r="B34" s="90" t="s">
        <v>111</v>
      </c>
      <c r="C34" s="90"/>
      <c r="D34" s="122"/>
      <c r="E34" s="122"/>
      <c r="F34" s="122"/>
      <c r="G34" s="123"/>
      <c r="H34" s="123"/>
      <c r="I34" s="123"/>
      <c r="J34" s="123"/>
      <c r="K34" s="123"/>
    </row>
    <row r="35" spans="1:11" ht="12.75" customHeight="1" x14ac:dyDescent="0.2">
      <c r="A35" s="90"/>
      <c r="B35" s="90" t="s">
        <v>0</v>
      </c>
      <c r="C35" s="90"/>
      <c r="D35" s="126">
        <f>-272-9</f>
        <v>-281</v>
      </c>
      <c r="E35" s="126">
        <f>-71-330</f>
        <v>-401</v>
      </c>
      <c r="F35" s="126">
        <f>-67-312</f>
        <v>-379</v>
      </c>
      <c r="G35" s="126"/>
      <c r="H35" s="126"/>
      <c r="I35" s="126"/>
      <c r="J35" s="126"/>
      <c r="K35" s="126"/>
    </row>
    <row r="36" spans="1:11" ht="12.75" customHeight="1" x14ac:dyDescent="0.2">
      <c r="A36" s="90"/>
      <c r="B36" s="86" t="s">
        <v>226</v>
      </c>
      <c r="C36" s="90"/>
      <c r="D36" s="124">
        <f>SUM(D28:D35)</f>
        <v>-1147</v>
      </c>
      <c r="E36" s="124">
        <f t="shared" ref="E36:F36" si="3">SUM(E28:E35)</f>
        <v>-1147</v>
      </c>
      <c r="F36" s="124">
        <f t="shared" si="3"/>
        <v>-6488</v>
      </c>
      <c r="G36" s="124"/>
      <c r="H36" s="124"/>
      <c r="I36" s="124"/>
      <c r="J36" s="124"/>
      <c r="K36" s="124"/>
    </row>
    <row r="37" spans="1:11" ht="12.75" customHeight="1" x14ac:dyDescent="0.2">
      <c r="A37" s="90"/>
      <c r="B37" s="86"/>
      <c r="C37" s="90" t="s">
        <v>168</v>
      </c>
      <c r="D37" s="122">
        <v>-15</v>
      </c>
      <c r="E37" s="122">
        <v>70</v>
      </c>
      <c r="F37" s="122">
        <v>46</v>
      </c>
      <c r="G37" s="123"/>
      <c r="H37" s="123"/>
      <c r="I37" s="123"/>
      <c r="J37" s="123"/>
      <c r="K37" s="123"/>
    </row>
    <row r="38" spans="1:11" ht="21" customHeight="1" x14ac:dyDescent="0.2">
      <c r="A38" s="86" t="s">
        <v>101</v>
      </c>
      <c r="B38" s="86"/>
      <c r="C38" s="90"/>
      <c r="D38" s="119">
        <f>D20+D26+D36+D37</f>
        <v>2329</v>
      </c>
      <c r="E38" s="119">
        <f t="shared" ref="E38:F38" si="4">E20+E26+E36+E37</f>
        <v>3893</v>
      </c>
      <c r="F38" s="119">
        <f t="shared" si="4"/>
        <v>-1019</v>
      </c>
      <c r="G38" s="119"/>
      <c r="H38" s="119"/>
      <c r="I38" s="119"/>
      <c r="J38" s="119"/>
      <c r="K38" s="119"/>
    </row>
    <row r="39" spans="1:11" ht="21" customHeight="1" x14ac:dyDescent="0.2">
      <c r="A39" s="86" t="s">
        <v>18</v>
      </c>
      <c r="B39" s="90"/>
      <c r="C39" s="86"/>
      <c r="D39" s="119"/>
      <c r="E39" s="119"/>
      <c r="F39" s="119"/>
      <c r="G39" s="119"/>
      <c r="H39" s="119"/>
      <c r="I39" s="119"/>
      <c r="J39" s="119"/>
      <c r="K39" s="119"/>
    </row>
    <row r="40" spans="1:11" ht="12.75" customHeight="1" x14ac:dyDescent="0.2">
      <c r="A40" s="116"/>
      <c r="B40" s="116" t="s">
        <v>64</v>
      </c>
      <c r="C40" s="116"/>
      <c r="D40" s="127"/>
      <c r="E40" s="127"/>
      <c r="F40" s="127"/>
      <c r="G40" s="127"/>
      <c r="H40" s="127"/>
      <c r="I40" s="127"/>
      <c r="J40" s="127"/>
      <c r="K40" s="127"/>
    </row>
    <row r="41" spans="1:11" ht="12.75" customHeight="1" x14ac:dyDescent="0.2"/>
    <row r="42" spans="1:11" ht="12.75" customHeight="1" x14ac:dyDescent="0.2"/>
    <row r="43" spans="1:11" ht="12.75" customHeight="1" x14ac:dyDescent="0.2"/>
    <row r="44" spans="1:11" ht="12.75" customHeight="1" x14ac:dyDescent="0.2"/>
    <row r="45" spans="1:11" ht="12.75" customHeight="1" x14ac:dyDescent="0.2"/>
    <row r="46" spans="1:11" ht="12.75" customHeight="1" x14ac:dyDescent="0.2"/>
    <row r="47" spans="1:11" ht="12.75" customHeight="1" x14ac:dyDescent="0.2"/>
    <row r="48" spans="1:11" ht="12.75" customHeight="1" x14ac:dyDescent="0.2"/>
  </sheetData>
  <phoneticPr fontId="6" type="noConversion"/>
  <dataValidations count="1">
    <dataValidation type="list" allowBlank="1" showInputMessage="1" showErrorMessage="1" sqref="L10:L11" xr:uid="{00000000-0002-0000-0100-000000000000}">
      <formula1>"Y,N"</formula1>
    </dataValidation>
  </dataValidation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ignoredErrors>
    <ignoredError sqref="G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"/>
  <sheetViews>
    <sheetView tabSelected="1" workbookViewId="0">
      <pane xSplit="3" ySplit="5" topLeftCell="D26" activePane="bottomRight" state="frozen"/>
      <selection activeCell="D6" sqref="D6"/>
      <selection pane="topRight" activeCell="D6" sqref="D6"/>
      <selection pane="bottomLeft" activeCell="D6" sqref="D6"/>
      <selection pane="bottomRight" activeCell="D37" sqref="D37"/>
    </sheetView>
  </sheetViews>
  <sheetFormatPr defaultColWidth="9.140625" defaultRowHeight="20.100000000000001" customHeight="1" x14ac:dyDescent="0.2"/>
  <cols>
    <col min="1" max="2" width="2.7109375" style="2" customWidth="1"/>
    <col min="3" max="3" width="39.42578125" style="2" customWidth="1"/>
    <col min="4" max="5" width="9.7109375" style="4" customWidth="1"/>
    <col min="6" max="11" width="9.7109375" style="2" customWidth="1"/>
    <col min="12" max="16384" width="9.140625" style="2"/>
  </cols>
  <sheetData>
    <row r="1" spans="1:12" ht="58.5" customHeight="1" x14ac:dyDescent="0.2">
      <c r="B1" s="23"/>
      <c r="E1" s="26"/>
      <c r="F1" s="26"/>
      <c r="G1" s="26"/>
      <c r="H1" s="26"/>
      <c r="I1" s="26"/>
      <c r="J1" s="26"/>
      <c r="K1" s="26"/>
    </row>
    <row r="2" spans="1:12" ht="12.75" customHeight="1" x14ac:dyDescent="0.2">
      <c r="A2" s="24" t="s">
        <v>16</v>
      </c>
      <c r="B2" s="44"/>
      <c r="C2" s="24"/>
      <c r="D2" s="25"/>
      <c r="E2" s="25"/>
      <c r="F2" s="24"/>
      <c r="G2" s="24"/>
      <c r="H2" s="24"/>
      <c r="I2" s="24"/>
      <c r="J2" s="24"/>
      <c r="K2" s="24"/>
    </row>
    <row r="3" spans="1:12" ht="12.75" customHeight="1" x14ac:dyDescent="0.2">
      <c r="A3" s="5" t="str">
        <f>'Cash Flow Statement'!A3</f>
        <v>(in US$ millions)</v>
      </c>
      <c r="B3" s="5"/>
      <c r="C3" s="6"/>
      <c r="D3" s="34" t="s">
        <v>32</v>
      </c>
      <c r="E3" s="34"/>
      <c r="F3" s="36"/>
      <c r="G3" s="37" t="s">
        <v>33</v>
      </c>
      <c r="H3" s="38"/>
      <c r="I3" s="39"/>
      <c r="J3" s="38"/>
      <c r="K3" s="38"/>
      <c r="L3"/>
    </row>
    <row r="4" spans="1:12" ht="12.75" customHeight="1" x14ac:dyDescent="0.2">
      <c r="A4" s="5"/>
      <c r="B4" s="5"/>
      <c r="C4" s="6"/>
      <c r="D4" s="29"/>
      <c r="E4" s="29"/>
      <c r="F4" s="28"/>
      <c r="G4" s="28"/>
      <c r="H4" s="28"/>
      <c r="I4" s="28"/>
      <c r="J4" s="28"/>
      <c r="K4" s="28"/>
    </row>
    <row r="5" spans="1:12" ht="12.75" customHeight="1" x14ac:dyDescent="0.2">
      <c r="A5" s="146" t="s">
        <v>335</v>
      </c>
      <c r="B5" s="147"/>
      <c r="C5" s="148"/>
      <c r="D5" s="149">
        <f>'Income Statement'!D5</f>
        <v>2019</v>
      </c>
      <c r="E5" s="149">
        <f>'Income Statement'!E5</f>
        <v>2020</v>
      </c>
      <c r="F5" s="40">
        <f>'Income Statement'!F5</f>
        <v>2021</v>
      </c>
      <c r="G5" s="41">
        <f>'Income Statement'!G5</f>
        <v>2022</v>
      </c>
      <c r="H5" s="41">
        <f>'Income Statement'!H5</f>
        <v>2023</v>
      </c>
      <c r="I5" s="41">
        <f>'Income Statement'!I5</f>
        <v>2024</v>
      </c>
      <c r="J5" s="41">
        <f>'Income Statement'!J5</f>
        <v>2025</v>
      </c>
      <c r="K5" s="41">
        <f>'Income Statement'!K5</f>
        <v>2026</v>
      </c>
    </row>
    <row r="6" spans="1:12" ht="21" customHeight="1" x14ac:dyDescent="0.2">
      <c r="A6" s="145" t="s">
        <v>6</v>
      </c>
      <c r="B6" s="145"/>
      <c r="C6" s="145"/>
      <c r="D6" s="145"/>
      <c r="E6" s="145"/>
      <c r="F6" s="145"/>
      <c r="G6" s="119"/>
      <c r="H6" s="119"/>
      <c r="I6" s="119"/>
      <c r="J6" s="119"/>
      <c r="K6" s="119"/>
    </row>
    <row r="7" spans="1:12" ht="12.75" customHeight="1" x14ac:dyDescent="0.2">
      <c r="A7" s="90"/>
      <c r="B7" s="86" t="s">
        <v>65</v>
      </c>
      <c r="C7" s="90"/>
      <c r="D7" s="90"/>
      <c r="E7" s="90"/>
      <c r="F7" s="90"/>
      <c r="G7" s="123"/>
      <c r="H7" s="123"/>
      <c r="I7" s="123"/>
      <c r="J7" s="123"/>
      <c r="K7" s="123"/>
    </row>
    <row r="8" spans="1:12" ht="12.75" customHeight="1" x14ac:dyDescent="0.2">
      <c r="A8" s="90"/>
      <c r="B8" s="90"/>
      <c r="C8" s="90" t="s">
        <v>26</v>
      </c>
      <c r="D8" s="122">
        <v>9444</v>
      </c>
      <c r="E8" s="122">
        <v>13305</v>
      </c>
      <c r="F8" s="122">
        <v>12175</v>
      </c>
      <c r="G8" s="123"/>
      <c r="H8" s="123"/>
      <c r="I8" s="123"/>
      <c r="J8" s="123"/>
      <c r="K8" s="123"/>
    </row>
    <row r="9" spans="1:12" ht="12.75" customHeight="1" x14ac:dyDescent="0.2">
      <c r="A9" s="90"/>
      <c r="B9" s="90"/>
      <c r="C9" s="90" t="s">
        <v>233</v>
      </c>
      <c r="D9" s="122">
        <v>1535</v>
      </c>
      <c r="E9" s="122">
        <v>1550</v>
      </c>
      <c r="F9" s="122">
        <v>1803</v>
      </c>
      <c r="G9" s="123"/>
      <c r="H9" s="123"/>
      <c r="I9" s="123"/>
      <c r="J9" s="123"/>
      <c r="K9" s="123"/>
    </row>
    <row r="10" spans="1:12" ht="12.75" customHeight="1" x14ac:dyDescent="0.2">
      <c r="A10" s="90"/>
      <c r="B10" s="90"/>
      <c r="C10" s="90" t="s">
        <v>234</v>
      </c>
      <c r="D10" s="122">
        <v>11395</v>
      </c>
      <c r="E10" s="122">
        <v>12242</v>
      </c>
      <c r="F10" s="122">
        <v>14215</v>
      </c>
      <c r="G10" s="123"/>
      <c r="H10" s="123"/>
      <c r="I10" s="123"/>
      <c r="J10" s="123"/>
      <c r="K10" s="123"/>
    </row>
    <row r="11" spans="1:12" ht="12.75" customHeight="1" x14ac:dyDescent="0.2">
      <c r="A11" s="90"/>
      <c r="B11" s="90"/>
      <c r="C11" s="90" t="s">
        <v>235</v>
      </c>
      <c r="D11" s="122">
        <v>1111</v>
      </c>
      <c r="E11" s="122">
        <v>1023</v>
      </c>
      <c r="F11" s="122">
        <v>1312</v>
      </c>
      <c r="G11" s="123"/>
      <c r="H11" s="123"/>
      <c r="I11" s="123"/>
      <c r="J11" s="123"/>
      <c r="K11" s="123"/>
    </row>
    <row r="12" spans="1:12" ht="12.75" customHeight="1" x14ac:dyDescent="0.2">
      <c r="A12" s="90"/>
      <c r="B12" s="90"/>
      <c r="C12" s="86" t="s">
        <v>28</v>
      </c>
      <c r="D12" s="119">
        <f>SUM(D8:D11)</f>
        <v>23485</v>
      </c>
      <c r="E12" s="119">
        <f t="shared" ref="E12:F12" si="0">SUM(E8:E11)</f>
        <v>28120</v>
      </c>
      <c r="F12" s="119">
        <f t="shared" si="0"/>
        <v>29505</v>
      </c>
      <c r="G12" s="119"/>
      <c r="H12" s="119"/>
      <c r="I12" s="119"/>
      <c r="J12" s="119"/>
      <c r="K12" s="119"/>
    </row>
    <row r="13" spans="1:12" ht="12.75" customHeight="1" x14ac:dyDescent="0.2">
      <c r="A13" s="90"/>
      <c r="B13" s="90" t="s">
        <v>30</v>
      </c>
      <c r="C13" s="90"/>
      <c r="D13" s="122">
        <v>20890</v>
      </c>
      <c r="E13" s="122">
        <v>24595</v>
      </c>
      <c r="F13" s="122">
        <v>26382</v>
      </c>
      <c r="G13" s="123"/>
      <c r="H13" s="123"/>
      <c r="I13" s="123"/>
      <c r="J13" s="123"/>
      <c r="K13" s="123"/>
    </row>
    <row r="14" spans="1:12" ht="12.75" customHeight="1" x14ac:dyDescent="0.2">
      <c r="A14" s="90"/>
      <c r="B14" s="90" t="s">
        <v>7</v>
      </c>
      <c r="C14" s="90"/>
      <c r="D14" s="122"/>
      <c r="E14" s="122"/>
      <c r="F14" s="122"/>
      <c r="G14" s="123"/>
      <c r="H14" s="123"/>
      <c r="I14" s="123"/>
      <c r="J14" s="123"/>
      <c r="K14" s="123"/>
    </row>
    <row r="15" spans="1:12" ht="12.75" customHeight="1" x14ac:dyDescent="0.2">
      <c r="A15" s="90"/>
      <c r="B15" s="90" t="s">
        <v>112</v>
      </c>
      <c r="C15" s="90"/>
      <c r="D15" s="126">
        <v>1025</v>
      </c>
      <c r="E15" s="126">
        <v>2841</v>
      </c>
      <c r="F15" s="126">
        <v>3381</v>
      </c>
      <c r="G15" s="128"/>
      <c r="H15" s="128"/>
      <c r="I15" s="128"/>
      <c r="J15" s="128"/>
      <c r="K15" s="128"/>
    </row>
    <row r="16" spans="1:12" ht="12.75" customHeight="1" x14ac:dyDescent="0.2">
      <c r="A16" s="90"/>
      <c r="B16" s="86" t="s">
        <v>66</v>
      </c>
      <c r="C16" s="86"/>
      <c r="D16" s="119">
        <f>SUM(D12:D15)</f>
        <v>45400</v>
      </c>
      <c r="E16" s="119">
        <f t="shared" ref="E16:F16" si="1">SUM(E12:E15)</f>
        <v>55556</v>
      </c>
      <c r="F16" s="119">
        <f t="shared" si="1"/>
        <v>59268</v>
      </c>
      <c r="G16" s="119"/>
      <c r="H16" s="119"/>
      <c r="I16" s="119"/>
      <c r="J16" s="119"/>
      <c r="K16" s="119"/>
    </row>
    <row r="17" spans="1:11" ht="21" customHeight="1" x14ac:dyDescent="0.2">
      <c r="A17" s="86" t="s">
        <v>8</v>
      </c>
      <c r="B17" s="90"/>
      <c r="C17" s="86"/>
      <c r="D17" s="125"/>
      <c r="E17" s="86"/>
      <c r="F17" s="86"/>
      <c r="G17" s="86"/>
      <c r="H17" s="86"/>
      <c r="I17" s="86"/>
      <c r="J17" s="86"/>
      <c r="K17" s="86"/>
    </row>
    <row r="18" spans="1:11" ht="12.75" customHeight="1" x14ac:dyDescent="0.2">
      <c r="A18" s="90"/>
      <c r="B18" s="86" t="s">
        <v>67</v>
      </c>
      <c r="C18" s="90"/>
      <c r="D18" s="90"/>
      <c r="E18" s="90"/>
      <c r="F18" s="90"/>
      <c r="G18" s="90"/>
      <c r="H18" s="90"/>
      <c r="I18" s="90"/>
      <c r="J18" s="90"/>
      <c r="K18" s="90"/>
    </row>
    <row r="19" spans="1:11" ht="12.75" customHeight="1" x14ac:dyDescent="0.2">
      <c r="A19" s="90"/>
      <c r="B19" s="90"/>
      <c r="C19" s="90" t="s">
        <v>27</v>
      </c>
      <c r="D19" s="122">
        <v>11679</v>
      </c>
      <c r="E19" s="122">
        <v>14172</v>
      </c>
      <c r="F19" s="122">
        <v>16278</v>
      </c>
      <c r="G19" s="123"/>
      <c r="H19" s="123"/>
      <c r="I19" s="123"/>
      <c r="J19" s="123"/>
      <c r="K19" s="123"/>
    </row>
    <row r="20" spans="1:11" ht="12.75" customHeight="1" x14ac:dyDescent="0.2">
      <c r="A20" s="90"/>
      <c r="B20" s="103"/>
      <c r="C20" s="90" t="s">
        <v>420</v>
      </c>
      <c r="D20" s="137">
        <v>1711</v>
      </c>
      <c r="E20" s="122">
        <v>1851</v>
      </c>
      <c r="F20" s="122">
        <v>2042</v>
      </c>
      <c r="G20" s="123"/>
      <c r="H20" s="123"/>
      <c r="I20" s="123"/>
      <c r="J20" s="123"/>
      <c r="K20" s="123"/>
    </row>
    <row r="21" spans="1:11" ht="12.75" customHeight="1" x14ac:dyDescent="0.2">
      <c r="A21" s="90"/>
      <c r="B21" s="103"/>
      <c r="C21" s="90" t="s">
        <v>421</v>
      </c>
      <c r="D21" s="137">
        <v>1699</v>
      </c>
      <c r="E21" s="122">
        <v>95</v>
      </c>
      <c r="F21" s="122">
        <v>799</v>
      </c>
      <c r="G21" s="123"/>
      <c r="H21" s="123"/>
      <c r="I21" s="123"/>
      <c r="J21" s="123"/>
      <c r="K21" s="123"/>
    </row>
    <row r="22" spans="1:11" ht="12.75" customHeight="1" x14ac:dyDescent="0.2">
      <c r="A22" s="90"/>
      <c r="B22" s="90"/>
      <c r="C22" s="90" t="s">
        <v>422</v>
      </c>
      <c r="D22" s="624">
        <v>8148</v>
      </c>
      <c r="E22" s="624">
        <v>8726</v>
      </c>
      <c r="F22" s="624">
        <v>10322</v>
      </c>
      <c r="G22" s="711"/>
      <c r="H22" s="711"/>
      <c r="I22" s="711"/>
      <c r="J22" s="711"/>
      <c r="K22" s="711"/>
    </row>
    <row r="23" spans="1:11" ht="12.75" customHeight="1" x14ac:dyDescent="0.2">
      <c r="A23" s="90"/>
      <c r="B23" s="90"/>
      <c r="C23" s="86" t="s">
        <v>29</v>
      </c>
      <c r="D23" s="119">
        <f>SUM(D19:D22)</f>
        <v>23237</v>
      </c>
      <c r="E23" s="119">
        <f t="shared" ref="E23:F23" si="2">SUM(E19:E22)</f>
        <v>24844</v>
      </c>
      <c r="F23" s="119">
        <f t="shared" si="2"/>
        <v>29441</v>
      </c>
      <c r="G23" s="119"/>
      <c r="H23" s="119"/>
      <c r="I23" s="119"/>
      <c r="J23" s="119"/>
      <c r="K23" s="119"/>
    </row>
    <row r="24" spans="1:11" ht="12.75" customHeight="1" x14ac:dyDescent="0.2">
      <c r="A24" s="90"/>
      <c r="B24" s="90" t="s">
        <v>35</v>
      </c>
      <c r="C24" s="90"/>
      <c r="D24" s="122">
        <v>5124</v>
      </c>
      <c r="E24" s="122">
        <v>10072</v>
      </c>
      <c r="F24" s="122">
        <v>9334</v>
      </c>
      <c r="G24" s="123"/>
      <c r="H24" s="123"/>
      <c r="I24" s="123"/>
      <c r="J24" s="123"/>
      <c r="K24" s="123"/>
    </row>
    <row r="25" spans="1:11" ht="12.75" customHeight="1" x14ac:dyDescent="0.2">
      <c r="A25" s="90"/>
      <c r="B25" s="90" t="s">
        <v>423</v>
      </c>
      <c r="C25" s="90"/>
      <c r="D25" s="122">
        <v>1455</v>
      </c>
      <c r="E25" s="122">
        <v>1935</v>
      </c>
      <c r="F25" s="122">
        <v>2415</v>
      </c>
      <c r="G25" s="123"/>
      <c r="H25" s="123"/>
      <c r="I25" s="123"/>
      <c r="J25" s="123"/>
      <c r="K25" s="123"/>
    </row>
    <row r="26" spans="1:11" ht="12.75" customHeight="1" x14ac:dyDescent="0.2">
      <c r="A26" s="90"/>
      <c r="B26" s="86" t="s">
        <v>68</v>
      </c>
      <c r="C26" s="86"/>
      <c r="D26" s="119">
        <f>SUM(D23:D25)</f>
        <v>29816</v>
      </c>
      <c r="E26" s="119">
        <f t="shared" ref="E26:F26" si="3">SUM(E23:E25)</f>
        <v>36851</v>
      </c>
      <c r="F26" s="119">
        <f t="shared" si="3"/>
        <v>41190</v>
      </c>
      <c r="G26" s="119"/>
      <c r="H26" s="119"/>
      <c r="I26" s="119"/>
      <c r="J26" s="119"/>
      <c r="K26" s="119"/>
    </row>
    <row r="27" spans="1:11" ht="21" customHeight="1" x14ac:dyDescent="0.2">
      <c r="A27" s="86" t="s">
        <v>398</v>
      </c>
      <c r="B27" s="90"/>
      <c r="C27" s="86"/>
      <c r="D27" s="86"/>
      <c r="E27" s="86"/>
      <c r="F27" s="86"/>
      <c r="G27" s="86"/>
      <c r="H27" s="125"/>
      <c r="I27" s="86"/>
      <c r="J27" s="86"/>
      <c r="K27" s="86"/>
    </row>
    <row r="28" spans="1:11" ht="12.75" customHeight="1" x14ac:dyDescent="0.2">
      <c r="A28" s="90"/>
      <c r="B28" s="90" t="s">
        <v>103</v>
      </c>
      <c r="C28" s="90"/>
      <c r="D28" s="122">
        <v>6421</v>
      </c>
      <c r="E28" s="122">
        <v>6702</v>
      </c>
      <c r="F28" s="122">
        <v>7035</v>
      </c>
      <c r="G28" s="11"/>
      <c r="H28" s="11"/>
      <c r="I28" s="11"/>
      <c r="J28" s="11"/>
      <c r="K28" s="11"/>
    </row>
    <row r="29" spans="1:11" ht="12.75" customHeight="1" x14ac:dyDescent="0.2">
      <c r="A29" s="90"/>
      <c r="B29" s="90" t="s">
        <v>69</v>
      </c>
      <c r="C29" s="90"/>
      <c r="D29" s="122">
        <v>10258</v>
      </c>
      <c r="E29" s="122">
        <v>12879</v>
      </c>
      <c r="F29" s="122">
        <v>11666</v>
      </c>
      <c r="G29" s="123"/>
      <c r="H29" s="123"/>
      <c r="I29" s="123"/>
      <c r="J29" s="123"/>
      <c r="K29" s="123"/>
    </row>
    <row r="30" spans="1:11" ht="12.75" customHeight="1" x14ac:dyDescent="0.2">
      <c r="A30" s="90"/>
      <c r="B30" s="90" t="s">
        <v>31</v>
      </c>
      <c r="C30" s="90"/>
      <c r="D30" s="126">
        <v>-1436</v>
      </c>
      <c r="E30" s="126">
        <v>-1297</v>
      </c>
      <c r="F30" s="126">
        <v>-1137</v>
      </c>
      <c r="G30" s="128"/>
      <c r="H30" s="128"/>
      <c r="I30" s="128"/>
      <c r="J30" s="128"/>
      <c r="K30" s="128"/>
    </row>
    <row r="31" spans="1:11" ht="12.75" customHeight="1" x14ac:dyDescent="0.2">
      <c r="A31" s="90"/>
      <c r="B31" s="86" t="s">
        <v>399</v>
      </c>
      <c r="C31" s="86"/>
      <c r="D31" s="124">
        <f>SUM(D28:D30)</f>
        <v>15243</v>
      </c>
      <c r="E31" s="124">
        <f t="shared" ref="E31:F31" si="4">SUM(E28:E30)</f>
        <v>18284</v>
      </c>
      <c r="F31" s="124">
        <f t="shared" si="4"/>
        <v>17564</v>
      </c>
      <c r="G31" s="124"/>
      <c r="H31" s="124"/>
      <c r="I31" s="124"/>
      <c r="J31" s="124"/>
      <c r="K31" s="124"/>
    </row>
    <row r="32" spans="1:11" ht="12.75" customHeight="1" x14ac:dyDescent="0.2">
      <c r="A32" s="90"/>
      <c r="B32" s="86"/>
      <c r="C32" s="86" t="s">
        <v>114</v>
      </c>
      <c r="D32" s="712">
        <v>341</v>
      </c>
      <c r="E32" s="122">
        <v>421</v>
      </c>
      <c r="F32" s="122">
        <v>514</v>
      </c>
      <c r="G32" s="123"/>
      <c r="H32" s="123"/>
      <c r="I32" s="123"/>
      <c r="J32" s="123"/>
      <c r="K32" s="123"/>
    </row>
    <row r="33" spans="1:11" ht="21" customHeight="1" thickBot="1" x14ac:dyDescent="0.25">
      <c r="A33" s="90"/>
      <c r="B33" s="86" t="s">
        <v>240</v>
      </c>
      <c r="C33" s="86"/>
      <c r="D33" s="169">
        <f>D26+D31+D32</f>
        <v>45400</v>
      </c>
      <c r="E33" s="169">
        <f t="shared" ref="E33:F33" si="5">E26+E31+E32</f>
        <v>55556</v>
      </c>
      <c r="F33" s="169">
        <f t="shared" si="5"/>
        <v>59268</v>
      </c>
      <c r="G33" s="169"/>
      <c r="H33" s="169"/>
      <c r="I33" s="169"/>
      <c r="J33" s="169"/>
      <c r="K33" s="169"/>
    </row>
    <row r="34" spans="1:11" ht="21" customHeight="1" thickTop="1" x14ac:dyDescent="0.2">
      <c r="A34" s="86" t="s">
        <v>18</v>
      </c>
      <c r="B34" s="90"/>
      <c r="C34" s="86"/>
      <c r="D34" s="119"/>
      <c r="E34" s="119"/>
      <c r="F34" s="119"/>
      <c r="G34" s="119"/>
      <c r="H34" s="119"/>
      <c r="I34" s="119"/>
      <c r="J34" s="119"/>
      <c r="K34" s="119"/>
    </row>
    <row r="35" spans="1:11" ht="12.75" customHeight="1" x14ac:dyDescent="0.2">
      <c r="A35" s="116"/>
      <c r="B35" s="143" t="s">
        <v>9</v>
      </c>
      <c r="C35" s="116"/>
      <c r="D35" s="168"/>
      <c r="E35" s="168" t="str">
        <f>IF(ROUND(E16-E33,1)=0,"Y","N")</f>
        <v>Y</v>
      </c>
      <c r="F35" s="168" t="str">
        <f>IF(ROUND(F16-F33,1)=0,"Y","N")</f>
        <v>Y</v>
      </c>
      <c r="G35" s="168" t="str">
        <f>IF(ROUND(G16-G33,1)=0,"Y","N")</f>
        <v>Y</v>
      </c>
      <c r="H35" s="168" t="str">
        <f>IF(ROUND(H16-H33,1)=0,"Y","N")</f>
        <v>Y</v>
      </c>
      <c r="I35" s="168" t="str">
        <f>IF(ROUND(I16-I33,1)=0,"Y","N")</f>
        <v>Y</v>
      </c>
      <c r="J35" s="168" t="str">
        <f>IF(ROUND(J16-J33,1)=0,"Y","N")</f>
        <v>Y</v>
      </c>
      <c r="K35" s="168" t="str">
        <f>IF(ROUND(K16-K33,1)=0,"Y","N")</f>
        <v>Y</v>
      </c>
    </row>
    <row r="36" spans="1:11" ht="12.75" customHeight="1" x14ac:dyDescent="0.2">
      <c r="D36" s="10"/>
      <c r="E36" s="10"/>
      <c r="F36" s="10"/>
      <c r="G36" s="10"/>
      <c r="H36" s="10"/>
      <c r="I36" s="10"/>
      <c r="J36" s="10"/>
      <c r="K36" s="10"/>
    </row>
    <row r="37" spans="1:11" ht="12.75" customHeight="1" x14ac:dyDescent="0.2">
      <c r="F37" s="4"/>
      <c r="G37" s="4"/>
      <c r="H37" s="4"/>
      <c r="I37" s="4"/>
      <c r="J37" s="4"/>
      <c r="K37" s="4"/>
    </row>
    <row r="38" spans="1:11" ht="12.75" customHeight="1" x14ac:dyDescent="0.2">
      <c r="F38" s="4"/>
      <c r="G38" s="4"/>
      <c r="H38" s="4"/>
      <c r="I38" s="4"/>
      <c r="J38" s="4"/>
      <c r="K38" s="4"/>
    </row>
    <row r="39" spans="1:11" ht="12.75" customHeight="1" x14ac:dyDescent="0.2"/>
    <row r="40" spans="1:11" ht="12.75" customHeight="1" x14ac:dyDescent="0.2"/>
    <row r="41" spans="1:11" ht="12.75" customHeight="1" x14ac:dyDescent="0.2"/>
    <row r="42" spans="1:11" ht="12.75" customHeight="1" x14ac:dyDescent="0.2"/>
    <row r="43" spans="1:11" ht="12.75" customHeight="1" x14ac:dyDescent="0.2"/>
    <row r="44" spans="1:11" ht="12.75" customHeight="1" x14ac:dyDescent="0.2"/>
    <row r="45" spans="1:11" ht="12.75" customHeight="1" x14ac:dyDescent="0.2"/>
    <row r="46" spans="1:11" ht="12.75" customHeight="1" x14ac:dyDescent="0.2"/>
    <row r="47" spans="1:11" ht="12.75" customHeight="1" x14ac:dyDescent="0.2"/>
    <row r="48" spans="1:11" ht="12.75" customHeight="1" x14ac:dyDescent="0.2"/>
    <row r="49" ht="12.75" customHeight="1" x14ac:dyDescent="0.2"/>
  </sheetData>
  <phoneticPr fontId="6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4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7" sqref="D7"/>
    </sheetView>
  </sheetViews>
  <sheetFormatPr defaultColWidth="9.140625" defaultRowHeight="20.100000000000001" customHeight="1" x14ac:dyDescent="0.2"/>
  <cols>
    <col min="1" max="2" width="2.7109375" style="2" customWidth="1"/>
    <col min="3" max="3" width="35" style="2" customWidth="1"/>
    <col min="4" max="5" width="9.7109375" style="4" customWidth="1"/>
    <col min="6" max="11" width="9.7109375" style="2" customWidth="1"/>
    <col min="12" max="16384" width="9.140625" style="2"/>
  </cols>
  <sheetData>
    <row r="1" spans="1:11" ht="59.25" customHeight="1" x14ac:dyDescent="0.2">
      <c r="A1" s="26"/>
      <c r="B1" s="26"/>
      <c r="C1" s="26"/>
      <c r="D1" s="27"/>
      <c r="E1" s="27"/>
      <c r="F1" s="26"/>
      <c r="G1" s="26"/>
      <c r="H1" s="26"/>
      <c r="I1" s="26"/>
      <c r="J1" s="26"/>
      <c r="K1" s="26"/>
    </row>
    <row r="2" spans="1:11" ht="12.75" customHeight="1" x14ac:dyDescent="0.2">
      <c r="A2" s="24" t="s">
        <v>3</v>
      </c>
      <c r="B2" s="24"/>
      <c r="C2" s="24"/>
      <c r="D2" s="25"/>
      <c r="E2" s="25"/>
      <c r="F2" s="24"/>
      <c r="G2" s="24"/>
      <c r="H2" s="24"/>
      <c r="I2" s="24"/>
      <c r="J2" s="24"/>
      <c r="K2" s="24"/>
    </row>
    <row r="3" spans="1:11" ht="12.75" customHeight="1" x14ac:dyDescent="0.2">
      <c r="A3" s="5" t="str">
        <f>'Cash Flow Statement'!A3</f>
        <v>(in US$ millions)</v>
      </c>
      <c r="B3" s="6"/>
      <c r="C3" s="6"/>
      <c r="D3" s="34" t="s">
        <v>32</v>
      </c>
      <c r="E3" s="34"/>
      <c r="F3" s="36"/>
      <c r="G3" s="37" t="s">
        <v>33</v>
      </c>
      <c r="H3" s="38"/>
      <c r="I3" s="39"/>
      <c r="J3" s="38"/>
      <c r="K3" s="38"/>
    </row>
    <row r="4" spans="1:11" ht="12.75" customHeight="1" x14ac:dyDescent="0.2">
      <c r="A4" s="5"/>
      <c r="B4" s="6"/>
      <c r="C4" s="6"/>
      <c r="D4" s="29"/>
      <c r="E4" s="29"/>
      <c r="F4" s="28"/>
      <c r="G4" s="28"/>
      <c r="H4" s="28"/>
      <c r="I4" s="28"/>
      <c r="J4" s="28"/>
      <c r="K4" s="28"/>
    </row>
    <row r="5" spans="1:11" ht="12.75" customHeight="1" x14ac:dyDescent="0.2">
      <c r="A5" s="30" t="s">
        <v>334</v>
      </c>
      <c r="B5" s="31"/>
      <c r="C5" s="32"/>
      <c r="D5" s="663">
        <f>'Income Statement'!D5</f>
        <v>2019</v>
      </c>
      <c r="E5" s="40">
        <f>'Income Statement'!E5</f>
        <v>2020</v>
      </c>
      <c r="F5" s="40">
        <f>'Income Statement'!F5</f>
        <v>2021</v>
      </c>
      <c r="G5" s="41">
        <f>'Income Statement'!G5</f>
        <v>2022</v>
      </c>
      <c r="H5" s="41">
        <f>'Income Statement'!H5</f>
        <v>2023</v>
      </c>
      <c r="I5" s="41">
        <f>'Income Statement'!I5</f>
        <v>2024</v>
      </c>
      <c r="J5" s="41">
        <f>'Income Statement'!J5</f>
        <v>2025</v>
      </c>
      <c r="K5" s="41">
        <f>'Income Statement'!K5</f>
        <v>2026</v>
      </c>
    </row>
    <row r="6" spans="1:11" ht="12.75" customHeight="1" x14ac:dyDescent="0.2">
      <c r="A6" s="86"/>
      <c r="B6" s="86" t="s">
        <v>410</v>
      </c>
      <c r="C6" s="129"/>
      <c r="D6" s="171"/>
      <c r="E6" s="130"/>
      <c r="F6" s="130"/>
      <c r="G6" s="131"/>
      <c r="H6" s="130"/>
      <c r="I6" s="130"/>
      <c r="J6" s="130"/>
      <c r="K6" s="130"/>
    </row>
    <row r="7" spans="1:11" ht="12.75" customHeight="1" x14ac:dyDescent="0.2">
      <c r="A7" s="86"/>
      <c r="B7" s="86" t="s">
        <v>411</v>
      </c>
      <c r="C7" s="86"/>
      <c r="D7" s="129"/>
      <c r="E7" s="129"/>
      <c r="F7" s="129"/>
      <c r="G7" s="131"/>
      <c r="H7" s="131"/>
      <c r="I7" s="131"/>
      <c r="J7" s="131"/>
      <c r="K7" s="131"/>
    </row>
    <row r="8" spans="1:11" ht="21" customHeight="1" x14ac:dyDescent="0.2">
      <c r="A8" s="86" t="s">
        <v>229</v>
      </c>
      <c r="B8" s="90"/>
      <c r="C8" s="86"/>
      <c r="D8" s="132"/>
      <c r="E8" s="132"/>
      <c r="F8" s="132"/>
      <c r="G8" s="90"/>
      <c r="H8" s="133"/>
      <c r="I8" s="133"/>
      <c r="J8" s="133"/>
      <c r="K8" s="133"/>
    </row>
    <row r="9" spans="1:11" ht="12" x14ac:dyDescent="0.2">
      <c r="A9" s="86"/>
      <c r="B9" s="86" t="s">
        <v>230</v>
      </c>
      <c r="C9" s="86"/>
      <c r="D9" s="132"/>
      <c r="E9" s="132"/>
      <c r="F9" s="132"/>
      <c r="G9" s="90"/>
      <c r="H9" s="133"/>
      <c r="I9" s="133"/>
      <c r="J9" s="133"/>
      <c r="K9" s="133"/>
    </row>
    <row r="10" spans="1:11" ht="12" x14ac:dyDescent="0.2">
      <c r="A10" s="86"/>
      <c r="B10" s="90"/>
      <c r="C10" s="90" t="s">
        <v>228</v>
      </c>
      <c r="D10" s="132"/>
      <c r="E10" s="132"/>
      <c r="F10" s="132"/>
      <c r="G10" s="134"/>
      <c r="H10" s="133"/>
      <c r="I10" s="133"/>
      <c r="J10" s="133"/>
      <c r="K10" s="133"/>
    </row>
    <row r="11" spans="1:11" ht="12.75" customHeight="1" x14ac:dyDescent="0.2">
      <c r="A11" s="86"/>
      <c r="B11" s="90"/>
      <c r="C11" s="90" t="s">
        <v>231</v>
      </c>
      <c r="D11" s="134"/>
      <c r="E11" s="134"/>
      <c r="F11" s="134"/>
      <c r="G11" s="134"/>
      <c r="H11" s="134"/>
      <c r="I11" s="134"/>
      <c r="J11" s="134"/>
      <c r="K11" s="134"/>
    </row>
    <row r="12" spans="1:11" ht="12.75" customHeight="1" x14ac:dyDescent="0.2">
      <c r="A12" s="86"/>
      <c r="B12" s="86" t="s">
        <v>3</v>
      </c>
      <c r="C12" s="90"/>
      <c r="D12" s="134"/>
      <c r="E12" s="134"/>
      <c r="F12" s="134"/>
      <c r="G12" s="134"/>
      <c r="H12" s="134"/>
      <c r="I12" s="134"/>
      <c r="J12" s="134"/>
      <c r="K12" s="134"/>
    </row>
    <row r="13" spans="1:11" ht="12.75" customHeight="1" x14ac:dyDescent="0.2">
      <c r="A13" s="86"/>
      <c r="B13" s="90"/>
      <c r="C13" s="135" t="s">
        <v>11</v>
      </c>
      <c r="D13" s="136"/>
      <c r="E13" s="136"/>
      <c r="F13" s="136"/>
      <c r="G13" s="136"/>
      <c r="H13" s="136"/>
      <c r="I13" s="136"/>
      <c r="J13" s="136"/>
      <c r="K13" s="136"/>
    </row>
    <row r="14" spans="1:11" ht="12.75" customHeight="1" x14ac:dyDescent="0.2">
      <c r="A14" s="90"/>
      <c r="B14" s="90"/>
      <c r="C14" s="135" t="str">
        <f>G$5&amp;" CAPEX"</f>
        <v>2022 CAPEX</v>
      </c>
      <c r="D14" s="137"/>
      <c r="E14" s="138"/>
      <c r="F14" s="138"/>
      <c r="G14" s="138"/>
      <c r="H14" s="138"/>
      <c r="I14" s="138"/>
      <c r="J14" s="138"/>
      <c r="K14" s="138"/>
    </row>
    <row r="15" spans="1:11" ht="12.75" customHeight="1" x14ac:dyDescent="0.2">
      <c r="A15" s="90"/>
      <c r="B15" s="90"/>
      <c r="C15" s="135" t="str">
        <f>H$5&amp;" CAPEX"</f>
        <v>2023 CAPEX</v>
      </c>
      <c r="D15" s="137"/>
      <c r="E15" s="138"/>
      <c r="F15" s="138"/>
      <c r="G15" s="138"/>
      <c r="H15" s="138"/>
      <c r="I15" s="138"/>
      <c r="J15" s="138"/>
      <c r="K15" s="138"/>
    </row>
    <row r="16" spans="1:11" ht="12.75" customHeight="1" x14ac:dyDescent="0.2">
      <c r="A16" s="86"/>
      <c r="B16" s="90"/>
      <c r="C16" s="135" t="str">
        <f>I$5&amp;" CAPEX"</f>
        <v>2024 CAPEX</v>
      </c>
      <c r="D16" s="139"/>
      <c r="E16" s="139"/>
      <c r="F16" s="139"/>
      <c r="G16" s="139"/>
      <c r="H16" s="139"/>
      <c r="I16" s="138"/>
      <c r="J16" s="138"/>
      <c r="K16" s="138"/>
    </row>
    <row r="17" spans="1:11" ht="12.75" customHeight="1" x14ac:dyDescent="0.2">
      <c r="A17" s="86"/>
      <c r="B17" s="90"/>
      <c r="C17" s="135" t="str">
        <f>J$5&amp;" CAPEX"</f>
        <v>2025 CAPEX</v>
      </c>
      <c r="D17" s="138"/>
      <c r="E17" s="138"/>
      <c r="F17" s="138"/>
      <c r="G17" s="138"/>
      <c r="H17" s="138"/>
      <c r="I17" s="138"/>
      <c r="J17" s="138"/>
      <c r="K17" s="138"/>
    </row>
    <row r="18" spans="1:11" ht="12.75" customHeight="1" x14ac:dyDescent="0.2">
      <c r="A18" s="86"/>
      <c r="B18" s="90"/>
      <c r="C18" s="135" t="str">
        <f>K$5&amp;" CAPEX"</f>
        <v>2026 CAPEX</v>
      </c>
      <c r="D18" s="137"/>
      <c r="E18" s="138"/>
      <c r="F18" s="138"/>
      <c r="G18" s="138"/>
      <c r="H18" s="138"/>
      <c r="I18" s="138"/>
      <c r="J18" s="138"/>
      <c r="K18" s="138"/>
    </row>
    <row r="19" spans="1:11" ht="12.75" customHeight="1" x14ac:dyDescent="0.2">
      <c r="A19" s="86"/>
      <c r="B19" s="86" t="s">
        <v>70</v>
      </c>
      <c r="C19" s="86"/>
      <c r="D19" s="119"/>
      <c r="E19" s="119"/>
      <c r="F19" s="119"/>
      <c r="G19" s="119"/>
      <c r="H19" s="119"/>
      <c r="I19" s="119"/>
      <c r="J19" s="119"/>
      <c r="K19" s="119"/>
    </row>
    <row r="20" spans="1:11" ht="21" customHeight="1" x14ac:dyDescent="0.2">
      <c r="A20" s="86" t="s">
        <v>71</v>
      </c>
      <c r="B20" s="90"/>
      <c r="C20" s="86"/>
      <c r="D20" s="132"/>
      <c r="E20" s="132"/>
      <c r="F20" s="132"/>
      <c r="G20" s="133"/>
      <c r="H20" s="133"/>
      <c r="I20" s="133"/>
      <c r="J20" s="133"/>
      <c r="K20" s="133"/>
    </row>
    <row r="21" spans="1:11" ht="12.75" customHeight="1" x14ac:dyDescent="0.2">
      <c r="A21" s="86"/>
      <c r="B21" s="90"/>
      <c r="C21" s="135" t="s">
        <v>11</v>
      </c>
      <c r="D21" s="140"/>
      <c r="E21" s="140"/>
      <c r="F21" s="140"/>
      <c r="G21" s="141"/>
      <c r="H21" s="141"/>
      <c r="I21" s="141"/>
      <c r="J21" s="141"/>
      <c r="K21" s="141"/>
    </row>
    <row r="22" spans="1:11" ht="12.75" customHeight="1" x14ac:dyDescent="0.2">
      <c r="A22" s="90"/>
      <c r="B22" s="90"/>
      <c r="C22" s="135" t="str">
        <f>G$5&amp;" CAPEX"</f>
        <v>2022 CAPEX</v>
      </c>
      <c r="D22" s="137"/>
      <c r="E22" s="138"/>
      <c r="F22" s="138"/>
      <c r="G22" s="141"/>
      <c r="H22" s="141"/>
      <c r="I22" s="141"/>
      <c r="J22" s="141"/>
      <c r="K22" s="141"/>
    </row>
    <row r="23" spans="1:11" ht="12.75" customHeight="1" x14ac:dyDescent="0.2">
      <c r="A23" s="90"/>
      <c r="B23" s="90"/>
      <c r="C23" s="135" t="str">
        <f>H$5&amp;" CAPEX"</f>
        <v>2023 CAPEX</v>
      </c>
      <c r="D23" s="137"/>
      <c r="E23" s="138"/>
      <c r="F23" s="138"/>
      <c r="G23" s="138"/>
      <c r="H23" s="141"/>
      <c r="I23" s="141"/>
      <c r="J23" s="141"/>
      <c r="K23" s="141"/>
    </row>
    <row r="24" spans="1:11" ht="12.75" customHeight="1" x14ac:dyDescent="0.2">
      <c r="A24" s="90"/>
      <c r="B24" s="90"/>
      <c r="C24" s="135" t="str">
        <f>I$5&amp;" CAPEX"</f>
        <v>2024 CAPEX</v>
      </c>
      <c r="D24" s="139"/>
      <c r="E24" s="139"/>
      <c r="F24" s="139"/>
      <c r="G24" s="139"/>
      <c r="H24" s="139"/>
      <c r="I24" s="141"/>
      <c r="J24" s="141"/>
      <c r="K24" s="141"/>
    </row>
    <row r="25" spans="1:11" ht="12.75" customHeight="1" x14ac:dyDescent="0.2">
      <c r="A25" s="86"/>
      <c r="B25" s="90"/>
      <c r="C25" s="135" t="str">
        <f>J$5&amp;" CAPEX"</f>
        <v>2025 CAPEX</v>
      </c>
      <c r="D25" s="138"/>
      <c r="E25" s="138"/>
      <c r="F25" s="138"/>
      <c r="G25" s="138"/>
      <c r="H25" s="138"/>
      <c r="I25" s="138"/>
      <c r="J25" s="141"/>
      <c r="K25" s="141"/>
    </row>
    <row r="26" spans="1:11" ht="12.75" customHeight="1" x14ac:dyDescent="0.2">
      <c r="A26" s="90"/>
      <c r="B26" s="90"/>
      <c r="C26" s="135" t="str">
        <f>K$5&amp;" CAPEX"</f>
        <v>2026 CAPEX</v>
      </c>
      <c r="D26" s="137"/>
      <c r="E26" s="138"/>
      <c r="F26" s="138"/>
      <c r="G26" s="138"/>
      <c r="H26" s="138"/>
      <c r="I26" s="138"/>
      <c r="J26" s="138"/>
      <c r="K26" s="141"/>
    </row>
    <row r="27" spans="1:11" ht="19.5" customHeight="1" x14ac:dyDescent="0.2">
      <c r="A27" s="86" t="s">
        <v>232</v>
      </c>
      <c r="B27" s="90"/>
      <c r="C27" s="135"/>
      <c r="D27" s="137"/>
      <c r="E27" s="138"/>
      <c r="F27" s="138"/>
      <c r="G27" s="138"/>
      <c r="H27" s="138"/>
      <c r="I27" s="138"/>
      <c r="J27" s="138"/>
      <c r="K27" s="141"/>
    </row>
    <row r="28" spans="1:11" ht="12.75" customHeight="1" x14ac:dyDescent="0.2">
      <c r="A28" s="86"/>
      <c r="B28" s="90"/>
      <c r="C28" s="135" t="s">
        <v>11</v>
      </c>
      <c r="D28" s="136"/>
      <c r="E28" s="136"/>
      <c r="F28" s="136"/>
      <c r="G28" s="136"/>
      <c r="H28" s="136"/>
      <c r="I28" s="136"/>
      <c r="J28" s="136"/>
      <c r="K28" s="136"/>
    </row>
    <row r="29" spans="1:11" ht="12.75" customHeight="1" x14ac:dyDescent="0.2">
      <c r="A29" s="90"/>
      <c r="B29" s="90"/>
      <c r="C29" s="135" t="str">
        <f>G$5&amp;" CAPEX"</f>
        <v>2022 CAPEX</v>
      </c>
      <c r="D29" s="137"/>
      <c r="E29" s="138"/>
      <c r="F29" s="138"/>
      <c r="G29" s="138"/>
      <c r="H29" s="138"/>
      <c r="I29" s="138"/>
      <c r="J29" s="138"/>
      <c r="K29" s="138"/>
    </row>
    <row r="30" spans="1:11" ht="12.75" customHeight="1" x14ac:dyDescent="0.2">
      <c r="A30" s="90"/>
      <c r="B30" s="90"/>
      <c r="C30" s="135" t="str">
        <f>H$5&amp;" CAPEX"</f>
        <v>2023 CAPEX</v>
      </c>
      <c r="D30" s="137"/>
      <c r="E30" s="138"/>
      <c r="F30" s="138"/>
      <c r="G30" s="138"/>
      <c r="H30" s="138"/>
      <c r="I30" s="138"/>
      <c r="J30" s="138"/>
      <c r="K30" s="138"/>
    </row>
    <row r="31" spans="1:11" ht="12.75" customHeight="1" x14ac:dyDescent="0.2">
      <c r="A31" s="86"/>
      <c r="B31" s="90"/>
      <c r="C31" s="135" t="str">
        <f>I$5&amp;" CAPEX"</f>
        <v>2024 CAPEX</v>
      </c>
      <c r="D31" s="139"/>
      <c r="E31" s="139"/>
      <c r="F31" s="139"/>
      <c r="G31" s="139"/>
      <c r="H31" s="139"/>
      <c r="I31" s="138"/>
      <c r="J31" s="138"/>
      <c r="K31" s="138"/>
    </row>
    <row r="32" spans="1:11" ht="12.75" customHeight="1" x14ac:dyDescent="0.2">
      <c r="A32" s="86"/>
      <c r="B32" s="90"/>
      <c r="C32" s="135" t="str">
        <f>J$5&amp;" CAPEX"</f>
        <v>2025 CAPEX</v>
      </c>
      <c r="D32" s="138"/>
      <c r="E32" s="138"/>
      <c r="F32" s="138"/>
      <c r="G32" s="138"/>
      <c r="H32" s="138"/>
      <c r="I32" s="138"/>
      <c r="J32" s="138"/>
      <c r="K32" s="138"/>
    </row>
    <row r="33" spans="1:11" ht="12.75" customHeight="1" x14ac:dyDescent="0.2">
      <c r="A33" s="86"/>
      <c r="B33" s="90"/>
      <c r="C33" s="135" t="str">
        <f>K$5&amp;" CAPEX"</f>
        <v>2026 CAPEX</v>
      </c>
      <c r="D33" s="137"/>
      <c r="E33" s="138"/>
      <c r="F33" s="138"/>
      <c r="G33" s="138"/>
      <c r="H33" s="138"/>
      <c r="I33" s="138"/>
      <c r="J33" s="138"/>
      <c r="K33" s="138"/>
    </row>
    <row r="34" spans="1:11" ht="12.75" customHeight="1" x14ac:dyDescent="0.2">
      <c r="A34" s="86"/>
      <c r="B34" s="86" t="s">
        <v>72</v>
      </c>
      <c r="C34" s="86"/>
      <c r="D34" s="119"/>
      <c r="E34" s="119"/>
      <c r="F34" s="119"/>
      <c r="G34" s="119"/>
      <c r="H34" s="119"/>
      <c r="I34" s="119"/>
      <c r="J34" s="119"/>
      <c r="K34" s="119"/>
    </row>
    <row r="35" spans="1:11" ht="12.75" customHeight="1" x14ac:dyDescent="0.2">
      <c r="A35" s="86"/>
      <c r="B35" s="90" t="s">
        <v>73</v>
      </c>
      <c r="C35" s="90"/>
      <c r="D35" s="120"/>
      <c r="E35" s="120"/>
      <c r="F35" s="120"/>
      <c r="G35" s="120"/>
      <c r="H35" s="120"/>
      <c r="I35" s="120"/>
      <c r="J35" s="120"/>
      <c r="K35" s="120"/>
    </row>
    <row r="36" spans="1:11" ht="12.75" customHeight="1" x14ac:dyDescent="0.2">
      <c r="A36" s="90"/>
      <c r="B36" s="90"/>
      <c r="C36" s="103" t="s">
        <v>74</v>
      </c>
      <c r="D36" s="142"/>
      <c r="E36" s="142"/>
      <c r="F36" s="142"/>
      <c r="G36" s="142"/>
      <c r="H36" s="142"/>
      <c r="I36" s="142"/>
      <c r="J36" s="142"/>
      <c r="K36" s="142"/>
    </row>
    <row r="37" spans="1:11" ht="12.75" customHeight="1" x14ac:dyDescent="0.2">
      <c r="A37" s="116"/>
      <c r="B37" s="143" t="s">
        <v>75</v>
      </c>
      <c r="C37" s="143"/>
      <c r="D37" s="144"/>
      <c r="E37" s="144"/>
      <c r="F37" s="144"/>
      <c r="G37" s="144"/>
      <c r="H37" s="144"/>
      <c r="I37" s="144"/>
      <c r="J37" s="144"/>
      <c r="K37" s="144"/>
    </row>
    <row r="38" spans="1:11" ht="12" x14ac:dyDescent="0.2">
      <c r="D38" s="11"/>
      <c r="E38" s="11"/>
      <c r="F38" s="11"/>
      <c r="G38" s="11"/>
      <c r="H38" s="11"/>
      <c r="I38" s="11"/>
      <c r="J38" s="11"/>
      <c r="K38" s="11"/>
    </row>
    <row r="39" spans="1:11" ht="12" x14ac:dyDescent="0.2">
      <c r="D39" s="11"/>
      <c r="E39" s="11"/>
      <c r="F39" s="11"/>
      <c r="G39" s="11"/>
      <c r="H39" s="11"/>
      <c r="I39" s="11"/>
      <c r="J39" s="11"/>
      <c r="K39" s="11"/>
    </row>
    <row r="40" spans="1:11" ht="20.100000000000001" customHeight="1" x14ac:dyDescent="0.2">
      <c r="D40" s="10"/>
      <c r="E40" s="10"/>
      <c r="F40" s="10"/>
      <c r="G40" s="10"/>
      <c r="H40" s="10"/>
      <c r="I40" s="10"/>
      <c r="J40" s="10"/>
      <c r="K40" s="10"/>
    </row>
    <row r="41" spans="1:11" ht="20.100000000000001" customHeight="1" x14ac:dyDescent="0.2">
      <c r="F41" s="4"/>
      <c r="G41" s="4"/>
      <c r="H41" s="4"/>
      <c r="I41" s="4"/>
      <c r="J41" s="4"/>
      <c r="K41" s="4"/>
    </row>
    <row r="42" spans="1:11" ht="20.100000000000001" customHeight="1" x14ac:dyDescent="0.2">
      <c r="C42"/>
      <c r="D42"/>
      <c r="E42"/>
      <c r="F42"/>
      <c r="G42"/>
      <c r="H42"/>
      <c r="I42"/>
      <c r="J42"/>
      <c r="K42" s="4"/>
    </row>
    <row r="43" spans="1:11" ht="20.100000000000001" customHeight="1" x14ac:dyDescent="0.2">
      <c r="C43"/>
      <c r="D43"/>
      <c r="E43"/>
      <c r="F43"/>
      <c r="G43"/>
      <c r="H43"/>
      <c r="I43"/>
      <c r="J43"/>
    </row>
    <row r="44" spans="1:11" ht="20.100000000000001" customHeight="1" x14ac:dyDescent="0.2">
      <c r="C44"/>
      <c r="D44"/>
      <c r="E44"/>
      <c r="F44"/>
      <c r="G44"/>
      <c r="H44"/>
      <c r="I44"/>
      <c r="J44"/>
    </row>
    <row r="45" spans="1:11" ht="20.100000000000001" customHeight="1" x14ac:dyDescent="0.2">
      <c r="C45"/>
      <c r="D45"/>
      <c r="E45"/>
      <c r="F45"/>
      <c r="G45"/>
      <c r="H45"/>
      <c r="I45"/>
      <c r="J45"/>
    </row>
    <row r="46" spans="1:11" ht="20.100000000000001" customHeight="1" x14ac:dyDescent="0.2">
      <c r="C46"/>
      <c r="D46"/>
      <c r="E46"/>
      <c r="F46"/>
      <c r="G46"/>
      <c r="H46"/>
      <c r="I46"/>
      <c r="J46"/>
    </row>
    <row r="47" spans="1:11" ht="20.100000000000001" customHeight="1" x14ac:dyDescent="0.2">
      <c r="C47"/>
      <c r="D47"/>
      <c r="E47"/>
      <c r="F47"/>
      <c r="G47"/>
      <c r="H47"/>
      <c r="I47"/>
      <c r="J47"/>
    </row>
    <row r="48" spans="1:11" ht="20.100000000000001" customHeight="1" x14ac:dyDescent="0.2">
      <c r="C48"/>
      <c r="D48"/>
      <c r="E48"/>
      <c r="F48"/>
      <c r="G48"/>
      <c r="H48"/>
      <c r="I48"/>
      <c r="J48"/>
    </row>
    <row r="49" spans="3:10" ht="20.100000000000001" customHeight="1" x14ac:dyDescent="0.2">
      <c r="C49"/>
      <c r="D49"/>
      <c r="E49"/>
      <c r="F49"/>
      <c r="G49"/>
      <c r="H49"/>
      <c r="I49"/>
      <c r="J49"/>
    </row>
    <row r="50" spans="3:10" ht="20.100000000000001" customHeight="1" x14ac:dyDescent="0.2">
      <c r="C50"/>
      <c r="D50"/>
      <c r="E50"/>
      <c r="F50"/>
      <c r="G50"/>
      <c r="H50"/>
      <c r="I50"/>
      <c r="J50"/>
    </row>
    <row r="51" spans="3:10" ht="20.100000000000001" customHeight="1" x14ac:dyDescent="0.2">
      <c r="C51"/>
      <c r="D51"/>
      <c r="E51"/>
      <c r="F51"/>
      <c r="G51"/>
      <c r="H51"/>
      <c r="I51"/>
      <c r="J51"/>
    </row>
    <row r="52" spans="3:10" ht="20.100000000000001" customHeight="1" x14ac:dyDescent="0.2">
      <c r="C52"/>
      <c r="D52"/>
      <c r="E52"/>
      <c r="F52"/>
      <c r="G52"/>
      <c r="H52"/>
      <c r="I52"/>
      <c r="J52"/>
    </row>
    <row r="53" spans="3:10" ht="20.100000000000001" customHeight="1" x14ac:dyDescent="0.2">
      <c r="C53"/>
      <c r="D53"/>
      <c r="E53"/>
      <c r="F53"/>
      <c r="G53"/>
      <c r="H53"/>
      <c r="I53"/>
      <c r="J53"/>
    </row>
    <row r="54" spans="3:10" ht="20.100000000000001" customHeight="1" x14ac:dyDescent="0.2">
      <c r="C54"/>
      <c r="D54"/>
      <c r="E54"/>
      <c r="F54"/>
      <c r="G54"/>
      <c r="H54"/>
      <c r="I54"/>
      <c r="J54"/>
    </row>
  </sheetData>
  <phoneticPr fontId="6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4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O15" sqref="O15"/>
    </sheetView>
  </sheetViews>
  <sheetFormatPr defaultColWidth="9.140625" defaultRowHeight="20.100000000000001" customHeight="1" x14ac:dyDescent="0.2"/>
  <cols>
    <col min="1" max="2" width="2.7109375" style="2" customWidth="1"/>
    <col min="3" max="3" width="32.85546875" style="2" customWidth="1"/>
    <col min="4" max="5" width="9.7109375" style="4" customWidth="1"/>
    <col min="6" max="11" width="9.7109375" style="2" customWidth="1"/>
    <col min="12" max="16384" width="9.140625" style="2"/>
  </cols>
  <sheetData>
    <row r="1" spans="1:12" ht="59.25" customHeight="1" x14ac:dyDescent="0.2">
      <c r="A1" s="26"/>
      <c r="B1" s="26"/>
      <c r="C1" s="26"/>
      <c r="D1" s="27"/>
      <c r="E1" s="27"/>
      <c r="F1" s="26"/>
      <c r="G1" s="26"/>
      <c r="H1" s="26"/>
      <c r="I1" s="26"/>
      <c r="J1" s="26"/>
      <c r="K1" s="26"/>
    </row>
    <row r="2" spans="1:12" ht="12.75" customHeight="1" x14ac:dyDescent="0.2">
      <c r="A2" s="24" t="s">
        <v>17</v>
      </c>
      <c r="B2" s="24"/>
      <c r="C2" s="24"/>
      <c r="D2" s="25"/>
      <c r="E2" s="25"/>
      <c r="F2" s="24"/>
      <c r="G2" s="24"/>
      <c r="H2" s="24"/>
      <c r="I2" s="24"/>
      <c r="J2" s="24"/>
      <c r="K2" s="24"/>
    </row>
    <row r="3" spans="1:12" ht="12.75" customHeight="1" x14ac:dyDescent="0.2">
      <c r="A3" s="5" t="str">
        <f>'Cash Flow Statement'!A3</f>
        <v>(in US$ millions)</v>
      </c>
      <c r="B3" s="6"/>
      <c r="C3" s="6"/>
      <c r="D3" s="34" t="s">
        <v>32</v>
      </c>
      <c r="E3" s="34"/>
      <c r="F3" s="36"/>
      <c r="G3" s="37" t="s">
        <v>33</v>
      </c>
      <c r="H3" s="38"/>
      <c r="I3" s="39"/>
      <c r="J3" s="38"/>
      <c r="K3" s="38"/>
    </row>
    <row r="4" spans="1:12" ht="12.75" customHeight="1" x14ac:dyDescent="0.2">
      <c r="A4" s="5"/>
      <c r="B4" s="6"/>
      <c r="C4" s="6"/>
      <c r="D4" s="29"/>
      <c r="E4" s="29"/>
      <c r="F4" s="28"/>
      <c r="G4" s="28"/>
      <c r="H4" s="28"/>
      <c r="I4" s="28"/>
      <c r="J4" s="28"/>
      <c r="K4" s="28"/>
    </row>
    <row r="5" spans="1:12" ht="12.75" customHeight="1" x14ac:dyDescent="0.2">
      <c r="A5" s="30" t="s">
        <v>335</v>
      </c>
      <c r="B5" s="31"/>
      <c r="C5" s="31"/>
      <c r="D5" s="40">
        <f>'Income Statement'!D5</f>
        <v>2019</v>
      </c>
      <c r="E5" s="40">
        <f>'Income Statement'!E5</f>
        <v>2020</v>
      </c>
      <c r="F5" s="40">
        <f>'Income Statement'!F5</f>
        <v>2021</v>
      </c>
      <c r="G5" s="41">
        <f>'Income Statement'!G5</f>
        <v>2022</v>
      </c>
      <c r="H5" s="41">
        <f>'Income Statement'!H5</f>
        <v>2023</v>
      </c>
      <c r="I5" s="41">
        <f>'Income Statement'!I5</f>
        <v>2024</v>
      </c>
      <c r="J5" s="41">
        <f>'Income Statement'!J5</f>
        <v>2025</v>
      </c>
      <c r="K5" s="41">
        <f>'Income Statement'!K5</f>
        <v>2026</v>
      </c>
    </row>
    <row r="6" spans="1:12" ht="21" customHeight="1" x14ac:dyDescent="0.2">
      <c r="A6" s="86" t="s">
        <v>76</v>
      </c>
      <c r="B6" s="86"/>
      <c r="C6" s="86"/>
      <c r="D6" s="129"/>
      <c r="E6" s="129"/>
      <c r="F6" s="129"/>
      <c r="G6" s="129"/>
      <c r="H6" s="129"/>
      <c r="I6" s="129"/>
      <c r="J6" s="129"/>
      <c r="K6" s="129"/>
    </row>
    <row r="7" spans="1:12" ht="12.75" customHeight="1" x14ac:dyDescent="0.2">
      <c r="A7" s="86"/>
      <c r="B7" s="90" t="s">
        <v>233</v>
      </c>
      <c r="C7" s="90"/>
      <c r="D7" s="150"/>
      <c r="E7" s="151"/>
      <c r="F7" s="151"/>
      <c r="G7" s="151"/>
      <c r="H7" s="151"/>
      <c r="I7" s="151"/>
      <c r="J7" s="151"/>
      <c r="K7" s="151"/>
    </row>
    <row r="8" spans="1:12" ht="12.75" customHeight="1" x14ac:dyDescent="0.2">
      <c r="A8" s="86"/>
      <c r="B8" s="90"/>
      <c r="C8" s="152" t="s">
        <v>77</v>
      </c>
      <c r="D8" s="153"/>
      <c r="E8" s="153"/>
      <c r="F8" s="153"/>
      <c r="G8" s="160"/>
      <c r="H8" s="160"/>
      <c r="I8" s="160"/>
      <c r="J8" s="160"/>
      <c r="K8" s="160"/>
      <c r="L8" s="3"/>
    </row>
    <row r="9" spans="1:12" ht="12.75" customHeight="1" x14ac:dyDescent="0.2">
      <c r="A9" s="86"/>
      <c r="B9" s="90" t="s">
        <v>234</v>
      </c>
      <c r="C9" s="90"/>
      <c r="D9" s="154"/>
      <c r="E9" s="151"/>
      <c r="F9" s="151"/>
      <c r="G9" s="151"/>
      <c r="H9" s="151"/>
      <c r="I9" s="151"/>
      <c r="J9" s="151"/>
      <c r="K9" s="151"/>
    </row>
    <row r="10" spans="1:12" ht="12.75" customHeight="1" x14ac:dyDescent="0.2">
      <c r="A10" s="86"/>
      <c r="B10" s="90"/>
      <c r="C10" s="152" t="s">
        <v>78</v>
      </c>
      <c r="D10" s="153"/>
      <c r="E10" s="153"/>
      <c r="F10" s="153"/>
      <c r="G10" s="160"/>
      <c r="H10" s="160"/>
      <c r="I10" s="160"/>
      <c r="J10" s="160"/>
      <c r="K10" s="160"/>
    </row>
    <row r="11" spans="1:12" ht="12.75" customHeight="1" x14ac:dyDescent="0.2">
      <c r="A11" s="86"/>
      <c r="B11" s="135" t="s">
        <v>235</v>
      </c>
      <c r="C11" s="155"/>
      <c r="D11" s="137"/>
      <c r="E11" s="138"/>
      <c r="F11" s="138"/>
      <c r="G11" s="138"/>
      <c r="H11" s="138"/>
      <c r="I11" s="138"/>
      <c r="J11" s="138"/>
      <c r="K11" s="138"/>
    </row>
    <row r="12" spans="1:12" ht="12.75" customHeight="1" x14ac:dyDescent="0.2">
      <c r="A12" s="86"/>
      <c r="B12" s="135"/>
      <c r="C12" s="152" t="s">
        <v>89</v>
      </c>
      <c r="D12" s="156"/>
      <c r="E12" s="156"/>
      <c r="F12" s="161"/>
      <c r="G12" s="156"/>
      <c r="H12" s="156"/>
      <c r="I12" s="156"/>
      <c r="J12" s="156"/>
      <c r="K12" s="156"/>
    </row>
    <row r="13" spans="1:12" ht="12.75" customHeight="1" x14ac:dyDescent="0.2">
      <c r="A13" s="86"/>
      <c r="B13" s="157" t="s">
        <v>28</v>
      </c>
      <c r="C13" s="158"/>
      <c r="D13" s="139"/>
      <c r="E13" s="159"/>
      <c r="F13" s="159"/>
      <c r="G13" s="159"/>
      <c r="H13" s="159"/>
      <c r="I13" s="159"/>
      <c r="J13" s="159"/>
      <c r="K13" s="159"/>
    </row>
    <row r="14" spans="1:12" ht="21" customHeight="1" x14ac:dyDescent="0.2">
      <c r="A14" s="86" t="s">
        <v>79</v>
      </c>
      <c r="B14" s="162"/>
      <c r="C14" s="162"/>
      <c r="D14" s="136"/>
      <c r="E14" s="163"/>
      <c r="F14" s="164"/>
      <c r="G14" s="136"/>
      <c r="H14" s="136"/>
      <c r="I14" s="136"/>
      <c r="J14" s="136"/>
      <c r="K14" s="136"/>
    </row>
    <row r="15" spans="1:12" ht="12.75" customHeight="1" x14ac:dyDescent="0.2">
      <c r="A15" s="86"/>
      <c r="B15" s="135" t="s">
        <v>27</v>
      </c>
      <c r="C15" s="135"/>
      <c r="D15" s="137"/>
      <c r="E15" s="138"/>
      <c r="F15" s="138"/>
      <c r="G15" s="151"/>
      <c r="H15" s="151"/>
      <c r="I15" s="151"/>
      <c r="J15" s="151"/>
      <c r="K15" s="151"/>
    </row>
    <row r="16" spans="1:12" ht="12.75" customHeight="1" x14ac:dyDescent="0.2">
      <c r="A16" s="86"/>
      <c r="B16" s="90"/>
      <c r="C16" s="152" t="s">
        <v>80</v>
      </c>
      <c r="D16" s="153"/>
      <c r="E16" s="165"/>
      <c r="F16" s="153"/>
      <c r="G16" s="160"/>
      <c r="H16" s="160"/>
      <c r="I16" s="160"/>
      <c r="J16" s="160"/>
      <c r="K16" s="160"/>
      <c r="L16" s="3"/>
    </row>
    <row r="17" spans="1:12" ht="12.75" customHeight="1" x14ac:dyDescent="0.2">
      <c r="A17" s="86"/>
      <c r="B17" s="90" t="s">
        <v>107</v>
      </c>
      <c r="C17" s="155"/>
      <c r="D17" s="137"/>
      <c r="E17" s="138"/>
      <c r="F17" s="138"/>
      <c r="G17" s="138"/>
      <c r="H17" s="138"/>
      <c r="I17" s="138"/>
      <c r="J17" s="138"/>
      <c r="K17" s="138"/>
      <c r="L17" s="3"/>
    </row>
    <row r="18" spans="1:12" ht="12.75" customHeight="1" x14ac:dyDescent="0.2">
      <c r="A18" s="86"/>
      <c r="B18" s="90"/>
      <c r="C18" s="152" t="s">
        <v>80</v>
      </c>
      <c r="D18" s="153"/>
      <c r="E18" s="165"/>
      <c r="F18" s="153"/>
      <c r="G18" s="160"/>
      <c r="H18" s="160"/>
      <c r="I18" s="160"/>
      <c r="J18" s="160"/>
      <c r="K18" s="160"/>
      <c r="L18" s="3"/>
    </row>
    <row r="19" spans="1:12" ht="12.75" customHeight="1" x14ac:dyDescent="0.2">
      <c r="A19" s="86"/>
      <c r="B19" s="90" t="s">
        <v>236</v>
      </c>
      <c r="C19" s="152"/>
      <c r="D19" s="153"/>
      <c r="E19" s="138"/>
      <c r="F19" s="138"/>
      <c r="G19" s="138"/>
      <c r="H19" s="138"/>
      <c r="I19" s="138"/>
      <c r="J19" s="138"/>
      <c r="K19" s="138"/>
      <c r="L19" s="3"/>
    </row>
    <row r="20" spans="1:12" ht="12.75" customHeight="1" x14ac:dyDescent="0.2">
      <c r="A20" s="86"/>
      <c r="B20" s="90"/>
      <c r="C20" s="152" t="s">
        <v>237</v>
      </c>
      <c r="D20" s="153"/>
      <c r="E20" s="165"/>
      <c r="F20" s="153"/>
      <c r="G20" s="160"/>
      <c r="H20" s="160"/>
      <c r="I20" s="160"/>
      <c r="J20" s="160"/>
      <c r="K20" s="160"/>
      <c r="L20" s="3"/>
    </row>
    <row r="21" spans="1:12" ht="12.75" customHeight="1" x14ac:dyDescent="0.2">
      <c r="A21" s="90"/>
      <c r="B21" s="157" t="s">
        <v>29</v>
      </c>
      <c r="C21" s="135"/>
      <c r="D21" s="166"/>
      <c r="E21" s="166"/>
      <c r="F21" s="166"/>
      <c r="G21" s="166"/>
      <c r="H21" s="166"/>
      <c r="I21" s="166"/>
      <c r="J21" s="166"/>
      <c r="K21" s="166"/>
    </row>
    <row r="22" spans="1:12" ht="21" customHeight="1" x14ac:dyDescent="0.2">
      <c r="A22" s="90"/>
      <c r="B22" s="86" t="s">
        <v>90</v>
      </c>
      <c r="C22" s="162"/>
      <c r="D22" s="139"/>
      <c r="E22" s="119"/>
      <c r="F22" s="119"/>
      <c r="G22" s="119"/>
      <c r="H22" s="119"/>
      <c r="I22" s="119"/>
      <c r="J22" s="119"/>
      <c r="K22" s="119"/>
    </row>
    <row r="23" spans="1:12" ht="12.75" customHeight="1" x14ac:dyDescent="0.2">
      <c r="A23" s="90"/>
      <c r="B23" s="90" t="s">
        <v>91</v>
      </c>
      <c r="C23" s="167"/>
      <c r="D23" s="123"/>
      <c r="E23" s="123"/>
      <c r="F23" s="123"/>
      <c r="G23" s="123"/>
      <c r="H23" s="123"/>
      <c r="I23" s="123"/>
      <c r="J23" s="123"/>
      <c r="K23" s="123"/>
    </row>
    <row r="24" spans="1:12" ht="12.75" customHeight="1" x14ac:dyDescent="0.2">
      <c r="A24" s="116"/>
      <c r="B24" s="143" t="s">
        <v>12</v>
      </c>
      <c r="C24" s="116"/>
      <c r="D24" s="168"/>
      <c r="E24" s="168"/>
      <c r="F24" s="168"/>
      <c r="G24" s="168" t="str">
        <f>IF(ROUND(-G23-'Cash Flow Statement'!G19,1)=0,"Y","N")</f>
        <v>Y</v>
      </c>
      <c r="H24" s="168" t="str">
        <f>IF(ROUND(-H23-'Cash Flow Statement'!H19,1)=0,"Y","N")</f>
        <v>Y</v>
      </c>
      <c r="I24" s="168" t="str">
        <f>IF(ROUND(-I23-'Cash Flow Statement'!I19,1)=0,"Y","N")</f>
        <v>Y</v>
      </c>
      <c r="J24" s="168" t="str">
        <f>IF(ROUND(-J23-'Cash Flow Statement'!J19,1)=0,"Y","N")</f>
        <v>Y</v>
      </c>
      <c r="K24" s="168" t="str">
        <f>IF(ROUND(-K23-'Cash Flow Statement'!K19,1)=0,"Y","N")</f>
        <v>Y</v>
      </c>
    </row>
    <row r="25" spans="1:12" ht="12" x14ac:dyDescent="0.2">
      <c r="A25" s="1"/>
      <c r="B25" s="12"/>
      <c r="C25" s="12"/>
      <c r="D25" s="18"/>
      <c r="E25" s="18"/>
      <c r="F25" s="18"/>
      <c r="G25" s="18"/>
      <c r="H25" s="18"/>
      <c r="I25" s="18"/>
      <c r="J25" s="18"/>
      <c r="K25" s="18"/>
    </row>
    <row r="26" spans="1:12" ht="12" x14ac:dyDescent="0.2">
      <c r="A26" s="1"/>
      <c r="B26" s="12"/>
      <c r="C26" s="12"/>
      <c r="D26" s="17"/>
      <c r="E26" s="18"/>
      <c r="F26" s="18"/>
      <c r="G26" s="18"/>
      <c r="H26" s="18"/>
      <c r="I26" s="18"/>
      <c r="J26" s="18"/>
      <c r="K26" s="18"/>
    </row>
    <row r="27" spans="1:12" ht="12" x14ac:dyDescent="0.2">
      <c r="A27" s="1"/>
      <c r="B27" s="12"/>
      <c r="C27" s="12"/>
      <c r="D27" s="18"/>
      <c r="E27" s="18"/>
      <c r="F27" s="18"/>
      <c r="G27" s="18"/>
      <c r="H27" s="18"/>
      <c r="I27" s="18"/>
      <c r="J27" s="18"/>
      <c r="K27" s="18"/>
    </row>
    <row r="28" spans="1:12" ht="12" x14ac:dyDescent="0.2">
      <c r="A28" s="1"/>
      <c r="B28" s="12"/>
      <c r="C28" s="12"/>
      <c r="D28" s="15"/>
      <c r="E28" s="15"/>
      <c r="F28" s="15"/>
      <c r="G28" s="15"/>
      <c r="H28" s="15"/>
      <c r="I28" s="15"/>
      <c r="J28" s="15"/>
      <c r="K28" s="15"/>
    </row>
    <row r="29" spans="1:12" ht="12" x14ac:dyDescent="0.2">
      <c r="A29" s="1"/>
      <c r="B29" s="1"/>
      <c r="C29" s="1"/>
      <c r="D29" s="8"/>
      <c r="E29" s="8"/>
      <c r="F29" s="8"/>
      <c r="G29" s="8"/>
      <c r="H29" s="8"/>
      <c r="I29" s="8"/>
      <c r="J29" s="8"/>
      <c r="K29" s="8"/>
    </row>
    <row r="30" spans="1:12" ht="21" customHeight="1" x14ac:dyDescent="0.2">
      <c r="B30" s="1"/>
      <c r="C30" s="1"/>
      <c r="D30" s="13"/>
      <c r="E30" s="13"/>
      <c r="F30" s="13"/>
      <c r="G30" s="14"/>
      <c r="H30" s="14"/>
      <c r="I30" s="14"/>
      <c r="J30" s="14"/>
      <c r="K30" s="14"/>
    </row>
    <row r="31" spans="1:12" ht="12" x14ac:dyDescent="0.2">
      <c r="A31" s="1"/>
      <c r="B31" s="1"/>
      <c r="C31" s="1"/>
      <c r="D31" s="20"/>
      <c r="E31" s="20"/>
      <c r="F31" s="20"/>
      <c r="G31" s="20"/>
      <c r="H31" s="20"/>
      <c r="I31" s="20"/>
      <c r="J31" s="20"/>
      <c r="K31" s="20"/>
    </row>
    <row r="32" spans="1:12" ht="12" x14ac:dyDescent="0.2">
      <c r="A32" s="1"/>
      <c r="B32" s="12"/>
      <c r="C32" s="12"/>
      <c r="D32" s="16"/>
      <c r="E32" s="16"/>
      <c r="F32" s="16"/>
      <c r="G32" s="16"/>
      <c r="H32" s="16"/>
      <c r="I32" s="16"/>
      <c r="J32" s="16"/>
      <c r="K32" s="16"/>
    </row>
    <row r="33" spans="1:11" ht="12" x14ac:dyDescent="0.2">
      <c r="B33" s="12"/>
      <c r="C33" s="12"/>
      <c r="D33" s="16"/>
      <c r="E33" s="16"/>
      <c r="F33" s="16"/>
      <c r="G33" s="16"/>
      <c r="H33" s="16"/>
      <c r="I33" s="16"/>
      <c r="J33" s="16"/>
      <c r="K33" s="16"/>
    </row>
    <row r="34" spans="1:11" ht="12" x14ac:dyDescent="0.2">
      <c r="A34" s="1"/>
      <c r="B34" s="12"/>
      <c r="C34" s="12"/>
      <c r="D34" s="17"/>
      <c r="E34" s="18"/>
      <c r="F34" s="18"/>
      <c r="G34" s="18"/>
      <c r="H34" s="18"/>
      <c r="I34" s="18"/>
      <c r="J34" s="18"/>
      <c r="K34" s="18"/>
    </row>
    <row r="35" spans="1:11" ht="12" x14ac:dyDescent="0.2">
      <c r="A35" s="1"/>
      <c r="B35" s="12"/>
      <c r="C35" s="12"/>
      <c r="D35" s="17"/>
      <c r="E35" s="18"/>
      <c r="F35" s="18"/>
      <c r="G35" s="18"/>
      <c r="H35" s="18"/>
      <c r="I35" s="18"/>
      <c r="J35" s="18"/>
      <c r="K35" s="18"/>
    </row>
    <row r="36" spans="1:11" ht="12" x14ac:dyDescent="0.2">
      <c r="B36" s="12"/>
      <c r="C36" s="12"/>
      <c r="D36" s="17"/>
      <c r="E36" s="18"/>
      <c r="F36" s="18"/>
      <c r="G36" s="18"/>
      <c r="H36" s="18"/>
      <c r="I36" s="18"/>
      <c r="J36" s="18"/>
      <c r="K36" s="18"/>
    </row>
    <row r="37" spans="1:11" ht="12" x14ac:dyDescent="0.2">
      <c r="B37" s="12"/>
      <c r="C37" s="12"/>
      <c r="D37" s="17"/>
      <c r="E37" s="18"/>
      <c r="F37" s="18"/>
      <c r="G37" s="18"/>
      <c r="H37" s="18"/>
      <c r="I37" s="18"/>
      <c r="J37" s="18"/>
      <c r="K37" s="18"/>
    </row>
    <row r="38" spans="1:11" ht="12" x14ac:dyDescent="0.2">
      <c r="B38" s="12"/>
      <c r="C38" s="12"/>
      <c r="D38" s="19"/>
      <c r="E38" s="19"/>
      <c r="F38" s="19"/>
      <c r="G38" s="19"/>
      <c r="H38" s="19"/>
      <c r="I38" s="18"/>
      <c r="J38" s="18"/>
      <c r="K38" s="18"/>
    </row>
    <row r="39" spans="1:11" ht="12" x14ac:dyDescent="0.2">
      <c r="A39" s="1"/>
      <c r="B39" s="12"/>
      <c r="C39" s="12"/>
      <c r="D39" s="18"/>
      <c r="E39" s="18"/>
      <c r="F39" s="18"/>
      <c r="G39" s="18"/>
      <c r="H39" s="18"/>
      <c r="I39" s="18"/>
      <c r="J39" s="18"/>
      <c r="K39" s="18"/>
    </row>
    <row r="40" spans="1:11" ht="12" x14ac:dyDescent="0.2">
      <c r="B40" s="12"/>
      <c r="C40" s="12"/>
      <c r="D40" s="17"/>
      <c r="E40" s="18"/>
      <c r="F40" s="18"/>
      <c r="G40" s="18"/>
      <c r="H40" s="18"/>
      <c r="I40" s="18"/>
      <c r="J40" s="18"/>
      <c r="K40" s="18"/>
    </row>
    <row r="41" spans="1:11" ht="12" x14ac:dyDescent="0.2">
      <c r="B41" s="12"/>
      <c r="C41" s="12"/>
      <c r="D41" s="18"/>
      <c r="E41" s="18"/>
      <c r="F41" s="18"/>
      <c r="G41" s="18"/>
      <c r="H41" s="18"/>
      <c r="I41" s="18"/>
      <c r="J41" s="18"/>
      <c r="K41" s="18"/>
    </row>
    <row r="42" spans="1:11" ht="12" x14ac:dyDescent="0.2">
      <c r="B42" s="12"/>
      <c r="C42" s="12"/>
      <c r="D42" s="15"/>
      <c r="E42" s="15"/>
      <c r="F42" s="15"/>
      <c r="G42" s="15"/>
      <c r="H42" s="15"/>
      <c r="I42" s="15"/>
      <c r="J42" s="15"/>
      <c r="K42" s="15"/>
    </row>
    <row r="43" spans="1:11" ht="12" x14ac:dyDescent="0.2">
      <c r="A43" s="1"/>
      <c r="B43" s="1"/>
      <c r="C43" s="1"/>
      <c r="D43" s="8"/>
      <c r="E43" s="8"/>
      <c r="F43" s="8"/>
      <c r="G43" s="8"/>
      <c r="H43" s="8"/>
      <c r="I43" s="8"/>
      <c r="J43" s="8"/>
      <c r="K43" s="8"/>
    </row>
    <row r="44" spans="1:11" ht="21" customHeight="1" x14ac:dyDescent="0.2">
      <c r="A44" s="1"/>
      <c r="D44" s="22"/>
      <c r="E44" s="22"/>
      <c r="F44" s="22"/>
      <c r="G44" s="22"/>
      <c r="H44" s="22"/>
      <c r="I44" s="22"/>
      <c r="J44" s="22"/>
      <c r="K44" s="22"/>
    </row>
    <row r="45" spans="1:11" ht="12" x14ac:dyDescent="0.2">
      <c r="B45" s="3"/>
      <c r="C45" s="3"/>
      <c r="D45" s="21"/>
      <c r="E45" s="21"/>
      <c r="F45" s="21"/>
      <c r="G45" s="21"/>
      <c r="H45" s="21"/>
      <c r="I45" s="21"/>
      <c r="J45" s="21"/>
      <c r="K45" s="21"/>
    </row>
    <row r="46" spans="1:11" ht="12" x14ac:dyDescent="0.2">
      <c r="B46" s="1"/>
      <c r="C46" s="1"/>
      <c r="D46" s="8"/>
      <c r="E46" s="8"/>
      <c r="F46" s="8"/>
      <c r="G46" s="8"/>
      <c r="H46" s="8"/>
      <c r="I46" s="8"/>
      <c r="J46" s="8"/>
      <c r="K46" s="8"/>
    </row>
    <row r="47" spans="1:11" ht="12" x14ac:dyDescent="0.2">
      <c r="D47" s="11"/>
      <c r="E47" s="11"/>
      <c r="F47" s="11"/>
      <c r="G47" s="11"/>
      <c r="H47" s="11"/>
      <c r="I47" s="11"/>
      <c r="J47" s="11"/>
      <c r="K47" s="11"/>
    </row>
    <row r="48" spans="1:11" ht="12" x14ac:dyDescent="0.2">
      <c r="D48" s="11"/>
      <c r="E48" s="11"/>
      <c r="F48" s="11"/>
      <c r="G48" s="11"/>
      <c r="H48" s="11"/>
      <c r="I48" s="11"/>
      <c r="J48" s="11"/>
      <c r="K48" s="11"/>
    </row>
    <row r="49" spans="1:11" ht="20.100000000000001" customHeight="1" x14ac:dyDescent="0.2">
      <c r="A49" s="1"/>
      <c r="B49" s="1"/>
      <c r="C49" s="1"/>
      <c r="D49" s="8"/>
      <c r="E49" s="8"/>
      <c r="F49" s="8"/>
      <c r="G49" s="8"/>
      <c r="H49" s="8"/>
      <c r="I49" s="8"/>
      <c r="J49" s="8"/>
      <c r="K49" s="8"/>
    </row>
    <row r="50" spans="1:11" ht="21" customHeight="1" x14ac:dyDescent="0.2">
      <c r="A50" s="1"/>
      <c r="B50" s="1"/>
      <c r="C50" s="1"/>
      <c r="D50" s="8"/>
      <c r="E50" s="8"/>
      <c r="F50" s="8"/>
      <c r="G50" s="8"/>
      <c r="H50" s="8"/>
      <c r="I50" s="8"/>
      <c r="J50" s="8"/>
      <c r="K50" s="8"/>
    </row>
    <row r="51" spans="1:11" ht="21" customHeight="1" x14ac:dyDescent="0.2">
      <c r="A51" s="1"/>
      <c r="D51" s="9"/>
      <c r="E51" s="9"/>
      <c r="F51" s="9"/>
      <c r="G51" s="9"/>
      <c r="H51" s="9"/>
      <c r="I51" s="9"/>
      <c r="J51" s="9"/>
      <c r="K51" s="9"/>
    </row>
    <row r="52" spans="1:11" ht="20.100000000000001" customHeight="1" x14ac:dyDescent="0.2">
      <c r="D52" s="10"/>
      <c r="E52" s="10"/>
      <c r="F52" s="10"/>
      <c r="G52" s="10"/>
      <c r="H52" s="10"/>
      <c r="I52" s="10"/>
      <c r="J52" s="10"/>
      <c r="K52" s="10"/>
    </row>
    <row r="53" spans="1:11" ht="20.100000000000001" customHeight="1" x14ac:dyDescent="0.2">
      <c r="F53" s="4"/>
      <c r="G53" s="4"/>
      <c r="H53" s="4"/>
      <c r="I53" s="4"/>
      <c r="J53" s="4"/>
      <c r="K53" s="4"/>
    </row>
    <row r="54" spans="1:11" ht="20.100000000000001" customHeight="1" x14ac:dyDescent="0.2">
      <c r="F54" s="4"/>
      <c r="G54" s="4"/>
      <c r="H54" s="4"/>
      <c r="I54" s="4"/>
      <c r="J54" s="4"/>
      <c r="K54" s="4"/>
    </row>
  </sheetData>
  <phoneticPr fontId="6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1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N15" sqref="N15"/>
    </sheetView>
  </sheetViews>
  <sheetFormatPr defaultColWidth="9.140625" defaultRowHeight="20.100000000000001" customHeight="1" x14ac:dyDescent="0.2"/>
  <cols>
    <col min="1" max="2" width="2.7109375" style="2" customWidth="1"/>
    <col min="3" max="3" width="39.5703125" style="2" customWidth="1"/>
    <col min="4" max="5" width="9.7109375" style="4" customWidth="1"/>
    <col min="6" max="11" width="9.7109375" style="2" customWidth="1"/>
    <col min="12" max="16384" width="9.140625" style="2"/>
  </cols>
  <sheetData>
    <row r="1" spans="1:12" ht="58.5" customHeight="1" x14ac:dyDescent="0.2">
      <c r="A1" s="26"/>
      <c r="B1" s="26"/>
      <c r="C1" s="26"/>
      <c r="D1" s="27"/>
      <c r="E1" s="27"/>
      <c r="F1" s="26"/>
      <c r="G1" s="26"/>
      <c r="H1" s="26"/>
      <c r="I1" s="26"/>
      <c r="J1" s="26"/>
      <c r="K1" s="26"/>
    </row>
    <row r="2" spans="1:12" ht="12.75" customHeight="1" x14ac:dyDescent="0.2">
      <c r="A2" s="24" t="s">
        <v>10</v>
      </c>
      <c r="B2" s="24"/>
      <c r="C2" s="24"/>
      <c r="D2" s="25"/>
      <c r="E2" s="25"/>
      <c r="F2" s="24"/>
      <c r="G2" s="24"/>
      <c r="H2" s="24"/>
      <c r="I2" s="24"/>
      <c r="J2" s="24"/>
      <c r="K2" s="24"/>
    </row>
    <row r="3" spans="1:12" ht="12.75" customHeight="1" x14ac:dyDescent="0.2">
      <c r="A3" s="5" t="str">
        <f>'Cash Flow Statement'!A3</f>
        <v>(in US$ millions)</v>
      </c>
      <c r="B3" s="6"/>
      <c r="C3" s="6"/>
      <c r="D3" s="34" t="s">
        <v>32</v>
      </c>
      <c r="E3" s="34"/>
      <c r="F3" s="36"/>
      <c r="G3" s="37" t="s">
        <v>33</v>
      </c>
      <c r="H3" s="38"/>
      <c r="I3" s="39"/>
      <c r="J3" s="38"/>
      <c r="K3" s="38"/>
    </row>
    <row r="4" spans="1:12" ht="12.75" customHeight="1" x14ac:dyDescent="0.2">
      <c r="A4" s="5"/>
      <c r="B4" s="6"/>
      <c r="C4" s="6"/>
      <c r="D4" s="29"/>
      <c r="E4" s="29"/>
      <c r="F4" s="28"/>
      <c r="G4" s="28"/>
      <c r="H4" s="28"/>
      <c r="I4" s="28"/>
      <c r="J4" s="28"/>
      <c r="K4" s="28"/>
    </row>
    <row r="5" spans="1:12" ht="12.75" customHeight="1" x14ac:dyDescent="0.2">
      <c r="A5" s="30" t="s">
        <v>334</v>
      </c>
      <c r="B5" s="31"/>
      <c r="C5" s="31"/>
      <c r="D5" s="40">
        <f>'Income Statement'!D5</f>
        <v>2019</v>
      </c>
      <c r="E5" s="40">
        <f>'Income Statement'!E5</f>
        <v>2020</v>
      </c>
      <c r="F5" s="40">
        <f>'Income Statement'!F5</f>
        <v>2021</v>
      </c>
      <c r="G5" s="41">
        <f>'Income Statement'!G5</f>
        <v>2022</v>
      </c>
      <c r="H5" s="41">
        <f>'Income Statement'!H5</f>
        <v>2023</v>
      </c>
      <c r="I5" s="41">
        <f>'Income Statement'!I5</f>
        <v>2024</v>
      </c>
      <c r="J5" s="41">
        <f>'Income Statement'!J5</f>
        <v>2025</v>
      </c>
      <c r="K5" s="41">
        <f>'Income Statement'!K5</f>
        <v>2026</v>
      </c>
    </row>
    <row r="6" spans="1:12" ht="21" customHeight="1" x14ac:dyDescent="0.2">
      <c r="A6" s="86" t="s">
        <v>92</v>
      </c>
      <c r="B6" s="170"/>
      <c r="C6" s="170"/>
      <c r="D6" s="171"/>
      <c r="E6" s="171"/>
      <c r="F6" s="171"/>
      <c r="G6" s="172"/>
      <c r="H6" s="172"/>
      <c r="I6" s="172"/>
      <c r="J6" s="172"/>
      <c r="K6" s="172"/>
    </row>
    <row r="7" spans="1:12" ht="12.75" customHeight="1" x14ac:dyDescent="0.2">
      <c r="A7" s="90"/>
      <c r="B7" s="90" t="s">
        <v>81</v>
      </c>
      <c r="C7" s="90"/>
      <c r="D7" s="90"/>
      <c r="E7" s="120"/>
      <c r="F7" s="120"/>
      <c r="G7" s="120"/>
      <c r="H7" s="120"/>
      <c r="I7" s="120"/>
      <c r="J7" s="120"/>
      <c r="K7" s="120"/>
    </row>
    <row r="8" spans="1:12" ht="12.75" customHeight="1" x14ac:dyDescent="0.2">
      <c r="A8" s="90"/>
      <c r="B8" s="90" t="s">
        <v>64</v>
      </c>
      <c r="C8" s="90"/>
      <c r="D8" s="90"/>
      <c r="E8" s="120"/>
      <c r="F8" s="120"/>
      <c r="G8" s="120"/>
      <c r="H8" s="120"/>
      <c r="I8" s="120"/>
      <c r="J8" s="120"/>
      <c r="K8" s="120"/>
    </row>
    <row r="9" spans="1:12" ht="12.75" customHeight="1" x14ac:dyDescent="0.2">
      <c r="A9" s="90"/>
      <c r="B9" s="90" t="s">
        <v>102</v>
      </c>
      <c r="C9" s="90"/>
      <c r="D9" s="90"/>
      <c r="E9" s="173"/>
      <c r="F9" s="173"/>
      <c r="G9" s="173"/>
      <c r="H9" s="173"/>
      <c r="I9" s="173"/>
      <c r="J9" s="173"/>
      <c r="K9" s="173"/>
    </row>
    <row r="10" spans="1:12" ht="12.75" customHeight="1" x14ac:dyDescent="0.2">
      <c r="A10" s="90"/>
      <c r="B10" s="86" t="s">
        <v>82</v>
      </c>
      <c r="C10" s="86"/>
      <c r="D10" s="119"/>
      <c r="E10" s="119"/>
      <c r="F10" s="119"/>
      <c r="G10" s="119"/>
      <c r="H10" s="119"/>
      <c r="I10" s="119"/>
      <c r="J10" s="119"/>
      <c r="K10" s="119"/>
    </row>
    <row r="11" spans="1:12" ht="21" customHeight="1" collapsed="1" x14ac:dyDescent="0.2">
      <c r="A11" s="86" t="s">
        <v>400</v>
      </c>
      <c r="B11" s="90"/>
      <c r="C11" s="90"/>
      <c r="D11" s="174"/>
      <c r="E11" s="174"/>
      <c r="F11" s="174"/>
      <c r="G11" s="174"/>
      <c r="H11" s="174"/>
      <c r="I11" s="174"/>
      <c r="J11" s="174"/>
      <c r="K11" s="174"/>
    </row>
    <row r="12" spans="1:12" ht="12.75" customHeight="1" x14ac:dyDescent="0.2">
      <c r="A12" s="86"/>
      <c r="B12" s="90" t="s">
        <v>401</v>
      </c>
      <c r="C12" s="90"/>
      <c r="D12" s="90"/>
      <c r="E12" s="123"/>
      <c r="F12" s="123"/>
      <c r="G12" s="123"/>
      <c r="H12" s="123"/>
      <c r="I12" s="123"/>
      <c r="J12" s="123"/>
      <c r="K12" s="123"/>
    </row>
    <row r="13" spans="1:12" ht="12.75" customHeight="1" x14ac:dyDescent="0.2">
      <c r="A13" s="86"/>
      <c r="B13" s="90" t="s">
        <v>95</v>
      </c>
      <c r="C13" s="90"/>
      <c r="D13" s="123"/>
      <c r="E13" s="122"/>
      <c r="F13" s="122"/>
      <c r="G13" s="175"/>
      <c r="H13" s="175"/>
      <c r="I13" s="175"/>
      <c r="J13" s="175"/>
      <c r="K13" s="175"/>
      <c r="L13" s="42"/>
    </row>
    <row r="14" spans="1:12" ht="12.75" customHeight="1" x14ac:dyDescent="0.2">
      <c r="A14" s="86"/>
      <c r="B14" s="90" t="s">
        <v>96</v>
      </c>
      <c r="C14" s="90"/>
      <c r="D14" s="90"/>
      <c r="E14" s="126"/>
      <c r="F14" s="624"/>
      <c r="G14" s="176"/>
      <c r="H14" s="176"/>
      <c r="I14" s="176"/>
      <c r="J14" s="176"/>
      <c r="K14" s="176"/>
    </row>
    <row r="15" spans="1:12" ht="12.75" customHeight="1" x14ac:dyDescent="0.2">
      <c r="A15" s="90"/>
      <c r="B15" s="86" t="s">
        <v>402</v>
      </c>
      <c r="C15" s="177"/>
      <c r="D15" s="119"/>
      <c r="E15" s="119"/>
      <c r="F15" s="119"/>
      <c r="G15" s="119"/>
      <c r="H15" s="119"/>
      <c r="I15" s="119"/>
      <c r="J15" s="119"/>
      <c r="K15" s="119"/>
    </row>
    <row r="16" spans="1:12" ht="12.75" customHeight="1" x14ac:dyDescent="0.2">
      <c r="A16" s="86"/>
      <c r="B16" s="90" t="s">
        <v>84</v>
      </c>
      <c r="C16" s="178"/>
      <c r="D16" s="90"/>
      <c r="E16" s="123"/>
      <c r="F16" s="123"/>
      <c r="G16" s="123"/>
      <c r="H16" s="123"/>
      <c r="I16" s="123"/>
      <c r="J16" s="123"/>
      <c r="K16" s="123"/>
    </row>
    <row r="17" spans="1:11" ht="12.75" customHeight="1" x14ac:dyDescent="0.2">
      <c r="A17" s="86"/>
      <c r="B17" s="90"/>
      <c r="C17" s="179" t="s">
        <v>98</v>
      </c>
      <c r="D17" s="90"/>
      <c r="E17" s="180"/>
      <c r="F17" s="180"/>
      <c r="G17" s="181"/>
      <c r="H17" s="181"/>
      <c r="I17" s="181"/>
      <c r="J17" s="181"/>
      <c r="K17" s="181"/>
    </row>
    <row r="18" spans="1:11" ht="21" customHeight="1" x14ac:dyDescent="0.2">
      <c r="A18" s="86" t="s">
        <v>169</v>
      </c>
      <c r="B18" s="90"/>
      <c r="C18" s="90"/>
      <c r="D18" s="174"/>
      <c r="E18" s="174"/>
      <c r="F18" s="174"/>
      <c r="G18" s="174"/>
      <c r="H18" s="174"/>
      <c r="I18" s="174"/>
      <c r="J18" s="174"/>
      <c r="K18" s="174"/>
    </row>
    <row r="19" spans="1:11" ht="12.75" customHeight="1" x14ac:dyDescent="0.2">
      <c r="A19" s="86"/>
      <c r="B19" s="90" t="s">
        <v>244</v>
      </c>
      <c r="C19" s="90"/>
      <c r="D19" s="90"/>
      <c r="E19" s="123"/>
      <c r="F19" s="123"/>
      <c r="G19" s="123"/>
      <c r="H19" s="123"/>
      <c r="I19" s="123"/>
      <c r="J19" s="123"/>
      <c r="K19" s="123"/>
    </row>
    <row r="20" spans="1:11" ht="12.75" customHeight="1" x14ac:dyDescent="0.2">
      <c r="A20" s="86"/>
      <c r="B20" s="90" t="s">
        <v>95</v>
      </c>
      <c r="C20" s="90"/>
      <c r="D20" s="123"/>
      <c r="E20" s="122"/>
      <c r="F20" s="122"/>
      <c r="G20" s="175"/>
      <c r="H20" s="175"/>
      <c r="I20" s="175"/>
      <c r="J20" s="175"/>
      <c r="K20" s="175"/>
    </row>
    <row r="21" spans="1:11" ht="12.75" customHeight="1" x14ac:dyDescent="0.2">
      <c r="A21" s="86"/>
      <c r="B21" s="90" t="s">
        <v>96</v>
      </c>
      <c r="C21" s="90"/>
      <c r="D21" s="90"/>
      <c r="E21" s="126"/>
      <c r="F21" s="624"/>
      <c r="G21" s="176"/>
      <c r="H21" s="176"/>
      <c r="I21" s="176"/>
      <c r="J21" s="176"/>
      <c r="K21" s="176"/>
    </row>
    <row r="22" spans="1:11" ht="12.75" customHeight="1" x14ac:dyDescent="0.2">
      <c r="A22" s="90"/>
      <c r="B22" s="86" t="s">
        <v>245</v>
      </c>
      <c r="C22" s="177"/>
      <c r="D22" s="119"/>
      <c r="E22" s="119"/>
      <c r="F22" s="119"/>
      <c r="G22" s="119"/>
      <c r="H22" s="119"/>
      <c r="I22" s="119"/>
      <c r="J22" s="119"/>
      <c r="K22" s="119"/>
    </row>
    <row r="23" spans="1:11" ht="12.75" customHeight="1" x14ac:dyDescent="0.2">
      <c r="A23" s="86"/>
      <c r="B23" s="90" t="s">
        <v>161</v>
      </c>
      <c r="C23" s="178"/>
      <c r="D23" s="90"/>
      <c r="E23" s="123"/>
      <c r="F23" s="123"/>
      <c r="G23" s="175"/>
      <c r="H23" s="123"/>
      <c r="I23" s="123"/>
      <c r="J23" s="123"/>
      <c r="K23" s="123"/>
    </row>
    <row r="24" spans="1:11" ht="12.75" customHeight="1" x14ac:dyDescent="0.2">
      <c r="A24" s="86"/>
      <c r="B24" s="90"/>
      <c r="C24" s="179" t="s">
        <v>99</v>
      </c>
      <c r="D24" s="90"/>
      <c r="E24" s="180"/>
      <c r="F24" s="180"/>
      <c r="G24" s="182"/>
      <c r="H24" s="181"/>
      <c r="I24" s="181"/>
      <c r="J24" s="181"/>
      <c r="K24" s="181"/>
    </row>
    <row r="25" spans="1:11" ht="21" customHeight="1" x14ac:dyDescent="0.2">
      <c r="A25" s="86" t="s">
        <v>403</v>
      </c>
      <c r="B25" s="90"/>
      <c r="C25" s="90"/>
      <c r="D25" s="174"/>
      <c r="E25" s="174"/>
      <c r="F25" s="174"/>
      <c r="G25" s="174"/>
      <c r="H25" s="174"/>
      <c r="I25" s="174"/>
      <c r="J25" s="174"/>
      <c r="K25" s="174"/>
    </row>
    <row r="26" spans="1:11" ht="12.75" customHeight="1" x14ac:dyDescent="0.2">
      <c r="A26" s="86"/>
      <c r="B26" s="90" t="s">
        <v>404</v>
      </c>
      <c r="C26" s="90"/>
      <c r="D26" s="90"/>
      <c r="E26" s="123"/>
      <c r="F26" s="123"/>
      <c r="G26" s="123"/>
      <c r="H26" s="123"/>
      <c r="I26" s="123"/>
      <c r="J26" s="123"/>
      <c r="K26" s="123"/>
    </row>
    <row r="27" spans="1:11" ht="12.75" customHeight="1" x14ac:dyDescent="0.2">
      <c r="A27" s="86"/>
      <c r="B27" s="90" t="s">
        <v>95</v>
      </c>
      <c r="C27" s="90"/>
      <c r="D27" s="123"/>
      <c r="E27" s="122"/>
      <c r="F27" s="122"/>
      <c r="G27" s="122"/>
      <c r="H27" s="122"/>
      <c r="I27" s="122"/>
      <c r="J27" s="122"/>
      <c r="K27" s="122"/>
    </row>
    <row r="28" spans="1:11" ht="12.75" customHeight="1" x14ac:dyDescent="0.2">
      <c r="A28" s="86"/>
      <c r="B28" s="90" t="s">
        <v>96</v>
      </c>
      <c r="C28" s="90"/>
      <c r="D28" s="90"/>
      <c r="E28" s="126"/>
      <c r="F28" s="624"/>
      <c r="G28" s="128"/>
      <c r="H28" s="128"/>
      <c r="I28" s="128"/>
      <c r="J28" s="128"/>
      <c r="K28" s="128"/>
    </row>
    <row r="29" spans="1:11" ht="12.75" customHeight="1" x14ac:dyDescent="0.2">
      <c r="A29" s="90"/>
      <c r="B29" s="86" t="s">
        <v>405</v>
      </c>
      <c r="C29" s="177"/>
      <c r="D29" s="119"/>
      <c r="E29" s="119"/>
      <c r="F29" s="119"/>
      <c r="G29" s="119"/>
      <c r="H29" s="119"/>
      <c r="I29" s="119"/>
      <c r="J29" s="119"/>
      <c r="K29" s="119"/>
    </row>
    <row r="30" spans="1:11" ht="12.75" customHeight="1" x14ac:dyDescent="0.2">
      <c r="A30" s="86"/>
      <c r="B30" s="90" t="s">
        <v>161</v>
      </c>
      <c r="C30" s="178"/>
      <c r="D30" s="90"/>
      <c r="E30" s="123"/>
      <c r="F30" s="123"/>
      <c r="G30" s="123"/>
      <c r="H30" s="123"/>
      <c r="I30" s="123"/>
      <c r="J30" s="123"/>
      <c r="K30" s="123"/>
    </row>
    <row r="31" spans="1:11" ht="12.75" customHeight="1" x14ac:dyDescent="0.2">
      <c r="A31" s="86"/>
      <c r="B31" s="90"/>
      <c r="C31" s="179" t="s">
        <v>99</v>
      </c>
      <c r="D31" s="90"/>
      <c r="E31" s="180"/>
      <c r="F31" s="180"/>
      <c r="G31" s="181"/>
      <c r="H31" s="181"/>
      <c r="I31" s="181"/>
      <c r="J31" s="181"/>
      <c r="K31" s="181"/>
    </row>
    <row r="32" spans="1:11" ht="21" customHeight="1" collapsed="1" x14ac:dyDescent="0.2">
      <c r="A32" s="86" t="s">
        <v>83</v>
      </c>
      <c r="B32" s="90"/>
      <c r="C32" s="90"/>
      <c r="D32" s="174"/>
      <c r="E32" s="174"/>
      <c r="F32" s="174"/>
      <c r="G32" s="174"/>
      <c r="H32" s="174"/>
      <c r="I32" s="174"/>
      <c r="J32" s="174"/>
      <c r="K32" s="174"/>
    </row>
    <row r="33" spans="1:11" ht="12.75" customHeight="1" x14ac:dyDescent="0.2">
      <c r="A33" s="86"/>
      <c r="B33" s="90" t="s">
        <v>38</v>
      </c>
      <c r="C33" s="90"/>
      <c r="D33" s="90"/>
      <c r="E33" s="123"/>
      <c r="F33" s="123"/>
      <c r="G33" s="123"/>
      <c r="H33" s="123"/>
      <c r="I33" s="123"/>
      <c r="J33" s="123"/>
      <c r="K33" s="123"/>
    </row>
    <row r="34" spans="1:11" ht="12.75" customHeight="1" x14ac:dyDescent="0.2">
      <c r="A34" s="86"/>
      <c r="B34" s="90" t="s">
        <v>95</v>
      </c>
      <c r="C34" s="90"/>
      <c r="D34" s="123"/>
      <c r="E34" s="122"/>
      <c r="F34" s="122"/>
      <c r="G34" s="122"/>
      <c r="H34" s="122"/>
      <c r="I34" s="122"/>
      <c r="J34" s="122"/>
      <c r="K34" s="122"/>
    </row>
    <row r="35" spans="1:11" ht="12.75" customHeight="1" x14ac:dyDescent="0.2">
      <c r="A35" s="86"/>
      <c r="B35" s="90" t="s">
        <v>96</v>
      </c>
      <c r="C35" s="90"/>
      <c r="D35" s="90"/>
      <c r="E35" s="126"/>
      <c r="F35" s="624"/>
      <c r="G35" s="128"/>
      <c r="H35" s="128"/>
      <c r="I35" s="128"/>
      <c r="J35" s="128"/>
      <c r="K35" s="128"/>
    </row>
    <row r="36" spans="1:11" ht="12.75" customHeight="1" x14ac:dyDescent="0.2">
      <c r="A36" s="90"/>
      <c r="B36" s="86" t="s">
        <v>85</v>
      </c>
      <c r="C36" s="177"/>
      <c r="D36" s="119"/>
      <c r="E36" s="119"/>
      <c r="F36" s="119"/>
      <c r="G36" s="119"/>
      <c r="H36" s="119"/>
      <c r="I36" s="119"/>
      <c r="J36" s="119"/>
      <c r="K36" s="119"/>
    </row>
    <row r="37" spans="1:11" ht="12.75" customHeight="1" x14ac:dyDescent="0.2">
      <c r="A37" s="86"/>
      <c r="B37" s="90" t="s">
        <v>161</v>
      </c>
      <c r="C37" s="178"/>
      <c r="D37" s="90"/>
      <c r="E37" s="123"/>
      <c r="F37" s="123"/>
      <c r="G37" s="123"/>
      <c r="H37" s="123"/>
      <c r="I37" s="123"/>
      <c r="J37" s="123"/>
      <c r="K37" s="123"/>
    </row>
    <row r="38" spans="1:11" ht="12.75" customHeight="1" x14ac:dyDescent="0.2">
      <c r="A38" s="86"/>
      <c r="B38" s="90"/>
      <c r="C38" s="179" t="s">
        <v>99</v>
      </c>
      <c r="D38" s="90"/>
      <c r="E38" s="180"/>
      <c r="F38" s="180"/>
      <c r="G38" s="181"/>
      <c r="H38" s="181"/>
      <c r="I38" s="181"/>
      <c r="J38" s="181"/>
      <c r="K38" s="181"/>
    </row>
    <row r="39" spans="1:11" ht="21" customHeight="1" x14ac:dyDescent="0.2">
      <c r="A39" s="86" t="s">
        <v>241</v>
      </c>
      <c r="B39" s="90"/>
      <c r="C39" s="90"/>
      <c r="D39" s="174"/>
      <c r="E39" s="174"/>
      <c r="F39" s="174"/>
      <c r="G39" s="174"/>
      <c r="H39" s="174"/>
      <c r="I39" s="174"/>
      <c r="J39" s="174"/>
      <c r="K39" s="174"/>
    </row>
    <row r="40" spans="1:11" ht="12.75" customHeight="1" x14ac:dyDescent="0.2">
      <c r="A40" s="86"/>
      <c r="B40" s="90" t="s">
        <v>242</v>
      </c>
      <c r="C40" s="90"/>
      <c r="D40" s="90"/>
      <c r="E40" s="123"/>
      <c r="F40" s="123"/>
      <c r="G40" s="123"/>
      <c r="H40" s="123"/>
      <c r="I40" s="123"/>
      <c r="J40" s="123"/>
      <c r="K40" s="123"/>
    </row>
    <row r="41" spans="1:11" ht="12.75" customHeight="1" x14ac:dyDescent="0.2">
      <c r="A41" s="86"/>
      <c r="B41" s="90" t="s">
        <v>95</v>
      </c>
      <c r="C41" s="90"/>
      <c r="D41" s="123"/>
      <c r="E41" s="122"/>
      <c r="F41" s="122"/>
      <c r="G41" s="122"/>
      <c r="H41" s="122"/>
      <c r="I41" s="122"/>
      <c r="J41" s="122"/>
      <c r="K41" s="122"/>
    </row>
    <row r="42" spans="1:11" ht="12.75" customHeight="1" x14ac:dyDescent="0.2">
      <c r="A42" s="86"/>
      <c r="B42" s="90" t="s">
        <v>96</v>
      </c>
      <c r="C42" s="90"/>
      <c r="D42" s="90"/>
      <c r="E42" s="126"/>
      <c r="F42" s="126"/>
      <c r="G42" s="128"/>
      <c r="H42" s="128"/>
      <c r="I42" s="128"/>
      <c r="J42" s="128"/>
      <c r="K42" s="128"/>
    </row>
    <row r="43" spans="1:11" ht="12.75" customHeight="1" x14ac:dyDescent="0.2">
      <c r="A43" s="90"/>
      <c r="B43" s="86" t="s">
        <v>243</v>
      </c>
      <c r="C43" s="177"/>
      <c r="D43" s="119"/>
      <c r="E43" s="119"/>
      <c r="F43" s="119"/>
      <c r="G43" s="119"/>
      <c r="H43" s="119"/>
      <c r="I43" s="119"/>
      <c r="J43" s="119"/>
      <c r="K43" s="119"/>
    </row>
    <row r="44" spans="1:11" ht="12.75" customHeight="1" x14ac:dyDescent="0.2">
      <c r="A44" s="86"/>
      <c r="B44" s="90" t="s">
        <v>161</v>
      </c>
      <c r="C44" s="178"/>
      <c r="D44" s="90"/>
      <c r="E44" s="123"/>
      <c r="F44" s="123"/>
      <c r="G44" s="123"/>
      <c r="H44" s="123"/>
      <c r="I44" s="123"/>
      <c r="J44" s="123"/>
      <c r="K44" s="123"/>
    </row>
    <row r="45" spans="1:11" ht="12.75" customHeight="1" x14ac:dyDescent="0.2">
      <c r="A45" s="86"/>
      <c r="B45" s="90"/>
      <c r="C45" s="179" t="s">
        <v>99</v>
      </c>
      <c r="D45" s="90"/>
      <c r="E45" s="180"/>
      <c r="F45" s="180"/>
      <c r="G45" s="181"/>
      <c r="H45" s="181"/>
      <c r="I45" s="181"/>
      <c r="J45" s="181"/>
      <c r="K45" s="181"/>
    </row>
    <row r="46" spans="1:11" ht="21" customHeight="1" x14ac:dyDescent="0.2">
      <c r="A46" s="90"/>
      <c r="B46" s="86" t="s">
        <v>97</v>
      </c>
      <c r="C46" s="90"/>
      <c r="D46" s="87"/>
      <c r="E46" s="125"/>
      <c r="F46" s="125"/>
      <c r="G46" s="127"/>
      <c r="H46" s="127"/>
      <c r="I46" s="127"/>
      <c r="J46" s="127"/>
      <c r="K46" s="127"/>
    </row>
    <row r="47" spans="1:11" ht="21" customHeight="1" x14ac:dyDescent="0.2">
      <c r="A47" s="90"/>
      <c r="B47" s="86" t="s">
        <v>94</v>
      </c>
      <c r="C47" s="90"/>
      <c r="D47" s="87"/>
      <c r="E47" s="184"/>
      <c r="F47" s="184"/>
      <c r="G47" s="184"/>
      <c r="H47" s="184"/>
      <c r="I47" s="184"/>
      <c r="J47" s="184"/>
      <c r="K47" s="184"/>
    </row>
    <row r="48" spans="1:11" ht="21" customHeight="1" x14ac:dyDescent="0.2">
      <c r="A48" s="90"/>
      <c r="B48" s="86" t="s">
        <v>93</v>
      </c>
      <c r="C48" s="90"/>
      <c r="D48" s="96"/>
      <c r="E48" s="96"/>
      <c r="F48" s="96"/>
      <c r="G48" s="96"/>
      <c r="H48" s="96"/>
      <c r="I48" s="96"/>
      <c r="J48" s="96"/>
      <c r="K48" s="96"/>
    </row>
    <row r="49" spans="1:11" ht="12.75" customHeight="1" x14ac:dyDescent="0.2">
      <c r="A49" s="90"/>
      <c r="B49" s="90" t="s">
        <v>48</v>
      </c>
      <c r="C49" s="140"/>
      <c r="D49" s="87"/>
      <c r="E49" s="87"/>
      <c r="F49" s="87"/>
      <c r="G49" s="87"/>
      <c r="H49" s="87"/>
      <c r="I49" s="87"/>
      <c r="J49" s="87"/>
      <c r="K49" s="87"/>
    </row>
    <row r="50" spans="1:11" ht="12.75" customHeight="1" x14ac:dyDescent="0.2">
      <c r="A50" s="90"/>
      <c r="B50" s="90"/>
      <c r="C50" s="185" t="s">
        <v>99</v>
      </c>
      <c r="D50" s="87"/>
      <c r="E50" s="186"/>
      <c r="F50" s="186"/>
      <c r="G50" s="187"/>
      <c r="H50" s="187"/>
      <c r="I50" s="187"/>
      <c r="J50" s="187"/>
      <c r="K50" s="187"/>
    </row>
    <row r="51" spans="1:11" ht="12.75" customHeight="1" x14ac:dyDescent="0.2">
      <c r="A51" s="116"/>
      <c r="B51" s="143" t="s">
        <v>12</v>
      </c>
      <c r="C51" s="116"/>
      <c r="D51" s="168"/>
      <c r="E51" s="168"/>
      <c r="F51" s="168"/>
      <c r="G51" s="168" t="str">
        <f>IF(ROUND(G48-'Balance Sheet'!G8,1)=0,"Y","N")</f>
        <v>Y</v>
      </c>
      <c r="H51" s="168" t="str">
        <f>IF(ROUND(H48-'Balance Sheet'!H8,1)=0,"Y","N")</f>
        <v>Y</v>
      </c>
      <c r="I51" s="168" t="str">
        <f>IF(ROUND(I48-'Balance Sheet'!I8,1)=0,"Y","N")</f>
        <v>Y</v>
      </c>
      <c r="J51" s="168" t="str">
        <f>IF(ROUND(J48-'Balance Sheet'!J8,1)=0,"Y","N")</f>
        <v>Y</v>
      </c>
      <c r="K51" s="168" t="str">
        <f>IF(ROUND(K48-'Balance Sheet'!K8,1)=0,"Y","N")</f>
        <v>Y</v>
      </c>
    </row>
  </sheetData>
  <phoneticPr fontId="6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6CCFF"/>
  </sheetPr>
  <dimension ref="A1"/>
  <sheetViews>
    <sheetView view="pageBreakPreview" zoomScale="60" workbookViewId="0">
      <selection activeCell="D6" sqref="D6"/>
    </sheetView>
  </sheetViews>
  <sheetFormatPr defaultRowHeight="12.75" x14ac:dyDescent="0.2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66CCFF"/>
  </sheetPr>
  <dimension ref="A1:P38"/>
  <sheetViews>
    <sheetView workbookViewId="0">
      <selection activeCell="M5" sqref="M5"/>
    </sheetView>
  </sheetViews>
  <sheetFormatPr defaultColWidth="9.140625" defaultRowHeight="12" x14ac:dyDescent="0.2"/>
  <cols>
    <col min="1" max="2" width="2.7109375" style="51" customWidth="1"/>
    <col min="3" max="3" width="27" style="51" customWidth="1"/>
    <col min="4" max="4" width="15" style="51" customWidth="1"/>
    <col min="5" max="5" width="13.85546875" style="51" bestFit="1" customWidth="1"/>
    <col min="6" max="6" width="15.85546875" style="51" bestFit="1" customWidth="1"/>
    <col min="7" max="13" width="9.7109375" style="51" customWidth="1"/>
    <col min="14" max="14" width="9.140625" style="51"/>
    <col min="15" max="15" width="12.85546875" style="51" bestFit="1" customWidth="1"/>
    <col min="16" max="16384" width="9.140625" style="51"/>
  </cols>
  <sheetData>
    <row r="1" spans="1:13" ht="58.5" customHeight="1" x14ac:dyDescent="0.2">
      <c r="A1" s="49"/>
      <c r="B1" s="49"/>
      <c r="C1" s="50"/>
      <c r="D1" s="50"/>
      <c r="E1" s="49"/>
      <c r="F1" s="49"/>
      <c r="G1" s="49"/>
      <c r="H1" s="49"/>
      <c r="I1" s="49"/>
      <c r="J1" s="49"/>
      <c r="K1" s="49"/>
      <c r="L1" s="49"/>
    </row>
    <row r="2" spans="1:13" ht="12.75" customHeight="1" x14ac:dyDescent="0.2">
      <c r="A2" s="52" t="s">
        <v>115</v>
      </c>
      <c r="B2" s="53"/>
      <c r="C2" s="52"/>
      <c r="D2" s="54"/>
      <c r="E2" s="54"/>
      <c r="F2" s="52"/>
      <c r="G2" s="52"/>
      <c r="H2" s="52"/>
      <c r="I2" s="52"/>
      <c r="J2" s="52"/>
      <c r="K2" s="52"/>
      <c r="L2"/>
      <c r="M2"/>
    </row>
    <row r="3" spans="1:13" ht="12.75" customHeight="1" x14ac:dyDescent="0.2">
      <c r="A3" s="5" t="str">
        <f>'Cash Flow Statement'!A3</f>
        <v>(in US$ millions)</v>
      </c>
      <c r="B3" s="56"/>
      <c r="C3" s="57"/>
      <c r="D3" s="58" t="s">
        <v>32</v>
      </c>
      <c r="E3" s="58"/>
      <c r="F3" s="59"/>
      <c r="G3" s="60" t="s">
        <v>33</v>
      </c>
      <c r="H3" s="61"/>
      <c r="I3" s="62"/>
      <c r="J3" s="61"/>
      <c r="K3" s="61"/>
      <c r="L3"/>
      <c r="M3"/>
    </row>
    <row r="4" spans="1:13" ht="12.75" customHeight="1" x14ac:dyDescent="0.2">
      <c r="A4" s="55"/>
      <c r="B4" s="56"/>
      <c r="C4" s="57"/>
      <c r="D4" s="63"/>
      <c r="E4" s="63"/>
      <c r="F4" s="64"/>
      <c r="G4" s="64"/>
      <c r="H4" s="64"/>
      <c r="I4" s="64"/>
      <c r="J4" s="64"/>
      <c r="K4" s="64"/>
      <c r="L4"/>
      <c r="M4"/>
    </row>
    <row r="5" spans="1:13" ht="12.75" customHeight="1" x14ac:dyDescent="0.2">
      <c r="A5" s="65" t="s">
        <v>334</v>
      </c>
      <c r="B5" s="66"/>
      <c r="C5" s="65"/>
      <c r="D5" s="67">
        <v>2010</v>
      </c>
      <c r="E5" s="67">
        <f t="shared" ref="E5:K5" si="0">D5+1</f>
        <v>2011</v>
      </c>
      <c r="F5" s="67">
        <f t="shared" si="0"/>
        <v>2012</v>
      </c>
      <c r="G5" s="68">
        <f t="shared" si="0"/>
        <v>2013</v>
      </c>
      <c r="H5" s="68">
        <f t="shared" si="0"/>
        <v>2014</v>
      </c>
      <c r="I5" s="68">
        <f t="shared" si="0"/>
        <v>2015</v>
      </c>
      <c r="J5" s="68">
        <f t="shared" si="0"/>
        <v>2016</v>
      </c>
      <c r="K5" s="68">
        <f t="shared" si="0"/>
        <v>2017</v>
      </c>
      <c r="L5"/>
      <c r="M5"/>
    </row>
    <row r="6" spans="1:13" ht="21" customHeight="1" x14ac:dyDescent="0.2">
      <c r="A6" s="308" t="s">
        <v>116</v>
      </c>
      <c r="B6" s="309"/>
      <c r="C6" s="309"/>
      <c r="D6" s="310"/>
      <c r="E6" s="310"/>
      <c r="F6" s="310"/>
      <c r="G6" s="310"/>
      <c r="H6" s="310"/>
      <c r="I6" s="310"/>
      <c r="J6" s="310"/>
      <c r="K6" s="310"/>
      <c r="L6"/>
      <c r="M6"/>
    </row>
    <row r="7" spans="1:13" ht="12.75" customHeight="1" x14ac:dyDescent="0.2">
      <c r="A7" s="308"/>
      <c r="B7" s="309" t="s">
        <v>1</v>
      </c>
      <c r="C7" s="309"/>
      <c r="D7" s="310"/>
      <c r="E7" s="310"/>
      <c r="F7" s="310"/>
      <c r="G7" s="310"/>
      <c r="H7" s="310"/>
      <c r="I7" s="310"/>
      <c r="J7" s="310"/>
      <c r="K7" s="310"/>
      <c r="L7"/>
      <c r="M7"/>
    </row>
    <row r="8" spans="1:13" ht="12.75" customHeight="1" x14ac:dyDescent="0.2">
      <c r="A8" s="308"/>
      <c r="B8" s="309" t="s">
        <v>117</v>
      </c>
      <c r="C8" s="309"/>
      <c r="D8" s="310"/>
      <c r="E8" s="310"/>
      <c r="F8" s="310"/>
      <c r="G8" s="310"/>
      <c r="H8" s="310"/>
      <c r="I8" s="310"/>
      <c r="J8" s="310"/>
      <c r="K8" s="310"/>
      <c r="L8"/>
      <c r="M8"/>
    </row>
    <row r="9" spans="1:13" ht="12.75" customHeight="1" x14ac:dyDescent="0.2">
      <c r="A9" s="308"/>
      <c r="B9" s="309" t="s">
        <v>118</v>
      </c>
      <c r="C9" s="309"/>
      <c r="D9" s="310"/>
      <c r="E9" s="310"/>
      <c r="F9" s="310"/>
      <c r="G9" s="310"/>
      <c r="H9" s="310"/>
      <c r="I9" s="310"/>
      <c r="J9" s="310"/>
      <c r="K9" s="310"/>
      <c r="L9"/>
      <c r="M9"/>
    </row>
    <row r="10" spans="1:13" ht="12.75" customHeight="1" x14ac:dyDescent="0.2">
      <c r="A10" s="308"/>
      <c r="B10" s="309" t="s">
        <v>0</v>
      </c>
      <c r="C10" s="309"/>
      <c r="D10" s="310"/>
      <c r="E10" s="310"/>
      <c r="F10" s="310"/>
      <c r="G10" s="310"/>
      <c r="H10" s="310"/>
      <c r="I10" s="310"/>
      <c r="J10" s="310"/>
      <c r="K10" s="310"/>
      <c r="L10"/>
      <c r="M10"/>
    </row>
    <row r="11" spans="1:13" ht="12.75" customHeight="1" x14ac:dyDescent="0.2">
      <c r="A11" s="308"/>
      <c r="B11" s="309" t="s">
        <v>119</v>
      </c>
      <c r="C11" s="309"/>
      <c r="D11" s="310"/>
      <c r="E11" s="310"/>
      <c r="F11" s="310"/>
      <c r="G11" s="310"/>
      <c r="H11" s="310"/>
      <c r="I11" s="310"/>
      <c r="J11" s="310"/>
      <c r="K11" s="310"/>
      <c r="L11"/>
      <c r="M11"/>
    </row>
    <row r="12" spans="1:13" ht="12.75" customHeight="1" x14ac:dyDescent="0.2">
      <c r="A12" s="308"/>
      <c r="B12" s="309" t="s">
        <v>120</v>
      </c>
      <c r="C12" s="309"/>
      <c r="D12" s="310"/>
      <c r="E12" s="310"/>
      <c r="F12" s="310"/>
      <c r="G12" s="310"/>
      <c r="H12" s="310"/>
      <c r="I12" s="310"/>
      <c r="J12" s="310"/>
      <c r="K12" s="310"/>
      <c r="L12"/>
      <c r="M12"/>
    </row>
    <row r="13" spans="1:13" ht="12.75" customHeight="1" x14ac:dyDescent="0.2">
      <c r="A13" s="308"/>
      <c r="B13" s="309" t="s">
        <v>121</v>
      </c>
      <c r="C13" s="309"/>
      <c r="D13" s="311"/>
      <c r="E13" s="311"/>
      <c r="F13" s="311"/>
      <c r="G13" s="311"/>
      <c r="H13" s="311"/>
      <c r="I13" s="311"/>
      <c r="J13" s="311"/>
      <c r="K13" s="311"/>
      <c r="L13"/>
      <c r="M13"/>
    </row>
    <row r="14" spans="1:13" s="70" customFormat="1" ht="12.75" customHeight="1" x14ac:dyDescent="0.2">
      <c r="A14" s="308" t="s">
        <v>122</v>
      </c>
      <c r="B14" s="308"/>
      <c r="C14" s="308"/>
      <c r="D14" s="312"/>
      <c r="E14" s="312"/>
      <c r="F14" s="312"/>
      <c r="G14" s="312"/>
      <c r="H14" s="312"/>
      <c r="I14" s="312"/>
      <c r="J14" s="312"/>
      <c r="K14" s="312"/>
      <c r="L14"/>
      <c r="M14"/>
    </row>
    <row r="15" spans="1:13" ht="21" customHeight="1" x14ac:dyDescent="0.2">
      <c r="A15" s="308" t="s">
        <v>123</v>
      </c>
      <c r="B15" s="308"/>
      <c r="C15" s="309"/>
      <c r="D15" s="309"/>
      <c r="E15" s="309"/>
      <c r="F15" s="309"/>
      <c r="G15" s="310"/>
      <c r="H15" s="310"/>
      <c r="I15" s="310"/>
      <c r="J15" s="310"/>
      <c r="K15" s="310"/>
      <c r="L15"/>
      <c r="M15"/>
    </row>
    <row r="16" spans="1:13" ht="13.5" thickBot="1" x14ac:dyDescent="0.25">
      <c r="A16" s="308"/>
      <c r="B16" s="309" t="s">
        <v>124</v>
      </c>
      <c r="C16" s="309"/>
      <c r="D16" s="309"/>
      <c r="E16" s="309"/>
      <c r="F16" s="332"/>
      <c r="G16" s="310"/>
      <c r="H16" s="310"/>
      <c r="I16" s="310"/>
      <c r="J16" s="310"/>
      <c r="K16" s="310"/>
      <c r="L16"/>
      <c r="M16"/>
    </row>
    <row r="17" spans="1:16" ht="13.5" thickBot="1" x14ac:dyDescent="0.25">
      <c r="A17" s="308"/>
      <c r="B17" s="309" t="s">
        <v>125</v>
      </c>
      <c r="C17" s="309"/>
      <c r="D17" s="309"/>
      <c r="E17" s="309"/>
      <c r="F17" s="333"/>
      <c r="G17" s="310"/>
      <c r="H17" s="310"/>
      <c r="I17" s="310"/>
      <c r="J17" s="310"/>
      <c r="K17" s="310"/>
      <c r="L17"/>
      <c r="M17"/>
    </row>
    <row r="18" spans="1:16" ht="12.75" x14ac:dyDescent="0.2">
      <c r="A18" s="308"/>
      <c r="B18" s="308" t="s">
        <v>126</v>
      </c>
      <c r="C18" s="309"/>
      <c r="D18" s="309"/>
      <c r="E18" s="309"/>
      <c r="F18" s="332"/>
      <c r="G18" s="312"/>
      <c r="H18" s="310"/>
      <c r="I18" s="310"/>
      <c r="J18" s="310"/>
      <c r="K18" s="310"/>
      <c r="L18"/>
      <c r="M18"/>
    </row>
    <row r="19" spans="1:16" ht="21" customHeight="1" x14ac:dyDescent="0.2">
      <c r="A19" s="308"/>
      <c r="B19" s="308" t="s">
        <v>127</v>
      </c>
      <c r="C19" s="309"/>
      <c r="D19" s="309"/>
      <c r="E19" s="309"/>
      <c r="F19" s="332"/>
      <c r="G19" s="310"/>
      <c r="H19" s="310"/>
      <c r="I19" s="310"/>
      <c r="J19" s="69"/>
      <c r="K19" s="69"/>
      <c r="L19"/>
      <c r="M19"/>
    </row>
    <row r="20" spans="1:16" x14ac:dyDescent="0.2">
      <c r="A20" s="308"/>
      <c r="B20" s="329" t="s">
        <v>128</v>
      </c>
      <c r="C20" s="342"/>
      <c r="D20" s="342"/>
      <c r="E20" s="342"/>
      <c r="F20" s="343"/>
      <c r="G20" s="310"/>
      <c r="H20" s="310"/>
      <c r="I20" s="310"/>
      <c r="J20" s="329" t="s">
        <v>282</v>
      </c>
      <c r="K20" s="313"/>
      <c r="L20" s="313"/>
      <c r="M20" s="313"/>
      <c r="N20" s="313"/>
      <c r="O20" s="314"/>
      <c r="P20" s="72"/>
    </row>
    <row r="21" spans="1:16" ht="12.75" thickBot="1" x14ac:dyDescent="0.25">
      <c r="A21" s="308"/>
      <c r="B21" s="323"/>
      <c r="C21" s="336" t="s">
        <v>129</v>
      </c>
      <c r="D21" s="309"/>
      <c r="E21" s="309"/>
      <c r="F21" s="337"/>
      <c r="G21" s="309"/>
      <c r="H21" s="310"/>
      <c r="I21" s="309"/>
      <c r="J21" s="315" t="s">
        <v>130</v>
      </c>
      <c r="K21" s="309"/>
      <c r="L21" s="316"/>
      <c r="M21" s="317" t="s">
        <v>281</v>
      </c>
      <c r="N21" s="309"/>
      <c r="O21" s="318"/>
    </row>
    <row r="22" spans="1:16" ht="12.75" thickBot="1" x14ac:dyDescent="0.25">
      <c r="A22" s="308"/>
      <c r="B22" s="323"/>
      <c r="C22" s="336" t="s">
        <v>131</v>
      </c>
      <c r="D22" s="309"/>
      <c r="E22" s="309"/>
      <c r="F22" s="338"/>
      <c r="G22" s="310"/>
      <c r="H22" s="310"/>
      <c r="I22" s="309"/>
      <c r="J22" s="315" t="s">
        <v>406</v>
      </c>
      <c r="K22" s="309"/>
      <c r="L22" s="316"/>
      <c r="M22" s="315" t="s">
        <v>132</v>
      </c>
      <c r="N22" s="309"/>
      <c r="O22" s="331"/>
    </row>
    <row r="23" spans="1:16" x14ac:dyDescent="0.2">
      <c r="A23" s="308"/>
      <c r="B23" s="323"/>
      <c r="C23" s="336" t="s">
        <v>127</v>
      </c>
      <c r="D23" s="309"/>
      <c r="E23" s="309"/>
      <c r="F23" s="339"/>
      <c r="G23" s="310"/>
      <c r="H23" s="310"/>
      <c r="I23" s="309"/>
      <c r="J23" s="315" t="s">
        <v>133</v>
      </c>
      <c r="K23" s="309"/>
      <c r="L23" s="320"/>
      <c r="M23" s="315" t="s">
        <v>134</v>
      </c>
      <c r="N23" s="309"/>
      <c r="O23" s="321"/>
    </row>
    <row r="24" spans="1:16" x14ac:dyDescent="0.2">
      <c r="A24" s="308"/>
      <c r="B24" s="327"/>
      <c r="C24" s="340" t="s">
        <v>135</v>
      </c>
      <c r="D24" s="326"/>
      <c r="E24" s="326"/>
      <c r="F24" s="341"/>
      <c r="G24" s="312"/>
      <c r="H24" s="310"/>
      <c r="I24" s="309"/>
      <c r="J24" s="317" t="s">
        <v>136</v>
      </c>
      <c r="K24" s="309"/>
      <c r="L24" s="322"/>
      <c r="M24" s="317" t="s">
        <v>137</v>
      </c>
      <c r="N24" s="309"/>
      <c r="O24" s="625"/>
    </row>
    <row r="25" spans="1:16" x14ac:dyDescent="0.2">
      <c r="A25" s="309"/>
      <c r="B25" s="329" t="s">
        <v>138</v>
      </c>
      <c r="C25" s="342"/>
      <c r="D25" s="342"/>
      <c r="E25" s="342"/>
      <c r="F25" s="343"/>
      <c r="G25" s="310"/>
      <c r="H25" s="310"/>
      <c r="I25" s="309"/>
      <c r="J25" s="317" t="s">
        <v>139</v>
      </c>
      <c r="K25" s="309"/>
      <c r="L25" s="324"/>
      <c r="M25" s="323"/>
      <c r="N25" s="309"/>
      <c r="O25" s="319"/>
    </row>
    <row r="26" spans="1:16" ht="12.75" thickBot="1" x14ac:dyDescent="0.25">
      <c r="A26" s="309"/>
      <c r="B26" s="344"/>
      <c r="C26" s="345" t="s">
        <v>116</v>
      </c>
      <c r="D26" s="335"/>
      <c r="E26" s="335"/>
      <c r="F26" s="346"/>
      <c r="G26" s="309"/>
      <c r="H26" s="310"/>
      <c r="I26" s="309"/>
      <c r="J26" s="323"/>
      <c r="K26" s="309"/>
      <c r="L26" s="309"/>
      <c r="M26" s="323"/>
      <c r="N26" s="309"/>
      <c r="O26" s="319"/>
    </row>
    <row r="27" spans="1:16" ht="12.75" thickBot="1" x14ac:dyDescent="0.25">
      <c r="A27" s="309"/>
      <c r="B27" s="323"/>
      <c r="C27" s="336" t="s">
        <v>140</v>
      </c>
      <c r="D27" s="309"/>
      <c r="E27" s="309"/>
      <c r="F27" s="347"/>
      <c r="G27" s="310"/>
      <c r="H27" s="310"/>
      <c r="I27" s="309"/>
      <c r="J27" s="325" t="s">
        <v>141</v>
      </c>
      <c r="K27" s="326"/>
      <c r="L27" s="330"/>
      <c r="M27" s="327"/>
      <c r="N27" s="326"/>
      <c r="O27" s="328"/>
    </row>
    <row r="28" spans="1:16" ht="12.75" x14ac:dyDescent="0.2">
      <c r="A28" s="309"/>
      <c r="B28" s="323"/>
      <c r="C28" s="336" t="s">
        <v>127</v>
      </c>
      <c r="D28" s="309"/>
      <c r="E28" s="309"/>
      <c r="F28" s="348"/>
      <c r="G28" s="334"/>
      <c r="H28" s="310"/>
      <c r="I28" s="309"/>
    </row>
    <row r="29" spans="1:16" x14ac:dyDescent="0.2">
      <c r="A29" s="309"/>
      <c r="B29" s="327"/>
      <c r="C29" s="340" t="s">
        <v>135</v>
      </c>
      <c r="D29" s="326"/>
      <c r="E29" s="326"/>
      <c r="F29" s="349"/>
      <c r="G29" s="312"/>
      <c r="H29" s="310"/>
      <c r="I29" s="309"/>
    </row>
    <row r="30" spans="1:16" s="309" customFormat="1" ht="9.75" customHeight="1" x14ac:dyDescent="0.2"/>
    <row r="31" spans="1:16" x14ac:dyDescent="0.2">
      <c r="A31" s="309"/>
      <c r="B31" s="329" t="s">
        <v>283</v>
      </c>
      <c r="C31" s="342"/>
      <c r="D31" s="342"/>
      <c r="E31" s="355" t="s">
        <v>284</v>
      </c>
      <c r="F31" s="356" t="s">
        <v>138</v>
      </c>
      <c r="G31" s="310"/>
      <c r="H31" s="310"/>
      <c r="I31" s="309"/>
    </row>
    <row r="32" spans="1:16" x14ac:dyDescent="0.2">
      <c r="A32" s="309"/>
      <c r="B32" s="323" t="s">
        <v>285</v>
      </c>
      <c r="C32" s="309"/>
      <c r="D32" s="309"/>
      <c r="E32" s="310"/>
      <c r="F32" s="337"/>
    </row>
    <row r="33" spans="1:16" x14ac:dyDescent="0.2">
      <c r="A33" s="309"/>
      <c r="B33" s="323" t="s">
        <v>286</v>
      </c>
      <c r="C33" s="309"/>
      <c r="D33" s="309"/>
      <c r="E33" s="350"/>
      <c r="F33" s="337"/>
      <c r="N33" s="71"/>
      <c r="O33" s="71"/>
      <c r="P33" s="71"/>
    </row>
    <row r="34" spans="1:16" x14ac:dyDescent="0.2">
      <c r="A34" s="309"/>
      <c r="B34" s="317" t="s">
        <v>287</v>
      </c>
      <c r="C34" s="309"/>
      <c r="D34" s="309"/>
      <c r="E34" s="312"/>
      <c r="F34" s="351"/>
    </row>
    <row r="35" spans="1:16" x14ac:dyDescent="0.2">
      <c r="A35" s="309"/>
      <c r="B35" s="323" t="s">
        <v>407</v>
      </c>
      <c r="C35" s="309"/>
      <c r="D35" s="309"/>
      <c r="E35" s="310"/>
      <c r="F35" s="337"/>
    </row>
    <row r="36" spans="1:16" x14ac:dyDescent="0.2">
      <c r="A36" s="309"/>
      <c r="B36" s="317" t="s">
        <v>137</v>
      </c>
      <c r="C36" s="308"/>
      <c r="D36" s="308"/>
      <c r="E36" s="312"/>
      <c r="F36" s="351"/>
    </row>
    <row r="37" spans="1:16" x14ac:dyDescent="0.2">
      <c r="A37" s="309"/>
      <c r="B37" s="323" t="s">
        <v>397</v>
      </c>
      <c r="C37" s="309"/>
      <c r="D37" s="309"/>
      <c r="E37" s="310"/>
      <c r="F37" s="337"/>
      <c r="N37" s="72"/>
      <c r="O37" s="72"/>
      <c r="P37" s="72"/>
    </row>
    <row r="38" spans="1:16" x14ac:dyDescent="0.2">
      <c r="B38" s="325" t="s">
        <v>288</v>
      </c>
      <c r="C38" s="352"/>
      <c r="D38" s="352"/>
      <c r="E38" s="353"/>
      <c r="F38" s="354"/>
    </row>
  </sheetData>
  <phoneticPr fontId="0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66CCFF"/>
  </sheetPr>
  <dimension ref="A1:R27"/>
  <sheetViews>
    <sheetView workbookViewId="0">
      <selection activeCell="R4" sqref="R4"/>
    </sheetView>
  </sheetViews>
  <sheetFormatPr defaultColWidth="9.140625" defaultRowHeight="20.100000000000001" customHeight="1" x14ac:dyDescent="0.2"/>
  <cols>
    <col min="1" max="1" width="2.42578125" style="51" customWidth="1"/>
    <col min="2" max="2" width="26.140625" style="51" customWidth="1"/>
    <col min="3" max="3" width="9.85546875" style="69" bestFit="1" customWidth="1"/>
    <col min="4" max="4" width="12.140625" style="69" customWidth="1"/>
    <col min="5" max="5" width="9.5703125" style="51" bestFit="1" customWidth="1"/>
    <col min="6" max="6" width="9.140625" style="51" bestFit="1" customWidth="1"/>
    <col min="7" max="7" width="8.140625" style="51" customWidth="1"/>
    <col min="8" max="8" width="8.5703125" style="51" bestFit="1" customWidth="1"/>
    <col min="9" max="9" width="8.28515625" style="51" bestFit="1" customWidth="1"/>
    <col min="10" max="10" width="7.140625" style="51" customWidth="1"/>
    <col min="11" max="11" width="8.140625" style="51" bestFit="1" customWidth="1"/>
    <col min="12" max="15" width="7.85546875" style="51" bestFit="1" customWidth="1"/>
    <col min="16" max="16" width="7.140625" style="51" customWidth="1"/>
    <col min="17" max="17" width="8.140625" style="51" bestFit="1" customWidth="1"/>
    <col min="18" max="16384" width="9.140625" style="51"/>
  </cols>
  <sheetData>
    <row r="1" spans="1:17" ht="58.5" customHeight="1" x14ac:dyDescent="0.2">
      <c r="A1" s="49"/>
      <c r="B1" s="49"/>
      <c r="C1" s="50"/>
      <c r="D1" s="50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7" ht="13.5" customHeight="1" x14ac:dyDescent="0.2">
      <c r="A2" s="301" t="s">
        <v>142</v>
      </c>
      <c r="B2" s="52"/>
      <c r="C2" s="54"/>
      <c r="D2" s="54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270"/>
    </row>
    <row r="3" spans="1:17" ht="12" customHeight="1" x14ac:dyDescent="0.2">
      <c r="A3" s="5" t="str">
        <f>'Cash Flow Statement'!A3</f>
        <v>(in US$ millions)</v>
      </c>
      <c r="B3" s="57"/>
      <c r="C3" s="269"/>
      <c r="D3" s="269"/>
      <c r="E3" s="269"/>
      <c r="F3" s="269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268"/>
    </row>
    <row r="4" spans="1:17" ht="12" customHeight="1" x14ac:dyDescent="0.2">
      <c r="A4" s="302"/>
      <c r="B4" s="57"/>
      <c r="C4" s="689" t="s">
        <v>143</v>
      </c>
      <c r="D4" s="692" t="s">
        <v>144</v>
      </c>
      <c r="E4" s="267" t="s">
        <v>145</v>
      </c>
      <c r="F4" s="266" t="s">
        <v>146</v>
      </c>
      <c r="G4" s="265"/>
      <c r="H4" s="264"/>
      <c r="I4" s="262" t="s">
        <v>162</v>
      </c>
      <c r="J4" s="261"/>
      <c r="K4" s="263"/>
      <c r="L4" s="262" t="s">
        <v>163</v>
      </c>
      <c r="M4" s="261"/>
      <c r="N4" s="263"/>
      <c r="O4" s="262" t="s">
        <v>164</v>
      </c>
      <c r="P4" s="261"/>
      <c r="Q4" s="260"/>
    </row>
    <row r="5" spans="1:17" ht="12" customHeight="1" x14ac:dyDescent="0.2">
      <c r="A5" s="305"/>
      <c r="B5" s="231"/>
      <c r="C5" s="690"/>
      <c r="D5" s="693"/>
      <c r="E5" s="259" t="s">
        <v>147</v>
      </c>
      <c r="F5" s="258" t="str">
        <f t="shared" ref="F5:Q5" si="0">C20</f>
        <v>12A</v>
      </c>
      <c r="G5" s="229" t="str">
        <f t="shared" si="0"/>
        <v>LTM</v>
      </c>
      <c r="H5" s="254" t="str">
        <f t="shared" si="0"/>
        <v>13E</v>
      </c>
      <c r="I5" s="255" t="str">
        <f t="shared" si="0"/>
        <v>12A</v>
      </c>
      <c r="J5" s="229" t="str">
        <f t="shared" si="0"/>
        <v>LTM</v>
      </c>
      <c r="K5" s="257" t="str">
        <f t="shared" si="0"/>
        <v>13E</v>
      </c>
      <c r="L5" s="255" t="str">
        <f t="shared" si="0"/>
        <v>12A</v>
      </c>
      <c r="M5" s="229" t="str">
        <f t="shared" si="0"/>
        <v>LTM</v>
      </c>
      <c r="N5" s="256" t="str">
        <f t="shared" si="0"/>
        <v>13E</v>
      </c>
      <c r="O5" s="255" t="str">
        <f t="shared" si="0"/>
        <v>12A</v>
      </c>
      <c r="P5" s="229" t="str">
        <f t="shared" si="0"/>
        <v>LTM</v>
      </c>
      <c r="Q5" s="254" t="str">
        <f t="shared" si="0"/>
        <v>13E</v>
      </c>
    </row>
    <row r="6" spans="1:17" ht="12" customHeight="1" x14ac:dyDescent="0.2">
      <c r="A6" s="306"/>
      <c r="B6" s="228" t="s">
        <v>148</v>
      </c>
      <c r="C6" s="691"/>
      <c r="D6" s="694"/>
      <c r="E6" s="253" t="s">
        <v>149</v>
      </c>
      <c r="F6" s="252" t="s">
        <v>150</v>
      </c>
      <c r="G6" s="227" t="s">
        <v>150</v>
      </c>
      <c r="H6" s="251" t="s">
        <v>150</v>
      </c>
      <c r="I6" s="252" t="s">
        <v>150</v>
      </c>
      <c r="J6" s="227" t="s">
        <v>150</v>
      </c>
      <c r="K6" s="251" t="s">
        <v>150</v>
      </c>
      <c r="L6" s="252" t="s">
        <v>150</v>
      </c>
      <c r="M6" s="227" t="s">
        <v>150</v>
      </c>
      <c r="N6" s="251" t="s">
        <v>150</v>
      </c>
      <c r="O6" s="252" t="s">
        <v>150</v>
      </c>
      <c r="P6" s="227" t="s">
        <v>150</v>
      </c>
      <c r="Q6" s="251" t="s">
        <v>150</v>
      </c>
    </row>
    <row r="7" spans="1:17" s="49" customFormat="1" ht="20.100000000000001" customHeight="1" x14ac:dyDescent="0.2">
      <c r="A7" s="293"/>
      <c r="B7" s="226" t="str">
        <f>B22</f>
        <v>Walmart</v>
      </c>
      <c r="C7" s="250">
        <f>'Income Statement'!D55</f>
        <v>245</v>
      </c>
      <c r="D7" s="249">
        <f>'Wal-Mart Comp'!D60</f>
        <v>108303.398695</v>
      </c>
      <c r="E7" s="249">
        <f>'Wal-Mart Comp'!D68</f>
        <v>159854.39869499998</v>
      </c>
      <c r="F7" s="248">
        <f t="shared" ref="F7:H12" si="1">$C7/O22</f>
        <v>21184.037750535121</v>
      </c>
      <c r="G7" s="248">
        <f t="shared" si="1"/>
        <v>146.85306050449816</v>
      </c>
      <c r="H7" s="248">
        <f t="shared" si="1"/>
        <v>14947.067234939595</v>
      </c>
      <c r="I7" s="248">
        <f t="shared" ref="I7:N12" si="2">$E7/C22</f>
        <v>0.8158792148941707</v>
      </c>
      <c r="J7" s="248">
        <f t="shared" si="2"/>
        <v>0.76234404779958787</v>
      </c>
      <c r="K7" s="248">
        <f t="shared" si="2"/>
        <v>0.75600372025034346</v>
      </c>
      <c r="L7" s="248">
        <f t="shared" si="2"/>
        <v>23.563443203862025</v>
      </c>
      <c r="M7" s="248">
        <f t="shared" si="2"/>
        <v>21.061185598814227</v>
      </c>
      <c r="N7" s="248">
        <f t="shared" si="2"/>
        <v>16.849838285489135</v>
      </c>
      <c r="O7" s="248">
        <f t="shared" ref="O7:Q12" si="3">$E7/L22</f>
        <v>18.663677605954465</v>
      </c>
      <c r="P7" s="248">
        <f t="shared" si="3"/>
        <v>16.483233521860175</v>
      </c>
      <c r="Q7" s="247">
        <f t="shared" si="3"/>
        <v>16.849838285489135</v>
      </c>
    </row>
    <row r="8" spans="1:17" s="49" customFormat="1" ht="20.100000000000001" customHeight="1" x14ac:dyDescent="0.2">
      <c r="A8" s="294"/>
      <c r="B8" s="271" t="str">
        <f>B23</f>
        <v>COSTCO</v>
      </c>
      <c r="C8" s="272"/>
      <c r="D8" s="273"/>
      <c r="E8" s="274"/>
      <c r="F8" s="275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/>
    </row>
    <row r="9" spans="1:17" s="49" customFormat="1" ht="20.100000000000001" customHeight="1" x14ac:dyDescent="0.2">
      <c r="A9" s="295"/>
      <c r="B9" s="288" t="s">
        <v>297</v>
      </c>
      <c r="C9" s="289">
        <f>'Target Comp'!D51</f>
        <v>62.79</v>
      </c>
      <c r="D9" s="290">
        <f>'Target Comp'!D61</f>
        <v>41486.488996680004</v>
      </c>
      <c r="E9" s="291">
        <f>'Target Comp'!D69</f>
        <v>58558.488996680004</v>
      </c>
      <c r="F9" s="287">
        <f t="shared" si="1"/>
        <v>14.66100409696142</v>
      </c>
      <c r="G9" s="287">
        <f t="shared" si="1"/>
        <v>14.172111338100102</v>
      </c>
      <c r="H9" s="287">
        <f t="shared" si="1"/>
        <v>13.608613522706005</v>
      </c>
      <c r="I9" s="287">
        <f t="shared" si="2"/>
        <v>0.83816630640062983</v>
      </c>
      <c r="J9" s="287">
        <f t="shared" si="2"/>
        <v>0.82088270994560952</v>
      </c>
      <c r="K9" s="287">
        <f t="shared" si="2"/>
        <v>0.79825362514345699</v>
      </c>
      <c r="L9" s="287">
        <f t="shared" si="2"/>
        <v>11.003098270702743</v>
      </c>
      <c r="M9" s="287">
        <f t="shared" si="2"/>
        <v>11.052942430479426</v>
      </c>
      <c r="N9" s="287">
        <f t="shared" si="2"/>
        <v>10.700395198436722</v>
      </c>
      <c r="O9" s="287">
        <f t="shared" si="3"/>
        <v>7.8570359582289013</v>
      </c>
      <c r="P9" s="287">
        <f t="shared" si="3"/>
        <v>7.841254552313873</v>
      </c>
      <c r="Q9" s="292">
        <f t="shared" si="3"/>
        <v>7.6009813687895003</v>
      </c>
    </row>
    <row r="10" spans="1:17" s="49" customFormat="1" ht="20.100000000000001" customHeight="1" x14ac:dyDescent="0.2">
      <c r="A10" s="296"/>
      <c r="B10" s="280" t="s">
        <v>302</v>
      </c>
      <c r="C10" s="284">
        <f>'Dollar General'!D59</f>
        <v>47.16</v>
      </c>
      <c r="D10" s="285">
        <f>'Dollar General'!D69</f>
        <v>15854.037947639999</v>
      </c>
      <c r="E10" s="286">
        <f>'Dollar General'!D77</f>
        <v>18338.361947639998</v>
      </c>
      <c r="F10" s="287">
        <f t="shared" si="1"/>
        <v>20.228010478260746</v>
      </c>
      <c r="G10" s="287">
        <f t="shared" si="1"/>
        <v>17.397878557669426</v>
      </c>
      <c r="H10" s="287">
        <f t="shared" si="1"/>
        <v>15.390613006844802</v>
      </c>
      <c r="I10" s="287">
        <f t="shared" si="2"/>
        <v>1.238477011816153</v>
      </c>
      <c r="J10" s="287">
        <f t="shared" si="2"/>
        <v>1.1732679299152271</v>
      </c>
      <c r="K10" s="287">
        <f t="shared" si="2"/>
        <v>1.047560651710024</v>
      </c>
      <c r="L10" s="287">
        <f t="shared" si="2"/>
        <v>12.300987888173095</v>
      </c>
      <c r="M10" s="287">
        <f t="shared" si="2"/>
        <v>11.528521776732806</v>
      </c>
      <c r="N10" s="287">
        <f t="shared" si="2"/>
        <v>10.293323014940009</v>
      </c>
      <c r="O10" s="287">
        <f t="shared" si="3"/>
        <v>10.382876997574472</v>
      </c>
      <c r="P10" s="287">
        <f t="shared" si="3"/>
        <v>9.7726832555854184</v>
      </c>
      <c r="Q10" s="292">
        <f t="shared" si="3"/>
        <v>8.7256100496298394</v>
      </c>
    </row>
    <row r="11" spans="1:17" s="49" customFormat="1" ht="20.100000000000001" customHeight="1" x14ac:dyDescent="0.2">
      <c r="A11" s="296"/>
      <c r="B11" s="280" t="s">
        <v>323</v>
      </c>
      <c r="C11" s="284">
        <f>'Dollar Tree'!D46</f>
        <v>37.74</v>
      </c>
      <c r="D11" s="285">
        <f>'Dollar Tree'!D56</f>
        <v>8697.0771393000014</v>
      </c>
      <c r="E11" s="286">
        <f>'Dollar Tree'!D64</f>
        <v>8581.5771393000014</v>
      </c>
      <c r="F11" s="287">
        <f t="shared" si="1"/>
        <v>9.3673725168953492</v>
      </c>
      <c r="G11" s="287">
        <f t="shared" si="1"/>
        <v>16.116144292898191</v>
      </c>
      <c r="H11" s="287">
        <f t="shared" si="1"/>
        <v>15.258173451549812</v>
      </c>
      <c r="I11" s="287">
        <f t="shared" si="2"/>
        <v>1.2942579201116056</v>
      </c>
      <c r="J11" s="287">
        <f t="shared" si="2"/>
        <v>1.2311455783455756</v>
      </c>
      <c r="K11" s="287">
        <f t="shared" si="2"/>
        <v>1.1765981091923687</v>
      </c>
      <c r="L11" s="287">
        <f t="shared" si="2"/>
        <v>10.972480679324892</v>
      </c>
      <c r="M11" s="287">
        <f t="shared" si="2"/>
        <v>10.224683830930525</v>
      </c>
      <c r="N11" s="287">
        <f t="shared" si="2"/>
        <v>9.77166622222623</v>
      </c>
      <c r="O11" s="287">
        <f t="shared" si="3"/>
        <v>9.0714346081395334</v>
      </c>
      <c r="P11" s="287">
        <f t="shared" si="3"/>
        <v>8.5033463528537361</v>
      </c>
      <c r="Q11" s="292">
        <f t="shared" si="3"/>
        <v>8.1265947882624623</v>
      </c>
    </row>
    <row r="12" spans="1:17" s="49" customFormat="1" ht="20.100000000000001" customHeight="1" x14ac:dyDescent="0.2">
      <c r="A12" s="626"/>
      <c r="B12" s="627" t="s">
        <v>330</v>
      </c>
      <c r="C12" s="628">
        <f>'Family Dollar Store'!D44</f>
        <v>66.12</v>
      </c>
      <c r="D12" s="629">
        <f>'Family Dollar Store'!D54</f>
        <v>7645.7599503600004</v>
      </c>
      <c r="E12" s="630">
        <f>'Family Dollar Store'!D62</f>
        <v>8100.9469503600003</v>
      </c>
      <c r="F12" s="631">
        <f t="shared" si="1"/>
        <v>19.345509365097573</v>
      </c>
      <c r="G12" s="631">
        <f t="shared" si="1"/>
        <v>18.611237346478369</v>
      </c>
      <c r="H12" s="631">
        <f t="shared" si="1"/>
        <v>16.155130273667091</v>
      </c>
      <c r="I12" s="631">
        <f t="shared" si="2"/>
        <v>0.91748728517234135</v>
      </c>
      <c r="J12" s="631">
        <f t="shared" si="2"/>
        <v>0.87429025871487709</v>
      </c>
      <c r="K12" s="631">
        <f t="shared" si="2"/>
        <v>0.78925016411415494</v>
      </c>
      <c r="L12" s="631">
        <f t="shared" si="2"/>
        <v>12.177443622561452</v>
      </c>
      <c r="M12" s="631">
        <f t="shared" si="2"/>
        <v>11.844668676733546</v>
      </c>
      <c r="N12" s="631">
        <f t="shared" si="2"/>
        <v>10.608201130566599</v>
      </c>
      <c r="O12" s="631">
        <f t="shared" si="3"/>
        <v>9.4553502276722465</v>
      </c>
      <c r="P12" s="631">
        <f t="shared" si="3"/>
        <v>9.0785001796174924</v>
      </c>
      <c r="Q12" s="632">
        <f t="shared" si="3"/>
        <v>8.136599630042836</v>
      </c>
    </row>
    <row r="13" spans="1:17" s="236" customFormat="1" ht="12" x14ac:dyDescent="0.2">
      <c r="A13" s="246"/>
      <c r="B13" s="245" t="s">
        <v>167</v>
      </c>
      <c r="C13" s="244"/>
      <c r="D13" s="244"/>
      <c r="E13" s="244"/>
      <c r="F13" s="243">
        <f t="shared" ref="F13:Q13" si="4">MEDIAN(F8:F12)</f>
        <v>17.003256731029495</v>
      </c>
      <c r="G13" s="243">
        <f t="shared" si="4"/>
        <v>16.757011425283807</v>
      </c>
      <c r="H13" s="243">
        <f t="shared" si="4"/>
        <v>15.324393229197307</v>
      </c>
      <c r="I13" s="243">
        <f t="shared" si="4"/>
        <v>1.0779821484942471</v>
      </c>
      <c r="J13" s="243">
        <f t="shared" si="4"/>
        <v>1.023779094315052</v>
      </c>
      <c r="K13" s="243">
        <f t="shared" si="4"/>
        <v>0.92290713842674044</v>
      </c>
      <c r="L13" s="243">
        <f t="shared" si="4"/>
        <v>11.590270946632097</v>
      </c>
      <c r="M13" s="243">
        <f t="shared" si="4"/>
        <v>11.290732103606116</v>
      </c>
      <c r="N13" s="243">
        <f t="shared" si="4"/>
        <v>10.450762072753303</v>
      </c>
      <c r="O13" s="243">
        <f t="shared" si="4"/>
        <v>9.2633924179058909</v>
      </c>
      <c r="P13" s="243">
        <f t="shared" si="4"/>
        <v>8.7909232662356143</v>
      </c>
      <c r="Q13" s="242">
        <f t="shared" si="4"/>
        <v>8.1315972091526483</v>
      </c>
    </row>
    <row r="14" spans="1:17" s="236" customFormat="1" ht="12" x14ac:dyDescent="0.2">
      <c r="A14" s="246"/>
      <c r="B14" s="245" t="s">
        <v>151</v>
      </c>
      <c r="C14" s="244"/>
      <c r="D14" s="244"/>
      <c r="E14" s="244"/>
      <c r="F14" s="243">
        <f t="shared" ref="F14:Q14" si="5">MAX(F8:F12)</f>
        <v>20.228010478260746</v>
      </c>
      <c r="G14" s="243">
        <f t="shared" si="5"/>
        <v>18.611237346478369</v>
      </c>
      <c r="H14" s="243">
        <f t="shared" si="5"/>
        <v>16.155130273667091</v>
      </c>
      <c r="I14" s="243">
        <f t="shared" si="5"/>
        <v>1.2942579201116056</v>
      </c>
      <c r="J14" s="243">
        <f t="shared" si="5"/>
        <v>1.2311455783455756</v>
      </c>
      <c r="K14" s="243">
        <f t="shared" si="5"/>
        <v>1.1765981091923687</v>
      </c>
      <c r="L14" s="243">
        <f t="shared" si="5"/>
        <v>12.300987888173095</v>
      </c>
      <c r="M14" s="243">
        <f t="shared" si="5"/>
        <v>11.844668676733546</v>
      </c>
      <c r="N14" s="243">
        <f t="shared" si="5"/>
        <v>10.700395198436722</v>
      </c>
      <c r="O14" s="243">
        <f t="shared" si="5"/>
        <v>10.382876997574472</v>
      </c>
      <c r="P14" s="243">
        <f t="shared" si="5"/>
        <v>9.7726832555854184</v>
      </c>
      <c r="Q14" s="242">
        <f t="shared" si="5"/>
        <v>8.7256100496298394</v>
      </c>
    </row>
    <row r="15" spans="1:17" s="236" customFormat="1" ht="12" x14ac:dyDescent="0.2">
      <c r="A15" s="241"/>
      <c r="B15" s="240" t="s">
        <v>152</v>
      </c>
      <c r="C15" s="239"/>
      <c r="D15" s="239"/>
      <c r="E15" s="239"/>
      <c r="F15" s="238">
        <f t="shared" ref="F15:Q15" si="6">MIN(F8:F12)</f>
        <v>9.3673725168953492</v>
      </c>
      <c r="G15" s="238">
        <f t="shared" si="6"/>
        <v>14.172111338100102</v>
      </c>
      <c r="H15" s="238">
        <f t="shared" si="6"/>
        <v>13.608613522706005</v>
      </c>
      <c r="I15" s="238">
        <f t="shared" si="6"/>
        <v>0.83816630640062983</v>
      </c>
      <c r="J15" s="238">
        <f t="shared" si="6"/>
        <v>0.82088270994560952</v>
      </c>
      <c r="K15" s="238">
        <f t="shared" si="6"/>
        <v>0.78925016411415494</v>
      </c>
      <c r="L15" s="238">
        <f t="shared" si="6"/>
        <v>10.972480679324892</v>
      </c>
      <c r="M15" s="238">
        <f t="shared" si="6"/>
        <v>10.224683830930525</v>
      </c>
      <c r="N15" s="238">
        <f t="shared" si="6"/>
        <v>9.77166622222623</v>
      </c>
      <c r="O15" s="238">
        <f t="shared" si="6"/>
        <v>7.8570359582289013</v>
      </c>
      <c r="P15" s="238">
        <f t="shared" si="6"/>
        <v>7.841254552313873</v>
      </c>
      <c r="Q15" s="237">
        <f t="shared" si="6"/>
        <v>7.6009813687895003</v>
      </c>
    </row>
    <row r="16" spans="1:17" s="234" customFormat="1" ht="12" x14ac:dyDescent="0.2">
      <c r="A16" s="51"/>
      <c r="B16" s="70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</row>
    <row r="17" spans="1:18" ht="13.5" customHeight="1" x14ac:dyDescent="0.2">
      <c r="A17" s="301" t="s">
        <v>153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270"/>
    </row>
    <row r="18" spans="1:18" ht="12" customHeight="1" x14ac:dyDescent="0.2">
      <c r="A18" s="302"/>
      <c r="B18" s="57"/>
      <c r="C18" s="55"/>
      <c r="D18" s="55"/>
      <c r="E18" s="55"/>
      <c r="F18" s="233"/>
      <c r="G18" s="233"/>
      <c r="H18" s="233"/>
      <c r="I18" s="233"/>
      <c r="J18" s="233"/>
      <c r="K18" s="233"/>
      <c r="L18" s="64"/>
      <c r="M18" s="64"/>
      <c r="N18" s="233"/>
      <c r="O18" s="233"/>
      <c r="P18" s="233"/>
      <c r="Q18" s="303"/>
    </row>
    <row r="19" spans="1:18" ht="12" customHeight="1" x14ac:dyDescent="0.2">
      <c r="A19" s="302"/>
      <c r="B19" s="57"/>
      <c r="C19" s="232" t="s">
        <v>154</v>
      </c>
      <c r="D19" s="232"/>
      <c r="E19" s="232"/>
      <c r="F19" s="232" t="s">
        <v>1</v>
      </c>
      <c r="G19" s="232"/>
      <c r="H19" s="232"/>
      <c r="I19" s="232" t="s">
        <v>155</v>
      </c>
      <c r="J19" s="232"/>
      <c r="K19" s="232"/>
      <c r="L19" s="232" t="s">
        <v>2</v>
      </c>
      <c r="M19" s="232"/>
      <c r="N19" s="232"/>
      <c r="O19" s="232" t="s">
        <v>156</v>
      </c>
      <c r="P19" s="232"/>
      <c r="Q19" s="304"/>
    </row>
    <row r="20" spans="1:18" ht="12" customHeight="1" x14ac:dyDescent="0.2">
      <c r="A20" s="305"/>
      <c r="B20" s="231"/>
      <c r="C20" s="229" t="s">
        <v>333</v>
      </c>
      <c r="D20" s="229" t="s">
        <v>157</v>
      </c>
      <c r="E20" s="229" t="s">
        <v>332</v>
      </c>
      <c r="F20" s="229" t="str">
        <f t="shared" ref="F20:M20" si="7">C20</f>
        <v>12A</v>
      </c>
      <c r="G20" s="229" t="str">
        <f t="shared" si="7"/>
        <v>LTM</v>
      </c>
      <c r="H20" s="230" t="str">
        <f t="shared" si="7"/>
        <v>13E</v>
      </c>
      <c r="I20" s="229" t="str">
        <f t="shared" si="7"/>
        <v>12A</v>
      </c>
      <c r="J20" s="229" t="str">
        <f t="shared" si="7"/>
        <v>LTM</v>
      </c>
      <c r="K20" s="230" t="str">
        <f t="shared" si="7"/>
        <v>13E</v>
      </c>
      <c r="L20" s="229" t="str">
        <f t="shared" si="7"/>
        <v>12A</v>
      </c>
      <c r="M20" s="229" t="str">
        <f t="shared" si="7"/>
        <v>LTM</v>
      </c>
      <c r="N20" s="230" t="str">
        <f>E20</f>
        <v>13E</v>
      </c>
      <c r="O20" s="229" t="str">
        <f>L20</f>
        <v>12A</v>
      </c>
      <c r="P20" s="229" t="str">
        <f>M20</f>
        <v>LTM</v>
      </c>
      <c r="Q20" s="254" t="str">
        <f>E20</f>
        <v>13E</v>
      </c>
    </row>
    <row r="21" spans="1:18" ht="12" customHeight="1" x14ac:dyDescent="0.2">
      <c r="A21" s="306"/>
      <c r="B21" s="228" t="s">
        <v>148</v>
      </c>
      <c r="C21" s="227" t="s">
        <v>149</v>
      </c>
      <c r="D21" s="227" t="s">
        <v>149</v>
      </c>
      <c r="E21" s="227" t="s">
        <v>149</v>
      </c>
      <c r="F21" s="227" t="s">
        <v>149</v>
      </c>
      <c r="G21" s="227" t="s">
        <v>149</v>
      </c>
      <c r="H21" s="227" t="s">
        <v>149</v>
      </c>
      <c r="I21" s="227" t="s">
        <v>149</v>
      </c>
      <c r="J21" s="227" t="s">
        <v>149</v>
      </c>
      <c r="K21" s="227" t="s">
        <v>149</v>
      </c>
      <c r="L21" s="227" t="s">
        <v>149</v>
      </c>
      <c r="M21" s="227" t="s">
        <v>149</v>
      </c>
      <c r="N21" s="227" t="s">
        <v>149</v>
      </c>
      <c r="O21" s="227" t="s">
        <v>166</v>
      </c>
      <c r="P21" s="227" t="s">
        <v>166</v>
      </c>
      <c r="Q21" s="251" t="s">
        <v>166</v>
      </c>
    </row>
    <row r="22" spans="1:18" ht="20.100000000000001" customHeight="1" x14ac:dyDescent="0.2">
      <c r="A22" s="293"/>
      <c r="B22" s="226" t="s">
        <v>280</v>
      </c>
      <c r="C22" s="391">
        <f>'Wal-Mart Comp'!F11</f>
        <v>195929</v>
      </c>
      <c r="D22" s="391">
        <f>'Wal-Mart Comp'!I11</f>
        <v>209688</v>
      </c>
      <c r="E22" s="391">
        <f>'Wal-Mart Comp'!J11</f>
        <v>211446.57680000001</v>
      </c>
      <c r="F22" s="391">
        <f>'Wal-Mart Comp'!F26</f>
        <v>6784</v>
      </c>
      <c r="G22" s="391">
        <f>'Wal-Mart Comp'!I26</f>
        <v>7590</v>
      </c>
      <c r="H22" s="391">
        <f>'Wal-Mart Comp'!J26</f>
        <v>9486.9989840000162</v>
      </c>
      <c r="I22" s="391">
        <f>'Wal-Mart Comp'!F24</f>
        <v>1781</v>
      </c>
      <c r="J22" s="391">
        <f>'Wal-Mart Comp'!I24</f>
        <v>2108</v>
      </c>
      <c r="K22" s="391">
        <f>'Wal-Mart Comp'!J24</f>
        <v>0</v>
      </c>
      <c r="L22" s="225">
        <f>'Wal-Mart Comp'!F22</f>
        <v>8565</v>
      </c>
      <c r="M22" s="225">
        <f>'Wal-Mart Comp'!I22</f>
        <v>9698</v>
      </c>
      <c r="N22" s="225">
        <f>'Wal-Mart Comp'!J22</f>
        <v>9486.9989840000162</v>
      </c>
      <c r="O22" s="224">
        <f>'Wal-Mart Comp'!F54</f>
        <v>1.1565311716545216E-2</v>
      </c>
      <c r="P22" s="224">
        <f>'Wal-Mart Comp'!I54</f>
        <v>1.6683343143025309</v>
      </c>
      <c r="Q22" s="297">
        <f>'Wal-Mart Comp'!J54</f>
        <v>1.6391175348920553E-2</v>
      </c>
      <c r="R22"/>
    </row>
    <row r="23" spans="1:18" ht="20.100000000000001" customHeight="1" x14ac:dyDescent="0.2">
      <c r="A23" s="298"/>
      <c r="B23" s="277" t="s">
        <v>165</v>
      </c>
      <c r="C23" s="278"/>
      <c r="D23" s="278"/>
      <c r="E23" s="278"/>
      <c r="F23" s="278"/>
      <c r="G23" s="278"/>
      <c r="H23" s="278"/>
      <c r="I23" s="390"/>
      <c r="J23" s="390"/>
      <c r="K23" s="390"/>
      <c r="L23" s="390"/>
      <c r="M23" s="390"/>
      <c r="N23" s="390"/>
      <c r="O23" s="279"/>
      <c r="P23" s="279"/>
      <c r="Q23" s="299"/>
    </row>
    <row r="24" spans="1:18" ht="20.100000000000001" customHeight="1" x14ac:dyDescent="0.2">
      <c r="A24" s="296"/>
      <c r="B24" s="280" t="s">
        <v>297</v>
      </c>
      <c r="C24" s="281">
        <f>'Target Comp'!F11</f>
        <v>69865</v>
      </c>
      <c r="D24" s="281">
        <f>'Target Comp'!I11</f>
        <v>71336</v>
      </c>
      <c r="E24" s="281">
        <f>'Target Comp'!J11</f>
        <v>73358.25</v>
      </c>
      <c r="F24" s="281">
        <f>'Target Comp'!F30</f>
        <v>5322</v>
      </c>
      <c r="G24" s="281">
        <f>'Target Comp'!I30</f>
        <v>5298</v>
      </c>
      <c r="H24" s="281">
        <f>'Target Comp'!J30</f>
        <v>5472.5538553225706</v>
      </c>
      <c r="I24" s="281">
        <f>'Target Comp'!F28</f>
        <v>2131</v>
      </c>
      <c r="J24" s="281">
        <f>'Target Comp'!I28</f>
        <v>2170</v>
      </c>
      <c r="K24" s="281">
        <f>'Target Comp'!J28</f>
        <v>2231.5156793203992</v>
      </c>
      <c r="L24" s="282">
        <f>'Target Comp'!F26</f>
        <v>7453</v>
      </c>
      <c r="M24" s="282">
        <f>'Target Comp'!I26</f>
        <v>7468</v>
      </c>
      <c r="N24" s="282">
        <f>'Target Comp'!J26</f>
        <v>7704.0695346429693</v>
      </c>
      <c r="O24" s="283">
        <f>'Target Comp'!F44</f>
        <v>4.2827898815616319</v>
      </c>
      <c r="P24" s="283">
        <f>'Target Comp'!I44</f>
        <v>4.4305325086740082</v>
      </c>
      <c r="Q24" s="300">
        <f>'Target Comp'!J44</f>
        <v>4.6139895071040655</v>
      </c>
    </row>
    <row r="25" spans="1:18" ht="20.100000000000001" customHeight="1" x14ac:dyDescent="0.2">
      <c r="A25" s="296"/>
      <c r="B25" s="280" t="s">
        <v>302</v>
      </c>
      <c r="C25" s="281">
        <f>'Dollar General'!F9</f>
        <v>14807.188</v>
      </c>
      <c r="D25" s="281">
        <f>'Dollar General'!K9</f>
        <v>15630.157000000003</v>
      </c>
      <c r="E25" s="281">
        <f>'Dollar General'!L9</f>
        <v>17505.775840000006</v>
      </c>
      <c r="F25" s="281">
        <f>'Dollar General'!F24</f>
        <v>1490.8039999999996</v>
      </c>
      <c r="G25" s="281">
        <f>'Dollar General'!K24</f>
        <v>1590.6950000000006</v>
      </c>
      <c r="H25" s="281">
        <f>'Dollar General'!L24</f>
        <v>1781.5784000000001</v>
      </c>
      <c r="I25" s="281">
        <f>'Dollar General'!F22</f>
        <v>275.40800000000002</v>
      </c>
      <c r="J25" s="281">
        <f>'Dollar General'!K22</f>
        <v>285.79700000000003</v>
      </c>
      <c r="K25" s="281">
        <f>'Dollar General'!L22</f>
        <v>320.09264000000007</v>
      </c>
      <c r="L25" s="282">
        <f>'Dollar General'!F20</f>
        <v>1766.2119999999995</v>
      </c>
      <c r="M25" s="282">
        <f>'Dollar General'!K20</f>
        <v>1876.4920000000006</v>
      </c>
      <c r="N25" s="282">
        <f>'Dollar General'!L20</f>
        <v>2101.6710400000002</v>
      </c>
      <c r="O25" s="283">
        <f>'Dollar General'!F52</f>
        <v>2.3314205838821045</v>
      </c>
      <c r="P25" s="283">
        <f>'Dollar General'!K52</f>
        <v>2.7106753184692551</v>
      </c>
      <c r="Q25" s="300">
        <f>'Dollar General'!L52</f>
        <v>3.0642054334694868</v>
      </c>
    </row>
    <row r="26" spans="1:18" ht="20.100000000000001" customHeight="1" x14ac:dyDescent="0.2">
      <c r="A26" s="296"/>
      <c r="B26" s="280" t="s">
        <v>323</v>
      </c>
      <c r="C26" s="281">
        <f>'Dollar Tree'!G7</f>
        <v>6630.5</v>
      </c>
      <c r="D26" s="281">
        <f>'Dollar Tree'!J7</f>
        <v>6970.4000000000015</v>
      </c>
      <c r="E26" s="281">
        <f>'Dollar Tree'!K7</f>
        <v>7293.55</v>
      </c>
      <c r="F26" s="281">
        <f>'Dollar Tree'!G21</f>
        <v>782.10000000000025</v>
      </c>
      <c r="G26" s="281">
        <f>'Dollar Tree'!J21</f>
        <v>839.30000000000121</v>
      </c>
      <c r="H26" s="281">
        <f>'Dollar Tree'!K21</f>
        <v>878.2102196430634</v>
      </c>
      <c r="I26" s="281">
        <f>'Dollar Tree'!G18</f>
        <v>163.9</v>
      </c>
      <c r="J26" s="281">
        <f>'Dollar Tree'!J18</f>
        <v>169.89999999999998</v>
      </c>
      <c r="K26" s="281">
        <f>'Dollar Tree'!K18</f>
        <v>177.77661898886717</v>
      </c>
      <c r="L26" s="282">
        <f>'Dollar Tree'!G15</f>
        <v>946.00000000000023</v>
      </c>
      <c r="M26" s="282">
        <f>'Dollar Tree'!J15</f>
        <v>1009.2000000000012</v>
      </c>
      <c r="N26" s="282">
        <f>'Dollar Tree'!K15</f>
        <v>1055.9868386319306</v>
      </c>
      <c r="O26" s="283">
        <f>'Dollar Tree'!G37</f>
        <v>4.0288778877887799</v>
      </c>
      <c r="P26" s="283">
        <f>'Dollar Tree'!J37</f>
        <v>2.3417511852776518</v>
      </c>
      <c r="Q26" s="300">
        <f>'Dollar Tree'!K37</f>
        <v>2.4734284296765976</v>
      </c>
    </row>
    <row r="27" spans="1:18" ht="20.100000000000001" customHeight="1" x14ac:dyDescent="0.2">
      <c r="A27" s="626"/>
      <c r="B27" s="627" t="s">
        <v>330</v>
      </c>
      <c r="C27" s="633">
        <f>'Family Dollar Store'!N9</f>
        <v>8829.4923333333318</v>
      </c>
      <c r="D27" s="633">
        <f>'Family Dollar Store'!O9</f>
        <v>9265.7408333333333</v>
      </c>
      <c r="E27" s="633">
        <f>'Family Dollar Store'!P9</f>
        <v>10264.1055</v>
      </c>
      <c r="F27" s="633">
        <f>'Family Dollar Store'!N24</f>
        <v>665.24199999999792</v>
      </c>
      <c r="G27" s="633">
        <f>'Family Dollar Store'!O24</f>
        <v>683.93191666666632</v>
      </c>
      <c r="H27" s="633">
        <f>'Family Dollar Store'!P24</f>
        <v>763.64944919999994</v>
      </c>
      <c r="I27" s="633">
        <f>'Family Dollar Store'!N22</f>
        <v>191.51600000000002</v>
      </c>
      <c r="J27" s="633">
        <f>'Family Dollar Store'!O22</f>
        <v>208.39025000000001</v>
      </c>
      <c r="K27" s="633">
        <f>'Family Dollar Store'!P22</f>
        <v>231.96878429999998</v>
      </c>
      <c r="L27" s="634">
        <f>'Family Dollar Store'!N20</f>
        <v>856.75799999999799</v>
      </c>
      <c r="M27" s="634">
        <f>'Family Dollar Store'!O20</f>
        <v>892.32216666666636</v>
      </c>
      <c r="N27" s="634">
        <f>'Family Dollar Store'!P20</f>
        <v>995.61823349999986</v>
      </c>
      <c r="O27" s="635">
        <f>'Family Dollar Store'!N37</f>
        <v>3.4178474576271007</v>
      </c>
      <c r="P27" s="635">
        <f>'Family Dollar Store'!O37</f>
        <v>3.5526923207237093</v>
      </c>
      <c r="Q27" s="636">
        <f>'Family Dollar Store'!P37</f>
        <v>4.092817506261512</v>
      </c>
    </row>
  </sheetData>
  <mergeCells count="2">
    <mergeCell ref="C4:C6"/>
    <mergeCell ref="D4:D6"/>
  </mergeCells>
  <pageMargins left="0.75" right="0.75" top="1" bottom="1" header="0.5" footer="0.5"/>
  <pageSetup scale="83" orientation="landscape" r:id="rId1"/>
  <headerFooter alignWithMargins="0">
    <oddFooter>&amp;LThe Analyst Exchange&amp;8
On - Line Training
www.theanalystexchange.com
&amp;R&amp;F, &amp;A
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Income Statement</vt:lpstr>
      <vt:lpstr>Cash Flow Statement</vt:lpstr>
      <vt:lpstr>Balance Sheet</vt:lpstr>
      <vt:lpstr>Depreciation</vt:lpstr>
      <vt:lpstr>Operating Working Capital</vt:lpstr>
      <vt:lpstr>Debt Schedule</vt:lpstr>
      <vt:lpstr>---&gt; Valuation</vt:lpstr>
      <vt:lpstr>DCF Analysis</vt:lpstr>
      <vt:lpstr>Comparable Companies</vt:lpstr>
      <vt:lpstr>Costco Comp</vt:lpstr>
      <vt:lpstr>Wal-Mart Comp</vt:lpstr>
      <vt:lpstr>Target Comp</vt:lpstr>
      <vt:lpstr>Dollar General</vt:lpstr>
      <vt:lpstr>Dollar Tree</vt:lpstr>
      <vt:lpstr>Family Dollar Store</vt:lpstr>
      <vt:lpstr>Precedent Transactions</vt:lpstr>
      <vt:lpstr>A&amp;P - Pathmark</vt:lpstr>
      <vt:lpstr>WFM - Wild Oats</vt:lpstr>
      <vt:lpstr>Football field</vt:lpstr>
      <vt:lpstr>M_to_MM</vt:lpstr>
      <vt:lpstr>'Balance Sheet'!Print_Area</vt:lpstr>
      <vt:lpstr>'Cash Flow Statement'!Print_Area</vt:lpstr>
      <vt:lpstr>'Comparable Companies'!Print_Area</vt:lpstr>
      <vt:lpstr>'Costco Comp'!Print_Area</vt:lpstr>
      <vt:lpstr>'Debt Schedule'!Print_Area</vt:lpstr>
      <vt:lpstr>Depreciation!Print_Area</vt:lpstr>
      <vt:lpstr>'Dollar Tree'!Print_Area</vt:lpstr>
      <vt:lpstr>'Football field'!Print_Area</vt:lpstr>
      <vt:lpstr>'Income Statement'!Print_Area</vt:lpstr>
      <vt:lpstr>'Operating Working Capital'!Print_Area</vt:lpstr>
      <vt:lpstr>'Precedent Transactions'!Print_Area</vt:lpstr>
      <vt:lpstr>'Target Comp'!Print_Area</vt:lpstr>
      <vt:lpstr>'Wal-Mart Comp'!Print_Area</vt:lpstr>
      <vt:lpstr>'Costco Comp'!Print_Titles</vt:lpstr>
      <vt:lpstr>'Dollar Tree'!Print_Titles</vt:lpstr>
      <vt:lpstr>'Income Statement'!Print_Titles</vt:lpstr>
      <vt:lpstr>'Target Comp'!Print_Titles</vt:lpstr>
      <vt:lpstr>'Wal-Mart Comp'!Print_Titles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Awais</cp:lastModifiedBy>
  <dcterms:created xsi:type="dcterms:W3CDTF">2006-06-04T11:56:43Z</dcterms:created>
  <dcterms:modified xsi:type="dcterms:W3CDTF">2022-11-18T07:24:20Z</dcterms:modified>
</cp:coreProperties>
</file>