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vestmet valuation\OTIS\"/>
    </mc:Choice>
  </mc:AlternateContent>
  <xr:revisionPtr revIDLastSave="0" documentId="13_ncr:1_{C55D7F4D-1159-41EE-8D41-73D007A36BD0}" xr6:coauthVersionLast="47" xr6:coauthVersionMax="47" xr10:uidLastSave="{00000000-0000-0000-0000-000000000000}"/>
  <bookViews>
    <workbookView xWindow="-120" yWindow="-120" windowWidth="20730" windowHeight="11760" activeTab="1" xr2:uid="{213F3E56-4141-4527-A030-88101D13ED15}"/>
  </bookViews>
  <sheets>
    <sheet name="Cashflow Statement" sheetId="3" r:id="rId1"/>
    <sheet name="Balance Sheet" sheetId="2" r:id="rId2"/>
    <sheet name="Income Statement" sheetId="1" r:id="rId3"/>
  </sheets>
  <externalReferences>
    <externalReference r:id="rId4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2" l="1"/>
  <c r="F33" i="2"/>
  <c r="G33" i="2" s="1"/>
  <c r="H33" i="2" s="1"/>
  <c r="G34" i="2"/>
  <c r="H34" i="2" s="1"/>
  <c r="I34" i="2" s="1"/>
  <c r="J34" i="2" s="1"/>
  <c r="F34" i="2"/>
  <c r="F31" i="2"/>
  <c r="G31" i="2"/>
  <c r="H31" i="2"/>
  <c r="I31" i="2"/>
  <c r="J31" i="2"/>
  <c r="G28" i="2"/>
  <c r="H28" i="2" s="1"/>
  <c r="I28" i="2" s="1"/>
  <c r="J28" i="2" s="1"/>
  <c r="F28" i="2"/>
  <c r="F22" i="2"/>
  <c r="G22" i="2"/>
  <c r="H22" i="2"/>
  <c r="I22" i="2"/>
  <c r="J22" i="2"/>
  <c r="G21" i="2"/>
  <c r="H21" i="2" s="1"/>
  <c r="I21" i="2" s="1"/>
  <c r="J21" i="2" s="1"/>
  <c r="F21" i="2"/>
  <c r="G19" i="2"/>
  <c r="H19" i="2" s="1"/>
  <c r="I19" i="2" s="1"/>
  <c r="J19" i="2" s="1"/>
  <c r="F19" i="2"/>
  <c r="G16" i="2"/>
  <c r="H16" i="2" s="1"/>
  <c r="I16" i="2" s="1"/>
  <c r="J16" i="2" s="1"/>
  <c r="F16" i="2"/>
  <c r="G33" i="3"/>
  <c r="H33" i="3"/>
  <c r="I33" i="3"/>
  <c r="J33" i="3"/>
  <c r="F33" i="3"/>
  <c r="G31" i="3"/>
  <c r="H31" i="3"/>
  <c r="I31" i="3"/>
  <c r="J31" i="3"/>
  <c r="F31" i="3"/>
  <c r="G35" i="3"/>
  <c r="G39" i="3" s="1"/>
  <c r="H35" i="3"/>
  <c r="H39" i="3" s="1"/>
  <c r="I35" i="3"/>
  <c r="I39" i="3" s="1"/>
  <c r="G37" i="3"/>
  <c r="H37" i="3"/>
  <c r="I37" i="3"/>
  <c r="J37" i="3"/>
  <c r="F37" i="3"/>
  <c r="F27" i="3"/>
  <c r="G27" i="3"/>
  <c r="H27" i="3"/>
  <c r="I27" i="3"/>
  <c r="J27" i="3"/>
  <c r="F22" i="3"/>
  <c r="G22" i="3"/>
  <c r="H22" i="3"/>
  <c r="I22" i="3"/>
  <c r="J22" i="3"/>
  <c r="G26" i="3"/>
  <c r="H26" i="3"/>
  <c r="I26" i="3"/>
  <c r="J26" i="3"/>
  <c r="F26" i="3"/>
  <c r="G25" i="3"/>
  <c r="H25" i="3"/>
  <c r="I25" i="3"/>
  <c r="J25" i="3"/>
  <c r="F25" i="3"/>
  <c r="G19" i="3"/>
  <c r="H19" i="3"/>
  <c r="I19" i="3"/>
  <c r="J19" i="3"/>
  <c r="G20" i="3"/>
  <c r="H20" i="3"/>
  <c r="I20" i="3"/>
  <c r="J20" i="3"/>
  <c r="F20" i="3"/>
  <c r="F19" i="3"/>
  <c r="D10" i="3"/>
  <c r="E10" i="3"/>
  <c r="C10" i="3"/>
  <c r="F10" i="3"/>
  <c r="G10" i="3" s="1"/>
  <c r="H10" i="3" s="1"/>
  <c r="I10" i="3" s="1"/>
  <c r="J10" i="3" s="1"/>
  <c r="G6" i="3"/>
  <c r="H6" i="3"/>
  <c r="I6" i="3"/>
  <c r="J6" i="3"/>
  <c r="F6" i="3"/>
  <c r="D6" i="3"/>
  <c r="E6" i="3"/>
  <c r="C6" i="3"/>
  <c r="H12" i="3"/>
  <c r="I12" i="3"/>
  <c r="J12" i="3" s="1"/>
  <c r="G12" i="3"/>
  <c r="G8" i="3"/>
  <c r="H8" i="3" s="1"/>
  <c r="I8" i="3" s="1"/>
  <c r="J8" i="3" s="1"/>
  <c r="H3" i="3"/>
  <c r="I3" i="3" s="1"/>
  <c r="J3" i="3" s="1"/>
  <c r="H4" i="3"/>
  <c r="I4" i="3" s="1"/>
  <c r="J4" i="3" s="1"/>
  <c r="H5" i="3"/>
  <c r="I5" i="3"/>
  <c r="J5" i="3" s="1"/>
  <c r="G4" i="3"/>
  <c r="G5" i="3"/>
  <c r="G3" i="3"/>
  <c r="F4" i="3"/>
  <c r="F5" i="3"/>
  <c r="F12" i="3"/>
  <c r="F3" i="3"/>
  <c r="D8" i="3"/>
  <c r="E8" i="3"/>
  <c r="C8" i="3"/>
  <c r="D3" i="3"/>
  <c r="E3" i="3"/>
  <c r="D4" i="3"/>
  <c r="E4" i="3"/>
  <c r="D5" i="3"/>
  <c r="E5" i="3"/>
  <c r="D12" i="3"/>
  <c r="E12" i="3"/>
  <c r="C12" i="3"/>
  <c r="C3" i="3"/>
  <c r="C5" i="3"/>
  <c r="C4" i="3"/>
  <c r="D2" i="3"/>
  <c r="E2" i="3" s="1"/>
  <c r="F2" i="3" s="1"/>
  <c r="G2" i="3" s="1"/>
  <c r="H2" i="3" s="1"/>
  <c r="I2" i="3" s="1"/>
  <c r="J2" i="3" s="1"/>
  <c r="E19" i="3"/>
  <c r="G29" i="2"/>
  <c r="H29" i="2" s="1"/>
  <c r="I29" i="2" s="1"/>
  <c r="J29" i="2" s="1"/>
  <c r="F29" i="2"/>
  <c r="G30" i="2"/>
  <c r="H30" i="2"/>
  <c r="I30" i="2"/>
  <c r="J30" i="2"/>
  <c r="F30" i="2"/>
  <c r="F27" i="2"/>
  <c r="G27" i="2"/>
  <c r="H27" i="2"/>
  <c r="I27" i="2"/>
  <c r="J27" i="2"/>
  <c r="G26" i="2"/>
  <c r="H26" i="2"/>
  <c r="I26" i="2"/>
  <c r="J26" i="2"/>
  <c r="F26" i="2"/>
  <c r="G25" i="2"/>
  <c r="H25" i="2"/>
  <c r="I25" i="2"/>
  <c r="J25" i="2"/>
  <c r="F25" i="2"/>
  <c r="F18" i="2"/>
  <c r="G20" i="2"/>
  <c r="H20" i="2"/>
  <c r="I20" i="2"/>
  <c r="J20" i="2"/>
  <c r="F20" i="2"/>
  <c r="G18" i="2"/>
  <c r="H18" i="2"/>
  <c r="I18" i="2"/>
  <c r="J18" i="2"/>
  <c r="G17" i="2"/>
  <c r="H17" i="2"/>
  <c r="I17" i="2"/>
  <c r="J17" i="2"/>
  <c r="F17" i="2"/>
  <c r="F9" i="2"/>
  <c r="G9" i="2" s="1"/>
  <c r="H9" i="2" s="1"/>
  <c r="I9" i="2" s="1"/>
  <c r="J9" i="2" s="1"/>
  <c r="F10" i="2"/>
  <c r="G10" i="2" s="1"/>
  <c r="H10" i="2" s="1"/>
  <c r="I10" i="2" s="1"/>
  <c r="J10" i="2" s="1"/>
  <c r="F11" i="2"/>
  <c r="G11" i="2"/>
  <c r="H11" i="2" s="1"/>
  <c r="I11" i="2" s="1"/>
  <c r="J11" i="2" s="1"/>
  <c r="G8" i="2"/>
  <c r="H8" i="2" s="1"/>
  <c r="I8" i="2" s="1"/>
  <c r="J8" i="2" s="1"/>
  <c r="F8" i="2"/>
  <c r="F4" i="2"/>
  <c r="G4" i="2" s="1"/>
  <c r="H4" i="2" s="1"/>
  <c r="I4" i="2" s="1"/>
  <c r="J4" i="2" s="1"/>
  <c r="F5" i="2"/>
  <c r="G5" i="2" s="1"/>
  <c r="H5" i="2" s="1"/>
  <c r="I5" i="2" s="1"/>
  <c r="J5" i="2" s="1"/>
  <c r="H3" i="2"/>
  <c r="I3" i="2" s="1"/>
  <c r="J3" i="2" s="1"/>
  <c r="G3" i="2"/>
  <c r="F3" i="2"/>
  <c r="E9" i="2"/>
  <c r="E10" i="2"/>
  <c r="E11" i="2"/>
  <c r="D11" i="2"/>
  <c r="D10" i="2"/>
  <c r="D9" i="2"/>
  <c r="E8" i="2"/>
  <c r="D8" i="2"/>
  <c r="E5" i="2"/>
  <c r="D5" i="2"/>
  <c r="D4" i="2"/>
  <c r="E4" i="2"/>
  <c r="E3" i="2"/>
  <c r="D3" i="2"/>
  <c r="D2" i="2"/>
  <c r="E2" i="2" s="1"/>
  <c r="F2" i="2" s="1"/>
  <c r="G2" i="2" s="1"/>
  <c r="H2" i="2" s="1"/>
  <c r="I2" i="2" s="1"/>
  <c r="J2" i="2" s="1"/>
  <c r="F18" i="3"/>
  <c r="G18" i="3"/>
  <c r="H18" i="3"/>
  <c r="I18" i="3"/>
  <c r="J18" i="3"/>
  <c r="F17" i="3"/>
  <c r="G17" i="3"/>
  <c r="H17" i="3"/>
  <c r="I17" i="3"/>
  <c r="J17" i="3"/>
  <c r="F33" i="1"/>
  <c r="G33" i="1"/>
  <c r="H33" i="1"/>
  <c r="I33" i="1"/>
  <c r="J33" i="1"/>
  <c r="H32" i="1"/>
  <c r="I32" i="1" s="1"/>
  <c r="J32" i="1" s="1"/>
  <c r="G32" i="1"/>
  <c r="F32" i="1"/>
  <c r="F31" i="1"/>
  <c r="G31" i="1"/>
  <c r="H31" i="1"/>
  <c r="I31" i="1"/>
  <c r="J31" i="1"/>
  <c r="F9" i="1"/>
  <c r="G9" i="1" s="1"/>
  <c r="H9" i="1" s="1"/>
  <c r="I9" i="1" s="1"/>
  <c r="J9" i="1" s="1"/>
  <c r="E10" i="1"/>
  <c r="D10" i="1"/>
  <c r="F7" i="1"/>
  <c r="G7" i="1" s="1"/>
  <c r="H7" i="1" s="1"/>
  <c r="I7" i="1" s="1"/>
  <c r="J7" i="1" s="1"/>
  <c r="D2" i="1"/>
  <c r="E2" i="1" s="1"/>
  <c r="F2" i="1" s="1"/>
  <c r="G2" i="1" s="1"/>
  <c r="H2" i="1" s="1"/>
  <c r="I2" i="1" s="1"/>
  <c r="J2" i="1" s="1"/>
  <c r="D37" i="3"/>
  <c r="E37" i="3"/>
  <c r="C37" i="3"/>
  <c r="D30" i="3"/>
  <c r="E30" i="3"/>
  <c r="D31" i="3"/>
  <c r="E31" i="3"/>
  <c r="D32" i="3"/>
  <c r="E32" i="3"/>
  <c r="D33" i="3"/>
  <c r="E33" i="3"/>
  <c r="D34" i="3"/>
  <c r="D35" i="3" s="1"/>
  <c r="E34" i="3"/>
  <c r="C34" i="3"/>
  <c r="C33" i="3"/>
  <c r="C31" i="3"/>
  <c r="C32" i="3"/>
  <c r="C30" i="3"/>
  <c r="D26" i="3"/>
  <c r="E26" i="3"/>
  <c r="C26" i="3"/>
  <c r="D25" i="3"/>
  <c r="E25" i="3"/>
  <c r="C25" i="3"/>
  <c r="C27" i="3" s="1"/>
  <c r="D21" i="3"/>
  <c r="E21" i="3"/>
  <c r="C21" i="3"/>
  <c r="D20" i="3"/>
  <c r="E20" i="3"/>
  <c r="C20" i="3"/>
  <c r="D19" i="3"/>
  <c r="C19" i="3"/>
  <c r="D14" i="3"/>
  <c r="E14" i="3" s="1"/>
  <c r="F14" i="3" s="1"/>
  <c r="G14" i="3" s="1"/>
  <c r="H14" i="3" s="1"/>
  <c r="I14" i="3" s="1"/>
  <c r="J14" i="3" s="1"/>
  <c r="E34" i="2"/>
  <c r="E35" i="2" s="1"/>
  <c r="D34" i="2"/>
  <c r="D35" i="2" s="1"/>
  <c r="E33" i="2"/>
  <c r="D33" i="2"/>
  <c r="E30" i="2"/>
  <c r="D30" i="2"/>
  <c r="E29" i="2"/>
  <c r="D29" i="2"/>
  <c r="E28" i="2"/>
  <c r="D28" i="2"/>
  <c r="E25" i="2"/>
  <c r="E26" i="2"/>
  <c r="E27" i="2"/>
  <c r="D26" i="2"/>
  <c r="D27" i="2"/>
  <c r="D25" i="2"/>
  <c r="E19" i="2"/>
  <c r="D19" i="2"/>
  <c r="E18" i="2"/>
  <c r="E21" i="2"/>
  <c r="D21" i="2"/>
  <c r="D18" i="2"/>
  <c r="E20" i="2"/>
  <c r="D20" i="2"/>
  <c r="E17" i="2"/>
  <c r="D17" i="2"/>
  <c r="E16" i="2"/>
  <c r="D16" i="2"/>
  <c r="D13" i="2"/>
  <c r="E13" i="2" s="1"/>
  <c r="F13" i="2" s="1"/>
  <c r="G13" i="2" s="1"/>
  <c r="H13" i="2" s="1"/>
  <c r="I13" i="2" s="1"/>
  <c r="J13" i="2" s="1"/>
  <c r="D23" i="1"/>
  <c r="E23" i="1"/>
  <c r="C23" i="1"/>
  <c r="D27" i="1"/>
  <c r="E27" i="1"/>
  <c r="F27" i="1" s="1"/>
  <c r="G27" i="1" s="1"/>
  <c r="H27" i="1" s="1"/>
  <c r="I27" i="1" s="1"/>
  <c r="J27" i="1" s="1"/>
  <c r="D28" i="1"/>
  <c r="E28" i="1"/>
  <c r="C28" i="1"/>
  <c r="C27" i="1"/>
  <c r="D32" i="1"/>
  <c r="D18" i="3" s="1"/>
  <c r="E32" i="1"/>
  <c r="E18" i="3" s="1"/>
  <c r="C32" i="1"/>
  <c r="C18" i="3" s="1"/>
  <c r="D30" i="1"/>
  <c r="E30" i="1"/>
  <c r="C30" i="1"/>
  <c r="D26" i="1"/>
  <c r="E26" i="1"/>
  <c r="F26" i="1" s="1"/>
  <c r="G26" i="1" s="1"/>
  <c r="H26" i="1" s="1"/>
  <c r="I26" i="1" s="1"/>
  <c r="J26" i="1" s="1"/>
  <c r="C26" i="1"/>
  <c r="C22" i="1"/>
  <c r="D22" i="1"/>
  <c r="E22" i="1"/>
  <c r="D21" i="1"/>
  <c r="E21" i="1"/>
  <c r="C21" i="1"/>
  <c r="E19" i="1"/>
  <c r="D19" i="1"/>
  <c r="C19" i="1"/>
  <c r="E18" i="1"/>
  <c r="E11" i="1" s="1"/>
  <c r="F11" i="1" s="1"/>
  <c r="D18" i="1"/>
  <c r="D11" i="1" s="1"/>
  <c r="C18" i="1"/>
  <c r="C11" i="1" s="1"/>
  <c r="E17" i="1"/>
  <c r="E4" i="1" s="1"/>
  <c r="D17" i="1"/>
  <c r="D4" i="1" s="1"/>
  <c r="C17" i="1"/>
  <c r="C4" i="1" s="1"/>
  <c r="D15" i="1"/>
  <c r="E15" i="1" s="1"/>
  <c r="F15" i="1" s="1"/>
  <c r="G15" i="1" s="1"/>
  <c r="H15" i="1" s="1"/>
  <c r="I15" i="1" s="1"/>
  <c r="J15" i="1" s="1"/>
  <c r="F35" i="2" l="1"/>
  <c r="F37" i="2" s="1"/>
  <c r="I33" i="2"/>
  <c r="H35" i="2"/>
  <c r="H37" i="2" s="1"/>
  <c r="H38" i="2" s="1"/>
  <c r="G35" i="2"/>
  <c r="G37" i="2" s="1"/>
  <c r="G38" i="2" s="1"/>
  <c r="J35" i="3"/>
  <c r="J39" i="3" s="1"/>
  <c r="F35" i="3"/>
  <c r="F39" i="3" s="1"/>
  <c r="D31" i="2"/>
  <c r="D37" i="2" s="1"/>
  <c r="E31" i="2"/>
  <c r="E37" i="2" s="1"/>
  <c r="F18" i="1"/>
  <c r="D5" i="1"/>
  <c r="E5" i="1"/>
  <c r="F4" i="1"/>
  <c r="D12" i="1"/>
  <c r="E12" i="1"/>
  <c r="G11" i="1"/>
  <c r="E24" i="1"/>
  <c r="E29" i="1" s="1"/>
  <c r="E31" i="1" s="1"/>
  <c r="E33" i="1" s="1"/>
  <c r="E17" i="3" s="1"/>
  <c r="E22" i="3" s="1"/>
  <c r="C24" i="1"/>
  <c r="C29" i="1" s="1"/>
  <c r="C31" i="1" s="1"/>
  <c r="C33" i="1" s="1"/>
  <c r="C17" i="3" s="1"/>
  <c r="C22" i="3" s="1"/>
  <c r="D24" i="1"/>
  <c r="D29" i="1" s="1"/>
  <c r="D31" i="1" s="1"/>
  <c r="D33" i="1" s="1"/>
  <c r="D17" i="3" s="1"/>
  <c r="D22" i="3" s="1"/>
  <c r="D39" i="3" s="1"/>
  <c r="D27" i="3"/>
  <c r="C35" i="3"/>
  <c r="E27" i="3"/>
  <c r="E35" i="3"/>
  <c r="D22" i="2"/>
  <c r="E22" i="2"/>
  <c r="J33" i="2" l="1"/>
  <c r="J35" i="2" s="1"/>
  <c r="J37" i="2" s="1"/>
  <c r="J38" i="2" s="1"/>
  <c r="I35" i="2"/>
  <c r="I37" i="2" s="1"/>
  <c r="I38" i="2" s="1"/>
  <c r="E38" i="2"/>
  <c r="D38" i="2"/>
  <c r="F17" i="1"/>
  <c r="F19" i="1" s="1"/>
  <c r="G4" i="1"/>
  <c r="H11" i="1"/>
  <c r="G18" i="1"/>
  <c r="C39" i="3"/>
  <c r="E39" i="3"/>
  <c r="F23" i="1" l="1"/>
  <c r="F21" i="1"/>
  <c r="F22" i="1"/>
  <c r="H4" i="1"/>
  <c r="G17" i="1"/>
  <c r="G19" i="1" s="1"/>
  <c r="I11" i="1"/>
  <c r="H18" i="1"/>
  <c r="F24" i="1" l="1"/>
  <c r="F29" i="1" s="1"/>
  <c r="F30" i="1" s="1"/>
  <c r="G23" i="1"/>
  <c r="G21" i="1"/>
  <c r="G22" i="1"/>
  <c r="I4" i="1"/>
  <c r="H17" i="1"/>
  <c r="H19" i="1" s="1"/>
  <c r="J11" i="1"/>
  <c r="J18" i="1" s="1"/>
  <c r="I18" i="1"/>
  <c r="G24" i="1" l="1"/>
  <c r="G29" i="1" s="1"/>
  <c r="G30" i="1" s="1"/>
  <c r="H23" i="1"/>
  <c r="H21" i="1"/>
  <c r="H22" i="1"/>
  <c r="J4" i="1"/>
  <c r="J17" i="1" s="1"/>
  <c r="J19" i="1" s="1"/>
  <c r="I17" i="1"/>
  <c r="I19" i="1" s="1"/>
  <c r="H24" i="1" l="1"/>
  <c r="H29" i="1" s="1"/>
  <c r="H30" i="1" s="1"/>
  <c r="I23" i="1"/>
  <c r="J23" i="1"/>
  <c r="I21" i="1"/>
  <c r="I22" i="1"/>
  <c r="J21" i="1"/>
  <c r="J22" i="1"/>
  <c r="J24" i="1" l="1"/>
  <c r="J29" i="1" s="1"/>
  <c r="J30" i="1" s="1"/>
  <c r="I24" i="1"/>
  <c r="I29" i="1" s="1"/>
  <c r="I30" i="1" s="1"/>
</calcChain>
</file>

<file path=xl/sharedStrings.xml><?xml version="1.0" encoding="utf-8"?>
<sst xmlns="http://schemas.openxmlformats.org/spreadsheetml/2006/main" count="85" uniqueCount="78">
  <si>
    <t>Income Statement:</t>
  </si>
  <si>
    <t>Product sales</t>
  </si>
  <si>
    <t>Service sales</t>
  </si>
  <si>
    <t>Cost of Products</t>
  </si>
  <si>
    <t>Cost of Services</t>
  </si>
  <si>
    <t>Operating expenses</t>
  </si>
  <si>
    <t>Operating Income:</t>
  </si>
  <si>
    <t>Other Income/Expense:</t>
  </si>
  <si>
    <t>Non-service pension cost (benefit)</t>
  </si>
  <si>
    <t>Interest Income/Expense:</t>
  </si>
  <si>
    <t>Income Taxes</t>
  </si>
  <si>
    <t>Net Income:</t>
  </si>
  <si>
    <t>Noncontrolling Interest</t>
  </si>
  <si>
    <t>Total Revenue</t>
  </si>
  <si>
    <t>Pre-tax Income</t>
  </si>
  <si>
    <t>Net Income to parent:</t>
  </si>
  <si>
    <t>Balance Sheet:</t>
  </si>
  <si>
    <t xml:space="preserve">Cash &amp; Cash equivalents </t>
  </si>
  <si>
    <t>Accounts Recivable</t>
  </si>
  <si>
    <t>Inventory and others</t>
  </si>
  <si>
    <t>Net PP&amp;E, Goodwill &amp; Intangibles</t>
  </si>
  <si>
    <t>Operating lease Assets</t>
  </si>
  <si>
    <t>Other Assets:</t>
  </si>
  <si>
    <t>Assets</t>
  </si>
  <si>
    <t>Total Assets:</t>
  </si>
  <si>
    <t>Liabilities</t>
  </si>
  <si>
    <t>Accounts Payable</t>
  </si>
  <si>
    <t>Accrued Liabilities</t>
  </si>
  <si>
    <t>Total Debt</t>
  </si>
  <si>
    <t>Operating lease Liabilities</t>
  </si>
  <si>
    <t>Other Liabilities</t>
  </si>
  <si>
    <t>Total Liabilities:</t>
  </si>
  <si>
    <t>Common Shareholders Equity</t>
  </si>
  <si>
    <t>Non Controlling Interest</t>
  </si>
  <si>
    <t>Total Equity</t>
  </si>
  <si>
    <t>Total Liabilities + Equity:</t>
  </si>
  <si>
    <t>(Check)</t>
  </si>
  <si>
    <t>Contract Liabilities</t>
  </si>
  <si>
    <t>Cashflow Statement:</t>
  </si>
  <si>
    <t>Cashflow from operations:</t>
  </si>
  <si>
    <t>Net Income to Parent</t>
  </si>
  <si>
    <t>Depreciation and Amortization</t>
  </si>
  <si>
    <t>Non Controling Interest</t>
  </si>
  <si>
    <t>Pension/other Items:</t>
  </si>
  <si>
    <t>Cashflow from Investing:</t>
  </si>
  <si>
    <t>Cashflow from operations</t>
  </si>
  <si>
    <t>Changes in WC &amp; leases:</t>
  </si>
  <si>
    <t>Acquisitions and others</t>
  </si>
  <si>
    <t>Cashflow from Financing:</t>
  </si>
  <si>
    <t>Cashflow from Investing</t>
  </si>
  <si>
    <t>Changes in Debt</t>
  </si>
  <si>
    <t>Common Dividends</t>
  </si>
  <si>
    <t>Stock Repurchases</t>
  </si>
  <si>
    <t>Dividends to NCI</t>
  </si>
  <si>
    <t>Other Items:</t>
  </si>
  <si>
    <t>Cashflow from Financing</t>
  </si>
  <si>
    <t>CapEx</t>
  </si>
  <si>
    <t>FX rate effects:</t>
  </si>
  <si>
    <t>Net Change in cash</t>
  </si>
  <si>
    <t>Drivers:</t>
  </si>
  <si>
    <t>New equipment market size</t>
  </si>
  <si>
    <t xml:space="preserve">Growth rate </t>
  </si>
  <si>
    <t>New Equipment Market share:</t>
  </si>
  <si>
    <t>Service units (maintainence)</t>
  </si>
  <si>
    <t>Revenue per Service Unit:</t>
  </si>
  <si>
    <t>Accounts Recivable %Revenue</t>
  </si>
  <si>
    <t>Inventory and others % COGS</t>
  </si>
  <si>
    <t>Operating lease Assets % OpEX</t>
  </si>
  <si>
    <t>Accounts Payable %COGS</t>
  </si>
  <si>
    <t>Accrued Liabilities % Total Exp</t>
  </si>
  <si>
    <t>Contract Liabilities % Total Exp</t>
  </si>
  <si>
    <t>Other Liabilities % Total Exp</t>
  </si>
  <si>
    <t>CapEX % of Revenue</t>
  </si>
  <si>
    <t>D&amp;A % of Revenue</t>
  </si>
  <si>
    <t>Common Dividends % NI</t>
  </si>
  <si>
    <t>Dividends to NCI % of IncomeNCI</t>
  </si>
  <si>
    <t>FX rate effects % of Revenue</t>
  </si>
  <si>
    <t>Pension/other Items %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</si>
</sst>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7" formatCode="yyyy&quot;E&quot;"/>
    <numFmt numFmtId="168" formatCode="yyyy&quot;A&quot;"/>
    <numFmt numFmtId="169" formatCode="[$USD]\ #,##0_);\([$USD]\ #,##0\)"/>
    <numFmt numFmtId="172" formatCode="0.0%"/>
    <numFmt numFmtId="174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1" xfId="0" applyBorder="1" applyAlignment="1">
      <alignment horizontal="left" indent="1"/>
    </xf>
    <xf numFmtId="167" fontId="2" fillId="0" borderId="0" xfId="0" applyNumberFormat="1" applyFont="1"/>
    <xf numFmtId="168" fontId="2" fillId="0" borderId="0" xfId="0" applyNumberFormat="1" applyFont="1"/>
    <xf numFmtId="0" fontId="0" fillId="0" borderId="0" xfId="0" applyFont="1"/>
    <xf numFmtId="0" fontId="2" fillId="0" borderId="2" xfId="0" applyFont="1" applyBorder="1"/>
    <xf numFmtId="169" fontId="3" fillId="0" borderId="0" xfId="0" applyNumberFormat="1" applyFont="1"/>
    <xf numFmtId="5" fontId="4" fillId="0" borderId="0" xfId="0" applyNumberFormat="1" applyFont="1"/>
    <xf numFmtId="5" fontId="5" fillId="0" borderId="2" xfId="0" applyNumberFormat="1" applyFont="1" applyBorder="1"/>
    <xf numFmtId="5" fontId="4" fillId="0" borderId="1" xfId="0" applyNumberFormat="1" applyFont="1" applyBorder="1"/>
    <xf numFmtId="5" fontId="5" fillId="0" borderId="0" xfId="0" applyNumberFormat="1" applyFont="1"/>
    <xf numFmtId="0" fontId="6" fillId="0" borderId="0" xfId="0" applyFont="1"/>
    <xf numFmtId="0" fontId="0" fillId="0" borderId="0" xfId="0" applyFont="1" applyAlignment="1">
      <alignment horizontal="left" indent="1"/>
    </xf>
    <xf numFmtId="5" fontId="0" fillId="0" borderId="0" xfId="0" applyNumberFormat="1"/>
    <xf numFmtId="0" fontId="2" fillId="2" borderId="0" xfId="0" applyFont="1" applyFill="1"/>
    <xf numFmtId="168" fontId="2" fillId="2" borderId="0" xfId="0" applyNumberFormat="1" applyFont="1" applyFill="1"/>
    <xf numFmtId="167" fontId="2" fillId="2" borderId="0" xfId="0" applyNumberFormat="1" applyFont="1" applyFill="1"/>
    <xf numFmtId="5" fontId="4" fillId="0" borderId="2" xfId="0" applyNumberFormat="1" applyFont="1" applyBorder="1"/>
    <xf numFmtId="0" fontId="2" fillId="3" borderId="0" xfId="0" applyFont="1" applyFill="1"/>
    <xf numFmtId="168" fontId="2" fillId="3" borderId="0" xfId="0" applyNumberFormat="1" applyFont="1" applyFill="1"/>
    <xf numFmtId="167" fontId="2" fillId="3" borderId="0" xfId="0" applyNumberFormat="1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left" indent="1"/>
    </xf>
    <xf numFmtId="9" fontId="4" fillId="0" borderId="0" xfId="2" applyFont="1"/>
    <xf numFmtId="9" fontId="0" fillId="0" borderId="0" xfId="2" applyFont="1"/>
    <xf numFmtId="10" fontId="0" fillId="0" borderId="0" xfId="0" applyNumberFormat="1"/>
    <xf numFmtId="9" fontId="0" fillId="0" borderId="0" xfId="2" applyFont="1" applyAlignment="1">
      <alignment horizontal="left" indent="1"/>
    </xf>
    <xf numFmtId="2" fontId="7" fillId="0" borderId="0" xfId="0" applyNumberFormat="1" applyFont="1"/>
    <xf numFmtId="2" fontId="0" fillId="0" borderId="0" xfId="0" applyNumberFormat="1"/>
    <xf numFmtId="7" fontId="0" fillId="0" borderId="0" xfId="0" applyNumberFormat="1"/>
    <xf numFmtId="172" fontId="7" fillId="0" borderId="0" xfId="2" applyNumberFormat="1" applyFont="1"/>
    <xf numFmtId="172" fontId="0" fillId="0" borderId="0" xfId="2" applyNumberFormat="1" applyFont="1"/>
    <xf numFmtId="10" fontId="7" fillId="0" borderId="0" xfId="0" applyNumberFormat="1" applyFont="1"/>
    <xf numFmtId="10" fontId="0" fillId="0" borderId="0" xfId="2" applyNumberFormat="1" applyFont="1"/>
    <xf numFmtId="5" fontId="8" fillId="0" borderId="0" xfId="0" applyNumberFormat="1" applyFont="1"/>
    <xf numFmtId="5" fontId="9" fillId="0" borderId="2" xfId="0" applyNumberFormat="1" applyFont="1" applyBorder="1"/>
    <xf numFmtId="9" fontId="8" fillId="0" borderId="0" xfId="2" applyFont="1"/>
    <xf numFmtId="5" fontId="8" fillId="0" borderId="1" xfId="0" applyNumberFormat="1" applyFont="1" applyBorder="1"/>
    <xf numFmtId="5" fontId="9" fillId="0" borderId="0" xfId="0" applyNumberFormat="1" applyFont="1"/>
    <xf numFmtId="5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5" fontId="8" fillId="0" borderId="0" xfId="0" applyNumberFormat="1" applyFont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74" fontId="7" fillId="0" borderId="0" xfId="2" applyNumberFormat="1" applyFont="1" applyAlignment="1"/>
    <xf numFmtId="44" fontId="7" fillId="0" borderId="0" xfId="1" applyFont="1"/>
    <xf numFmtId="7" fontId="8" fillId="0" borderId="0" xfId="0" applyNumberFormat="1" applyFont="1"/>
    <xf numFmtId="44" fontId="8" fillId="0" borderId="1" xfId="0" applyNumberFormat="1" applyFont="1" applyBorder="1"/>
    <xf numFmtId="0" fontId="0" fillId="0" borderId="1" xfId="0" applyFont="1" applyBorder="1" applyAlignment="1">
      <alignment horizontal="left" inden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  <color rgb="FF0000CC"/>
      <color rgb="FF8888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-01-Otis-10-K-Ra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urities registered purs"/>
      <sheetName val="comparison of cumulative t"/>
      <sheetName val="results of operations"/>
      <sheetName val="results of operations-1"/>
      <sheetName val="cost of products and servi"/>
      <sheetName val="cost of products and servi-1"/>
      <sheetName val="gross margin"/>
      <sheetName val="research and development"/>
      <sheetName val="selling general and admini"/>
      <sheetName val="income taxes"/>
      <sheetName val="noncontrolling interest in"/>
      <sheetName val="net income attributable to"/>
      <sheetName val="segment review"/>
      <sheetName val="new equipment"/>
      <sheetName val="new equipment-1"/>
      <sheetName val="service"/>
      <sheetName val="service-1"/>
      <sheetName val="general corporate expenses"/>
      <sheetName val="liquidity and financial co"/>
      <sheetName val="liquidity and financial co-1"/>
      <sheetName val="liquidity and financial co-2"/>
      <sheetName val="cash flow  operating activ"/>
      <sheetName val="2021 compared to 2020"/>
      <sheetName val="germany fire"/>
      <sheetName val="cash flow  financing activ"/>
      <sheetName val="2021 compared to 2020-1"/>
      <sheetName val="2019"/>
      <sheetName val="2019-1"/>
      <sheetName val="longterm debt"/>
      <sheetName val="purchase obligations"/>
      <sheetName val="other longterm liabilities"/>
      <sheetName val="financial statement schedule"/>
      <sheetName val="operations"/>
      <sheetName val="comprehensive income"/>
      <sheetName val="consolidated balance sheets"/>
      <sheetName val="changes in equity"/>
      <sheetName val="cash flows"/>
      <sheetName val="note 3 earnings per share"/>
      <sheetName val="note 4 contract assets and"/>
      <sheetName val="note 4 contract assets and-1"/>
      <sheetName val="note 6 accounts receivable"/>
      <sheetName val="credit losses"/>
      <sheetName val="note 7 inventories net"/>
      <sheetName val="note 8 fixed assets"/>
      <sheetName val="goodwill"/>
      <sheetName val="goodwill-1"/>
      <sheetName val="intangible assets"/>
      <sheetName val="intangible assets-1"/>
      <sheetName val="longterm debt-1"/>
      <sheetName val="longterm debt-2"/>
      <sheetName val="note 11 accrued liabilities"/>
      <sheetName val="note 12 other longterm lia"/>
      <sheetName val="pension plans"/>
      <sheetName val="pension plans-1"/>
      <sheetName val="pension plans-2"/>
      <sheetName val="pension plans-3"/>
      <sheetName val="pension plans-4"/>
      <sheetName val="pension plans-5"/>
      <sheetName val="pension plans-6"/>
      <sheetName val="pension plans-7"/>
      <sheetName val="multiemployer benefit plans"/>
      <sheetName val="stockbased compensation ex"/>
      <sheetName val="stockbased compensation ex-1"/>
      <sheetName val="stockbased compensation ex-2"/>
      <sheetName val="stockbased compensation ex-3"/>
      <sheetName val="note 15 accumulated other"/>
      <sheetName val="income before income taxes"/>
      <sheetName val="provision for income taxes"/>
      <sheetName val="reconciliation of effectiv"/>
      <sheetName val="deferred tax assets and li"/>
      <sheetName val="tax credit and loss carryf"/>
      <sheetName val="unrecognized tax benefits"/>
      <sheetName val="note 17 restructuring costs"/>
      <sheetName val="note 17 restructuring costs-1"/>
      <sheetName val="restructuring actions"/>
      <sheetName val="restructuring actions-1"/>
      <sheetName val="fair value measurements"/>
      <sheetName val="fair value measurements-1"/>
      <sheetName val="valuation techniques"/>
      <sheetName val="valuation techniques-1"/>
      <sheetName val="valuation techniques-2"/>
      <sheetName val="note 20 guarantees"/>
      <sheetName val="leases topic 842"/>
      <sheetName val="leases topic 842-1"/>
      <sheetName val="leases topic 842-2"/>
      <sheetName val="segment information"/>
      <sheetName val="geographic external sales"/>
      <sheetName val="geographic external sales-1"/>
      <sheetName val="note 24 subsequent events"/>
      <sheetName val="part iv"/>
      <sheetName val="part iv-1"/>
      <sheetName val="part iv-2"/>
      <sheetName val="part iv-3"/>
      <sheetName val="part iv-4"/>
      <sheetName val="otis worldwide corp"/>
      <sheetName val="personal  confidential"/>
      <sheetName val="otis worldwide corp-1"/>
      <sheetName val="exhibit 1032"/>
      <sheetName val="exhibit 1032-1"/>
      <sheetName val="exhibit 1032-2"/>
      <sheetName val="exhibit 1032-3"/>
      <sheetName val="exhibit 1032-4"/>
      <sheetName val="exhibit 1032-5"/>
      <sheetName val="employment contract"/>
      <sheetName val="83 applicable law and plac"/>
      <sheetName val="otis worldwide corporation"/>
      <sheetName val="worldwide corporation"/>
      <sheetName val="power of attorney"/>
      <sheetName val="power of attorney-1"/>
      <sheetName val="power of attorney-2"/>
      <sheetName val="power of attorney-3"/>
      <sheetName val="power of attorney-4"/>
      <sheetName val="power of attorney-5"/>
      <sheetName val="power of attorney-6"/>
      <sheetName val="power of attorney-7"/>
      <sheetName val="power of attorney-8"/>
      <sheetName val="exhibit 311"/>
      <sheetName val="exhibit 312"/>
      <sheetName val="exhibit 313"/>
      <sheetName val="subsections a and b of s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8">
          <cell r="I8">
            <v>5648</v>
          </cell>
          <cell r="J8">
            <v>5371</v>
          </cell>
          <cell r="K8">
            <v>6428</v>
          </cell>
        </row>
        <row r="9">
          <cell r="I9">
            <v>7470</v>
          </cell>
          <cell r="J9">
            <v>7385</v>
          </cell>
          <cell r="K9">
            <v>7870</v>
          </cell>
        </row>
        <row r="10">
          <cell r="I10">
            <v>13118</v>
          </cell>
          <cell r="J10">
            <v>12756</v>
          </cell>
          <cell r="K10">
            <v>14298</v>
          </cell>
        </row>
        <row r="12">
          <cell r="I12">
            <v>4640</v>
          </cell>
          <cell r="J12">
            <v>4439</v>
          </cell>
          <cell r="K12">
            <v>5293</v>
          </cell>
        </row>
        <row r="13">
          <cell r="I13">
            <v>4652</v>
          </cell>
          <cell r="J13">
            <v>4538</v>
          </cell>
          <cell r="K13">
            <v>4812</v>
          </cell>
        </row>
        <row r="14">
          <cell r="I14">
            <v>163</v>
          </cell>
          <cell r="J14">
            <v>152</v>
          </cell>
          <cell r="K14">
            <v>159</v>
          </cell>
        </row>
        <row r="15">
          <cell r="I15">
            <v>1810</v>
          </cell>
          <cell r="J15">
            <v>1924</v>
          </cell>
          <cell r="K15">
            <v>1948</v>
          </cell>
        </row>
        <row r="17">
          <cell r="I17">
            <v>-39</v>
          </cell>
          <cell r="J17">
            <v>-64</v>
          </cell>
          <cell r="K17">
            <v>22</v>
          </cell>
        </row>
        <row r="19">
          <cell r="I19">
            <v>-33</v>
          </cell>
          <cell r="J19">
            <v>6</v>
          </cell>
          <cell r="K19">
            <v>11</v>
          </cell>
        </row>
        <row r="20">
          <cell r="I20">
            <v>-14</v>
          </cell>
          <cell r="J20">
            <v>122</v>
          </cell>
          <cell r="K20">
            <v>136</v>
          </cell>
        </row>
        <row r="22">
          <cell r="I22">
            <v>594</v>
          </cell>
          <cell r="J22">
            <v>455</v>
          </cell>
          <cell r="K22">
            <v>541</v>
          </cell>
        </row>
        <row r="24">
          <cell r="I24">
            <v>151</v>
          </cell>
          <cell r="J24">
            <v>150</v>
          </cell>
          <cell r="K24">
            <v>174</v>
          </cell>
        </row>
      </sheetData>
      <sheetData sheetId="33"/>
      <sheetData sheetId="34">
        <row r="7">
          <cell r="B7">
            <v>1782</v>
          </cell>
          <cell r="C7">
            <v>1565</v>
          </cell>
        </row>
        <row r="8">
          <cell r="B8">
            <v>17</v>
          </cell>
          <cell r="C8">
            <v>1910</v>
          </cell>
        </row>
        <row r="9">
          <cell r="B9">
            <v>3148</v>
          </cell>
          <cell r="C9">
            <v>3232</v>
          </cell>
        </row>
        <row r="10">
          <cell r="B10">
            <v>458</v>
          </cell>
          <cell r="C10">
            <v>550</v>
          </cell>
        </row>
        <row r="11">
          <cell r="B11">
            <v>659</v>
          </cell>
          <cell r="C11">
            <v>622</v>
          </cell>
        </row>
        <row r="12">
          <cell r="B12">
            <v>429</v>
          </cell>
          <cell r="C12">
            <v>382</v>
          </cell>
        </row>
        <row r="14">
          <cell r="B14">
            <v>334</v>
          </cell>
          <cell r="C14">
            <v>335</v>
          </cell>
        </row>
        <row r="15">
          <cell r="B15">
            <v>774</v>
          </cell>
          <cell r="C15">
            <v>774</v>
          </cell>
        </row>
        <row r="16">
          <cell r="B16">
            <v>542</v>
          </cell>
          <cell r="C16">
            <v>526</v>
          </cell>
        </row>
        <row r="17">
          <cell r="B17">
            <v>484</v>
          </cell>
          <cell r="C17">
            <v>419</v>
          </cell>
        </row>
        <row r="18">
          <cell r="B18">
            <v>1773</v>
          </cell>
          <cell r="C18">
            <v>1667</v>
          </cell>
        </row>
        <row r="19">
          <cell r="B19">
            <v>310</v>
          </cell>
          <cell r="C19">
            <v>297</v>
          </cell>
        </row>
        <row r="22">
          <cell r="B22">
            <v>701</v>
          </cell>
          <cell r="C22">
            <v>24</v>
          </cell>
        </row>
        <row r="23">
          <cell r="B23">
            <v>1453</v>
          </cell>
          <cell r="C23">
            <v>1556</v>
          </cell>
        </row>
        <row r="24">
          <cell r="B24">
            <v>1977</v>
          </cell>
          <cell r="C24">
            <v>1993</v>
          </cell>
        </row>
        <row r="25">
          <cell r="B25">
            <v>2542</v>
          </cell>
          <cell r="C25">
            <v>2674</v>
          </cell>
        </row>
        <row r="28">
          <cell r="B28">
            <v>5262</v>
          </cell>
          <cell r="C28">
            <v>7249</v>
          </cell>
        </row>
        <row r="29">
          <cell r="B29">
            <v>654</v>
          </cell>
          <cell r="C29">
            <v>558</v>
          </cell>
        </row>
        <row r="30">
          <cell r="B30">
            <v>367</v>
          </cell>
          <cell r="C30">
            <v>336</v>
          </cell>
        </row>
        <row r="31">
          <cell r="B31">
            <v>321</v>
          </cell>
          <cell r="C31">
            <v>267</v>
          </cell>
        </row>
        <row r="32">
          <cell r="B32">
            <v>634</v>
          </cell>
          <cell r="C32">
            <v>606</v>
          </cell>
        </row>
        <row r="35">
          <cell r="B35">
            <v>194</v>
          </cell>
          <cell r="C35">
            <v>160</v>
          </cell>
        </row>
        <row r="43">
          <cell r="B43">
            <v>-3862</v>
          </cell>
          <cell r="C43">
            <v>-3625</v>
          </cell>
        </row>
        <row r="44">
          <cell r="B44">
            <v>467</v>
          </cell>
          <cell r="C44">
            <v>481</v>
          </cell>
        </row>
      </sheetData>
      <sheetData sheetId="35"/>
      <sheetData sheetId="36">
        <row r="9">
          <cell r="B9">
            <v>180</v>
          </cell>
          <cell r="C9">
            <v>191</v>
          </cell>
          <cell r="D9">
            <v>203</v>
          </cell>
        </row>
        <row r="10">
          <cell r="B10">
            <v>-8</v>
          </cell>
          <cell r="C10">
            <v>-51</v>
          </cell>
          <cell r="D10">
            <v>-92</v>
          </cell>
        </row>
        <row r="11">
          <cell r="B11">
            <v>37</v>
          </cell>
          <cell r="C11">
            <v>63</v>
          </cell>
          <cell r="D11">
            <v>65</v>
          </cell>
        </row>
        <row r="12">
          <cell r="B12">
            <v>26</v>
          </cell>
          <cell r="C12">
            <v>71</v>
          </cell>
          <cell r="D12">
            <v>0</v>
          </cell>
        </row>
        <row r="16">
          <cell r="B16">
            <v>-191</v>
          </cell>
          <cell r="C16">
            <v>-163</v>
          </cell>
          <cell r="D16">
            <v>-152</v>
          </cell>
        </row>
        <row r="17">
          <cell r="B17">
            <v>97</v>
          </cell>
          <cell r="C17">
            <v>282</v>
          </cell>
          <cell r="D17">
            <v>53</v>
          </cell>
        </row>
        <row r="18">
          <cell r="B18">
            <v>60</v>
          </cell>
          <cell r="C18">
            <v>-76</v>
          </cell>
          <cell r="D18">
            <v>14</v>
          </cell>
        </row>
        <row r="19">
          <cell r="B19">
            <v>30</v>
          </cell>
          <cell r="C19">
            <v>28</v>
          </cell>
          <cell r="D19">
            <v>43</v>
          </cell>
        </row>
        <row r="20">
          <cell r="B20">
            <v>6</v>
          </cell>
          <cell r="C20">
            <v>20</v>
          </cell>
          <cell r="D20">
            <v>130</v>
          </cell>
        </row>
        <row r="21">
          <cell r="B21">
            <v>-34</v>
          </cell>
          <cell r="C21">
            <v>-14</v>
          </cell>
          <cell r="D21">
            <v>72</v>
          </cell>
        </row>
        <row r="24">
          <cell r="B24">
            <v>-32</v>
          </cell>
          <cell r="C24">
            <v>-64</v>
          </cell>
          <cell r="D24">
            <v>-37</v>
          </cell>
        </row>
        <row r="25">
          <cell r="B25">
            <v>31</v>
          </cell>
          <cell r="C25">
            <v>137</v>
          </cell>
          <cell r="D25">
            <v>31</v>
          </cell>
        </row>
        <row r="28">
          <cell r="B28">
            <v>-145</v>
          </cell>
          <cell r="C28">
            <v>-183</v>
          </cell>
          <cell r="D28">
            <v>-156</v>
          </cell>
        </row>
        <row r="29">
          <cell r="B29">
            <v>-47</v>
          </cell>
          <cell r="C29">
            <v>-53</v>
          </cell>
          <cell r="D29">
            <v>-80</v>
          </cell>
        </row>
        <row r="30">
          <cell r="B30">
            <v>0</v>
          </cell>
          <cell r="C30">
            <v>-51</v>
          </cell>
          <cell r="D30">
            <v>40</v>
          </cell>
        </row>
        <row r="32">
          <cell r="B32">
            <v>-5</v>
          </cell>
          <cell r="C32">
            <v>-69</v>
          </cell>
          <cell r="D32">
            <v>73</v>
          </cell>
        </row>
        <row r="33">
          <cell r="B33">
            <v>-6</v>
          </cell>
          <cell r="C33">
            <v>3</v>
          </cell>
          <cell r="D33">
            <v>34</v>
          </cell>
        </row>
        <row r="36">
          <cell r="B36">
            <v>6</v>
          </cell>
          <cell r="C36">
            <v>647</v>
          </cell>
          <cell r="D36">
            <v>-304</v>
          </cell>
        </row>
        <row r="37">
          <cell r="B37">
            <v>0</v>
          </cell>
          <cell r="C37">
            <v>0</v>
          </cell>
          <cell r="D37">
            <v>152</v>
          </cell>
        </row>
        <row r="38">
          <cell r="B38">
            <v>0</v>
          </cell>
          <cell r="C38">
            <v>0</v>
          </cell>
          <cell r="D38">
            <v>-503</v>
          </cell>
        </row>
        <row r="39">
          <cell r="B39">
            <v>0</v>
          </cell>
          <cell r="C39">
            <v>6300</v>
          </cell>
          <cell r="D39">
            <v>2030</v>
          </cell>
        </row>
        <row r="40">
          <cell r="B40">
            <v>0</v>
          </cell>
          <cell r="C40">
            <v>-43</v>
          </cell>
          <cell r="D40">
            <v>-25</v>
          </cell>
        </row>
        <row r="41">
          <cell r="B41">
            <v>0</v>
          </cell>
          <cell r="C41">
            <v>-1000</v>
          </cell>
          <cell r="D41">
            <v>0</v>
          </cell>
        </row>
        <row r="43">
          <cell r="B43">
            <v>0</v>
          </cell>
          <cell r="C43">
            <v>-260</v>
          </cell>
          <cell r="D43">
            <v>-393</v>
          </cell>
        </row>
        <row r="44">
          <cell r="B44">
            <v>0</v>
          </cell>
          <cell r="C44">
            <v>0</v>
          </cell>
          <cell r="D44">
            <v>-725</v>
          </cell>
        </row>
        <row r="45">
          <cell r="B45">
            <v>-163</v>
          </cell>
          <cell r="C45">
            <v>-149</v>
          </cell>
          <cell r="D45">
            <v>-155</v>
          </cell>
        </row>
        <row r="46">
          <cell r="B46">
            <v>-972</v>
          </cell>
          <cell r="C46">
            <v>-6330</v>
          </cell>
          <cell r="D46">
            <v>0</v>
          </cell>
        </row>
        <row r="47">
          <cell r="B47">
            <v>-4</v>
          </cell>
          <cell r="C47">
            <v>-9</v>
          </cell>
          <cell r="D47">
            <v>-19</v>
          </cell>
        </row>
        <row r="54">
          <cell r="B54">
            <v>-20</v>
          </cell>
          <cell r="C54">
            <v>59</v>
          </cell>
          <cell r="D54">
            <v>-43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F8BC-0E05-465B-93CB-03DC4BB68921}">
  <dimension ref="B2:K42"/>
  <sheetViews>
    <sheetView showGridLines="0" topLeftCell="A22" workbookViewId="0">
      <selection activeCell="F42" sqref="F42"/>
    </sheetView>
  </sheetViews>
  <sheetFormatPr defaultRowHeight="15" x14ac:dyDescent="0.25"/>
  <cols>
    <col min="1" max="1" width="2.7109375" customWidth="1"/>
    <col min="2" max="2" width="30.140625" bestFit="1" customWidth="1"/>
    <col min="3" max="3" width="10" bestFit="1" customWidth="1"/>
    <col min="4" max="4" width="9.7109375" bestFit="1" customWidth="1"/>
    <col min="5" max="5" width="9.28515625" bestFit="1" customWidth="1"/>
    <col min="6" max="6" width="9.85546875" bestFit="1" customWidth="1"/>
  </cols>
  <sheetData>
    <row r="2" spans="2:10" x14ac:dyDescent="0.25">
      <c r="B2" s="17" t="s">
        <v>59</v>
      </c>
      <c r="C2" s="18">
        <v>43830</v>
      </c>
      <c r="D2" s="18">
        <f>EOMONTH(C2,12)</f>
        <v>44196</v>
      </c>
      <c r="E2" s="18">
        <f>EOMONTH(D2,12)</f>
        <v>44561</v>
      </c>
      <c r="F2" s="19">
        <f t="shared" ref="F2:J2" si="0">EOMONTH(E2,12)</f>
        <v>44926</v>
      </c>
      <c r="G2" s="19">
        <f t="shared" si="0"/>
        <v>45291</v>
      </c>
      <c r="H2" s="19">
        <f t="shared" si="0"/>
        <v>45657</v>
      </c>
      <c r="I2" s="19">
        <f t="shared" si="0"/>
        <v>46022</v>
      </c>
      <c r="J2" s="19">
        <f t="shared" si="0"/>
        <v>46387</v>
      </c>
    </row>
    <row r="3" spans="2:10" x14ac:dyDescent="0.25">
      <c r="B3" s="53" t="s">
        <v>72</v>
      </c>
      <c r="C3" s="37">
        <f>-C25/'Income Statement'!C19</f>
        <v>1.1053514255221832E-2</v>
      </c>
      <c r="D3" s="37">
        <f>-D25/'Income Statement'!D19</f>
        <v>1.4346190028222013E-2</v>
      </c>
      <c r="E3" s="37">
        <f>-E25/'Income Statement'!E19</f>
        <v>1.0910616869492237E-2</v>
      </c>
      <c r="F3" s="37">
        <f>AVERAGE(C3:E3)</f>
        <v>1.2103440384312028E-2</v>
      </c>
      <c r="G3" s="37">
        <f>F3</f>
        <v>1.2103440384312028E-2</v>
      </c>
      <c r="H3" s="37">
        <f t="shared" ref="H3:J3" si="1">G3</f>
        <v>1.2103440384312028E-2</v>
      </c>
      <c r="I3" s="37">
        <f t="shared" si="1"/>
        <v>1.2103440384312028E-2</v>
      </c>
      <c r="J3" s="37">
        <f t="shared" si="1"/>
        <v>1.2103440384312028E-2</v>
      </c>
    </row>
    <row r="4" spans="2:10" x14ac:dyDescent="0.25">
      <c r="B4" s="53" t="s">
        <v>73</v>
      </c>
      <c r="C4" s="37">
        <f>C19/'Income Statement'!C19</f>
        <v>1.3721603903033999E-2</v>
      </c>
      <c r="D4" s="37">
        <f>D19/'Income Statement'!D19</f>
        <v>1.4973345876450299E-2</v>
      </c>
      <c r="E4" s="37">
        <f>E19/'Income Statement'!E19</f>
        <v>1.4197789900685411E-2</v>
      </c>
      <c r="F4" s="37">
        <f t="shared" ref="F4:F12" si="2">AVERAGE(C4:E4)</f>
        <v>1.4297579893389903E-2</v>
      </c>
      <c r="G4" s="37">
        <f t="shared" ref="G4:J5" si="3">F4</f>
        <v>1.4297579893389903E-2</v>
      </c>
      <c r="H4" s="37">
        <f t="shared" si="3"/>
        <v>1.4297579893389903E-2</v>
      </c>
      <c r="I4" s="37">
        <f t="shared" si="3"/>
        <v>1.4297579893389903E-2</v>
      </c>
      <c r="J4" s="37">
        <f t="shared" si="3"/>
        <v>1.4297579893389903E-2</v>
      </c>
    </row>
    <row r="5" spans="2:10" x14ac:dyDescent="0.25">
      <c r="B5" s="54" t="s">
        <v>77</v>
      </c>
      <c r="C5" s="37">
        <f>C20/'Income Statement'!C19</f>
        <v>4.1164811709102E-3</v>
      </c>
      <c r="D5" s="37">
        <f>D20/'Income Statement'!D19</f>
        <v>1.2229539040451553E-2</v>
      </c>
      <c r="E5" s="37">
        <f>E20/'Income Statement'!E19</f>
        <v>-2.3080151070079733E-3</v>
      </c>
      <c r="F5" s="37">
        <f t="shared" si="2"/>
        <v>4.6793350347845934E-3</v>
      </c>
      <c r="G5" s="37">
        <f t="shared" si="3"/>
        <v>4.6793350347845934E-3</v>
      </c>
      <c r="H5" s="37">
        <f t="shared" si="3"/>
        <v>4.6793350347845934E-3</v>
      </c>
      <c r="I5" s="37">
        <f t="shared" si="3"/>
        <v>4.6793350347845934E-3</v>
      </c>
      <c r="J5" s="37">
        <f t="shared" si="3"/>
        <v>4.6793350347845934E-3</v>
      </c>
    </row>
    <row r="6" spans="2:10" x14ac:dyDescent="0.25">
      <c r="B6" s="54" t="s">
        <v>47</v>
      </c>
      <c r="C6" s="56">
        <f>C26</f>
        <v>-58</v>
      </c>
      <c r="D6" s="56">
        <f t="shared" ref="D6:E6" si="4">D26</f>
        <v>-170</v>
      </c>
      <c r="E6" s="56">
        <f t="shared" si="4"/>
        <v>67</v>
      </c>
      <c r="F6" s="57">
        <f>-75</f>
        <v>-75</v>
      </c>
      <c r="G6" s="57">
        <f t="shared" ref="G6:J6" si="5">-75</f>
        <v>-75</v>
      </c>
      <c r="H6" s="57">
        <f t="shared" si="5"/>
        <v>-75</v>
      </c>
      <c r="I6" s="57">
        <f t="shared" si="5"/>
        <v>-75</v>
      </c>
      <c r="J6" s="57">
        <f t="shared" si="5"/>
        <v>-75</v>
      </c>
    </row>
    <row r="7" spans="2:10" x14ac:dyDescent="0.25">
      <c r="B7" s="54" t="s">
        <v>50</v>
      </c>
      <c r="C7" s="37"/>
      <c r="D7" s="37"/>
      <c r="E7" s="37"/>
      <c r="F7" s="37"/>
      <c r="G7" s="37"/>
      <c r="H7" s="37"/>
      <c r="I7" s="37"/>
      <c r="J7" s="37"/>
    </row>
    <row r="8" spans="2:10" x14ac:dyDescent="0.25">
      <c r="B8" s="54" t="s">
        <v>74</v>
      </c>
      <c r="C8" s="37">
        <f>-C31/'Income Statement'!C31</f>
        <v>0</v>
      </c>
      <c r="D8" s="37">
        <f>-D31/'Income Statement'!D31</f>
        <v>0.24621212121212122</v>
      </c>
      <c r="E8" s="37">
        <f>-E31/'Income Statement'!E31</f>
        <v>0.27676056338028171</v>
      </c>
      <c r="F8" s="37">
        <v>0.37</v>
      </c>
      <c r="G8" s="37">
        <f t="shared" ref="G8:J8" si="6">F8</f>
        <v>0.37</v>
      </c>
      <c r="H8" s="37">
        <f t="shared" si="6"/>
        <v>0.37</v>
      </c>
      <c r="I8" s="37">
        <f t="shared" si="6"/>
        <v>0.37</v>
      </c>
      <c r="J8" s="37">
        <f t="shared" si="6"/>
        <v>0.37</v>
      </c>
    </row>
    <row r="9" spans="2:10" x14ac:dyDescent="0.25">
      <c r="B9" s="54" t="s">
        <v>52</v>
      </c>
      <c r="C9" s="37"/>
      <c r="D9" s="37"/>
      <c r="E9" s="37"/>
      <c r="F9" s="37"/>
      <c r="G9" s="37"/>
      <c r="H9" s="37"/>
      <c r="I9" s="37"/>
      <c r="J9" s="37"/>
    </row>
    <row r="10" spans="2:10" x14ac:dyDescent="0.25">
      <c r="B10" s="54" t="s">
        <v>75</v>
      </c>
      <c r="C10" s="37">
        <f>C33/'Income Statement'!C32</f>
        <v>1.0794701986754967</v>
      </c>
      <c r="D10" s="37">
        <f>D33/'Income Statement'!D32</f>
        <v>0.99333333333333329</v>
      </c>
      <c r="E10" s="37">
        <f>E33/'Income Statement'!E32</f>
        <v>0.89080459770114939</v>
      </c>
      <c r="F10" s="37">
        <f t="shared" si="2"/>
        <v>0.98786937656999319</v>
      </c>
      <c r="G10" s="37">
        <f t="shared" ref="G10:J10" si="7">F10</f>
        <v>0.98786937656999319</v>
      </c>
      <c r="H10" s="37">
        <f t="shared" si="7"/>
        <v>0.98786937656999319</v>
      </c>
      <c r="I10" s="37">
        <f t="shared" si="7"/>
        <v>0.98786937656999319</v>
      </c>
      <c r="J10" s="37">
        <f t="shared" si="7"/>
        <v>0.98786937656999319</v>
      </c>
    </row>
    <row r="11" spans="2:10" x14ac:dyDescent="0.25">
      <c r="B11" s="54" t="s">
        <v>54</v>
      </c>
      <c r="C11" s="37"/>
      <c r="D11" s="37"/>
      <c r="E11" s="37"/>
      <c r="F11" s="37"/>
      <c r="G11" s="37"/>
      <c r="H11" s="37"/>
      <c r="I11" s="37"/>
      <c r="J11" s="37"/>
    </row>
    <row r="12" spans="2:10" x14ac:dyDescent="0.25">
      <c r="B12" s="55" t="s">
        <v>76</v>
      </c>
      <c r="C12" s="37">
        <f>-C37/'Income Statement'!C19</f>
        <v>1.5246226558926666E-3</v>
      </c>
      <c r="D12" s="37">
        <f>-D37/'Income Statement'!D19</f>
        <v>-4.6252743806835996E-3</v>
      </c>
      <c r="E12" s="37">
        <f>-E37/'Income Statement'!E19</f>
        <v>3.0074136242831165E-3</v>
      </c>
      <c r="F12" s="37">
        <f t="shared" si="2"/>
        <v>-3.1079366835938916E-5</v>
      </c>
      <c r="G12" s="37">
        <f t="shared" ref="G12:J12" si="8">F12</f>
        <v>-3.1079366835938916E-5</v>
      </c>
      <c r="H12" s="37">
        <f t="shared" si="8"/>
        <v>-3.1079366835938916E-5</v>
      </c>
      <c r="I12" s="37">
        <f t="shared" si="8"/>
        <v>-3.1079366835938916E-5</v>
      </c>
      <c r="J12" s="37">
        <f t="shared" si="8"/>
        <v>-3.1079366835938916E-5</v>
      </c>
    </row>
    <row r="14" spans="2:10" x14ac:dyDescent="0.25">
      <c r="B14" s="21" t="s">
        <v>38</v>
      </c>
      <c r="C14" s="22">
        <v>43830</v>
      </c>
      <c r="D14" s="22">
        <f>EOMONTH(C14,12)</f>
        <v>44196</v>
      </c>
      <c r="E14" s="22">
        <f>EOMONTH(D14,12)</f>
        <v>44561</v>
      </c>
      <c r="F14" s="23">
        <f t="shared" ref="F14:J14" si="9">EOMONTH(E14,12)</f>
        <v>44926</v>
      </c>
      <c r="G14" s="23">
        <f t="shared" si="9"/>
        <v>45291</v>
      </c>
      <c r="H14" s="23">
        <f t="shared" si="9"/>
        <v>45657</v>
      </c>
      <c r="I14" s="23">
        <f t="shared" si="9"/>
        <v>46022</v>
      </c>
      <c r="J14" s="23">
        <f t="shared" si="9"/>
        <v>46387</v>
      </c>
    </row>
    <row r="16" spans="2:10" x14ac:dyDescent="0.25">
      <c r="B16" s="1" t="s">
        <v>45</v>
      </c>
    </row>
    <row r="17" spans="2:11" x14ac:dyDescent="0.25">
      <c r="B17" s="2" t="s">
        <v>40</v>
      </c>
      <c r="C17" s="43">
        <f>'Income Statement'!C33</f>
        <v>1116</v>
      </c>
      <c r="D17" s="43">
        <f>'Income Statement'!D33</f>
        <v>906</v>
      </c>
      <c r="E17" s="43">
        <f>'Income Statement'!E33</f>
        <v>1246</v>
      </c>
      <c r="F17" s="50">
        <f>'Income Statement'!F33</f>
        <v>1355.3549453333346</v>
      </c>
      <c r="G17" s="50">
        <f>'Income Statement'!G33</f>
        <v>1463.2064823442661</v>
      </c>
      <c r="H17" s="50">
        <f>'Income Statement'!H33</f>
        <v>1570.7671331232732</v>
      </c>
      <c r="I17" s="50">
        <f>'Income Statement'!I33</f>
        <v>1684.9481663121521</v>
      </c>
      <c r="J17" s="50">
        <f>'Income Statement'!J33</f>
        <v>1797.5914231606637</v>
      </c>
    </row>
    <row r="18" spans="2:11" x14ac:dyDescent="0.25">
      <c r="B18" s="2" t="s">
        <v>42</v>
      </c>
      <c r="C18" s="43">
        <f>-'Income Statement'!C32</f>
        <v>151</v>
      </c>
      <c r="D18" s="43">
        <f>-'Income Statement'!D32</f>
        <v>150</v>
      </c>
      <c r="E18" s="43">
        <f>-'Income Statement'!E32</f>
        <v>174</v>
      </c>
      <c r="F18" s="50">
        <f>-'Income Statement'!F32</f>
        <v>158.33333333333334</v>
      </c>
      <c r="G18" s="50">
        <f>-'Income Statement'!G32</f>
        <v>158.33333333333334</v>
      </c>
      <c r="H18" s="50">
        <f>-'Income Statement'!H32</f>
        <v>158.33333333333334</v>
      </c>
      <c r="I18" s="50">
        <f>-'Income Statement'!I32</f>
        <v>158.33333333333334</v>
      </c>
      <c r="J18" s="50">
        <f>-'Income Statement'!J32</f>
        <v>158.33333333333334</v>
      </c>
    </row>
    <row r="19" spans="2:11" x14ac:dyDescent="0.25">
      <c r="B19" s="2" t="s">
        <v>41</v>
      </c>
      <c r="C19" s="44">
        <f>'[1]cash flows'!B9</f>
        <v>180</v>
      </c>
      <c r="D19" s="44">
        <f>'[1]cash flows'!C9</f>
        <v>191</v>
      </c>
      <c r="E19" s="44">
        <f>'[1]cash flows'!D9</f>
        <v>203</v>
      </c>
      <c r="F19" s="58">
        <f>F4*'Income Statement'!F19</f>
        <v>219.71416053821844</v>
      </c>
      <c r="G19" s="58">
        <f>G4*'Income Statement'!G19</f>
        <v>235.44901734473595</v>
      </c>
      <c r="H19" s="58">
        <f>H4*'Income Statement'!H19</f>
        <v>251.14143569063231</v>
      </c>
      <c r="I19" s="58">
        <f>I4*'Income Statement'!I19</f>
        <v>267.7997259388751</v>
      </c>
      <c r="J19" s="58">
        <f>J4*'Income Statement'!J19</f>
        <v>284.23366434952044</v>
      </c>
    </row>
    <row r="20" spans="2:11" x14ac:dyDescent="0.25">
      <c r="B20" s="2" t="s">
        <v>43</v>
      </c>
      <c r="C20" s="44">
        <f>'[1]cash flows'!B10+'[1]cash flows'!B11+'[1]cash flows'!B12+'[1]cash flows'!B24+'[1]cash flows'!B25</f>
        <v>54</v>
      </c>
      <c r="D20" s="44">
        <f>'[1]cash flows'!C10+'[1]cash flows'!C11+'[1]cash flows'!C12+'[1]cash flows'!C24+'[1]cash flows'!C25</f>
        <v>156</v>
      </c>
      <c r="E20" s="44">
        <f>'[1]cash flows'!D10+'[1]cash flows'!D11+'[1]cash flows'!D12+'[1]cash flows'!D24+'[1]cash flows'!D25</f>
        <v>-33</v>
      </c>
      <c r="F20" s="58">
        <f>F5*'Income Statement'!F19</f>
        <v>71.908405248366094</v>
      </c>
      <c r="G20" s="58">
        <f>G5*'Income Statement'!G19</f>
        <v>77.058134592148008</v>
      </c>
      <c r="H20" s="58">
        <f>H5*'Income Statement'!H19</f>
        <v>82.193974608009555</v>
      </c>
      <c r="I20" s="58">
        <f>I5*'Income Statement'!I19</f>
        <v>87.645926739730186</v>
      </c>
      <c r="J20" s="58">
        <f>J5*'Income Statement'!J19</f>
        <v>93.024452639765713</v>
      </c>
    </row>
    <row r="21" spans="2:11" x14ac:dyDescent="0.25">
      <c r="B21" s="4" t="s">
        <v>46</v>
      </c>
      <c r="C21" s="45">
        <f>SUM('[1]cash flows'!B16:B21)</f>
        <v>-32</v>
      </c>
      <c r="D21" s="45">
        <f>SUM('[1]cash flows'!C16:C21)</f>
        <v>77</v>
      </c>
      <c r="E21" s="45">
        <f>SUM('[1]cash flows'!D16:D21)</f>
        <v>160</v>
      </c>
      <c r="F21" s="41">
        <v>183.5719550780168</v>
      </c>
      <c r="G21" s="41">
        <v>78.387906065738207</v>
      </c>
      <c r="H21" s="41">
        <v>78.176486152252437</v>
      </c>
      <c r="I21" s="41">
        <v>82.988266576038768</v>
      </c>
      <c r="J21" s="41">
        <v>81.87059064244022</v>
      </c>
    </row>
    <row r="22" spans="2:11" x14ac:dyDescent="0.25">
      <c r="B22" s="25" t="s">
        <v>39</v>
      </c>
      <c r="C22" s="47">
        <f>SUM(C17:C21)</f>
        <v>1469</v>
      </c>
      <c r="D22" s="47">
        <f>SUM(D17:D21)</f>
        <v>1480</v>
      </c>
      <c r="E22" s="47">
        <f>SUM(E17:E21)</f>
        <v>1750</v>
      </c>
      <c r="F22" s="47">
        <f t="shared" ref="F22:J22" si="10">SUM(F17:F21)</f>
        <v>1988.8827995312693</v>
      </c>
      <c r="G22" s="47">
        <f t="shared" si="10"/>
        <v>2012.4348736802215</v>
      </c>
      <c r="H22" s="47">
        <f t="shared" si="10"/>
        <v>2140.6123629075009</v>
      </c>
      <c r="I22" s="47">
        <f t="shared" si="10"/>
        <v>2281.7154189001294</v>
      </c>
      <c r="J22" s="47">
        <f t="shared" si="10"/>
        <v>2415.0534641257232</v>
      </c>
    </row>
    <row r="23" spans="2:11" x14ac:dyDescent="0.25">
      <c r="B23" s="24"/>
      <c r="C23" s="46"/>
      <c r="D23" s="46"/>
      <c r="E23" s="46"/>
      <c r="F23" s="51"/>
      <c r="G23" s="51"/>
      <c r="H23" s="51"/>
      <c r="I23" s="51"/>
      <c r="J23" s="51"/>
    </row>
    <row r="24" spans="2:11" x14ac:dyDescent="0.25">
      <c r="B24" s="1" t="s">
        <v>49</v>
      </c>
      <c r="C24" s="46"/>
      <c r="D24" s="46"/>
      <c r="E24" s="46"/>
      <c r="F24" s="51"/>
      <c r="G24" s="51"/>
      <c r="H24" s="51"/>
      <c r="I24" s="51"/>
      <c r="J24" s="51"/>
    </row>
    <row r="25" spans="2:11" x14ac:dyDescent="0.25">
      <c r="B25" s="2" t="s">
        <v>56</v>
      </c>
      <c r="C25" s="46">
        <f>'[1]cash flows'!B28</f>
        <v>-145</v>
      </c>
      <c r="D25" s="46">
        <f>'[1]cash flows'!C28</f>
        <v>-183</v>
      </c>
      <c r="E25" s="46">
        <f>'[1]cash flows'!D28</f>
        <v>-156</v>
      </c>
      <c r="F25" s="58">
        <f>-F3*'Income Statement'!F19</f>
        <v>-185.99631990117035</v>
      </c>
      <c r="G25" s="58">
        <f>-G3*'Income Statement'!G19</f>
        <v>-199.31646937635657</v>
      </c>
      <c r="H25" s="58">
        <f>-H3*'Income Statement'!H19</f>
        <v>-212.60069309473923</v>
      </c>
      <c r="I25" s="58">
        <f>-I3*'Income Statement'!I19</f>
        <v>-226.70256379086928</v>
      </c>
      <c r="J25" s="58">
        <f>-J3*'Income Statement'!J19</f>
        <v>-240.61451219863167</v>
      </c>
    </row>
    <row r="26" spans="2:11" x14ac:dyDescent="0.25">
      <c r="B26" s="4" t="s">
        <v>47</v>
      </c>
      <c r="C26" s="45">
        <f>'[1]cash flows'!B33+'[1]cash flows'!B32+'[1]cash flows'!B30+'[1]cash flows'!B29</f>
        <v>-58</v>
      </c>
      <c r="D26" s="45">
        <f>'[1]cash flows'!C33+'[1]cash flows'!C32+'[1]cash flows'!C30+'[1]cash flows'!C29</f>
        <v>-170</v>
      </c>
      <c r="E26" s="45">
        <f>'[1]cash flows'!D33+'[1]cash flows'!D32+'[1]cash flows'!D30+'[1]cash flows'!D29</f>
        <v>67</v>
      </c>
      <c r="F26" s="59">
        <f>F6</f>
        <v>-75</v>
      </c>
      <c r="G26" s="59">
        <f t="shared" ref="G26:J26" si="11">G6</f>
        <v>-75</v>
      </c>
      <c r="H26" s="59">
        <f t="shared" si="11"/>
        <v>-75</v>
      </c>
      <c r="I26" s="59">
        <f t="shared" si="11"/>
        <v>-75</v>
      </c>
      <c r="J26" s="59">
        <f t="shared" si="11"/>
        <v>-75</v>
      </c>
    </row>
    <row r="27" spans="2:11" x14ac:dyDescent="0.25">
      <c r="B27" s="1" t="s">
        <v>44</v>
      </c>
      <c r="C27" s="48">
        <f>SUM(C25:C26)</f>
        <v>-203</v>
      </c>
      <c r="D27" s="48">
        <f t="shared" ref="D27:E27" si="12">SUM(D25:D26)</f>
        <v>-353</v>
      </c>
      <c r="E27" s="48">
        <f t="shared" si="12"/>
        <v>-89</v>
      </c>
      <c r="F27" s="48">
        <f t="shared" ref="F27" si="13">SUM(F25:F26)</f>
        <v>-260.99631990117035</v>
      </c>
      <c r="G27" s="48">
        <f t="shared" ref="G27" si="14">SUM(G25:G26)</f>
        <v>-274.31646937635657</v>
      </c>
      <c r="H27" s="48">
        <f t="shared" ref="H27" si="15">SUM(H25:H26)</f>
        <v>-287.6006930947392</v>
      </c>
      <c r="I27" s="48">
        <f t="shared" ref="I27" si="16">SUM(I25:I26)</f>
        <v>-301.70256379086925</v>
      </c>
      <c r="J27" s="48">
        <f t="shared" ref="J27" si="17">SUM(J25:J26)</f>
        <v>-315.6145121986317</v>
      </c>
      <c r="K27" s="1"/>
    </row>
    <row r="28" spans="2:11" x14ac:dyDescent="0.25">
      <c r="C28" s="46"/>
      <c r="D28" s="46"/>
      <c r="E28" s="46"/>
      <c r="F28" s="51"/>
      <c r="G28" s="51"/>
      <c r="H28" s="51"/>
      <c r="I28" s="51"/>
      <c r="J28" s="51"/>
    </row>
    <row r="29" spans="2:11" x14ac:dyDescent="0.25">
      <c r="B29" s="1" t="s">
        <v>55</v>
      </c>
      <c r="C29" s="46"/>
      <c r="D29" s="46"/>
      <c r="E29" s="46"/>
      <c r="F29" s="51"/>
      <c r="G29" s="51"/>
      <c r="H29" s="51"/>
      <c r="I29" s="51"/>
      <c r="J29" s="51"/>
    </row>
    <row r="30" spans="2:11" x14ac:dyDescent="0.25">
      <c r="B30" s="2" t="s">
        <v>50</v>
      </c>
      <c r="C30" s="44">
        <f>SUM('[1]cash flows'!B36:B41)</f>
        <v>6</v>
      </c>
      <c r="D30" s="44">
        <f>SUM('[1]cash flows'!C36:C41)</f>
        <v>5904</v>
      </c>
      <c r="E30" s="44">
        <f>SUM('[1]cash flows'!D36:D41)</f>
        <v>1350</v>
      </c>
      <c r="F30" s="51"/>
      <c r="G30" s="51"/>
      <c r="H30" s="51"/>
      <c r="I30" s="51"/>
      <c r="J30" s="51"/>
    </row>
    <row r="31" spans="2:11" x14ac:dyDescent="0.25">
      <c r="B31" s="2" t="s">
        <v>51</v>
      </c>
      <c r="C31" s="46">
        <f>'[1]cash flows'!B43</f>
        <v>0</v>
      </c>
      <c r="D31" s="46">
        <f>'[1]cash flows'!C43</f>
        <v>-260</v>
      </c>
      <c r="E31" s="46">
        <f>'[1]cash flows'!D43</f>
        <v>-393</v>
      </c>
      <c r="F31" s="58">
        <f>-F8*'Income Statement'!F33</f>
        <v>-501.48132977333381</v>
      </c>
      <c r="G31" s="58">
        <f>-G8*'Income Statement'!G33</f>
        <v>-541.3863984673784</v>
      </c>
      <c r="H31" s="58">
        <f>-H8*'Income Statement'!H33</f>
        <v>-581.18383925561102</v>
      </c>
      <c r="I31" s="58">
        <f>-I8*'Income Statement'!I33</f>
        <v>-623.43082153549631</v>
      </c>
      <c r="J31" s="58">
        <f>-J8*'Income Statement'!J33</f>
        <v>-665.10882656944557</v>
      </c>
    </row>
    <row r="32" spans="2:11" x14ac:dyDescent="0.25">
      <c r="B32" s="2" t="s">
        <v>52</v>
      </c>
      <c r="C32" s="46">
        <f>'[1]cash flows'!B44</f>
        <v>0</v>
      </c>
      <c r="D32" s="46">
        <f>'[1]cash flows'!C44</f>
        <v>0</v>
      </c>
      <c r="E32" s="46">
        <f>'[1]cash flows'!D44</f>
        <v>-725</v>
      </c>
      <c r="F32" s="51"/>
      <c r="G32" s="51"/>
      <c r="H32" s="51"/>
      <c r="I32" s="51"/>
      <c r="J32" s="51"/>
    </row>
    <row r="33" spans="2:10" x14ac:dyDescent="0.25">
      <c r="B33" s="2" t="s">
        <v>53</v>
      </c>
      <c r="C33" s="46">
        <f>'[1]cash flows'!B45</f>
        <v>-163</v>
      </c>
      <c r="D33" s="46">
        <f>'[1]cash flows'!C45</f>
        <v>-149</v>
      </c>
      <c r="E33" s="46">
        <f>'[1]cash flows'!D45</f>
        <v>-155</v>
      </c>
      <c r="F33" s="58">
        <f>'Income Statement'!F32*'Cashflow Statement'!F10</f>
        <v>-156.41265129024893</v>
      </c>
      <c r="G33" s="58">
        <f>'Income Statement'!G32*'Cashflow Statement'!G10</f>
        <v>-156.41265129024893</v>
      </c>
      <c r="H33" s="58">
        <f>'Income Statement'!H32*'Cashflow Statement'!H10</f>
        <v>-156.41265129024893</v>
      </c>
      <c r="I33" s="58">
        <f>'Income Statement'!I32*'Cashflow Statement'!I10</f>
        <v>-156.41265129024893</v>
      </c>
      <c r="J33" s="58">
        <f>'Income Statement'!J32*'Cashflow Statement'!J10</f>
        <v>-156.41265129024893</v>
      </c>
    </row>
    <row r="34" spans="2:10" x14ac:dyDescent="0.25">
      <c r="B34" s="4" t="s">
        <v>54</v>
      </c>
      <c r="C34" s="45">
        <f>'[1]cash flows'!B46+'[1]cash flows'!B47</f>
        <v>-976</v>
      </c>
      <c r="D34" s="45">
        <f>'[1]cash flows'!C46+'[1]cash flows'!C47</f>
        <v>-6339</v>
      </c>
      <c r="E34" s="45">
        <f>'[1]cash flows'!D46+'[1]cash flows'!D47</f>
        <v>-19</v>
      </c>
      <c r="F34" s="52"/>
      <c r="G34" s="52"/>
      <c r="H34" s="52"/>
      <c r="I34" s="52"/>
      <c r="J34" s="52"/>
    </row>
    <row r="35" spans="2:10" x14ac:dyDescent="0.25">
      <c r="B35" s="1" t="s">
        <v>48</v>
      </c>
      <c r="C35" s="49">
        <f>SUM(C30:C34)</f>
        <v>-1133</v>
      </c>
      <c r="D35" s="49">
        <f t="shared" ref="D35:E35" si="18">SUM(D30:D34)</f>
        <v>-844</v>
      </c>
      <c r="E35" s="49">
        <f t="shared" si="18"/>
        <v>58</v>
      </c>
      <c r="F35" s="49">
        <f t="shared" ref="F35" si="19">SUM(F30:F34)</f>
        <v>-657.89398106358271</v>
      </c>
      <c r="G35" s="49">
        <f t="shared" ref="G35" si="20">SUM(G30:G34)</f>
        <v>-697.79904975762736</v>
      </c>
      <c r="H35" s="49">
        <f t="shared" ref="H35" si="21">SUM(H30:H34)</f>
        <v>-737.59649054585998</v>
      </c>
      <c r="I35" s="49">
        <f t="shared" ref="I35" si="22">SUM(I30:I34)</f>
        <v>-779.84347282574527</v>
      </c>
      <c r="J35" s="49">
        <f t="shared" ref="J35" si="23">SUM(J30:J34)</f>
        <v>-821.52147785969453</v>
      </c>
    </row>
    <row r="36" spans="2:10" x14ac:dyDescent="0.25">
      <c r="C36" s="44"/>
      <c r="D36" s="44"/>
      <c r="E36" s="44"/>
      <c r="F36" s="51"/>
      <c r="G36" s="51"/>
      <c r="H36" s="51"/>
      <c r="I36" s="51"/>
      <c r="J36" s="51"/>
    </row>
    <row r="37" spans="2:10" x14ac:dyDescent="0.25">
      <c r="B37" s="26" t="s">
        <v>57</v>
      </c>
      <c r="C37" s="46">
        <f>'[1]cash flows'!B54</f>
        <v>-20</v>
      </c>
      <c r="D37" s="46">
        <f>'[1]cash flows'!C54</f>
        <v>59</v>
      </c>
      <c r="E37" s="46">
        <f>'[1]cash flows'!D54</f>
        <v>-43</v>
      </c>
      <c r="F37" s="58">
        <f>F12*'Income Statement'!F19</f>
        <v>-0.47760369554393411</v>
      </c>
      <c r="G37" s="58">
        <f>G12*'Income Statement'!G19</f>
        <v>-0.51180734332538957</v>
      </c>
      <c r="H37" s="58">
        <f>H12*'Income Statement'!H19</f>
        <v>-0.54591874049552258</v>
      </c>
      <c r="I37" s="58">
        <f>I12*'Income Statement'!I19</f>
        <v>-0.5821297018851519</v>
      </c>
      <c r="J37" s="58">
        <f>J12*'Income Statement'!J19</f>
        <v>-0.61785297842790488</v>
      </c>
    </row>
    <row r="38" spans="2:10" x14ac:dyDescent="0.25">
      <c r="B38" s="3"/>
      <c r="C38" s="45"/>
      <c r="D38" s="45"/>
      <c r="E38" s="45"/>
      <c r="F38" s="52"/>
      <c r="G38" s="52"/>
      <c r="H38" s="52"/>
      <c r="I38" s="52"/>
      <c r="J38" s="52"/>
    </row>
    <row r="39" spans="2:10" x14ac:dyDescent="0.25">
      <c r="B39" s="1" t="s">
        <v>58</v>
      </c>
      <c r="C39" s="49">
        <f>C35+C37+C27+C22</f>
        <v>113</v>
      </c>
      <c r="D39" s="49">
        <f t="shared" ref="D39:J39" si="24">D35+D37+D27+D22</f>
        <v>342</v>
      </c>
      <c r="E39" s="49">
        <f t="shared" si="24"/>
        <v>1676</v>
      </c>
      <c r="F39" s="49">
        <f t="shared" si="24"/>
        <v>1069.5148948709723</v>
      </c>
      <c r="G39" s="49">
        <f t="shared" si="24"/>
        <v>1039.8075472029122</v>
      </c>
      <c r="H39" s="49">
        <f t="shared" si="24"/>
        <v>1114.8692605264064</v>
      </c>
      <c r="I39" s="49">
        <f t="shared" si="24"/>
        <v>1199.5872525816299</v>
      </c>
      <c r="J39" s="49">
        <f t="shared" si="24"/>
        <v>1277.2996210889692</v>
      </c>
    </row>
    <row r="40" spans="2:10" x14ac:dyDescent="0.25">
      <c r="C40" s="46"/>
      <c r="D40" s="46"/>
      <c r="E40" s="46"/>
    </row>
    <row r="41" spans="2:10" x14ac:dyDescent="0.25">
      <c r="C41" s="46"/>
      <c r="D41" s="46"/>
      <c r="E41" s="46"/>
    </row>
    <row r="42" spans="2:10" x14ac:dyDescent="0.25">
      <c r="C42" s="46"/>
      <c r="D42" s="46"/>
      <c r="E42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DD82-F736-4626-A9E6-93BC9B69DDCB}">
  <dimension ref="B2:P40"/>
  <sheetViews>
    <sheetView showGridLines="0" tabSelected="1" topLeftCell="A19" workbookViewId="0">
      <selection activeCell="F40" sqref="F40"/>
    </sheetView>
  </sheetViews>
  <sheetFormatPr defaultRowHeight="15" x14ac:dyDescent="0.25"/>
  <cols>
    <col min="1" max="1" width="2.7109375" customWidth="1"/>
    <col min="2" max="2" width="31.28515625" bestFit="1" customWidth="1"/>
  </cols>
  <sheetData>
    <row r="2" spans="2:10" x14ac:dyDescent="0.25">
      <c r="B2" s="17" t="s">
        <v>59</v>
      </c>
      <c r="C2" s="18">
        <v>43830</v>
      </c>
      <c r="D2" s="18">
        <f>EOMONTH(C2,12)</f>
        <v>44196</v>
      </c>
      <c r="E2" s="18">
        <f>EOMONTH(D2,12)</f>
        <v>44561</v>
      </c>
      <c r="F2" s="19">
        <f t="shared" ref="F2:J2" si="0">EOMONTH(E2,12)</f>
        <v>44926</v>
      </c>
      <c r="G2" s="19">
        <f t="shared" si="0"/>
        <v>45291</v>
      </c>
      <c r="H2" s="19">
        <f t="shared" si="0"/>
        <v>45657</v>
      </c>
      <c r="I2" s="19">
        <f t="shared" si="0"/>
        <v>46022</v>
      </c>
      <c r="J2" s="19">
        <f t="shared" si="0"/>
        <v>46387</v>
      </c>
    </row>
    <row r="3" spans="2:10" x14ac:dyDescent="0.25">
      <c r="B3" s="2" t="s">
        <v>65</v>
      </c>
      <c r="D3" s="28">
        <f>D17/'Income Statement'!D19</f>
        <v>0.24678582627783005</v>
      </c>
      <c r="E3" s="28">
        <f>E17/'Income Statement'!E19</f>
        <v>0.22604560078332633</v>
      </c>
      <c r="F3" s="28">
        <f>AVERAGE(D3:E3)</f>
        <v>0.23641571353057819</v>
      </c>
      <c r="G3" s="28">
        <f>F3</f>
        <v>0.23641571353057819</v>
      </c>
      <c r="H3" s="28">
        <f t="shared" ref="H3:J3" si="1">G3</f>
        <v>0.23641571353057819</v>
      </c>
      <c r="I3" s="28">
        <f t="shared" si="1"/>
        <v>0.23641571353057819</v>
      </c>
      <c r="J3" s="28">
        <f t="shared" si="1"/>
        <v>0.23641571353057819</v>
      </c>
    </row>
    <row r="4" spans="2:10" x14ac:dyDescent="0.25">
      <c r="B4" s="2" t="s">
        <v>66</v>
      </c>
      <c r="D4" s="28">
        <f>-D18/SUM('Income Statement'!D21:D22)</f>
        <v>0.1722178901637518</v>
      </c>
      <c r="E4" s="28">
        <f>-E18/SUM('Income Statement'!E21:E23)</f>
        <v>0.12725188339338356</v>
      </c>
      <c r="F4" s="28">
        <f t="shared" ref="F4:F5" si="2">AVERAGE(D4:E4)</f>
        <v>0.14973488677856767</v>
      </c>
      <c r="G4" s="28">
        <f t="shared" ref="G4:J4" si="3">F4</f>
        <v>0.14973488677856767</v>
      </c>
      <c r="H4" s="28">
        <f t="shared" si="3"/>
        <v>0.14973488677856767</v>
      </c>
      <c r="I4" s="28">
        <f t="shared" si="3"/>
        <v>0.14973488677856767</v>
      </c>
      <c r="J4" s="28">
        <f t="shared" si="3"/>
        <v>0.14973488677856767</v>
      </c>
    </row>
    <row r="5" spans="2:10" x14ac:dyDescent="0.25">
      <c r="B5" s="2" t="s">
        <v>67</v>
      </c>
      <c r="D5" s="28">
        <f>(-D20)/SUM('Income Statement'!D23)</f>
        <v>0.26107899807321772</v>
      </c>
      <c r="E5" s="28">
        <f>(-E20)/SUM('Income Statement'!E23)</f>
        <v>0.24964404366397722</v>
      </c>
      <c r="F5" s="28">
        <f t="shared" si="2"/>
        <v>0.25536152086859748</v>
      </c>
      <c r="G5" s="28">
        <f t="shared" ref="G5:J5" si="4">F5</f>
        <v>0.25536152086859748</v>
      </c>
      <c r="H5" s="28">
        <f t="shared" si="4"/>
        <v>0.25536152086859748</v>
      </c>
      <c r="I5" s="28">
        <f t="shared" si="4"/>
        <v>0.25536152086859748</v>
      </c>
      <c r="J5" s="28">
        <f t="shared" si="4"/>
        <v>0.25536152086859748</v>
      </c>
    </row>
    <row r="6" spans="2:10" x14ac:dyDescent="0.25">
      <c r="D6" s="28"/>
      <c r="E6" s="28"/>
      <c r="F6" s="28"/>
      <c r="G6" s="28"/>
      <c r="H6" s="28"/>
      <c r="I6" s="28"/>
      <c r="J6" s="28"/>
    </row>
    <row r="7" spans="2:10" x14ac:dyDescent="0.25">
      <c r="B7" s="2"/>
      <c r="D7" s="28"/>
      <c r="E7" s="28"/>
      <c r="F7" s="28"/>
      <c r="G7" s="28"/>
      <c r="H7" s="28"/>
      <c r="I7" s="28"/>
      <c r="J7" s="28"/>
    </row>
    <row r="8" spans="2:10" x14ac:dyDescent="0.25">
      <c r="B8" s="15" t="s">
        <v>68</v>
      </c>
      <c r="D8" s="28">
        <f>-D25/('Income Statement'!D21+'Income Statement'!D22)</f>
        <v>0.1618580817645093</v>
      </c>
      <c r="E8" s="28">
        <f>-E25/('Income Statement'!E21+'Income Statement'!E22)</f>
        <v>0.15398317664522512</v>
      </c>
      <c r="F8" s="28">
        <f t="shared" ref="F8" si="5">AVERAGE(D8:E8)</f>
        <v>0.15792062920486721</v>
      </c>
      <c r="G8" s="28">
        <f t="shared" ref="G8:J8" si="6">F8</f>
        <v>0.15792062920486721</v>
      </c>
      <c r="H8" s="28">
        <f t="shared" si="6"/>
        <v>0.15792062920486721</v>
      </c>
      <c r="I8" s="28">
        <f t="shared" si="6"/>
        <v>0.15792062920486721</v>
      </c>
      <c r="J8" s="28">
        <f t="shared" si="6"/>
        <v>0.15792062920486721</v>
      </c>
    </row>
    <row r="9" spans="2:10" x14ac:dyDescent="0.25">
      <c r="B9" s="15" t="s">
        <v>69</v>
      </c>
      <c r="D9" s="28">
        <f>-D26/SUM('Income Statement'!D21:D23)</f>
        <v>0.1788654663892156</v>
      </c>
      <c r="E9" s="28">
        <f>-E26/SUM('Income Statement'!E21:E23)</f>
        <v>0.16320013101867015</v>
      </c>
      <c r="F9" s="28">
        <f t="shared" ref="F9:F11" si="7">AVERAGE(D9:E9)</f>
        <v>0.17103279870394289</v>
      </c>
      <c r="G9" s="28">
        <f t="shared" ref="G9:J9" si="8">F9</f>
        <v>0.17103279870394289</v>
      </c>
      <c r="H9" s="28">
        <f t="shared" si="8"/>
        <v>0.17103279870394289</v>
      </c>
      <c r="I9" s="28">
        <f t="shared" si="8"/>
        <v>0.17103279870394289</v>
      </c>
      <c r="J9" s="28">
        <f t="shared" si="8"/>
        <v>0.17103279870394289</v>
      </c>
    </row>
    <row r="10" spans="2:10" x14ac:dyDescent="0.25">
      <c r="B10" s="15" t="s">
        <v>70</v>
      </c>
      <c r="D10" s="28">
        <f>-D27/SUM('Income Statement'!D21:D23)</f>
        <v>0.22998281009680629</v>
      </c>
      <c r="E10" s="28">
        <f>-E27/SUM('Income Statement'!E21:E23)</f>
        <v>0.21896495250573206</v>
      </c>
      <c r="F10" s="28">
        <f t="shared" si="7"/>
        <v>0.22447388130126916</v>
      </c>
      <c r="G10" s="28">
        <f t="shared" ref="G10:J10" si="9">F10</f>
        <v>0.22447388130126916</v>
      </c>
      <c r="H10" s="28">
        <f t="shared" si="9"/>
        <v>0.22447388130126916</v>
      </c>
      <c r="I10" s="28">
        <f t="shared" si="9"/>
        <v>0.22447388130126916</v>
      </c>
      <c r="J10" s="28">
        <f t="shared" si="9"/>
        <v>0.22447388130126916</v>
      </c>
    </row>
    <row r="11" spans="2:10" x14ac:dyDescent="0.25">
      <c r="B11" s="15" t="s">
        <v>71</v>
      </c>
      <c r="D11" s="28">
        <f>-D30/SUM('Income Statement'!D21:D23)</f>
        <v>0.14557133809825387</v>
      </c>
      <c r="E11" s="28">
        <f>-E30/SUM('Income Statement'!E21:E23)</f>
        <v>0.11717982312479529</v>
      </c>
      <c r="F11" s="28">
        <f t="shared" si="7"/>
        <v>0.13137558061152457</v>
      </c>
      <c r="G11" s="28">
        <f t="shared" ref="G11:J11" si="10">F11</f>
        <v>0.13137558061152457</v>
      </c>
      <c r="H11" s="28">
        <f t="shared" si="10"/>
        <v>0.13137558061152457</v>
      </c>
      <c r="I11" s="28">
        <f t="shared" si="10"/>
        <v>0.13137558061152457</v>
      </c>
      <c r="J11" s="28">
        <f t="shared" si="10"/>
        <v>0.13137558061152457</v>
      </c>
    </row>
    <row r="12" spans="2:10" x14ac:dyDescent="0.25">
      <c r="D12" s="28"/>
      <c r="E12" s="28"/>
      <c r="F12" s="28"/>
      <c r="G12" s="28"/>
      <c r="H12" s="28"/>
      <c r="I12" s="28"/>
      <c r="J12" s="28"/>
    </row>
    <row r="13" spans="2:10" x14ac:dyDescent="0.25">
      <c r="B13" s="17" t="s">
        <v>16</v>
      </c>
      <c r="C13" s="18">
        <v>43830</v>
      </c>
      <c r="D13" s="18">
        <f>EOMONTH(C13,12)</f>
        <v>44196</v>
      </c>
      <c r="E13" s="18">
        <f>EOMONTH(D13,12)</f>
        <v>44561</v>
      </c>
      <c r="F13" s="19">
        <f t="shared" ref="F13:J13" si="11">EOMONTH(E13,12)</f>
        <v>44926</v>
      </c>
      <c r="G13" s="19">
        <f t="shared" si="11"/>
        <v>45291</v>
      </c>
      <c r="H13" s="19">
        <f t="shared" si="11"/>
        <v>45657</v>
      </c>
      <c r="I13" s="19">
        <f t="shared" si="11"/>
        <v>46022</v>
      </c>
      <c r="J13" s="19">
        <f t="shared" si="11"/>
        <v>46387</v>
      </c>
    </row>
    <row r="14" spans="2:10" x14ac:dyDescent="0.25">
      <c r="B14" s="1"/>
      <c r="C14" s="6"/>
      <c r="D14" s="6"/>
      <c r="E14" s="6"/>
      <c r="F14" s="5"/>
      <c r="G14" s="5"/>
      <c r="H14" s="5"/>
      <c r="I14" s="5"/>
      <c r="J14" s="5"/>
    </row>
    <row r="15" spans="2:10" x14ac:dyDescent="0.25">
      <c r="B15" s="1" t="s">
        <v>23</v>
      </c>
    </row>
    <row r="16" spans="2:10" x14ac:dyDescent="0.25">
      <c r="B16" s="2" t="s">
        <v>17</v>
      </c>
      <c r="C16" s="10"/>
      <c r="D16" s="10">
        <f>'[1]consolidated balance sheets'!B7+'[1]consolidated balance sheets'!B8</f>
        <v>1799</v>
      </c>
      <c r="E16" s="10">
        <f>'[1]consolidated balance sheets'!C7+'[1]consolidated balance sheets'!C8</f>
        <v>3475</v>
      </c>
      <c r="F16" s="38">
        <f>E16+'Cashflow Statement'!F39</f>
        <v>4544.5148948709721</v>
      </c>
      <c r="G16" s="38">
        <f>F16+'Cashflow Statement'!G39</f>
        <v>5584.3224420738843</v>
      </c>
      <c r="H16" s="38">
        <f>G16+'Cashflow Statement'!H39</f>
        <v>6699.1917026002902</v>
      </c>
      <c r="I16" s="38">
        <f>H16+'Cashflow Statement'!I39</f>
        <v>7898.7789551819205</v>
      </c>
      <c r="J16" s="38">
        <f>I16+'Cashflow Statement'!J39</f>
        <v>9176.0785762708892</v>
      </c>
    </row>
    <row r="17" spans="2:16" x14ac:dyDescent="0.25">
      <c r="B17" s="2" t="s">
        <v>18</v>
      </c>
      <c r="C17" s="10"/>
      <c r="D17" s="10">
        <f>'[1]consolidated balance sheets'!B9</f>
        <v>3148</v>
      </c>
      <c r="E17" s="10">
        <f>'[1]consolidated balance sheets'!C9</f>
        <v>3232</v>
      </c>
      <c r="F17" s="38">
        <f>F3*'Income Statement'!F19</f>
        <v>3633.054014996605</v>
      </c>
      <c r="G17" s="38">
        <f>G3*'Income Statement'!G19</f>
        <v>3893.2356280354757</v>
      </c>
      <c r="H17" s="38">
        <f>H3*'Income Statement'!H19</f>
        <v>4152.7155056041693</v>
      </c>
      <c r="I17" s="38">
        <f>I3*'Income Statement'!I19</f>
        <v>4428.1664283899581</v>
      </c>
      <c r="J17" s="38">
        <f>J3*'Income Statement'!J19</f>
        <v>4699.9076114741338</v>
      </c>
      <c r="K17" s="16"/>
    </row>
    <row r="18" spans="2:16" x14ac:dyDescent="0.25">
      <c r="B18" s="2" t="s">
        <v>19</v>
      </c>
      <c r="C18" s="10"/>
      <c r="D18" s="10">
        <f>'[1]consolidated balance sheets'!B11+'[1]consolidated balance sheets'!B10+'[1]consolidated balance sheets'!B12</f>
        <v>1546</v>
      </c>
      <c r="E18" s="10">
        <f>'[1]consolidated balance sheets'!C11+'[1]consolidated balance sheets'!C10+'[1]consolidated balance sheets'!C12</f>
        <v>1554</v>
      </c>
      <c r="F18" s="38">
        <f>-F4*SUM('Income Statement'!F21:F22)</f>
        <v>1633.7171318485957</v>
      </c>
      <c r="G18" s="38">
        <f>-G4*SUM('Income Statement'!G21:G22)</f>
        <v>1750.7159864923804</v>
      </c>
      <c r="H18" s="38">
        <f>-H4*SUM('Income Statement'!H21:H22)</f>
        <v>1867.3992836864481</v>
      </c>
      <c r="I18" s="38">
        <f>-I4*SUM('Income Statement'!I21:I22)</f>
        <v>1991.2644642428318</v>
      </c>
      <c r="J18" s="38">
        <f>-J4*SUM('Income Statement'!J21:J22)</f>
        <v>2113.4614435337762</v>
      </c>
      <c r="K18" s="16"/>
    </row>
    <row r="19" spans="2:16" x14ac:dyDescent="0.25">
      <c r="B19" s="2" t="s">
        <v>20</v>
      </c>
      <c r="C19" s="10"/>
      <c r="D19" s="10">
        <f>'[1]consolidated balance sheets'!B15+'[1]consolidated balance sheets'!B17+'[1]consolidated balance sheets'!B18</f>
        <v>3031</v>
      </c>
      <c r="E19" s="10">
        <f>'[1]consolidated balance sheets'!C15+'[1]consolidated balance sheets'!C17+'[1]consolidated balance sheets'!C18</f>
        <v>2860</v>
      </c>
      <c r="F19" s="38">
        <f>E19-'Cashflow Statement'!F25-'Cashflow Statement'!F19</f>
        <v>2826.2821593629519</v>
      </c>
      <c r="G19" s="38">
        <f>F19-'Cashflow Statement'!G25-'Cashflow Statement'!G19</f>
        <v>2790.1496113945723</v>
      </c>
      <c r="H19" s="38">
        <f>G19-'Cashflow Statement'!H25-'Cashflow Statement'!H19</f>
        <v>2751.6088687986794</v>
      </c>
      <c r="I19" s="38">
        <f>H19-'Cashflow Statement'!I25-'Cashflow Statement'!I19</f>
        <v>2710.5117066506737</v>
      </c>
      <c r="J19" s="38">
        <f>I19-'Cashflow Statement'!J25-'Cashflow Statement'!J19</f>
        <v>2666.8925544997846</v>
      </c>
    </row>
    <row r="20" spans="2:16" x14ac:dyDescent="0.25">
      <c r="B20" s="2" t="s">
        <v>21</v>
      </c>
      <c r="C20" s="10"/>
      <c r="D20" s="10">
        <f>'[1]consolidated balance sheets'!B16</f>
        <v>542</v>
      </c>
      <c r="E20" s="10">
        <f>'[1]consolidated balance sheets'!C16</f>
        <v>526</v>
      </c>
      <c r="F20" s="38">
        <f>-F5*'Income Statement'!F23</f>
        <v>588.62978150602237</v>
      </c>
      <c r="G20" s="38">
        <f>-G5*'Income Statement'!G23</f>
        <v>630.78457617815661</v>
      </c>
      <c r="H20" s="38">
        <f>-H5*'Income Statement'!H23</f>
        <v>672.82567521164071</v>
      </c>
      <c r="I20" s="38">
        <f>-I5*'Income Statement'!I23</f>
        <v>717.45441340979346</v>
      </c>
      <c r="J20" s="38">
        <f>-J5*'Income Statement'!J23</f>
        <v>761.48209716146926</v>
      </c>
      <c r="K20" s="16"/>
    </row>
    <row r="21" spans="2:16" x14ac:dyDescent="0.25">
      <c r="B21" s="2" t="s">
        <v>22</v>
      </c>
      <c r="C21" s="10"/>
      <c r="D21" s="10">
        <f>'[1]consolidated balance sheets'!B19+'[1]consolidated balance sheets'!B14</f>
        <v>644</v>
      </c>
      <c r="E21" s="10">
        <f>'[1]consolidated balance sheets'!C19+'[1]consolidated balance sheets'!C14</f>
        <v>632</v>
      </c>
      <c r="F21" s="38">
        <f>E21-'Cashflow Statement'!F20-'Cashflow Statement'!F26</f>
        <v>635.09159475163392</v>
      </c>
      <c r="G21" s="38">
        <f>F21-'Cashflow Statement'!G20-'Cashflow Statement'!G26</f>
        <v>633.03346015948591</v>
      </c>
      <c r="H21" s="38">
        <f>G21-'Cashflow Statement'!H20-'Cashflow Statement'!H26</f>
        <v>625.8394855514764</v>
      </c>
      <c r="I21" s="38">
        <f>H21-'Cashflow Statement'!I20-'Cashflow Statement'!I26</f>
        <v>613.19355881174624</v>
      </c>
      <c r="J21" s="38">
        <f>I21-'Cashflow Statement'!J20-'Cashflow Statement'!J26</f>
        <v>595.1691061719805</v>
      </c>
      <c r="K21" s="16"/>
    </row>
    <row r="22" spans="2:16" x14ac:dyDescent="0.25">
      <c r="B22" s="8" t="s">
        <v>24</v>
      </c>
      <c r="C22" s="11"/>
      <c r="D22" s="11">
        <f>SUM(D16:D21)</f>
        <v>10710</v>
      </c>
      <c r="E22" s="11">
        <f>SUM(E16:E21)</f>
        <v>12279</v>
      </c>
      <c r="F22" s="11">
        <f t="shared" ref="F22:J22" si="12">SUM(F16:F21)</f>
        <v>13861.289577336782</v>
      </c>
      <c r="G22" s="11">
        <f t="shared" si="12"/>
        <v>15282.241704333956</v>
      </c>
      <c r="H22" s="11">
        <f t="shared" si="12"/>
        <v>16769.580521452706</v>
      </c>
      <c r="I22" s="11">
        <f t="shared" si="12"/>
        <v>18359.369526686918</v>
      </c>
      <c r="J22" s="11">
        <f t="shared" si="12"/>
        <v>20012.99138911203</v>
      </c>
      <c r="K22" s="16"/>
      <c r="L22" s="16"/>
      <c r="M22" s="16"/>
      <c r="N22" s="16"/>
      <c r="O22" s="16"/>
      <c r="P22" s="16"/>
    </row>
    <row r="23" spans="2:16" x14ac:dyDescent="0.25">
      <c r="B23" s="1"/>
      <c r="C23" s="13"/>
      <c r="D23" s="10"/>
      <c r="E23" s="10"/>
      <c r="F23" s="38"/>
      <c r="G23" s="38"/>
      <c r="H23" s="38"/>
      <c r="I23" s="38"/>
      <c r="J23" s="38"/>
    </row>
    <row r="24" spans="2:16" x14ac:dyDescent="0.25">
      <c r="B24" s="1" t="s">
        <v>25</v>
      </c>
      <c r="C24" s="10"/>
      <c r="D24" s="10"/>
      <c r="E24" s="10"/>
      <c r="F24" s="38"/>
      <c r="G24" s="38"/>
      <c r="H24" s="38"/>
      <c r="I24" s="38"/>
      <c r="J24" s="38"/>
    </row>
    <row r="25" spans="2:16" x14ac:dyDescent="0.25">
      <c r="B25" s="15" t="s">
        <v>26</v>
      </c>
      <c r="C25" s="10"/>
      <c r="D25" s="10">
        <f>'[1]consolidated balance sheets'!B23</f>
        <v>1453</v>
      </c>
      <c r="E25" s="10">
        <f>'[1]consolidated balance sheets'!C23</f>
        <v>1556</v>
      </c>
      <c r="F25" s="38">
        <f>-F8*SUM('Income Statement'!F21:F22)</f>
        <v>1723.029568826106</v>
      </c>
      <c r="G25" s="38">
        <f>-G8*SUM('Income Statement'!G21:G22)</f>
        <v>1846.4245447004921</v>
      </c>
      <c r="H25" s="38">
        <f>-H8*SUM('Income Statement'!H21:H22)</f>
        <v>1969.4867121553993</v>
      </c>
      <c r="I25" s="38">
        <f>-I8*SUM('Income Statement'!I21:I22)</f>
        <v>2100.1233838815133</v>
      </c>
      <c r="J25" s="38">
        <f>-J8*SUM('Income Statement'!J21:J22)</f>
        <v>2229.0006567183887</v>
      </c>
      <c r="K25" s="16"/>
    </row>
    <row r="26" spans="2:16" x14ac:dyDescent="0.25">
      <c r="B26" s="15" t="s">
        <v>27</v>
      </c>
      <c r="C26" s="10"/>
      <c r="D26" s="10">
        <f>'[1]consolidated balance sheets'!B24</f>
        <v>1977</v>
      </c>
      <c r="E26" s="10">
        <f>'[1]consolidated balance sheets'!C24</f>
        <v>1993</v>
      </c>
      <c r="F26" s="38">
        <f>-F9*('Income Statement'!F23+'Income Statement'!F21+'Income Statement'!F22)</f>
        <v>2260.3379132601676</v>
      </c>
      <c r="G26" s="38">
        <f>-G9*('Income Statement'!G23+'Income Statement'!G21+'Income Statement'!G22)</f>
        <v>2422.212292737428</v>
      </c>
      <c r="H26" s="38">
        <f>-H9*('Income Statement'!H23+'Income Statement'!H21+'Income Statement'!H22)</f>
        <v>2583.650081048751</v>
      </c>
      <c r="I26" s="38">
        <f>-I9*('Income Statement'!I23+'Income Statement'!I21+'Income Statement'!I22)</f>
        <v>2755.0244017841942</v>
      </c>
      <c r="J26" s="38">
        <f>-J9*('Income Statement'!J23+'Income Statement'!J21+'Income Statement'!J22)</f>
        <v>2924.0906739023389</v>
      </c>
    </row>
    <row r="27" spans="2:16" x14ac:dyDescent="0.25">
      <c r="B27" s="15" t="s">
        <v>37</v>
      </c>
      <c r="C27" s="10"/>
      <c r="D27" s="10">
        <f>'[1]consolidated balance sheets'!B25</f>
        <v>2542</v>
      </c>
      <c r="E27" s="10">
        <f>'[1]consolidated balance sheets'!C25</f>
        <v>2674</v>
      </c>
      <c r="F27" s="38">
        <f>-F10*SUM('Income Statement'!F21:F23)</f>
        <v>2966.6054013429662</v>
      </c>
      <c r="G27" s="38">
        <f>-G10*SUM('Income Statement'!G21:G23)</f>
        <v>3179.0592144118482</v>
      </c>
      <c r="H27" s="38">
        <f>-H10*SUM('Income Statement'!H21:H23)</f>
        <v>3390.9400185941154</v>
      </c>
      <c r="I27" s="38">
        <f>-I10*SUM('Income Statement'!I21:I23)</f>
        <v>3615.8621342489223</v>
      </c>
      <c r="J27" s="38">
        <f>-J10*SUM('Income Statement'!J21:J23)</f>
        <v>3837.7550260631378</v>
      </c>
    </row>
    <row r="28" spans="2:16" x14ac:dyDescent="0.25">
      <c r="B28" s="15" t="s">
        <v>28</v>
      </c>
      <c r="C28" s="10"/>
      <c r="D28" s="10">
        <f>'[1]consolidated balance sheets'!B22+'[1]consolidated balance sheets'!B28</f>
        <v>5963</v>
      </c>
      <c r="E28" s="10">
        <f>'[1]consolidated balance sheets'!C22+'[1]consolidated balance sheets'!C28</f>
        <v>7273</v>
      </c>
      <c r="F28" s="38">
        <f>E28+'Cashflow Statement'!F30</f>
        <v>7273</v>
      </c>
      <c r="G28" s="38">
        <f>F28+'Cashflow Statement'!G30</f>
        <v>7273</v>
      </c>
      <c r="H28" s="38">
        <f>G28+'Cashflow Statement'!H30</f>
        <v>7273</v>
      </c>
      <c r="I28" s="38">
        <f>H28+'Cashflow Statement'!I30</f>
        <v>7273</v>
      </c>
      <c r="J28" s="38">
        <f>I28+'Cashflow Statement'!J30</f>
        <v>7273</v>
      </c>
    </row>
    <row r="29" spans="2:16" x14ac:dyDescent="0.25">
      <c r="B29" s="15" t="s">
        <v>29</v>
      </c>
      <c r="C29" s="10"/>
      <c r="D29" s="10">
        <f>'[1]consolidated balance sheets'!B30</f>
        <v>367</v>
      </c>
      <c r="E29" s="10">
        <f>'[1]consolidated balance sheets'!C30</f>
        <v>336</v>
      </c>
      <c r="F29" s="38">
        <f>E29+(F20-E20)</f>
        <v>398.62978150602237</v>
      </c>
      <c r="G29" s="38">
        <f t="shared" ref="G29:J29" si="13">F29+(G20-F20)</f>
        <v>440.78457617815661</v>
      </c>
      <c r="H29" s="38">
        <f t="shared" si="13"/>
        <v>482.82567521164071</v>
      </c>
      <c r="I29" s="38">
        <f t="shared" si="13"/>
        <v>527.45441340979346</v>
      </c>
      <c r="J29" s="38">
        <f t="shared" si="13"/>
        <v>571.48209716146926</v>
      </c>
    </row>
    <row r="30" spans="2:16" x14ac:dyDescent="0.25">
      <c r="B30" s="15" t="s">
        <v>30</v>
      </c>
      <c r="C30" s="10"/>
      <c r="D30" s="10">
        <f>'[1]consolidated balance sheets'!B32+'[1]consolidated balance sheets'!B31+'[1]consolidated balance sheets'!B29</f>
        <v>1609</v>
      </c>
      <c r="E30" s="10">
        <f>'[1]consolidated balance sheets'!C32+'[1]consolidated balance sheets'!C31+'[1]consolidated balance sheets'!C29</f>
        <v>1431</v>
      </c>
      <c r="F30" s="38">
        <f>-F11*SUM('Income Statement'!F21:F23)</f>
        <v>1736.2354354431234</v>
      </c>
      <c r="G30" s="38">
        <f>-G11*SUM('Income Statement'!G21:G23)</f>
        <v>1860.5761510901107</v>
      </c>
      <c r="H30" s="38">
        <f>-H11*SUM('Income Statement'!H21:H23)</f>
        <v>1984.5815075641815</v>
      </c>
      <c r="I30" s="38">
        <f>-I11*SUM('Income Statement'!I21:I23)</f>
        <v>2116.2194218071495</v>
      </c>
      <c r="J30" s="38">
        <f>-J11*SUM('Income Statement'!J21:J23)</f>
        <v>2246.0844525478014</v>
      </c>
    </row>
    <row r="31" spans="2:16" x14ac:dyDescent="0.25">
      <c r="B31" s="8" t="s">
        <v>31</v>
      </c>
      <c r="C31" s="20"/>
      <c r="D31" s="11">
        <f>SUM(D25:D30)</f>
        <v>13911</v>
      </c>
      <c r="E31" s="11">
        <f>SUM(E25:E30)</f>
        <v>15263</v>
      </c>
      <c r="F31" s="11">
        <f t="shared" ref="F31:J31" si="14">SUM(F25:F30)</f>
        <v>16357.838100378385</v>
      </c>
      <c r="G31" s="11">
        <f t="shared" si="14"/>
        <v>17022.056779118037</v>
      </c>
      <c r="H31" s="11">
        <f t="shared" si="14"/>
        <v>17684.48399457409</v>
      </c>
      <c r="I31" s="11">
        <f t="shared" si="14"/>
        <v>18387.683755131573</v>
      </c>
      <c r="J31" s="11">
        <f t="shared" si="14"/>
        <v>19081.412906393136</v>
      </c>
    </row>
    <row r="32" spans="2:16" x14ac:dyDescent="0.25">
      <c r="B32" s="7"/>
      <c r="C32" s="10"/>
      <c r="D32" s="10"/>
      <c r="E32" s="10"/>
      <c r="F32" s="38"/>
      <c r="G32" s="38"/>
      <c r="H32" s="38"/>
      <c r="I32" s="38"/>
      <c r="J32" s="38"/>
    </row>
    <row r="33" spans="2:10" x14ac:dyDescent="0.25">
      <c r="B33" s="15" t="s">
        <v>32</v>
      </c>
      <c r="C33" s="10"/>
      <c r="D33" s="10">
        <f>'[1]consolidated balance sheets'!B43</f>
        <v>-3862</v>
      </c>
      <c r="E33" s="10">
        <f>'[1]consolidated balance sheets'!C43</f>
        <v>-3625</v>
      </c>
      <c r="F33" s="38">
        <f>E33+'Income Statement'!F33+('Cashflow Statement'!F31)+'Cashflow Statement'!F32+'Cashflow Statement'!F34+'Cashflow Statement'!F37</f>
        <v>-2771.6039881355437</v>
      </c>
      <c r="G33" s="38">
        <f>F33+'Income Statement'!G33+'Cashflow Statement'!G31+'Cashflow Statement'!G32+'Cashflow Statement'!G34+'Cashflow Statement'!G37</f>
        <v>-1850.2957116019816</v>
      </c>
      <c r="H33" s="38">
        <f>G33+'Income Statement'!H33+'Cashflow Statement'!H31+'Cashflow Statement'!H32+'Cashflow Statement'!H34+'Cashflow Statement'!H37</f>
        <v>-861.25833647481488</v>
      </c>
      <c r="I33" s="38">
        <f>H33+'Income Statement'!I33+'Cashflow Statement'!I31+'Cashflow Statement'!I32+'Cashflow Statement'!I34+'Cashflow Statement'!I37</f>
        <v>199.67687859995578</v>
      </c>
      <c r="J33" s="38">
        <f>I33+'Income Statement'!J33+'Cashflow Statement'!J31+'Cashflow Statement'!J32+'Cashflow Statement'!J34+'Cashflow Statement'!J37</f>
        <v>1331.541622212746</v>
      </c>
    </row>
    <row r="34" spans="2:10" x14ac:dyDescent="0.25">
      <c r="B34" s="60" t="s">
        <v>33</v>
      </c>
      <c r="C34" s="12"/>
      <c r="D34" s="12">
        <f>'[1]consolidated balance sheets'!B44+'[1]consolidated balance sheets'!B35</f>
        <v>661</v>
      </c>
      <c r="E34" s="12">
        <f>'[1]consolidated balance sheets'!C44+'[1]consolidated balance sheets'!C35</f>
        <v>641</v>
      </c>
      <c r="F34" s="41">
        <f>'Balance Sheet'!E34+'Cashflow Statement'!F18+'Cashflow Statement'!F33</f>
        <v>642.92068204308441</v>
      </c>
      <c r="G34" s="41">
        <f>'Balance Sheet'!F34+'Cashflow Statement'!G18+'Cashflow Statement'!G33</f>
        <v>644.84136408616882</v>
      </c>
      <c r="H34" s="41">
        <f>'Balance Sheet'!G34+'Cashflow Statement'!H18+'Cashflow Statement'!H33</f>
        <v>646.76204612925324</v>
      </c>
      <c r="I34" s="41">
        <f>'Balance Sheet'!H34+'Cashflow Statement'!I18+'Cashflow Statement'!I33</f>
        <v>648.68272817233765</v>
      </c>
      <c r="J34" s="41">
        <f>'Balance Sheet'!I34+'Cashflow Statement'!J18+'Cashflow Statement'!J33</f>
        <v>650.60341021542206</v>
      </c>
    </row>
    <row r="35" spans="2:10" x14ac:dyDescent="0.25">
      <c r="B35" s="1" t="s">
        <v>34</v>
      </c>
      <c r="C35" s="10"/>
      <c r="D35" s="13">
        <f>D34+D33</f>
        <v>-3201</v>
      </c>
      <c r="E35" s="13">
        <f>E34+E33</f>
        <v>-2984</v>
      </c>
      <c r="F35" s="13">
        <f t="shared" ref="F35:J35" si="15">F34+F33</f>
        <v>-2128.6833060924591</v>
      </c>
      <c r="G35" s="13">
        <f t="shared" si="15"/>
        <v>-1205.4543475158127</v>
      </c>
      <c r="H35" s="13">
        <f t="shared" si="15"/>
        <v>-214.49629034556165</v>
      </c>
      <c r="I35" s="13">
        <f t="shared" si="15"/>
        <v>848.35960677229343</v>
      </c>
      <c r="J35" s="13">
        <f t="shared" si="15"/>
        <v>1982.1450324281682</v>
      </c>
    </row>
    <row r="36" spans="2:10" x14ac:dyDescent="0.25">
      <c r="B36" s="7"/>
      <c r="C36" s="10"/>
      <c r="D36" s="10"/>
      <c r="E36" s="10"/>
      <c r="F36" s="38"/>
      <c r="G36" s="38"/>
      <c r="H36" s="38"/>
      <c r="I36" s="38"/>
      <c r="J36" s="38"/>
    </row>
    <row r="37" spans="2:10" x14ac:dyDescent="0.25">
      <c r="B37" s="1" t="s">
        <v>35</v>
      </c>
      <c r="C37" s="10"/>
      <c r="D37" s="13">
        <f>D35+D31</f>
        <v>10710</v>
      </c>
      <c r="E37" s="13">
        <f>E35+E31</f>
        <v>12279</v>
      </c>
      <c r="F37" s="13">
        <f t="shared" ref="F37:J37" si="16">F35+F31</f>
        <v>14229.154794285925</v>
      </c>
      <c r="G37" s="13">
        <f t="shared" si="16"/>
        <v>15816.602431602223</v>
      </c>
      <c r="H37" s="13">
        <f t="shared" si="16"/>
        <v>17469.98770422853</v>
      </c>
      <c r="I37" s="13">
        <f t="shared" si="16"/>
        <v>19236.043361903867</v>
      </c>
      <c r="J37" s="13">
        <f t="shared" si="16"/>
        <v>21063.557938821305</v>
      </c>
    </row>
    <row r="38" spans="2:10" x14ac:dyDescent="0.25">
      <c r="B38" s="14" t="s">
        <v>36</v>
      </c>
      <c r="C38" s="10"/>
      <c r="D38" s="10">
        <f>D37-D22</f>
        <v>0</v>
      </c>
      <c r="E38" s="10">
        <f>E37-E22</f>
        <v>0</v>
      </c>
      <c r="F38" s="10">
        <f>F37-F22</f>
        <v>367.86521694914336</v>
      </c>
      <c r="G38" s="10">
        <f t="shared" ref="F38:J38" si="17">G37-G22</f>
        <v>534.36072726826751</v>
      </c>
      <c r="H38" s="10">
        <f t="shared" si="17"/>
        <v>700.40718277582346</v>
      </c>
      <c r="I38" s="10">
        <f t="shared" si="17"/>
        <v>876.67383521694865</v>
      </c>
      <c r="J38" s="10">
        <f t="shared" si="17"/>
        <v>1050.5665497092741</v>
      </c>
    </row>
    <row r="39" spans="2:10" x14ac:dyDescent="0.25">
      <c r="B39" s="7"/>
      <c r="F39" s="51"/>
      <c r="G39" s="51"/>
      <c r="H39" s="51"/>
      <c r="I39" s="51"/>
      <c r="J39" s="51"/>
    </row>
    <row r="40" spans="2:10" x14ac:dyDescent="0.25">
      <c r="F40" s="51"/>
      <c r="G40" s="51"/>
      <c r="H40" s="51"/>
      <c r="I40" s="51"/>
      <c r="J40" s="5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50A6-8CCF-491D-B042-3039D22D281B}">
  <dimension ref="B2:J34"/>
  <sheetViews>
    <sheetView showGridLines="0" topLeftCell="A15" workbookViewId="0">
      <selection activeCell="F31" sqref="F31"/>
    </sheetView>
  </sheetViews>
  <sheetFormatPr defaultRowHeight="15" x14ac:dyDescent="0.25"/>
  <cols>
    <col min="1" max="1" width="2.7109375" customWidth="1"/>
    <col min="2" max="2" width="33.85546875" bestFit="1" customWidth="1"/>
    <col min="3" max="5" width="12" bestFit="1" customWidth="1"/>
  </cols>
  <sheetData>
    <row r="2" spans="2:10" x14ac:dyDescent="0.25">
      <c r="B2" s="17" t="s">
        <v>59</v>
      </c>
      <c r="C2" s="18">
        <v>43830</v>
      </c>
      <c r="D2" s="18">
        <f>EOMONTH(C2,12)</f>
        <v>44196</v>
      </c>
      <c r="E2" s="18">
        <f>EOMONTH(D2,12)</f>
        <v>44561</v>
      </c>
      <c r="F2" s="19">
        <f t="shared" ref="F2:J2" si="0">EOMONTH(E2,12)</f>
        <v>44926</v>
      </c>
      <c r="G2" s="19">
        <f t="shared" si="0"/>
        <v>45291</v>
      </c>
      <c r="H2" s="19">
        <f t="shared" si="0"/>
        <v>45657</v>
      </c>
      <c r="I2" s="19">
        <f t="shared" si="0"/>
        <v>46022</v>
      </c>
      <c r="J2" s="19">
        <f t="shared" si="0"/>
        <v>46387</v>
      </c>
    </row>
    <row r="4" spans="2:10" x14ac:dyDescent="0.25">
      <c r="B4" t="s">
        <v>60</v>
      </c>
      <c r="C4" s="16">
        <f>C17/C7</f>
        <v>35300</v>
      </c>
      <c r="D4" s="16">
        <f>D17/D7</f>
        <v>31594.117647058822</v>
      </c>
      <c r="E4" s="16">
        <f>E17/E7</f>
        <v>35711.111111111109</v>
      </c>
      <c r="F4" s="16">
        <f>E4*(1+F5)</f>
        <v>37496.666666666664</v>
      </c>
      <c r="G4" s="16">
        <f t="shared" ref="G4:J4" si="1">F4*(1+G5)</f>
        <v>39371.5</v>
      </c>
      <c r="H4" s="16">
        <f t="shared" si="1"/>
        <v>40946.36</v>
      </c>
      <c r="I4" s="16">
        <f t="shared" si="1"/>
        <v>42584.214400000004</v>
      </c>
      <c r="J4" s="16">
        <f t="shared" si="1"/>
        <v>43861.740832000003</v>
      </c>
    </row>
    <row r="5" spans="2:10" x14ac:dyDescent="0.25">
      <c r="B5" s="2" t="s">
        <v>61</v>
      </c>
      <c r="C5" s="29"/>
      <c r="D5" s="37">
        <f>D4/C4-1</f>
        <v>-0.10498250291618072</v>
      </c>
      <c r="E5" s="37">
        <f>E4/D4-1</f>
        <v>0.13030886034051181</v>
      </c>
      <c r="F5" s="37">
        <v>0.05</v>
      </c>
      <c r="G5" s="37">
        <v>0.05</v>
      </c>
      <c r="H5" s="37">
        <v>0.04</v>
      </c>
      <c r="I5" s="37">
        <v>0.04</v>
      </c>
      <c r="J5" s="37">
        <v>0.03</v>
      </c>
    </row>
    <row r="7" spans="2:10" x14ac:dyDescent="0.25">
      <c r="B7" t="s">
        <v>62</v>
      </c>
      <c r="C7" s="36">
        <v>0.16</v>
      </c>
      <c r="D7" s="36">
        <v>0.17</v>
      </c>
      <c r="E7" s="36">
        <v>0.18</v>
      </c>
      <c r="F7" s="29">
        <f>E7+0.005</f>
        <v>0.185</v>
      </c>
      <c r="G7" s="29">
        <f t="shared" ref="G7:J7" si="2">F7+0.005</f>
        <v>0.19</v>
      </c>
      <c r="H7" s="29">
        <f t="shared" si="2"/>
        <v>0.19500000000000001</v>
      </c>
      <c r="I7" s="29">
        <f t="shared" si="2"/>
        <v>0.2</v>
      </c>
      <c r="J7" s="29">
        <f t="shared" si="2"/>
        <v>0.20500000000000002</v>
      </c>
    </row>
    <row r="9" spans="2:10" x14ac:dyDescent="0.25">
      <c r="B9" t="s">
        <v>63</v>
      </c>
      <c r="C9" s="31">
        <v>2</v>
      </c>
      <c r="D9" s="31">
        <v>2.1</v>
      </c>
      <c r="E9" s="31">
        <v>2.15</v>
      </c>
      <c r="F9" s="32">
        <f>E9*(1+F10)</f>
        <v>2.2145000000000001</v>
      </c>
      <c r="G9" s="32">
        <f t="shared" ref="G9:J9" si="3">F9*(1+G10)</f>
        <v>2.2809350000000004</v>
      </c>
      <c r="H9" s="32">
        <f t="shared" si="3"/>
        <v>2.3493630500000005</v>
      </c>
      <c r="I9" s="32">
        <f t="shared" si="3"/>
        <v>2.4198439415000004</v>
      </c>
      <c r="J9" s="32">
        <f t="shared" si="3"/>
        <v>2.4924392597450002</v>
      </c>
    </row>
    <row r="10" spans="2:10" x14ac:dyDescent="0.25">
      <c r="B10" s="30" t="s">
        <v>61</v>
      </c>
      <c r="C10" s="28"/>
      <c r="D10" s="35">
        <f>D9/C9-1</f>
        <v>5.0000000000000044E-2</v>
      </c>
      <c r="E10" s="35">
        <f>E9/D9-1</f>
        <v>2.3809523809523725E-2</v>
      </c>
      <c r="F10" s="34">
        <v>0.03</v>
      </c>
      <c r="G10" s="34">
        <v>0.03</v>
      </c>
      <c r="H10" s="34">
        <v>0.03</v>
      </c>
      <c r="I10" s="34">
        <v>0.03</v>
      </c>
      <c r="J10" s="34">
        <v>0.03</v>
      </c>
    </row>
    <row r="11" spans="2:10" x14ac:dyDescent="0.25">
      <c r="B11" t="s">
        <v>64</v>
      </c>
      <c r="C11" s="33">
        <f>C18/C9</f>
        <v>3735</v>
      </c>
      <c r="D11" s="33">
        <f t="shared" ref="D11:E11" si="4">D18/D9</f>
        <v>3516.6666666666665</v>
      </c>
      <c r="E11" s="33">
        <f t="shared" si="4"/>
        <v>3660.4651162790701</v>
      </c>
      <c r="F11" s="32">
        <f>E11*(1+F12)</f>
        <v>3806.8837209302333</v>
      </c>
      <c r="G11" s="32">
        <f t="shared" ref="G11:J11" si="5">F11*(1+G12)</f>
        <v>3940.124651162791</v>
      </c>
      <c r="H11" s="32">
        <f t="shared" si="5"/>
        <v>4078.0290139534882</v>
      </c>
      <c r="I11" s="32">
        <f t="shared" si="5"/>
        <v>4220.7600294418598</v>
      </c>
      <c r="J11" s="32">
        <f t="shared" si="5"/>
        <v>4368.4866304723246</v>
      </c>
    </row>
    <row r="12" spans="2:10" x14ac:dyDescent="0.25">
      <c r="D12" s="35">
        <f>D11/C11-1</f>
        <v>-5.8456046407853623E-2</v>
      </c>
      <c r="E12" s="35">
        <f>E11/D11-1</f>
        <v>4.0890554392152723E-2</v>
      </c>
      <c r="F12" s="34">
        <v>0.04</v>
      </c>
      <c r="G12" s="34">
        <v>3.5000000000000003E-2</v>
      </c>
      <c r="H12" s="34">
        <v>3.5000000000000003E-2</v>
      </c>
      <c r="I12" s="34">
        <v>3.5000000000000003E-2</v>
      </c>
      <c r="J12" s="34">
        <v>3.5000000000000003E-2</v>
      </c>
    </row>
    <row r="15" spans="2:10" x14ac:dyDescent="0.25">
      <c r="B15" s="17" t="s">
        <v>0</v>
      </c>
      <c r="C15" s="18">
        <v>43830</v>
      </c>
      <c r="D15" s="18">
        <f>EOMONTH(C15,12)</f>
        <v>44196</v>
      </c>
      <c r="E15" s="18">
        <f>EOMONTH(D15,12)</f>
        <v>44561</v>
      </c>
      <c r="F15" s="19">
        <f t="shared" ref="F15:J15" si="6">EOMONTH(E15,12)</f>
        <v>44926</v>
      </c>
      <c r="G15" s="19">
        <f t="shared" si="6"/>
        <v>45291</v>
      </c>
      <c r="H15" s="19">
        <f t="shared" si="6"/>
        <v>45657</v>
      </c>
      <c r="I15" s="19">
        <f t="shared" si="6"/>
        <v>46022</v>
      </c>
      <c r="J15" s="19">
        <f t="shared" si="6"/>
        <v>46387</v>
      </c>
    </row>
    <row r="17" spans="2:10" x14ac:dyDescent="0.25">
      <c r="B17" s="2" t="s">
        <v>1</v>
      </c>
      <c r="C17" s="10">
        <f>[1]operations!I8</f>
        <v>5648</v>
      </c>
      <c r="D17" s="10">
        <f>[1]operations!J8</f>
        <v>5371</v>
      </c>
      <c r="E17" s="10">
        <f>[1]operations!K8</f>
        <v>6428</v>
      </c>
      <c r="F17" s="38">
        <f>F4*F7</f>
        <v>6936.8833333333332</v>
      </c>
      <c r="G17" s="38">
        <f t="shared" ref="G17:J17" si="7">G4*G7</f>
        <v>7480.585</v>
      </c>
      <c r="H17" s="38">
        <f t="shared" si="7"/>
        <v>7984.5402000000004</v>
      </c>
      <c r="I17" s="38">
        <f t="shared" si="7"/>
        <v>8516.842880000002</v>
      </c>
      <c r="J17" s="38">
        <f t="shared" si="7"/>
        <v>8991.6568705600021</v>
      </c>
    </row>
    <row r="18" spans="2:10" x14ac:dyDescent="0.25">
      <c r="B18" s="2" t="s">
        <v>2</v>
      </c>
      <c r="C18" s="10">
        <f>[1]operations!I9</f>
        <v>7470</v>
      </c>
      <c r="D18" s="10">
        <f>[1]operations!J9</f>
        <v>7385</v>
      </c>
      <c r="E18" s="10">
        <f>[1]operations!K9</f>
        <v>7870</v>
      </c>
      <c r="F18" s="38">
        <f>F11*F9</f>
        <v>8430.3440000000028</v>
      </c>
      <c r="G18" s="38">
        <f t="shared" ref="G18:J18" si="8">G11*G9</f>
        <v>8987.1682212000014</v>
      </c>
      <c r="H18" s="38">
        <f t="shared" si="8"/>
        <v>9580.7706822102609</v>
      </c>
      <c r="I18" s="38">
        <f t="shared" si="8"/>
        <v>10213.580585770247</v>
      </c>
      <c r="J18" s="38">
        <f t="shared" si="8"/>
        <v>10888.187583460371</v>
      </c>
    </row>
    <row r="19" spans="2:10" x14ac:dyDescent="0.25">
      <c r="B19" s="8" t="s">
        <v>13</v>
      </c>
      <c r="C19" s="11">
        <f>[1]operations!I10</f>
        <v>13118</v>
      </c>
      <c r="D19" s="11">
        <f>[1]operations!J10</f>
        <v>12756</v>
      </c>
      <c r="E19" s="11">
        <f>[1]operations!K10</f>
        <v>14298</v>
      </c>
      <c r="F19" s="39">
        <f>SUM(F17:F18)</f>
        <v>15367.227333333336</v>
      </c>
      <c r="G19" s="39">
        <f t="shared" ref="G19:J19" si="9">SUM(G17:G18)</f>
        <v>16467.753221200001</v>
      </c>
      <c r="H19" s="39">
        <f t="shared" si="9"/>
        <v>17565.310882210262</v>
      </c>
      <c r="I19" s="39">
        <f t="shared" si="9"/>
        <v>18730.423465770247</v>
      </c>
      <c r="J19" s="39">
        <f t="shared" si="9"/>
        <v>19879.844454020371</v>
      </c>
    </row>
    <row r="20" spans="2:10" x14ac:dyDescent="0.25">
      <c r="C20" s="10"/>
      <c r="D20" s="27"/>
      <c r="E20" s="27"/>
      <c r="F20" s="40"/>
      <c r="G20" s="40"/>
      <c r="H20" s="40"/>
      <c r="I20" s="40"/>
      <c r="J20" s="40"/>
    </row>
    <row r="21" spans="2:10" x14ac:dyDescent="0.25">
      <c r="B21" s="2" t="s">
        <v>3</v>
      </c>
      <c r="C21" s="10">
        <f>-[1]operations!I12</f>
        <v>-4640</v>
      </c>
      <c r="D21" s="10">
        <f>-[1]operations!J12</f>
        <v>-4439</v>
      </c>
      <c r="E21" s="10">
        <f>-[1]operations!K12</f>
        <v>-5293</v>
      </c>
      <c r="F21" s="38">
        <f>F19*-(0.36)</f>
        <v>-5532.2018400000006</v>
      </c>
      <c r="G21" s="38">
        <f t="shared" ref="G21:J21" si="10">G19*-(0.36)</f>
        <v>-5928.3911596320004</v>
      </c>
      <c r="H21" s="38">
        <f t="shared" si="10"/>
        <v>-6323.5119175956943</v>
      </c>
      <c r="I21" s="38">
        <f t="shared" si="10"/>
        <v>-6742.9524476772885</v>
      </c>
      <c r="J21" s="38">
        <f t="shared" si="10"/>
        <v>-7156.7440034473329</v>
      </c>
    </row>
    <row r="22" spans="2:10" x14ac:dyDescent="0.25">
      <c r="B22" s="2" t="s">
        <v>4</v>
      </c>
      <c r="C22" s="10">
        <f>-[1]operations!I13</f>
        <v>-4652</v>
      </c>
      <c r="D22" s="10">
        <f>-[1]operations!J13</f>
        <v>-4538</v>
      </c>
      <c r="E22" s="10">
        <f>-[1]operations!K13</f>
        <v>-4812</v>
      </c>
      <c r="F22" s="38">
        <f>F19*-(0.35)</f>
        <v>-5378.5295666666671</v>
      </c>
      <c r="G22" s="38">
        <f t="shared" ref="G22:J22" si="11">G19*-(0.35)</f>
        <v>-5763.7136274200002</v>
      </c>
      <c r="H22" s="38">
        <f t="shared" si="11"/>
        <v>-6147.8588087735916</v>
      </c>
      <c r="I22" s="38">
        <f t="shared" si="11"/>
        <v>-6555.6482130195864</v>
      </c>
      <c r="J22" s="38">
        <f t="shared" si="11"/>
        <v>-6957.9455589071295</v>
      </c>
    </row>
    <row r="23" spans="2:10" x14ac:dyDescent="0.25">
      <c r="B23" s="4" t="s">
        <v>5</v>
      </c>
      <c r="C23" s="12">
        <f>-SUM([1]operations!I15+[1]operations!I14)</f>
        <v>-1973</v>
      </c>
      <c r="D23" s="12">
        <f>-SUM([1]operations!J15+[1]operations!J14)</f>
        <v>-2076</v>
      </c>
      <c r="E23" s="12">
        <f>-SUM([1]operations!K15+[1]operations!K14)</f>
        <v>-2107</v>
      </c>
      <c r="F23" s="41">
        <f>F19*-(0.15)</f>
        <v>-2305.0841000000005</v>
      </c>
      <c r="G23" s="41">
        <f t="shared" ref="G23:J23" si="12">G19*-(0.15)</f>
        <v>-2470.1629831800001</v>
      </c>
      <c r="H23" s="41">
        <f t="shared" si="12"/>
        <v>-2634.7966323315391</v>
      </c>
      <c r="I23" s="41">
        <f t="shared" si="12"/>
        <v>-2809.5635198655368</v>
      </c>
      <c r="J23" s="41">
        <f t="shared" si="12"/>
        <v>-2981.9766681030555</v>
      </c>
    </row>
    <row r="24" spans="2:10" x14ac:dyDescent="0.25">
      <c r="B24" s="1" t="s">
        <v>6</v>
      </c>
      <c r="C24" s="13">
        <f>C19+SUM(C21:C23)</f>
        <v>1853</v>
      </c>
      <c r="D24" s="13">
        <f>D19+SUM(D21:D23)</f>
        <v>1703</v>
      </c>
      <c r="E24" s="13">
        <f>E19+SUM(E21:E23)</f>
        <v>2086</v>
      </c>
      <c r="F24" s="42">
        <f t="shared" ref="F24:J24" si="13">F19+SUM(F21:F23)</f>
        <v>2151.4118266666683</v>
      </c>
      <c r="G24" s="42">
        <f t="shared" si="13"/>
        <v>2305.485450967999</v>
      </c>
      <c r="H24" s="42">
        <f t="shared" si="13"/>
        <v>2459.1435235094377</v>
      </c>
      <c r="I24" s="42">
        <f t="shared" si="13"/>
        <v>2622.259285207836</v>
      </c>
      <c r="J24" s="42">
        <f t="shared" si="13"/>
        <v>2783.1782235628525</v>
      </c>
    </row>
    <row r="25" spans="2:10" x14ac:dyDescent="0.25">
      <c r="C25" s="10"/>
      <c r="D25" s="10"/>
      <c r="E25" s="10"/>
      <c r="F25" s="38"/>
      <c r="G25" s="38"/>
      <c r="H25" s="38"/>
      <c r="I25" s="38"/>
      <c r="J25" s="38"/>
    </row>
    <row r="26" spans="2:10" x14ac:dyDescent="0.25">
      <c r="B26" s="2" t="s">
        <v>7</v>
      </c>
      <c r="C26" s="10">
        <f>[1]operations!I17</f>
        <v>-39</v>
      </c>
      <c r="D26" s="10">
        <f>[1]operations!J17</f>
        <v>-64</v>
      </c>
      <c r="E26" s="10">
        <f>[1]operations!K17</f>
        <v>22</v>
      </c>
      <c r="F26" s="38">
        <f>E26</f>
        <v>22</v>
      </c>
      <c r="G26" s="38">
        <f t="shared" ref="G26:J27" si="14">F26</f>
        <v>22</v>
      </c>
      <c r="H26" s="38">
        <f t="shared" si="14"/>
        <v>22</v>
      </c>
      <c r="I26" s="38">
        <f t="shared" si="14"/>
        <v>22</v>
      </c>
      <c r="J26" s="38">
        <f t="shared" si="14"/>
        <v>22</v>
      </c>
    </row>
    <row r="27" spans="2:10" x14ac:dyDescent="0.25">
      <c r="B27" s="2" t="s">
        <v>8</v>
      </c>
      <c r="C27" s="10">
        <f>-[1]operations!I19</f>
        <v>33</v>
      </c>
      <c r="D27" s="10">
        <f>-[1]operations!J19</f>
        <v>-6</v>
      </c>
      <c r="E27" s="10">
        <f>-[1]operations!K19</f>
        <v>-11</v>
      </c>
      <c r="F27" s="38">
        <f>E27</f>
        <v>-11</v>
      </c>
      <c r="G27" s="38">
        <f t="shared" si="14"/>
        <v>-11</v>
      </c>
      <c r="H27" s="38">
        <f t="shared" si="14"/>
        <v>-11</v>
      </c>
      <c r="I27" s="38">
        <f t="shared" si="14"/>
        <v>-11</v>
      </c>
      <c r="J27" s="38">
        <f t="shared" si="14"/>
        <v>-11</v>
      </c>
    </row>
    <row r="28" spans="2:10" x14ac:dyDescent="0.25">
      <c r="B28" s="4" t="s">
        <v>9</v>
      </c>
      <c r="C28" s="12">
        <f>-[1]operations!I20</f>
        <v>14</v>
      </c>
      <c r="D28" s="12">
        <f>-[1]operations!J20</f>
        <v>-122</v>
      </c>
      <c r="E28" s="12">
        <f>-[1]operations!K20</f>
        <v>-136</v>
      </c>
      <c r="F28" s="41"/>
      <c r="G28" s="41"/>
      <c r="H28" s="41"/>
      <c r="I28" s="41"/>
      <c r="J28" s="41"/>
    </row>
    <row r="29" spans="2:10" x14ac:dyDescent="0.25">
      <c r="B29" s="1" t="s">
        <v>14</v>
      </c>
      <c r="C29" s="13">
        <f>C24+SUM(C26:C28)</f>
        <v>1861</v>
      </c>
      <c r="D29" s="13">
        <f t="shared" ref="D29:E29" si="15">D24+SUM(D26:D28)</f>
        <v>1511</v>
      </c>
      <c r="E29" s="13">
        <f t="shared" si="15"/>
        <v>1961</v>
      </c>
      <c r="F29" s="42">
        <f t="shared" ref="F29" si="16">F24+SUM(F26:F28)</f>
        <v>2162.4118266666683</v>
      </c>
      <c r="G29" s="42">
        <f t="shared" ref="G29" si="17">G24+SUM(G26:G28)</f>
        <v>2316.485450967999</v>
      </c>
      <c r="H29" s="42">
        <f t="shared" ref="H29" si="18">H24+SUM(H26:H28)</f>
        <v>2470.1435235094377</v>
      </c>
      <c r="I29" s="42">
        <f t="shared" ref="I29" si="19">I24+SUM(I26:I28)</f>
        <v>2633.259285207836</v>
      </c>
      <c r="J29" s="42">
        <f t="shared" ref="J29" si="20">J24+SUM(J26:J28)</f>
        <v>2794.1782235628525</v>
      </c>
    </row>
    <row r="30" spans="2:10" x14ac:dyDescent="0.25">
      <c r="B30" s="4" t="s">
        <v>10</v>
      </c>
      <c r="C30" s="12">
        <f>-[1]operations!I22</f>
        <v>-594</v>
      </c>
      <c r="D30" s="12">
        <f>-[1]operations!J22</f>
        <v>-455</v>
      </c>
      <c r="E30" s="12">
        <f>-[1]operations!K22</f>
        <v>-541</v>
      </c>
      <c r="F30" s="41">
        <f>F29*-(0.3)</f>
        <v>-648.72354800000051</v>
      </c>
      <c r="G30" s="41">
        <f t="shared" ref="G30:J30" si="21">G29*-(0.3)</f>
        <v>-694.94563529039965</v>
      </c>
      <c r="H30" s="41">
        <f t="shared" si="21"/>
        <v>-741.04305705283127</v>
      </c>
      <c r="I30" s="41">
        <f t="shared" si="21"/>
        <v>-789.97778556235073</v>
      </c>
      <c r="J30" s="41">
        <f t="shared" si="21"/>
        <v>-838.25346706885568</v>
      </c>
    </row>
    <row r="31" spans="2:10" x14ac:dyDescent="0.25">
      <c r="B31" s="1" t="s">
        <v>11</v>
      </c>
      <c r="C31" s="13">
        <f>C29+C30</f>
        <v>1267</v>
      </c>
      <c r="D31" s="13">
        <f t="shared" ref="D31:E31" si="22">D29+D30</f>
        <v>1056</v>
      </c>
      <c r="E31" s="13">
        <f t="shared" si="22"/>
        <v>1420</v>
      </c>
      <c r="F31" s="42">
        <f t="shared" ref="F31" si="23">F29+F30</f>
        <v>1513.6882786666679</v>
      </c>
      <c r="G31" s="42">
        <f t="shared" ref="G31" si="24">G29+G30</f>
        <v>1621.5398156775993</v>
      </c>
      <c r="H31" s="42">
        <f t="shared" ref="H31" si="25">H29+H30</f>
        <v>1729.1004664566065</v>
      </c>
      <c r="I31" s="42">
        <f t="shared" ref="I31" si="26">I29+I30</f>
        <v>1843.2814996454854</v>
      </c>
      <c r="J31" s="42">
        <f t="shared" ref="J31" si="27">J29+J30</f>
        <v>1955.9247564939969</v>
      </c>
    </row>
    <row r="32" spans="2:10" x14ac:dyDescent="0.25">
      <c r="B32" s="4" t="s">
        <v>12</v>
      </c>
      <c r="C32" s="12">
        <f>-[1]operations!I24</f>
        <v>-151</v>
      </c>
      <c r="D32" s="12">
        <f>-[1]operations!J24</f>
        <v>-150</v>
      </c>
      <c r="E32" s="12">
        <f>-[1]operations!K24</f>
        <v>-174</v>
      </c>
      <c r="F32" s="41">
        <f>AVERAGE(C32:E32)</f>
        <v>-158.33333333333334</v>
      </c>
      <c r="G32" s="41">
        <f>F32</f>
        <v>-158.33333333333334</v>
      </c>
      <c r="H32" s="41">
        <f t="shared" ref="H32:J32" si="28">G32</f>
        <v>-158.33333333333334</v>
      </c>
      <c r="I32" s="41">
        <f t="shared" si="28"/>
        <v>-158.33333333333334</v>
      </c>
      <c r="J32" s="41">
        <f t="shared" si="28"/>
        <v>-158.33333333333334</v>
      </c>
    </row>
    <row r="33" spans="2:10" x14ac:dyDescent="0.25">
      <c r="B33" s="1" t="s">
        <v>15</v>
      </c>
      <c r="C33" s="13">
        <f>C31+C32</f>
        <v>1116</v>
      </c>
      <c r="D33" s="13">
        <f t="shared" ref="D33:E33" si="29">D31+D32</f>
        <v>906</v>
      </c>
      <c r="E33" s="13">
        <f t="shared" si="29"/>
        <v>1246</v>
      </c>
      <c r="F33" s="13">
        <f t="shared" ref="F33" si="30">F31+F32</f>
        <v>1355.3549453333346</v>
      </c>
      <c r="G33" s="13">
        <f t="shared" ref="G33" si="31">G31+G32</f>
        <v>1463.2064823442661</v>
      </c>
      <c r="H33" s="13">
        <f t="shared" ref="H33" si="32">H31+H32</f>
        <v>1570.7671331232732</v>
      </c>
      <c r="I33" s="13">
        <f t="shared" ref="I33" si="33">I31+I32</f>
        <v>1684.9481663121521</v>
      </c>
      <c r="J33" s="13">
        <f t="shared" ref="J33" si="34">J31+J32</f>
        <v>1797.5914231606637</v>
      </c>
    </row>
    <row r="34" spans="2:10" x14ac:dyDescent="0.25">
      <c r="C34" s="9"/>
      <c r="D34" s="9"/>
      <c r="E34" s="9"/>
      <c r="F34" s="9"/>
      <c r="G34" s="9"/>
      <c r="H34" s="9"/>
      <c r="I34" s="9"/>
      <c r="J3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Cashflow Statement</vt:lpstr>
      <vt:lpstr>Balance Sheet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</dc:creator>
  <cp:lastModifiedBy>Awais</cp:lastModifiedBy>
  <dcterms:created xsi:type="dcterms:W3CDTF">2022-11-20T07:18:46Z</dcterms:created>
  <dcterms:modified xsi:type="dcterms:W3CDTF">2022-11-22T16:42:04Z</dcterms:modified>
</cp:coreProperties>
</file>