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delet\Desktop\Tez\"/>
    </mc:Choice>
  </mc:AlternateContent>
  <xr:revisionPtr revIDLastSave="0" documentId="13_ncr:1_{AC777967-CB36-450D-95F3-E83E87913823}" xr6:coauthVersionLast="47" xr6:coauthVersionMax="47" xr10:uidLastSave="{00000000-0000-0000-0000-000000000000}"/>
  <bookViews>
    <workbookView xWindow="-120" yWindow="-120" windowWidth="29040" windowHeight="15990" xr2:uid="{00000000-000D-0000-FFFF-FFFF00000000}"/>
  </bookViews>
  <sheets>
    <sheet name="SAĞLIK BAKAN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gdYCLfLDwZLscrnozpHpdOH6RiwQ=="/>
    </ext>
  </extLst>
</workbook>
</file>

<file path=xl/calcChain.xml><?xml version="1.0" encoding="utf-8"?>
<calcChain xmlns="http://schemas.openxmlformats.org/spreadsheetml/2006/main">
  <c r="E3109" i="1" l="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108" i="1"/>
  <c r="E3107" i="1"/>
  <c r="E3106" i="1"/>
  <c r="E3105" i="1"/>
  <c r="E3104" i="1"/>
  <c r="E3103" i="1"/>
  <c r="E3102" i="1"/>
  <c r="E3101" i="1"/>
  <c r="E3100" i="1"/>
  <c r="E3099" i="1"/>
  <c r="E3098" i="1"/>
  <c r="E3097" i="1"/>
  <c r="E3096" i="1"/>
  <c r="E3095" i="1"/>
  <c r="E3094" i="1"/>
  <c r="E3093" i="1"/>
  <c r="E3092" i="1"/>
  <c r="E3091" i="1"/>
  <c r="E3090" i="1"/>
  <c r="E3089" i="1"/>
  <c r="E3088" i="1"/>
  <c r="E3087" i="1"/>
  <c r="E3086" i="1"/>
  <c r="E3085" i="1"/>
  <c r="E3084" i="1"/>
  <c r="E3083" i="1"/>
  <c r="E3082" i="1"/>
  <c r="E3081" i="1"/>
  <c r="E3080" i="1"/>
  <c r="E3079" i="1"/>
  <c r="E3078" i="1"/>
  <c r="E3077" i="1"/>
  <c r="E3076" i="1"/>
  <c r="E3075" i="1"/>
  <c r="E3074" i="1"/>
  <c r="E3073" i="1"/>
  <c r="E3072" i="1"/>
  <c r="E3071" i="1"/>
  <c r="E3070" i="1"/>
  <c r="E3069" i="1"/>
  <c r="E3068" i="1"/>
  <c r="E3067" i="1"/>
  <c r="E3066" i="1"/>
  <c r="E3065" i="1"/>
  <c r="E3064" i="1"/>
  <c r="E3063" i="1"/>
  <c r="E3062" i="1"/>
  <c r="E3061" i="1"/>
  <c r="E3060" i="1"/>
  <c r="E3059" i="1"/>
  <c r="E3058" i="1"/>
  <c r="E3057" i="1"/>
  <c r="E3056" i="1"/>
  <c r="E3055" i="1"/>
  <c r="E3054" i="1"/>
  <c r="E3053" i="1"/>
  <c r="E3052" i="1"/>
  <c r="E3051" i="1"/>
  <c r="E3050" i="1"/>
  <c r="E3049" i="1"/>
  <c r="E3048" i="1"/>
  <c r="E3047" i="1"/>
  <c r="E3046" i="1"/>
  <c r="E3045" i="1"/>
  <c r="E3044" i="1"/>
  <c r="E3043" i="1"/>
  <c r="E3042" i="1"/>
  <c r="E3041" i="1"/>
  <c r="E3040" i="1"/>
  <c r="E3039" i="1"/>
  <c r="E3038" i="1"/>
  <c r="E3037" i="1"/>
  <c r="E3036" i="1"/>
  <c r="E3035" i="1"/>
  <c r="E3034" i="1"/>
  <c r="E3033" i="1"/>
  <c r="E3032" i="1"/>
  <c r="E3031" i="1"/>
  <c r="E3030" i="1"/>
  <c r="E3029" i="1"/>
  <c r="E3028" i="1"/>
  <c r="E3027" i="1"/>
  <c r="E3026" i="1"/>
  <c r="E3025" i="1"/>
  <c r="E3024" i="1"/>
  <c r="E3023" i="1"/>
  <c r="E3022" i="1"/>
  <c r="E3021" i="1"/>
  <c r="E3020" i="1"/>
  <c r="E3019" i="1"/>
  <c r="E3018" i="1"/>
  <c r="E3017" i="1"/>
  <c r="E3016" i="1"/>
  <c r="E3015" i="1"/>
  <c r="E3014" i="1"/>
  <c r="E3013" i="1"/>
  <c r="E3012" i="1"/>
  <c r="E3011" i="1"/>
  <c r="E3010" i="1"/>
  <c r="E3009" i="1"/>
  <c r="E3008" i="1"/>
  <c r="E3007" i="1"/>
  <c r="E3006" i="1"/>
  <c r="E3005" i="1"/>
  <c r="E3004" i="1"/>
  <c r="E3003" i="1"/>
  <c r="E3002" i="1"/>
  <c r="E3001" i="1"/>
  <c r="E3000" i="1"/>
  <c r="E2999" i="1"/>
  <c r="E2998" i="1"/>
  <c r="E2997" i="1"/>
  <c r="E2996" i="1"/>
  <c r="E2995" i="1"/>
  <c r="E2994" i="1"/>
  <c r="E2993" i="1"/>
  <c r="E2992" i="1"/>
  <c r="E2991" i="1"/>
  <c r="E2990" i="1"/>
  <c r="E2989" i="1"/>
  <c r="E2988" i="1"/>
  <c r="E2987" i="1"/>
  <c r="E2986" i="1"/>
  <c r="E2985" i="1"/>
  <c r="E2984" i="1"/>
  <c r="E2983" i="1"/>
  <c r="E2982" i="1"/>
  <c r="E2981" i="1"/>
  <c r="E2980" i="1"/>
  <c r="E2979" i="1"/>
  <c r="E2978" i="1"/>
  <c r="E2977" i="1"/>
  <c r="E2976" i="1"/>
  <c r="E2975" i="1"/>
  <c r="E2974" i="1"/>
  <c r="E2973" i="1"/>
  <c r="E2972" i="1"/>
  <c r="E2971" i="1"/>
  <c r="E2970" i="1"/>
  <c r="E2969" i="1"/>
  <c r="E2968" i="1"/>
  <c r="E2967" i="1"/>
  <c r="E2966" i="1"/>
  <c r="E2965" i="1"/>
  <c r="E2964" i="1"/>
  <c r="E2963" i="1"/>
  <c r="E2962" i="1"/>
  <c r="E2961" i="1"/>
  <c r="E2960" i="1"/>
  <c r="E2959" i="1"/>
  <c r="E2958" i="1"/>
  <c r="E2957" i="1"/>
  <c r="E2956" i="1"/>
  <c r="E2955" i="1"/>
  <c r="E2954" i="1"/>
  <c r="E2953" i="1"/>
  <c r="E2952" i="1"/>
  <c r="E2951" i="1"/>
  <c r="E2950" i="1"/>
  <c r="E2949" i="1"/>
  <c r="E2948" i="1"/>
  <c r="E2947" i="1"/>
  <c r="E2946" i="1"/>
  <c r="E2945" i="1"/>
  <c r="E2944" i="1"/>
  <c r="E2943" i="1"/>
  <c r="E2942" i="1"/>
  <c r="E2941" i="1"/>
  <c r="E2940" i="1"/>
  <c r="E2939" i="1"/>
  <c r="E2938" i="1"/>
  <c r="E2937" i="1"/>
  <c r="E2936" i="1"/>
  <c r="E2935" i="1"/>
  <c r="E2934" i="1"/>
  <c r="E2933" i="1"/>
  <c r="E2932" i="1"/>
  <c r="E2931" i="1"/>
  <c r="E2930" i="1"/>
  <c r="E2929" i="1"/>
  <c r="E2928" i="1"/>
  <c r="E2927" i="1"/>
  <c r="E2926" i="1"/>
  <c r="E2925" i="1"/>
  <c r="E2924" i="1"/>
  <c r="E2923" i="1"/>
  <c r="E2922" i="1"/>
  <c r="E2921" i="1"/>
  <c r="E2920" i="1"/>
  <c r="E2919" i="1"/>
  <c r="E2918" i="1"/>
  <c r="E2917" i="1"/>
  <c r="E2916" i="1"/>
  <c r="E2915" i="1"/>
  <c r="E2914" i="1"/>
  <c r="E2913" i="1"/>
  <c r="E2912" i="1"/>
  <c r="E2911" i="1"/>
  <c r="E2910" i="1"/>
  <c r="E2909" i="1"/>
  <c r="E2908" i="1"/>
  <c r="E2907" i="1"/>
  <c r="E2906" i="1"/>
  <c r="E2905" i="1"/>
  <c r="E2904" i="1"/>
  <c r="E2903" i="1"/>
  <c r="E2902" i="1"/>
  <c r="E2901" i="1"/>
  <c r="E2900" i="1"/>
  <c r="E2899" i="1"/>
  <c r="E2898" i="1"/>
  <c r="E2897" i="1"/>
  <c r="E2896" i="1"/>
  <c r="E2895" i="1"/>
  <c r="E2894" i="1"/>
  <c r="E2893" i="1"/>
  <c r="E2892" i="1"/>
  <c r="E2891" i="1"/>
  <c r="E2890" i="1"/>
  <c r="E2889" i="1"/>
  <c r="E2888" i="1"/>
  <c r="E2887" i="1"/>
  <c r="E2886" i="1"/>
  <c r="E2885" i="1"/>
  <c r="E2884" i="1"/>
  <c r="E2883" i="1"/>
  <c r="E2882" i="1"/>
  <c r="E2881" i="1"/>
  <c r="E2880" i="1"/>
  <c r="E2879" i="1"/>
  <c r="E2878" i="1"/>
  <c r="E2877" i="1"/>
  <c r="E2876" i="1"/>
  <c r="E2875" i="1"/>
  <c r="E2874" i="1"/>
  <c r="E2873" i="1"/>
  <c r="E2872" i="1"/>
  <c r="E2871" i="1"/>
  <c r="E2870" i="1"/>
  <c r="E2869" i="1"/>
  <c r="E2868" i="1"/>
  <c r="E2867" i="1"/>
  <c r="E2866" i="1"/>
  <c r="E2865" i="1"/>
  <c r="E2864" i="1"/>
  <c r="E2863" i="1"/>
  <c r="E2862" i="1"/>
  <c r="E2861" i="1"/>
  <c r="E2860" i="1"/>
  <c r="E2859" i="1"/>
  <c r="E2858" i="1"/>
  <c r="E2857" i="1"/>
  <c r="E2856" i="1"/>
  <c r="E2855" i="1"/>
  <c r="E2854" i="1"/>
  <c r="E2853" i="1"/>
  <c r="E2852" i="1"/>
  <c r="E2851" i="1"/>
  <c r="E2850" i="1"/>
  <c r="E2849" i="1"/>
  <c r="E2848" i="1"/>
  <c r="E2847" i="1"/>
  <c r="E2846" i="1"/>
  <c r="E2845" i="1"/>
  <c r="E2844" i="1"/>
  <c r="E2843" i="1"/>
  <c r="E2842" i="1"/>
  <c r="E2841" i="1"/>
  <c r="E2840" i="1"/>
  <c r="E2839" i="1"/>
  <c r="E2838" i="1"/>
  <c r="E2837" i="1"/>
  <c r="E2836" i="1"/>
  <c r="E2835" i="1"/>
  <c r="E2834" i="1"/>
  <c r="E2833" i="1"/>
  <c r="E2832" i="1"/>
  <c r="E2831" i="1"/>
  <c r="E2830" i="1"/>
  <c r="E2829" i="1"/>
  <c r="E2828" i="1"/>
  <c r="E2827" i="1"/>
  <c r="E2826" i="1"/>
  <c r="E2825" i="1"/>
  <c r="E2824" i="1"/>
  <c r="E2823" i="1"/>
  <c r="E2822" i="1"/>
  <c r="E2821" i="1"/>
  <c r="E2820" i="1"/>
  <c r="E2819" i="1"/>
  <c r="E2818" i="1"/>
  <c r="E2817" i="1"/>
  <c r="E2816" i="1"/>
  <c r="E2815" i="1"/>
  <c r="E2814" i="1"/>
  <c r="E2813" i="1"/>
  <c r="E2812" i="1"/>
  <c r="E2811" i="1"/>
  <c r="E2810" i="1"/>
  <c r="E2809" i="1"/>
  <c r="E2808" i="1"/>
  <c r="E2807" i="1"/>
  <c r="E2806" i="1"/>
  <c r="E2805" i="1"/>
  <c r="E2804" i="1"/>
  <c r="E2803" i="1"/>
  <c r="E2802" i="1"/>
  <c r="E2801" i="1"/>
  <c r="E2800" i="1"/>
  <c r="E2799" i="1"/>
  <c r="E2798" i="1"/>
  <c r="E2797" i="1"/>
  <c r="E2796" i="1"/>
  <c r="E2795" i="1"/>
  <c r="E2794" i="1"/>
  <c r="E2793" i="1"/>
  <c r="E2792" i="1"/>
  <c r="E2791" i="1"/>
  <c r="E2790" i="1"/>
  <c r="E2789" i="1"/>
  <c r="E2788" i="1"/>
  <c r="E2787" i="1"/>
  <c r="E2786" i="1"/>
  <c r="E2785" i="1"/>
  <c r="E2784" i="1"/>
  <c r="E2783" i="1"/>
  <c r="E2782" i="1"/>
  <c r="E2781" i="1"/>
  <c r="E2780" i="1"/>
  <c r="E2779" i="1"/>
  <c r="E2778" i="1"/>
  <c r="E2777" i="1"/>
  <c r="E2776" i="1"/>
  <c r="E2775" i="1"/>
  <c r="E2774" i="1"/>
  <c r="E2773" i="1"/>
  <c r="E2772" i="1"/>
  <c r="E2771" i="1"/>
  <c r="E2770" i="1"/>
  <c r="E2769" i="1"/>
  <c r="E2768" i="1"/>
  <c r="E2767" i="1"/>
  <c r="E2766" i="1"/>
  <c r="E2765" i="1"/>
  <c r="E2764" i="1"/>
  <c r="E2763" i="1"/>
  <c r="E2762" i="1"/>
  <c r="E2761" i="1"/>
  <c r="E2760" i="1"/>
  <c r="E2759" i="1"/>
  <c r="E2758" i="1"/>
  <c r="E2757" i="1"/>
  <c r="E2756" i="1"/>
  <c r="E2755" i="1"/>
  <c r="E2754" i="1"/>
  <c r="E2753" i="1"/>
  <c r="E2752" i="1"/>
  <c r="E2751" i="1"/>
  <c r="E2750" i="1"/>
  <c r="E2749" i="1"/>
  <c r="E2748" i="1"/>
  <c r="E2747" i="1"/>
  <c r="E2746" i="1"/>
  <c r="E2745" i="1"/>
  <c r="E2744" i="1"/>
  <c r="E2743" i="1"/>
  <c r="E2742" i="1"/>
  <c r="E2741" i="1"/>
  <c r="E2740" i="1"/>
  <c r="E2739" i="1"/>
  <c r="E2738" i="1"/>
  <c r="E2737" i="1"/>
  <c r="E2736" i="1"/>
  <c r="E2735" i="1"/>
  <c r="E2734" i="1"/>
  <c r="E2733" i="1"/>
  <c r="E2732" i="1"/>
  <c r="E2731" i="1"/>
  <c r="E2730" i="1"/>
  <c r="E2729" i="1"/>
  <c r="E2728" i="1"/>
  <c r="E2727" i="1"/>
  <c r="E2726" i="1"/>
  <c r="E2725" i="1"/>
  <c r="E2724" i="1"/>
  <c r="E2723" i="1"/>
  <c r="E2722" i="1"/>
  <c r="E2721" i="1"/>
  <c r="E2720" i="1"/>
  <c r="E2719" i="1"/>
  <c r="E2718" i="1"/>
  <c r="E2717" i="1"/>
  <c r="E2716" i="1"/>
  <c r="E2715" i="1"/>
  <c r="E2714" i="1"/>
  <c r="E2713" i="1"/>
  <c r="E2712" i="1"/>
  <c r="E2711" i="1"/>
  <c r="E2710" i="1"/>
  <c r="E2709" i="1"/>
  <c r="E2708" i="1"/>
  <c r="E2707" i="1"/>
  <c r="E2706" i="1"/>
  <c r="E2705" i="1"/>
  <c r="E2704" i="1"/>
  <c r="E2703" i="1"/>
  <c r="E2702" i="1"/>
  <c r="E2701" i="1"/>
  <c r="E2700" i="1"/>
  <c r="E2699" i="1"/>
  <c r="E2698" i="1"/>
  <c r="E2697" i="1"/>
  <c r="E2696" i="1"/>
  <c r="E2695" i="1"/>
  <c r="E2694" i="1"/>
  <c r="E2693" i="1"/>
  <c r="E2692" i="1"/>
  <c r="E2691" i="1"/>
  <c r="E2690" i="1"/>
  <c r="E2689" i="1"/>
  <c r="E2688" i="1"/>
  <c r="E2687" i="1"/>
  <c r="E2686" i="1"/>
  <c r="E2685" i="1"/>
  <c r="E2684" i="1"/>
  <c r="E2683" i="1"/>
  <c r="E2682" i="1"/>
  <c r="E2681" i="1"/>
  <c r="E2680" i="1"/>
  <c r="E2679" i="1"/>
  <c r="E2678" i="1"/>
  <c r="E2677" i="1"/>
  <c r="E2676" i="1"/>
  <c r="E2675" i="1"/>
  <c r="E2674" i="1"/>
  <c r="E2673" i="1"/>
  <c r="E2672" i="1"/>
  <c r="E2671" i="1"/>
  <c r="E2670" i="1"/>
  <c r="E2669" i="1"/>
  <c r="E2668" i="1"/>
  <c r="E2667" i="1"/>
  <c r="E2666" i="1"/>
  <c r="E2665" i="1"/>
  <c r="E2664" i="1"/>
  <c r="E2663" i="1"/>
  <c r="E2662" i="1"/>
  <c r="E2661" i="1"/>
  <c r="E2660" i="1"/>
  <c r="E2659" i="1"/>
  <c r="E2658" i="1"/>
  <c r="E2657" i="1"/>
  <c r="E2656" i="1"/>
  <c r="E2655" i="1"/>
  <c r="E2654" i="1"/>
  <c r="E2653" i="1"/>
  <c r="E2652" i="1"/>
  <c r="E2651" i="1"/>
  <c r="E2650" i="1"/>
  <c r="E2649" i="1"/>
  <c r="E2648" i="1"/>
  <c r="E2647" i="1"/>
  <c r="E2646" i="1"/>
  <c r="E2645" i="1"/>
  <c r="E2644" i="1"/>
  <c r="E2643" i="1"/>
  <c r="E2642" i="1"/>
  <c r="E2641" i="1"/>
  <c r="E2640" i="1"/>
  <c r="E2639" i="1"/>
  <c r="E2638" i="1"/>
  <c r="E2637" i="1"/>
  <c r="E2636" i="1"/>
  <c r="E2635" i="1"/>
  <c r="E2634" i="1"/>
  <c r="E2633" i="1"/>
  <c r="E2632" i="1"/>
  <c r="E2631" i="1"/>
  <c r="E2630" i="1"/>
  <c r="E2629" i="1"/>
  <c r="E2628" i="1"/>
  <c r="E2627" i="1"/>
  <c r="E2626" i="1"/>
  <c r="E2625" i="1"/>
  <c r="E2624" i="1"/>
  <c r="E2623" i="1"/>
  <c r="E2622" i="1"/>
  <c r="E2621" i="1"/>
  <c r="E2620" i="1"/>
  <c r="E2619" i="1"/>
  <c r="E2618" i="1"/>
  <c r="E2617" i="1"/>
  <c r="E2616" i="1"/>
  <c r="E2615" i="1"/>
  <c r="E2614" i="1"/>
  <c r="E2613" i="1"/>
  <c r="E2612" i="1"/>
  <c r="E2611" i="1"/>
  <c r="E2610" i="1"/>
  <c r="E2609" i="1"/>
  <c r="E2608" i="1"/>
  <c r="E2607" i="1"/>
  <c r="E2606" i="1"/>
  <c r="E2605" i="1"/>
  <c r="E2604" i="1"/>
  <c r="E2603" i="1"/>
  <c r="E2602" i="1"/>
  <c r="E2601" i="1"/>
  <c r="E2600" i="1"/>
  <c r="E2599" i="1"/>
  <c r="E2598" i="1"/>
  <c r="E2597" i="1"/>
  <c r="E2596" i="1"/>
  <c r="E2595" i="1"/>
  <c r="E2594" i="1"/>
  <c r="E2593" i="1"/>
  <c r="E2592" i="1"/>
  <c r="E2591" i="1"/>
  <c r="E2590" i="1"/>
  <c r="E2589" i="1"/>
  <c r="E2588" i="1"/>
  <c r="E2587" i="1"/>
  <c r="E2586" i="1"/>
  <c r="E2585" i="1"/>
  <c r="E2584" i="1"/>
  <c r="E2583" i="1"/>
  <c r="E2582" i="1"/>
  <c r="E2581" i="1"/>
  <c r="E2580" i="1"/>
  <c r="E2579" i="1"/>
  <c r="E2578" i="1"/>
  <c r="E2577" i="1"/>
  <c r="E2576" i="1"/>
  <c r="E2575" i="1"/>
  <c r="E2574" i="1"/>
  <c r="E2573" i="1"/>
  <c r="E2572" i="1"/>
  <c r="E2571" i="1"/>
  <c r="E2570" i="1"/>
  <c r="E2569" i="1"/>
  <c r="E2568" i="1"/>
  <c r="E2567" i="1"/>
  <c r="E2566" i="1"/>
  <c r="E2565" i="1"/>
  <c r="E2564" i="1"/>
  <c r="E2563" i="1"/>
  <c r="E2562" i="1"/>
  <c r="E2561" i="1"/>
  <c r="E2560" i="1"/>
  <c r="E2559" i="1"/>
  <c r="E2558" i="1"/>
  <c r="E2557" i="1"/>
  <c r="E2556" i="1"/>
  <c r="E2555" i="1"/>
  <c r="E2554" i="1"/>
  <c r="E2553" i="1"/>
  <c r="E2552" i="1"/>
  <c r="E2551" i="1"/>
  <c r="E2550" i="1"/>
  <c r="E2549" i="1"/>
  <c r="E2548" i="1"/>
  <c r="E2547" i="1"/>
  <c r="E2546" i="1"/>
  <c r="E2545" i="1"/>
  <c r="E2544" i="1"/>
  <c r="E2543" i="1"/>
  <c r="E2542" i="1"/>
  <c r="E2541" i="1"/>
  <c r="E2540" i="1"/>
  <c r="E2539" i="1"/>
  <c r="E2538" i="1"/>
  <c r="E2537" i="1"/>
  <c r="E2536" i="1"/>
  <c r="E2535" i="1"/>
  <c r="E2534" i="1"/>
  <c r="E2533" i="1"/>
  <c r="E2532" i="1"/>
  <c r="E2531" i="1"/>
  <c r="E2530" i="1"/>
  <c r="E2529" i="1"/>
  <c r="E2528" i="1"/>
  <c r="E2527" i="1"/>
  <c r="E2526" i="1"/>
  <c r="E2525" i="1"/>
  <c r="E2524" i="1"/>
  <c r="E2523" i="1"/>
  <c r="E2522" i="1"/>
  <c r="E2521" i="1"/>
  <c r="E2520" i="1"/>
  <c r="E2519" i="1"/>
  <c r="E2518" i="1"/>
  <c r="E2517" i="1"/>
  <c r="E2516" i="1"/>
  <c r="E2515" i="1"/>
  <c r="E2514" i="1"/>
  <c r="E2513" i="1"/>
  <c r="E2512" i="1"/>
  <c r="E2511" i="1"/>
  <c r="E2510" i="1"/>
  <c r="E2509" i="1"/>
  <c r="E2508" i="1"/>
  <c r="E2507" i="1"/>
  <c r="E2506" i="1"/>
  <c r="E2505" i="1"/>
  <c r="E2504" i="1"/>
  <c r="E2503" i="1"/>
  <c r="E2502" i="1"/>
  <c r="E2501" i="1"/>
  <c r="E2500" i="1"/>
  <c r="E2499" i="1"/>
  <c r="E2498" i="1"/>
  <c r="E2497" i="1"/>
  <c r="E2496" i="1"/>
  <c r="E2495" i="1"/>
  <c r="E2494" i="1"/>
  <c r="E2493" i="1"/>
  <c r="E2492" i="1"/>
  <c r="E2491" i="1"/>
  <c r="E2490" i="1"/>
  <c r="E2489" i="1"/>
  <c r="E2488" i="1"/>
  <c r="E2487" i="1"/>
  <c r="E2486" i="1"/>
  <c r="E2485" i="1"/>
  <c r="E2484" i="1"/>
  <c r="E2483" i="1"/>
  <c r="E2482" i="1"/>
  <c r="E2481" i="1"/>
  <c r="E2480" i="1"/>
  <c r="E2479" i="1"/>
  <c r="E2478" i="1"/>
  <c r="E2477" i="1"/>
  <c r="E2476" i="1"/>
  <c r="E2475" i="1"/>
  <c r="E2474" i="1"/>
  <c r="E2473" i="1"/>
  <c r="E2472" i="1"/>
  <c r="E2471" i="1"/>
  <c r="E2470" i="1"/>
  <c r="E2469" i="1"/>
  <c r="E2468" i="1"/>
  <c r="E2467" i="1"/>
  <c r="E2466" i="1"/>
  <c r="E2465" i="1"/>
  <c r="E2464" i="1"/>
  <c r="E2463" i="1"/>
  <c r="E2462" i="1"/>
  <c r="E2461" i="1"/>
  <c r="E2460" i="1"/>
  <c r="E2459" i="1"/>
  <c r="E2458" i="1"/>
  <c r="E2457" i="1"/>
  <c r="E2456" i="1"/>
  <c r="E2455" i="1"/>
  <c r="E2454" i="1"/>
  <c r="E2453" i="1"/>
  <c r="E2452" i="1"/>
  <c r="E2451" i="1"/>
  <c r="E2450" i="1"/>
  <c r="E2449" i="1"/>
  <c r="E2448" i="1"/>
  <c r="E2447" i="1"/>
  <c r="E2446" i="1"/>
  <c r="E2445" i="1"/>
  <c r="E2444" i="1"/>
  <c r="E2443" i="1"/>
  <c r="E2442" i="1"/>
  <c r="E2441" i="1"/>
  <c r="E2440" i="1"/>
  <c r="E2439" i="1"/>
  <c r="E2438" i="1"/>
  <c r="E2437" i="1"/>
  <c r="E2436" i="1"/>
  <c r="E2435" i="1"/>
  <c r="E2434" i="1"/>
  <c r="E2433" i="1"/>
  <c r="E2432" i="1"/>
  <c r="E2431" i="1"/>
  <c r="E2430" i="1"/>
  <c r="E2429" i="1"/>
  <c r="E2428" i="1"/>
  <c r="E2427" i="1"/>
  <c r="E2426" i="1"/>
  <c r="E2425" i="1"/>
  <c r="E2424" i="1"/>
  <c r="E2423" i="1"/>
  <c r="E2422" i="1"/>
  <c r="E2421" i="1"/>
  <c r="E2420" i="1"/>
  <c r="E2419" i="1"/>
  <c r="E2418" i="1"/>
  <c r="E2417" i="1"/>
  <c r="E2416" i="1"/>
  <c r="E2415" i="1"/>
  <c r="E2414" i="1"/>
  <c r="E2413" i="1"/>
  <c r="E2412" i="1"/>
  <c r="E2411" i="1"/>
  <c r="E2410" i="1"/>
  <c r="E2409" i="1"/>
  <c r="E2408" i="1"/>
  <c r="E2407" i="1"/>
  <c r="E2406" i="1"/>
  <c r="E2405" i="1"/>
  <c r="E2404" i="1"/>
  <c r="E2403" i="1"/>
  <c r="E2402" i="1"/>
  <c r="E2401" i="1"/>
  <c r="E2400" i="1"/>
  <c r="E2399" i="1"/>
  <c r="E2398" i="1"/>
  <c r="E2397" i="1"/>
  <c r="E2396" i="1"/>
  <c r="E2395" i="1"/>
  <c r="E2394" i="1"/>
  <c r="E2393" i="1"/>
  <c r="E2392" i="1"/>
  <c r="E2391" i="1"/>
  <c r="E2390" i="1"/>
  <c r="E2389" i="1"/>
  <c r="E2388" i="1"/>
  <c r="E2387" i="1"/>
  <c r="E2386" i="1"/>
  <c r="E2385" i="1"/>
  <c r="E2384" i="1"/>
  <c r="E2383" i="1"/>
  <c r="E2382" i="1"/>
  <c r="E2381" i="1"/>
  <c r="E2380" i="1"/>
  <c r="E2379" i="1"/>
  <c r="E2378" i="1"/>
  <c r="E2377" i="1"/>
  <c r="E2376" i="1"/>
  <c r="E2375" i="1"/>
  <c r="E2374" i="1"/>
  <c r="E2373" i="1"/>
  <c r="E2372" i="1"/>
  <c r="E2371" i="1"/>
  <c r="E2370" i="1"/>
  <c r="E2369" i="1"/>
  <c r="E2368" i="1"/>
  <c r="E2367" i="1"/>
  <c r="E2366" i="1"/>
  <c r="E2365" i="1"/>
  <c r="E2364" i="1"/>
  <c r="E2363" i="1"/>
  <c r="E2362" i="1"/>
  <c r="E2361" i="1"/>
  <c r="E2360" i="1"/>
  <c r="E2359" i="1"/>
  <c r="E2358" i="1"/>
  <c r="E2357" i="1"/>
  <c r="E2356" i="1"/>
  <c r="E2355" i="1"/>
  <c r="E2354" i="1"/>
  <c r="E2353" i="1"/>
  <c r="E2352" i="1"/>
  <c r="E2351" i="1"/>
  <c r="E2350" i="1"/>
  <c r="E2349" i="1"/>
  <c r="E2348" i="1"/>
  <c r="E2347" i="1"/>
  <c r="E2346" i="1"/>
  <c r="E2345" i="1"/>
  <c r="E2344" i="1"/>
  <c r="E2343" i="1"/>
  <c r="E2342" i="1"/>
  <c r="E2341" i="1"/>
  <c r="E2340" i="1"/>
  <c r="E2339" i="1"/>
  <c r="E2338" i="1"/>
  <c r="E2337" i="1"/>
  <c r="E2336" i="1"/>
  <c r="E2335" i="1"/>
  <c r="E2334" i="1"/>
  <c r="E2333" i="1"/>
  <c r="E2332" i="1"/>
  <c r="E2331" i="1"/>
  <c r="E2330" i="1"/>
  <c r="E2329" i="1"/>
  <c r="E2328" i="1"/>
  <c r="E2327" i="1"/>
  <c r="E2326" i="1"/>
  <c r="E2325" i="1"/>
  <c r="E2324" i="1"/>
  <c r="E2323" i="1"/>
  <c r="E2322" i="1"/>
  <c r="E2321" i="1"/>
  <c r="E2320" i="1"/>
  <c r="E2319" i="1"/>
  <c r="E2318" i="1"/>
  <c r="E2317" i="1"/>
  <c r="E2316" i="1"/>
  <c r="E2315" i="1"/>
  <c r="E2314" i="1"/>
  <c r="E2313" i="1"/>
  <c r="E2312" i="1"/>
  <c r="E2311" i="1"/>
  <c r="E2310" i="1"/>
  <c r="E2309" i="1"/>
  <c r="E2308" i="1"/>
  <c r="E2307" i="1"/>
  <c r="E2306" i="1"/>
  <c r="E2305" i="1"/>
  <c r="E2304" i="1"/>
  <c r="E2303" i="1"/>
  <c r="E2302" i="1"/>
  <c r="E2301" i="1"/>
  <c r="E2300" i="1"/>
  <c r="E2299" i="1"/>
  <c r="E2298" i="1"/>
  <c r="E2297" i="1"/>
  <c r="E2296" i="1"/>
  <c r="E2295" i="1"/>
  <c r="E2294" i="1"/>
  <c r="E2293" i="1"/>
  <c r="E2292" i="1"/>
  <c r="E2291" i="1"/>
  <c r="E2290" i="1"/>
  <c r="E2289" i="1"/>
  <c r="E2288" i="1"/>
  <c r="E2287" i="1"/>
  <c r="E2286" i="1"/>
  <c r="E2285" i="1"/>
  <c r="E2284" i="1"/>
  <c r="E2283" i="1"/>
  <c r="E2282" i="1"/>
  <c r="E2281" i="1"/>
  <c r="E2280" i="1"/>
  <c r="E2279" i="1"/>
  <c r="E2278" i="1"/>
  <c r="E2277" i="1"/>
  <c r="E2276" i="1"/>
  <c r="E2275" i="1"/>
  <c r="E2274" i="1"/>
  <c r="E2273" i="1"/>
  <c r="E2272" i="1"/>
  <c r="E2271" i="1"/>
  <c r="E2270" i="1"/>
  <c r="E2269" i="1"/>
  <c r="E2268" i="1"/>
  <c r="E2267" i="1"/>
  <c r="E2266" i="1"/>
  <c r="E2265" i="1"/>
  <c r="E2264" i="1"/>
  <c r="E2263" i="1"/>
  <c r="E2262" i="1"/>
  <c r="E2261" i="1"/>
  <c r="E2260" i="1"/>
  <c r="E2259" i="1"/>
  <c r="E2258" i="1"/>
  <c r="E2257" i="1"/>
  <c r="E2256" i="1"/>
  <c r="E2255" i="1"/>
  <c r="E2254" i="1"/>
  <c r="E2253" i="1"/>
  <c r="E2252" i="1"/>
  <c r="E2251" i="1"/>
  <c r="E2250" i="1"/>
  <c r="E2249" i="1"/>
  <c r="E2248" i="1"/>
  <c r="E2247" i="1"/>
  <c r="E2246" i="1"/>
  <c r="E2245" i="1"/>
  <c r="E2244" i="1"/>
  <c r="E2243" i="1"/>
  <c r="E2242" i="1"/>
  <c r="E2241" i="1"/>
  <c r="E2240" i="1"/>
  <c r="E2239" i="1"/>
  <c r="E2238" i="1"/>
  <c r="E2237" i="1"/>
  <c r="E2236" i="1"/>
  <c r="E2235" i="1"/>
  <c r="E2234" i="1"/>
  <c r="E2233" i="1"/>
  <c r="E2232" i="1"/>
  <c r="E2231" i="1"/>
  <c r="E2230" i="1"/>
  <c r="E2229" i="1"/>
  <c r="E2228" i="1"/>
  <c r="E2227" i="1"/>
  <c r="E2226" i="1"/>
  <c r="E2225" i="1"/>
  <c r="E2224" i="1"/>
  <c r="E2223" i="1"/>
  <c r="E2222" i="1"/>
  <c r="E2221" i="1"/>
  <c r="E2220" i="1"/>
  <c r="E2219" i="1"/>
  <c r="E2218" i="1"/>
  <c r="E2217" i="1"/>
  <c r="E2216" i="1"/>
  <c r="E2215" i="1"/>
  <c r="E2214" i="1"/>
  <c r="E2213" i="1"/>
  <c r="E2212" i="1"/>
  <c r="E2211" i="1"/>
  <c r="E2210" i="1"/>
  <c r="E2209" i="1"/>
  <c r="E2208" i="1"/>
  <c r="E2207" i="1"/>
  <c r="E2206" i="1"/>
  <c r="E2205" i="1"/>
  <c r="E2204" i="1"/>
  <c r="E2203" i="1"/>
  <c r="E2202" i="1"/>
  <c r="E2201" i="1"/>
  <c r="E2200" i="1"/>
  <c r="E2199" i="1"/>
  <c r="E2198" i="1"/>
  <c r="E2197" i="1"/>
  <c r="E2196" i="1"/>
  <c r="E2195" i="1"/>
  <c r="E2194" i="1"/>
  <c r="E2193" i="1"/>
  <c r="E2192" i="1"/>
  <c r="E2191" i="1"/>
  <c r="E2190" i="1"/>
  <c r="E2189" i="1"/>
  <c r="E2188" i="1"/>
  <c r="E2187" i="1"/>
  <c r="E2186" i="1"/>
  <c r="E2185" i="1"/>
  <c r="E2184" i="1"/>
  <c r="E2183" i="1"/>
  <c r="E2182" i="1"/>
  <c r="E2181" i="1"/>
  <c r="E2180" i="1"/>
  <c r="E2179" i="1"/>
  <c r="E2178" i="1"/>
  <c r="E2177" i="1"/>
  <c r="E2176" i="1"/>
  <c r="E2175" i="1"/>
  <c r="E2174" i="1"/>
  <c r="E2173" i="1"/>
  <c r="E2172" i="1"/>
  <c r="E2171" i="1"/>
  <c r="E2170" i="1"/>
  <c r="E2169" i="1"/>
  <c r="E2168" i="1"/>
  <c r="E2167" i="1"/>
  <c r="E2166" i="1"/>
  <c r="E2165" i="1"/>
  <c r="E2164" i="1"/>
  <c r="E2163" i="1"/>
  <c r="E2162" i="1"/>
  <c r="E2161" i="1"/>
  <c r="E2160" i="1"/>
  <c r="E2159" i="1"/>
  <c r="E2158" i="1"/>
  <c r="E2157" i="1"/>
  <c r="E2156" i="1"/>
  <c r="E2155" i="1"/>
  <c r="E2154" i="1"/>
  <c r="E2153" i="1"/>
  <c r="E2152" i="1"/>
  <c r="E2151" i="1"/>
  <c r="E2150" i="1"/>
  <c r="E2149" i="1"/>
  <c r="E2148" i="1"/>
  <c r="E2147" i="1"/>
  <c r="E2146" i="1"/>
  <c r="E2145" i="1"/>
  <c r="E2144" i="1"/>
  <c r="E2143" i="1"/>
  <c r="E2142" i="1"/>
  <c r="E2141" i="1"/>
  <c r="E2140" i="1"/>
  <c r="E2139" i="1"/>
  <c r="E2138" i="1"/>
  <c r="E2137" i="1"/>
  <c r="E2136" i="1"/>
  <c r="E2135" i="1"/>
  <c r="E2134" i="1"/>
  <c r="E2133" i="1"/>
  <c r="E2132" i="1"/>
  <c r="E2131" i="1"/>
  <c r="E2130" i="1"/>
  <c r="E2129" i="1"/>
  <c r="E2128" i="1"/>
  <c r="E2127" i="1"/>
  <c r="E2126" i="1"/>
  <c r="E2125" i="1"/>
  <c r="E2124" i="1"/>
  <c r="E2123" i="1"/>
  <c r="E2122" i="1"/>
  <c r="E2121" i="1"/>
  <c r="E2120" i="1"/>
  <c r="E2119" i="1"/>
  <c r="E2118" i="1"/>
  <c r="E2117" i="1"/>
  <c r="E2116" i="1"/>
  <c r="E2115" i="1"/>
  <c r="E2114" i="1"/>
  <c r="E2113" i="1"/>
  <c r="E2112" i="1"/>
  <c r="E2111" i="1"/>
  <c r="E2110" i="1"/>
  <c r="E2109" i="1"/>
  <c r="E2108" i="1"/>
  <c r="E2107" i="1"/>
  <c r="E2106" i="1"/>
  <c r="E2105" i="1"/>
  <c r="E2104" i="1"/>
  <c r="E2103" i="1"/>
  <c r="E2102" i="1"/>
  <c r="E2101" i="1"/>
  <c r="E2100" i="1"/>
  <c r="E2099" i="1"/>
  <c r="E2098" i="1"/>
  <c r="E2097" i="1"/>
  <c r="E2096" i="1"/>
  <c r="E2095" i="1"/>
  <c r="E2094" i="1"/>
  <c r="E2093" i="1"/>
  <c r="E2092" i="1"/>
  <c r="E2091" i="1"/>
  <c r="E2090" i="1"/>
  <c r="E2089" i="1"/>
  <c r="E2088" i="1"/>
  <c r="E2087" i="1"/>
  <c r="E2086" i="1"/>
  <c r="E2085" i="1"/>
  <c r="E2084" i="1"/>
  <c r="E2083" i="1"/>
  <c r="E2082" i="1"/>
  <c r="E2081" i="1"/>
  <c r="E2080" i="1"/>
  <c r="E2079" i="1"/>
  <c r="E2078" i="1"/>
  <c r="E2077" i="1"/>
  <c r="E2076" i="1"/>
  <c r="E2075" i="1"/>
  <c r="E2074" i="1"/>
  <c r="E2073" i="1"/>
  <c r="E2072" i="1"/>
  <c r="E2071" i="1"/>
  <c r="E2070" i="1"/>
  <c r="E2069" i="1"/>
  <c r="E2068" i="1"/>
  <c r="E2067" i="1"/>
  <c r="E2066" i="1"/>
  <c r="E2065" i="1"/>
  <c r="E2064" i="1"/>
  <c r="E2063" i="1"/>
  <c r="E2062" i="1"/>
  <c r="E2061" i="1"/>
  <c r="E2060" i="1"/>
  <c r="E2059" i="1"/>
  <c r="E2058" i="1"/>
  <c r="E2057" i="1"/>
  <c r="E2056" i="1"/>
  <c r="E2055" i="1"/>
  <c r="E2054" i="1"/>
  <c r="E2053" i="1"/>
  <c r="E2052" i="1"/>
  <c r="E2051" i="1"/>
  <c r="E2050" i="1"/>
  <c r="E2049" i="1"/>
  <c r="E2048" i="1"/>
  <c r="E2047" i="1"/>
  <c r="E2046" i="1"/>
  <c r="E2045" i="1"/>
  <c r="E2044" i="1"/>
  <c r="E2043" i="1"/>
  <c r="E2042" i="1"/>
  <c r="E2041" i="1"/>
  <c r="E2040" i="1"/>
  <c r="E2039" i="1"/>
  <c r="E2038" i="1"/>
  <c r="E2037" i="1"/>
  <c r="E2036" i="1"/>
  <c r="E2035" i="1"/>
  <c r="E2034" i="1"/>
  <c r="E2033" i="1"/>
  <c r="E2032" i="1"/>
  <c r="E2031" i="1"/>
  <c r="E2030" i="1"/>
  <c r="E2029" i="1"/>
  <c r="E2028" i="1"/>
  <c r="E2027" i="1"/>
  <c r="E2026" i="1"/>
  <c r="E2025" i="1"/>
  <c r="E2024" i="1"/>
  <c r="E2023" i="1"/>
  <c r="E2022" i="1"/>
  <c r="E2021" i="1"/>
  <c r="E2020" i="1"/>
  <c r="E2019" i="1"/>
  <c r="E2018" i="1"/>
  <c r="E2017" i="1"/>
  <c r="E2016" i="1"/>
  <c r="E2015" i="1"/>
  <c r="E2014" i="1"/>
  <c r="E2013" i="1"/>
  <c r="E2012" i="1"/>
  <c r="E2011" i="1"/>
  <c r="E2010" i="1"/>
  <c r="E2009" i="1"/>
  <c r="E2008" i="1"/>
  <c r="E2007" i="1"/>
  <c r="E2006" i="1"/>
  <c r="E2005" i="1"/>
  <c r="E2004" i="1"/>
  <c r="E2003" i="1"/>
  <c r="E2002" i="1"/>
  <c r="E2001" i="1"/>
  <c r="E2000" i="1"/>
  <c r="E1999" i="1"/>
  <c r="E1998" i="1"/>
  <c r="E1997" i="1"/>
  <c r="E1996" i="1"/>
  <c r="E1995" i="1"/>
  <c r="E1994" i="1"/>
  <c r="E1993" i="1"/>
  <c r="E1992" i="1"/>
  <c r="E1991" i="1"/>
  <c r="E1990" i="1"/>
  <c r="E1989" i="1"/>
  <c r="E1988" i="1"/>
  <c r="E1987" i="1"/>
  <c r="E1986" i="1"/>
  <c r="E1985" i="1"/>
  <c r="E1984" i="1"/>
  <c r="E1983" i="1"/>
  <c r="E1982" i="1"/>
  <c r="E1981" i="1"/>
  <c r="E1980" i="1"/>
  <c r="E1979" i="1"/>
  <c r="E1978" i="1"/>
  <c r="E1977" i="1"/>
  <c r="E1976" i="1"/>
  <c r="E1975" i="1"/>
  <c r="E1974" i="1"/>
  <c r="E1973" i="1"/>
  <c r="E1972" i="1"/>
  <c r="E1971" i="1"/>
  <c r="E1970" i="1"/>
  <c r="E1969" i="1"/>
  <c r="E1968" i="1"/>
  <c r="E1967" i="1"/>
  <c r="E1966" i="1"/>
  <c r="E1965" i="1"/>
  <c r="E1964" i="1"/>
  <c r="E1963" i="1"/>
  <c r="E1962" i="1"/>
  <c r="E1961" i="1"/>
  <c r="E1960" i="1"/>
  <c r="E1959" i="1"/>
  <c r="E1958" i="1"/>
  <c r="E1957" i="1"/>
  <c r="E1956" i="1"/>
  <c r="E1955" i="1"/>
  <c r="E1954" i="1"/>
  <c r="E1953" i="1"/>
  <c r="E1952" i="1"/>
  <c r="E1951" i="1"/>
  <c r="E1950" i="1"/>
  <c r="E1949" i="1"/>
  <c r="E1948" i="1"/>
  <c r="E1947" i="1"/>
  <c r="E1946" i="1"/>
  <c r="E1945" i="1"/>
  <c r="E1944" i="1"/>
  <c r="E1943" i="1"/>
  <c r="E1942" i="1"/>
  <c r="E1941" i="1"/>
  <c r="E1940" i="1"/>
  <c r="E1939" i="1"/>
  <c r="E1938" i="1"/>
  <c r="E1937" i="1"/>
  <c r="E1936" i="1"/>
  <c r="E1935" i="1"/>
  <c r="E1934" i="1"/>
  <c r="E1933" i="1"/>
  <c r="E1932" i="1"/>
  <c r="E1931" i="1"/>
  <c r="E1930" i="1"/>
  <c r="E1929" i="1"/>
  <c r="E1928" i="1"/>
  <c r="E1927" i="1"/>
  <c r="E1926" i="1"/>
  <c r="E1925" i="1"/>
  <c r="E1924" i="1"/>
  <c r="E1923" i="1"/>
  <c r="E1922" i="1"/>
  <c r="E1921" i="1"/>
  <c r="E1920" i="1"/>
  <c r="E1919" i="1"/>
  <c r="E1918" i="1"/>
  <c r="E1917" i="1"/>
  <c r="E1916" i="1"/>
  <c r="E1915" i="1"/>
  <c r="E1914" i="1"/>
  <c r="E1913" i="1"/>
  <c r="E1912" i="1"/>
  <c r="E1911" i="1"/>
  <c r="E1910" i="1"/>
  <c r="E1909" i="1"/>
  <c r="E1908" i="1"/>
  <c r="E1907" i="1"/>
  <c r="E1906" i="1"/>
  <c r="E1905" i="1"/>
  <c r="E1904" i="1"/>
  <c r="E1903" i="1"/>
  <c r="E1902" i="1"/>
  <c r="E1901" i="1"/>
  <c r="E1900" i="1"/>
  <c r="E1899" i="1"/>
  <c r="E1898" i="1"/>
  <c r="E1897" i="1"/>
  <c r="E1896" i="1"/>
  <c r="E1895" i="1"/>
  <c r="E1894" i="1"/>
  <c r="E1893" i="1"/>
  <c r="E1892" i="1"/>
  <c r="E1891" i="1"/>
  <c r="E1890" i="1"/>
  <c r="E1889" i="1"/>
  <c r="E1888" i="1"/>
  <c r="E1887" i="1"/>
  <c r="E1886" i="1"/>
  <c r="E1885" i="1"/>
  <c r="E1884" i="1"/>
  <c r="E1883" i="1"/>
  <c r="E1882" i="1"/>
  <c r="E1881" i="1"/>
  <c r="E1880" i="1"/>
  <c r="E1879" i="1"/>
  <c r="E1878" i="1"/>
  <c r="E1877" i="1"/>
  <c r="E1876" i="1"/>
  <c r="E1875" i="1"/>
  <c r="E1874" i="1"/>
  <c r="E1873" i="1"/>
  <c r="E1872" i="1"/>
  <c r="E1871" i="1"/>
  <c r="E1870" i="1"/>
  <c r="E1869" i="1"/>
  <c r="E1868" i="1"/>
  <c r="E1867" i="1"/>
  <c r="E1866" i="1"/>
  <c r="E1865" i="1"/>
  <c r="E1864" i="1"/>
  <c r="E1863" i="1"/>
  <c r="E1862" i="1"/>
  <c r="E1861" i="1"/>
  <c r="E1860" i="1"/>
  <c r="E1859" i="1"/>
  <c r="E1858" i="1"/>
  <c r="E1857" i="1"/>
  <c r="E1856" i="1"/>
  <c r="E1855" i="1"/>
  <c r="E1854" i="1"/>
  <c r="E1853" i="1"/>
  <c r="E1852" i="1"/>
  <c r="E1851" i="1"/>
  <c r="E1850" i="1"/>
  <c r="E1849" i="1"/>
  <c r="E1848" i="1"/>
  <c r="E1847" i="1"/>
  <c r="E1846" i="1"/>
  <c r="E1845" i="1"/>
  <c r="E1844" i="1"/>
  <c r="E1843" i="1"/>
  <c r="E1842" i="1"/>
  <c r="E1841" i="1"/>
  <c r="E1840" i="1"/>
  <c r="E1839" i="1"/>
  <c r="E1838" i="1"/>
  <c r="E1837" i="1"/>
  <c r="E1836" i="1"/>
  <c r="E1835" i="1"/>
  <c r="E1834" i="1"/>
  <c r="E1833" i="1"/>
  <c r="E1832" i="1"/>
  <c r="E1831" i="1"/>
  <c r="E1830" i="1"/>
  <c r="E1829" i="1"/>
  <c r="E1828" i="1"/>
  <c r="E1827" i="1"/>
  <c r="E1826" i="1"/>
  <c r="E1825" i="1"/>
  <c r="E1824" i="1"/>
  <c r="E1823" i="1"/>
  <c r="E1822" i="1"/>
  <c r="E1821" i="1"/>
  <c r="E1820" i="1"/>
  <c r="E1819" i="1"/>
  <c r="E1818" i="1"/>
  <c r="E1817" i="1"/>
  <c r="E1816" i="1"/>
  <c r="E1815" i="1"/>
  <c r="E1814" i="1"/>
  <c r="E1813" i="1"/>
  <c r="E1812" i="1"/>
  <c r="E1811" i="1"/>
  <c r="E1810" i="1"/>
  <c r="E1809" i="1"/>
  <c r="E1808" i="1"/>
  <c r="E1807" i="1"/>
  <c r="E1806" i="1"/>
  <c r="E1805" i="1"/>
  <c r="E1804" i="1"/>
  <c r="E1803" i="1"/>
  <c r="E1802" i="1"/>
  <c r="E1801" i="1"/>
  <c r="E1800" i="1"/>
  <c r="E1799" i="1"/>
  <c r="E1798" i="1"/>
  <c r="E1797" i="1"/>
  <c r="E1796" i="1"/>
  <c r="E1795" i="1"/>
  <c r="E1794" i="1"/>
  <c r="E1793" i="1"/>
  <c r="E1792" i="1"/>
  <c r="E1791" i="1"/>
  <c r="E1790" i="1"/>
  <c r="E1789" i="1"/>
  <c r="E1788" i="1"/>
  <c r="E1787" i="1"/>
  <c r="E1786" i="1"/>
  <c r="E1785" i="1"/>
  <c r="E1784" i="1"/>
  <c r="E1783" i="1"/>
  <c r="E1782" i="1"/>
  <c r="E1781" i="1"/>
  <c r="E1780" i="1"/>
  <c r="E1779" i="1"/>
  <c r="E1778" i="1"/>
  <c r="E1777" i="1"/>
  <c r="E1776" i="1"/>
  <c r="E1775" i="1"/>
  <c r="E1774" i="1"/>
  <c r="E1773" i="1"/>
  <c r="E1772" i="1"/>
  <c r="E1771" i="1"/>
  <c r="E1770" i="1"/>
  <c r="E1769" i="1"/>
  <c r="E1768" i="1"/>
  <c r="E1767" i="1"/>
  <c r="E1766" i="1"/>
  <c r="E1765" i="1"/>
  <c r="E1764" i="1"/>
  <c r="E1763" i="1"/>
  <c r="E1762" i="1"/>
  <c r="E1761" i="1"/>
  <c r="E1760" i="1"/>
  <c r="E1759" i="1"/>
  <c r="E1758" i="1"/>
  <c r="E1757" i="1"/>
  <c r="E1756" i="1"/>
  <c r="E1755" i="1"/>
  <c r="E1754" i="1"/>
  <c r="E1753" i="1"/>
  <c r="E1752" i="1"/>
  <c r="E1751" i="1"/>
  <c r="E1750" i="1"/>
  <c r="E1749" i="1"/>
  <c r="E1748" i="1"/>
  <c r="E1747" i="1"/>
  <c r="E1746" i="1"/>
  <c r="E1745" i="1"/>
  <c r="E1744" i="1"/>
  <c r="E1743" i="1"/>
  <c r="E1742" i="1"/>
  <c r="E1741" i="1"/>
  <c r="E1740" i="1"/>
  <c r="E1739" i="1"/>
  <c r="E1738" i="1"/>
  <c r="E1737" i="1"/>
  <c r="E1736" i="1"/>
  <c r="E1735" i="1"/>
  <c r="E1734" i="1"/>
  <c r="E1733" i="1"/>
  <c r="E1732" i="1"/>
  <c r="E1731" i="1"/>
  <c r="E1730" i="1"/>
  <c r="E1729" i="1"/>
  <c r="E1728" i="1"/>
  <c r="E1727" i="1"/>
  <c r="E1726" i="1"/>
  <c r="E1725" i="1"/>
  <c r="E1724" i="1"/>
  <c r="E1723" i="1"/>
  <c r="E1722" i="1"/>
  <c r="E1721" i="1"/>
  <c r="E1720" i="1"/>
  <c r="E1719" i="1"/>
  <c r="E1718" i="1"/>
  <c r="E1717" i="1"/>
  <c r="E1716" i="1"/>
  <c r="E1715" i="1"/>
  <c r="E1714" i="1"/>
  <c r="E1713" i="1"/>
  <c r="E1712" i="1"/>
  <c r="E1711" i="1"/>
  <c r="E1710" i="1"/>
  <c r="E1709" i="1"/>
  <c r="E1708" i="1"/>
  <c r="E1707" i="1"/>
  <c r="E1706" i="1"/>
  <c r="E1705" i="1"/>
  <c r="E1704" i="1"/>
  <c r="E1703" i="1"/>
  <c r="E1702" i="1"/>
  <c r="E1701" i="1"/>
  <c r="E1700" i="1"/>
  <c r="E1699" i="1"/>
  <c r="E1698" i="1"/>
  <c r="E1697" i="1"/>
  <c r="E1696" i="1"/>
  <c r="E1695" i="1"/>
  <c r="E1694" i="1"/>
  <c r="E1693" i="1"/>
  <c r="E1692" i="1"/>
  <c r="E1691" i="1"/>
  <c r="E1690" i="1"/>
  <c r="E1689" i="1"/>
  <c r="E1688" i="1"/>
  <c r="E1687" i="1"/>
  <c r="E1686" i="1"/>
  <c r="E1685" i="1"/>
  <c r="E1684" i="1"/>
  <c r="E1683" i="1"/>
  <c r="E1682" i="1"/>
  <c r="E1681" i="1"/>
  <c r="E1680" i="1"/>
  <c r="E1679" i="1"/>
  <c r="E1678" i="1"/>
  <c r="E1677" i="1"/>
  <c r="E1676" i="1"/>
  <c r="E1675" i="1"/>
  <c r="E1674" i="1"/>
  <c r="E1673" i="1"/>
  <c r="E1672" i="1"/>
  <c r="E1671" i="1"/>
  <c r="E1670" i="1"/>
  <c r="E1669" i="1"/>
  <c r="E1668" i="1"/>
  <c r="E1667" i="1"/>
  <c r="E1666" i="1"/>
  <c r="E1665" i="1"/>
  <c r="E1664" i="1"/>
  <c r="E1663" i="1"/>
  <c r="E1662" i="1"/>
  <c r="E1661" i="1"/>
  <c r="E1660" i="1"/>
  <c r="E1659" i="1"/>
  <c r="E1658" i="1"/>
  <c r="E1657" i="1"/>
  <c r="E1656" i="1"/>
  <c r="E1655" i="1"/>
  <c r="E1654" i="1"/>
  <c r="E1653" i="1"/>
  <c r="E1652" i="1"/>
  <c r="E1651" i="1"/>
  <c r="E1650" i="1"/>
  <c r="E1649" i="1"/>
  <c r="E1648" i="1"/>
  <c r="E1647" i="1"/>
  <c r="E1646" i="1"/>
  <c r="E1645" i="1"/>
  <c r="E1644" i="1"/>
  <c r="E1643" i="1"/>
  <c r="E1642" i="1"/>
  <c r="E1641" i="1"/>
  <c r="E1640" i="1"/>
  <c r="E1639" i="1"/>
  <c r="E1638" i="1"/>
  <c r="E1637" i="1"/>
  <c r="E1636" i="1"/>
  <c r="E1635" i="1"/>
  <c r="E1634" i="1"/>
  <c r="E1633" i="1"/>
  <c r="E1632" i="1"/>
  <c r="E1631" i="1"/>
  <c r="E1630" i="1"/>
  <c r="E1629" i="1"/>
  <c r="E1628" i="1"/>
  <c r="E1627" i="1"/>
  <c r="E1626" i="1"/>
  <c r="E1625" i="1"/>
  <c r="E1624" i="1"/>
  <c r="E1623" i="1"/>
  <c r="E1622" i="1"/>
  <c r="E1621" i="1"/>
  <c r="E1620" i="1"/>
  <c r="E1619" i="1"/>
  <c r="E1618" i="1"/>
  <c r="E1617" i="1"/>
  <c r="E1616" i="1"/>
  <c r="E1615" i="1"/>
  <c r="E1614" i="1"/>
  <c r="E1613" i="1"/>
  <c r="E1612" i="1"/>
  <c r="E1611" i="1"/>
  <c r="E1610" i="1"/>
  <c r="E1609" i="1"/>
  <c r="E1608" i="1"/>
  <c r="E1607" i="1"/>
  <c r="E1606" i="1"/>
  <c r="E1605" i="1"/>
  <c r="E1604" i="1"/>
  <c r="E1603" i="1"/>
  <c r="E1602" i="1"/>
  <c r="E1601" i="1"/>
  <c r="E1600" i="1"/>
  <c r="E1599" i="1"/>
  <c r="E1598" i="1"/>
  <c r="E1597" i="1"/>
  <c r="E1596" i="1"/>
  <c r="E1595" i="1"/>
  <c r="E1594" i="1"/>
  <c r="E1593" i="1"/>
  <c r="E1592" i="1"/>
  <c r="E1591" i="1"/>
  <c r="E1590" i="1"/>
  <c r="E1589" i="1"/>
  <c r="E1588" i="1"/>
  <c r="E1587" i="1"/>
  <c r="E1586" i="1"/>
  <c r="E1585" i="1"/>
  <c r="E1584" i="1"/>
  <c r="E1583" i="1"/>
  <c r="E1582" i="1"/>
  <c r="E1581" i="1"/>
  <c r="E1580" i="1"/>
  <c r="E1579" i="1"/>
  <c r="E1578" i="1"/>
  <c r="E1577" i="1"/>
  <c r="E1576" i="1"/>
  <c r="E1575" i="1"/>
  <c r="E1574" i="1"/>
  <c r="E1573" i="1"/>
  <c r="E1572" i="1"/>
  <c r="E1571" i="1"/>
  <c r="E1570" i="1"/>
  <c r="E1569" i="1"/>
  <c r="E1568" i="1"/>
  <c r="E1567" i="1"/>
  <c r="E1566" i="1"/>
  <c r="E1565" i="1"/>
  <c r="E1564" i="1"/>
  <c r="E1563" i="1"/>
  <c r="E1562" i="1"/>
  <c r="E1561" i="1"/>
  <c r="E1560" i="1"/>
  <c r="E1559" i="1"/>
  <c r="E1558" i="1"/>
  <c r="E1557" i="1"/>
  <c r="E1556" i="1"/>
  <c r="E1555" i="1"/>
  <c r="E1554" i="1"/>
  <c r="E1553" i="1"/>
  <c r="E1552" i="1"/>
  <c r="E1551" i="1"/>
  <c r="E1550" i="1"/>
  <c r="E1549" i="1"/>
  <c r="E1548" i="1"/>
  <c r="E1547" i="1"/>
  <c r="E1546" i="1"/>
  <c r="E1545" i="1"/>
  <c r="E1544" i="1"/>
  <c r="E1543" i="1"/>
  <c r="E1542" i="1"/>
  <c r="E1541" i="1"/>
  <c r="E1540" i="1"/>
  <c r="E1539" i="1"/>
  <c r="E1538" i="1"/>
  <c r="E1537" i="1"/>
  <c r="E1536" i="1"/>
  <c r="E1535" i="1"/>
  <c r="E1534" i="1"/>
  <c r="E1533" i="1"/>
  <c r="E1532" i="1"/>
  <c r="E1531" i="1"/>
  <c r="E1530" i="1"/>
  <c r="E1529" i="1"/>
  <c r="E1528" i="1"/>
  <c r="E1527" i="1"/>
  <c r="E1526" i="1"/>
  <c r="E1525" i="1"/>
  <c r="E1524" i="1"/>
  <c r="E1523" i="1"/>
  <c r="E1522" i="1"/>
  <c r="E1521" i="1"/>
  <c r="E1520" i="1"/>
  <c r="E1519" i="1"/>
  <c r="E1518" i="1"/>
  <c r="E1517" i="1"/>
  <c r="E1516" i="1"/>
  <c r="E1515" i="1"/>
  <c r="E1514" i="1"/>
  <c r="E1513" i="1"/>
  <c r="E1512" i="1"/>
  <c r="E1511" i="1"/>
  <c r="E1510" i="1"/>
  <c r="E1509" i="1"/>
  <c r="E1508" i="1"/>
  <c r="E1507" i="1"/>
  <c r="E1506" i="1"/>
  <c r="E1505" i="1"/>
  <c r="E1504" i="1"/>
  <c r="E1503" i="1"/>
  <c r="E1502" i="1"/>
  <c r="E1501" i="1"/>
  <c r="E1500" i="1"/>
  <c r="E1499" i="1"/>
  <c r="E1498" i="1"/>
  <c r="E1497" i="1"/>
  <c r="E1496" i="1"/>
  <c r="E1495" i="1"/>
  <c r="E1494" i="1"/>
  <c r="E1493" i="1"/>
  <c r="E1492" i="1"/>
  <c r="E1491" i="1"/>
  <c r="E1490" i="1"/>
  <c r="E1489" i="1"/>
  <c r="E1488" i="1"/>
  <c r="E1487" i="1"/>
  <c r="E1486" i="1"/>
  <c r="E1485" i="1"/>
  <c r="E1484" i="1"/>
  <c r="E1483" i="1"/>
  <c r="E1482" i="1"/>
  <c r="E1481" i="1"/>
  <c r="E1480" i="1"/>
  <c r="E1479" i="1"/>
  <c r="E1478" i="1"/>
  <c r="E1477" i="1"/>
  <c r="E1476" i="1"/>
  <c r="E1475" i="1"/>
  <c r="E1474" i="1"/>
  <c r="E1473" i="1"/>
  <c r="E1472" i="1"/>
  <c r="E1471" i="1"/>
  <c r="E1470" i="1"/>
  <c r="E1469" i="1"/>
  <c r="E1468" i="1"/>
  <c r="E1467" i="1"/>
  <c r="E1466" i="1"/>
  <c r="E1465" i="1"/>
  <c r="E1464" i="1"/>
  <c r="E1463" i="1"/>
  <c r="E1462" i="1"/>
  <c r="E1461" i="1"/>
  <c r="E1460" i="1"/>
  <c r="E1459" i="1"/>
  <c r="E1458" i="1"/>
  <c r="E1457" i="1"/>
  <c r="E1456" i="1"/>
  <c r="E1455" i="1"/>
  <c r="E1454" i="1"/>
  <c r="E1453" i="1"/>
  <c r="E1452" i="1"/>
  <c r="E1451" i="1"/>
  <c r="E1450" i="1"/>
  <c r="E1449" i="1"/>
  <c r="E1448" i="1"/>
  <c r="E1447" i="1"/>
  <c r="E1446" i="1"/>
  <c r="E1445" i="1"/>
  <c r="E1444" i="1"/>
  <c r="E1443" i="1"/>
  <c r="E1442" i="1"/>
  <c r="E1441" i="1"/>
  <c r="E1440" i="1"/>
  <c r="E1439" i="1"/>
  <c r="E1438" i="1"/>
  <c r="E1437" i="1"/>
  <c r="E1436" i="1"/>
  <c r="E1435" i="1"/>
  <c r="E1434" i="1"/>
  <c r="E1433" i="1"/>
  <c r="E1432" i="1"/>
  <c r="E1431" i="1"/>
  <c r="E1430" i="1"/>
  <c r="E1429" i="1"/>
  <c r="E1428" i="1"/>
  <c r="E1427" i="1"/>
  <c r="E1426" i="1"/>
  <c r="E1425" i="1"/>
  <c r="E1424" i="1"/>
  <c r="E1423" i="1"/>
  <c r="E1422" i="1"/>
  <c r="E1421" i="1"/>
  <c r="E1420" i="1"/>
  <c r="E1419" i="1"/>
  <c r="E1418" i="1"/>
  <c r="E1417" i="1"/>
  <c r="E1416" i="1"/>
  <c r="E1415" i="1"/>
  <c r="E1414" i="1"/>
  <c r="E1413" i="1"/>
  <c r="E1412" i="1"/>
  <c r="E1411" i="1"/>
  <c r="E1410" i="1"/>
  <c r="E1409" i="1"/>
  <c r="E1408" i="1"/>
  <c r="E1407" i="1"/>
  <c r="E1406" i="1"/>
  <c r="E1405" i="1"/>
  <c r="E1404" i="1"/>
  <c r="E1403" i="1"/>
  <c r="E1402" i="1"/>
  <c r="E1401" i="1"/>
  <c r="E1400" i="1"/>
  <c r="E1399" i="1"/>
  <c r="E1398" i="1"/>
  <c r="E1397" i="1"/>
  <c r="E1396" i="1"/>
  <c r="E1395" i="1"/>
  <c r="E1394" i="1"/>
  <c r="E1393" i="1"/>
  <c r="E1392" i="1"/>
  <c r="E1391" i="1"/>
  <c r="E1390" i="1"/>
  <c r="E1389" i="1"/>
  <c r="E1388" i="1"/>
  <c r="E1387" i="1"/>
  <c r="E1386" i="1"/>
  <c r="E1385" i="1"/>
  <c r="E1384" i="1"/>
  <c r="E1383" i="1"/>
  <c r="E1382" i="1"/>
  <c r="E1381" i="1"/>
  <c r="E1380" i="1"/>
  <c r="E1379" i="1"/>
  <c r="E1378" i="1"/>
  <c r="E1377" i="1"/>
  <c r="E1376" i="1"/>
  <c r="E1375" i="1"/>
  <c r="E1374" i="1"/>
  <c r="E1373" i="1"/>
  <c r="E1372" i="1"/>
  <c r="E1371" i="1"/>
  <c r="E1370" i="1"/>
  <c r="E1369" i="1"/>
  <c r="E1368" i="1"/>
  <c r="E1367" i="1"/>
  <c r="E1366" i="1"/>
  <c r="E1365" i="1"/>
  <c r="E1364" i="1"/>
  <c r="E1363" i="1"/>
  <c r="E1362" i="1"/>
  <c r="E1361" i="1"/>
  <c r="E1360" i="1"/>
  <c r="E1359" i="1"/>
  <c r="E1358" i="1"/>
  <c r="E1357" i="1"/>
  <c r="E1356" i="1"/>
  <c r="E1355" i="1"/>
  <c r="E1354" i="1"/>
  <c r="E1353" i="1"/>
  <c r="E1352" i="1"/>
  <c r="E1351" i="1"/>
  <c r="E1350" i="1"/>
  <c r="E1349" i="1"/>
  <c r="E1348" i="1"/>
  <c r="E1347" i="1"/>
  <c r="E1346" i="1"/>
  <c r="E1345" i="1"/>
  <c r="E1344" i="1"/>
  <c r="E1343" i="1"/>
  <c r="E1342" i="1"/>
  <c r="E1341" i="1"/>
  <c r="E1340" i="1"/>
  <c r="E1339" i="1"/>
  <c r="E1338" i="1"/>
  <c r="E1337" i="1"/>
  <c r="E1336" i="1"/>
  <c r="E1335" i="1"/>
  <c r="E1334" i="1"/>
  <c r="E1333" i="1"/>
  <c r="E1332" i="1"/>
  <c r="E1331" i="1"/>
  <c r="E1330" i="1"/>
  <c r="E1329" i="1"/>
  <c r="E1328" i="1"/>
  <c r="E1327" i="1"/>
  <c r="E1326" i="1"/>
  <c r="E1325" i="1"/>
  <c r="E1324" i="1"/>
  <c r="E1323" i="1"/>
  <c r="E1322" i="1"/>
  <c r="E1321" i="1"/>
  <c r="E1320" i="1"/>
  <c r="E1319" i="1"/>
  <c r="E1318" i="1"/>
  <c r="E1317" i="1"/>
  <c r="E1316" i="1"/>
  <c r="E1315" i="1"/>
  <c r="E1314" i="1"/>
  <c r="E1313" i="1"/>
  <c r="E1312" i="1"/>
  <c r="E1311" i="1"/>
  <c r="E1310" i="1"/>
  <c r="E1309" i="1"/>
  <c r="E1308" i="1"/>
  <c r="E1307" i="1"/>
  <c r="E1306" i="1"/>
  <c r="E1305" i="1"/>
  <c r="E1304" i="1"/>
  <c r="E1303" i="1"/>
  <c r="E1302" i="1"/>
  <c r="E1301" i="1"/>
  <c r="E1300" i="1"/>
  <c r="E1299" i="1"/>
  <c r="E1298" i="1"/>
  <c r="E1297" i="1"/>
  <c r="E1296" i="1"/>
  <c r="E1295" i="1"/>
  <c r="E1294" i="1"/>
  <c r="E1293" i="1"/>
  <c r="E1292" i="1"/>
  <c r="E1291" i="1"/>
  <c r="E1290" i="1"/>
  <c r="E1289" i="1"/>
  <c r="E1288" i="1"/>
  <c r="E1287" i="1"/>
  <c r="E1286" i="1"/>
  <c r="E1285" i="1"/>
  <c r="E1284" i="1"/>
  <c r="E1283" i="1"/>
  <c r="E1282" i="1"/>
  <c r="E1281" i="1"/>
  <c r="E1280" i="1"/>
  <c r="E1279" i="1"/>
  <c r="E1278" i="1"/>
  <c r="E1277" i="1"/>
  <c r="E1276" i="1"/>
  <c r="E1275" i="1"/>
  <c r="E1274" i="1"/>
  <c r="E1273" i="1"/>
  <c r="E1272" i="1"/>
  <c r="E1271" i="1"/>
  <c r="E1270" i="1"/>
  <c r="E1269" i="1"/>
  <c r="E1268" i="1"/>
  <c r="E1267" i="1"/>
  <c r="E1266" i="1"/>
  <c r="E1265" i="1"/>
  <c r="E1264" i="1"/>
  <c r="E1263" i="1"/>
  <c r="E1262" i="1"/>
  <c r="E1261" i="1"/>
  <c r="E1260" i="1"/>
  <c r="E1259" i="1"/>
  <c r="E1258" i="1"/>
  <c r="E1257" i="1"/>
  <c r="E1256" i="1"/>
  <c r="E1255" i="1"/>
  <c r="E1254" i="1"/>
  <c r="E1253" i="1"/>
  <c r="E1252" i="1"/>
  <c r="E1251" i="1"/>
  <c r="E1250" i="1"/>
  <c r="E1249" i="1"/>
  <c r="E1248" i="1"/>
  <c r="E1247" i="1"/>
  <c r="E1246" i="1"/>
  <c r="E1245" i="1"/>
  <c r="E1244" i="1"/>
  <c r="E1243" i="1"/>
  <c r="E1242" i="1"/>
  <c r="E1241" i="1"/>
  <c r="E1240" i="1"/>
  <c r="E1239" i="1"/>
  <c r="E1238" i="1"/>
  <c r="E1237" i="1"/>
  <c r="E1236" i="1"/>
  <c r="E1235" i="1"/>
  <c r="E1234" i="1"/>
  <c r="E1233" i="1"/>
  <c r="E1232" i="1"/>
  <c r="E1231" i="1"/>
  <c r="E1230" i="1"/>
  <c r="E1229" i="1"/>
  <c r="E1228" i="1"/>
  <c r="E1227" i="1"/>
  <c r="E1226" i="1"/>
  <c r="E1225" i="1"/>
  <c r="E1224" i="1"/>
  <c r="E1223" i="1"/>
  <c r="E1222" i="1"/>
  <c r="E1221" i="1"/>
  <c r="E1220" i="1"/>
  <c r="E1219" i="1"/>
  <c r="E1218" i="1"/>
  <c r="E1217" i="1"/>
  <c r="E1216" i="1"/>
  <c r="E1215" i="1"/>
  <c r="E1214" i="1"/>
  <c r="E1213" i="1"/>
  <c r="E1212" i="1"/>
  <c r="E1211" i="1"/>
  <c r="E1210" i="1"/>
  <c r="E1209" i="1"/>
  <c r="E1208" i="1"/>
  <c r="E1207" i="1"/>
  <c r="E1206" i="1"/>
  <c r="E1205" i="1"/>
  <c r="E1204" i="1"/>
  <c r="E1203" i="1"/>
  <c r="E1202" i="1"/>
  <c r="E1201" i="1"/>
  <c r="E1200" i="1"/>
  <c r="E1199" i="1"/>
  <c r="E1198" i="1"/>
  <c r="E1197" i="1"/>
  <c r="E1196" i="1"/>
  <c r="E1195" i="1"/>
  <c r="E1194" i="1"/>
  <c r="E1193" i="1"/>
  <c r="E1192" i="1"/>
  <c r="E1191" i="1"/>
  <c r="E1190" i="1"/>
  <c r="E1189" i="1"/>
  <c r="E1188" i="1"/>
  <c r="E1187" i="1"/>
  <c r="E1186" i="1"/>
  <c r="E1185" i="1"/>
  <c r="E1184" i="1"/>
  <c r="E1183" i="1"/>
  <c r="E1182" i="1"/>
  <c r="E1181" i="1"/>
  <c r="E1180" i="1"/>
  <c r="E1179" i="1"/>
  <c r="E1178" i="1"/>
  <c r="E1177" i="1"/>
  <c r="E1176" i="1"/>
  <c r="E1175" i="1"/>
  <c r="E1174" i="1"/>
  <c r="E1173" i="1"/>
  <c r="E1172" i="1"/>
  <c r="E1171" i="1"/>
  <c r="E1170" i="1"/>
  <c r="E1169" i="1"/>
  <c r="E1168" i="1"/>
  <c r="E1167" i="1"/>
  <c r="E1166" i="1"/>
  <c r="E1165" i="1"/>
  <c r="E1164" i="1"/>
  <c r="E1163" i="1"/>
  <c r="E1162" i="1"/>
  <c r="E1161" i="1"/>
  <c r="E1160" i="1"/>
  <c r="E1159" i="1"/>
  <c r="E1158" i="1"/>
  <c r="E1157" i="1"/>
  <c r="E1156" i="1"/>
  <c r="E1155" i="1"/>
  <c r="E1154" i="1"/>
  <c r="E1153" i="1"/>
  <c r="E1152" i="1"/>
  <c r="E1151" i="1"/>
  <c r="E1150" i="1"/>
  <c r="E1149" i="1"/>
  <c r="E1148" i="1"/>
  <c r="E1147" i="1"/>
  <c r="E1146" i="1"/>
  <c r="E1145" i="1"/>
  <c r="E1144" i="1"/>
  <c r="E1143" i="1"/>
  <c r="E1142" i="1"/>
  <c r="E1141" i="1"/>
  <c r="E1140" i="1"/>
  <c r="E1139" i="1"/>
  <c r="E1138" i="1"/>
  <c r="E1137" i="1"/>
  <c r="E1136" i="1"/>
  <c r="E1135" i="1"/>
  <c r="E1134" i="1"/>
  <c r="E1133" i="1"/>
  <c r="E1132" i="1"/>
  <c r="E1131" i="1"/>
  <c r="E1130" i="1"/>
  <c r="E1129" i="1"/>
  <c r="E1128" i="1"/>
  <c r="E1127" i="1"/>
  <c r="E1126" i="1"/>
  <c r="E1125" i="1"/>
  <c r="E1124" i="1"/>
  <c r="E1123" i="1"/>
  <c r="E1122" i="1"/>
  <c r="E1121" i="1"/>
  <c r="E1120" i="1"/>
  <c r="E1119" i="1"/>
  <c r="E1118" i="1"/>
  <c r="E1117" i="1"/>
  <c r="E1116" i="1"/>
  <c r="E1115" i="1"/>
  <c r="E1114" i="1"/>
  <c r="E1113" i="1"/>
  <c r="E1112" i="1"/>
  <c r="E1111" i="1"/>
  <c r="E1110" i="1"/>
  <c r="E1109" i="1"/>
  <c r="E1108" i="1"/>
  <c r="E1107" i="1"/>
  <c r="E1106" i="1"/>
  <c r="E1105" i="1"/>
  <c r="E1104" i="1"/>
  <c r="E1103" i="1"/>
  <c r="E1102" i="1"/>
  <c r="E1101" i="1"/>
  <c r="E1100" i="1"/>
  <c r="E1099" i="1"/>
  <c r="E1098" i="1"/>
  <c r="E1097" i="1"/>
  <c r="E1096" i="1"/>
  <c r="E1095" i="1"/>
  <c r="E1094" i="1"/>
  <c r="E1093" i="1"/>
  <c r="E1092" i="1"/>
  <c r="E1091" i="1"/>
  <c r="E1090" i="1"/>
  <c r="E1089" i="1"/>
  <c r="E1088" i="1"/>
  <c r="E1087" i="1"/>
  <c r="E1086" i="1"/>
  <c r="E1085" i="1"/>
  <c r="E1084" i="1"/>
  <c r="E1083" i="1"/>
  <c r="E1082" i="1"/>
  <c r="E1081" i="1"/>
  <c r="E1080" i="1"/>
  <c r="E1079" i="1"/>
  <c r="E1078" i="1"/>
  <c r="E1077" i="1"/>
  <c r="E1076" i="1"/>
  <c r="E1075" i="1"/>
  <c r="E1074" i="1"/>
  <c r="E1073" i="1"/>
  <c r="E1072" i="1"/>
  <c r="E1071" i="1"/>
  <c r="E1070" i="1"/>
  <c r="E1069" i="1"/>
  <c r="E1068" i="1"/>
  <c r="E1067" i="1"/>
  <c r="E1066" i="1"/>
  <c r="E1065" i="1"/>
  <c r="E1064" i="1"/>
  <c r="E1063" i="1"/>
  <c r="E1062" i="1"/>
  <c r="E1061" i="1"/>
  <c r="E1060" i="1"/>
  <c r="E1059" i="1"/>
  <c r="E1058" i="1"/>
  <c r="E1057" i="1"/>
  <c r="E1056" i="1"/>
  <c r="E1055" i="1"/>
  <c r="E1054" i="1"/>
  <c r="E1053" i="1"/>
  <c r="E1052" i="1"/>
  <c r="E1051" i="1"/>
  <c r="E1050" i="1"/>
  <c r="E1049" i="1"/>
  <c r="E1048" i="1"/>
  <c r="E1047" i="1"/>
  <c r="E1046" i="1"/>
  <c r="E1045" i="1"/>
  <c r="E1044" i="1"/>
  <c r="E1043" i="1"/>
  <c r="E1042" i="1"/>
  <c r="E1041" i="1"/>
  <c r="E1040" i="1"/>
  <c r="E1039" i="1"/>
  <c r="E1038" i="1"/>
  <c r="E1037" i="1"/>
  <c r="E1036" i="1"/>
  <c r="E1035" i="1"/>
  <c r="E1034" i="1"/>
  <c r="E1033" i="1"/>
  <c r="E1032" i="1"/>
  <c r="E1031" i="1"/>
  <c r="E1030" i="1"/>
  <c r="E1029" i="1"/>
  <c r="E1028" i="1"/>
  <c r="E1027" i="1"/>
  <c r="E1026" i="1"/>
  <c r="E1025" i="1"/>
  <c r="E1024" i="1"/>
  <c r="E1023" i="1"/>
  <c r="E1022" i="1"/>
  <c r="E1021" i="1"/>
  <c r="E1020" i="1"/>
  <c r="E1019" i="1"/>
  <c r="E1018" i="1"/>
  <c r="E1017" i="1"/>
  <c r="E1016" i="1"/>
  <c r="E1015" i="1"/>
  <c r="E1014" i="1"/>
  <c r="E1013" i="1"/>
  <c r="E1012" i="1"/>
  <c r="E1011" i="1"/>
  <c r="E1010" i="1"/>
  <c r="E1009" i="1"/>
  <c r="E1008" i="1"/>
  <c r="E1007" i="1"/>
  <c r="E1006" i="1"/>
  <c r="E1005" i="1"/>
  <c r="E1004" i="1"/>
  <c r="E1003" i="1"/>
  <c r="E1002" i="1"/>
  <c r="E1001" i="1"/>
  <c r="E1000" i="1"/>
  <c r="E999" i="1"/>
  <c r="E998" i="1"/>
  <c r="E997" i="1"/>
  <c r="E996" i="1"/>
  <c r="E995" i="1"/>
  <c r="E994" i="1"/>
  <c r="E993" i="1"/>
  <c r="E992" i="1"/>
  <c r="E991" i="1"/>
  <c r="E990" i="1"/>
  <c r="E989" i="1"/>
  <c r="E988" i="1"/>
  <c r="E987" i="1"/>
  <c r="E986" i="1"/>
  <c r="E985" i="1"/>
  <c r="E984" i="1"/>
  <c r="E983" i="1"/>
  <c r="E982" i="1"/>
  <c r="E981" i="1"/>
  <c r="E980" i="1"/>
  <c r="E979" i="1"/>
  <c r="E978" i="1"/>
  <c r="E977" i="1"/>
  <c r="E976" i="1"/>
  <c r="E975" i="1"/>
  <c r="E974" i="1"/>
  <c r="E973" i="1"/>
  <c r="E972" i="1"/>
  <c r="E971" i="1"/>
  <c r="E970" i="1"/>
  <c r="E969" i="1"/>
  <c r="E968" i="1"/>
  <c r="E967" i="1"/>
  <c r="E966" i="1"/>
  <c r="E965" i="1"/>
  <c r="E964" i="1"/>
  <c r="E963" i="1"/>
  <c r="E962" i="1"/>
  <c r="E961" i="1"/>
  <c r="E960" i="1"/>
  <c r="E959" i="1"/>
  <c r="E958" i="1"/>
  <c r="E957" i="1"/>
  <c r="E956" i="1"/>
  <c r="E955" i="1"/>
  <c r="E954" i="1"/>
  <c r="E953" i="1"/>
  <c r="E952" i="1"/>
  <c r="E951" i="1"/>
  <c r="E950" i="1"/>
  <c r="E949" i="1"/>
  <c r="E948" i="1"/>
  <c r="E947" i="1"/>
  <c r="E946" i="1"/>
  <c r="E945" i="1"/>
  <c r="E944" i="1"/>
  <c r="E943" i="1"/>
  <c r="E942" i="1"/>
  <c r="E941" i="1"/>
  <c r="E940" i="1"/>
  <c r="E939" i="1"/>
  <c r="E938" i="1"/>
  <c r="E937" i="1"/>
  <c r="E936" i="1"/>
  <c r="E935" i="1"/>
  <c r="E934" i="1"/>
  <c r="E933" i="1"/>
  <c r="E932" i="1"/>
  <c r="E931" i="1"/>
  <c r="E930" i="1"/>
  <c r="E929" i="1"/>
  <c r="E928" i="1"/>
  <c r="E927" i="1"/>
  <c r="E926" i="1"/>
  <c r="E925" i="1"/>
  <c r="E924" i="1"/>
  <c r="E923" i="1"/>
  <c r="E922" i="1"/>
  <c r="E921" i="1"/>
  <c r="E920" i="1"/>
  <c r="E919" i="1"/>
  <c r="E918" i="1"/>
  <c r="E917" i="1"/>
  <c r="E916" i="1"/>
  <c r="E915" i="1"/>
  <c r="E914" i="1"/>
  <c r="E913" i="1"/>
  <c r="E912" i="1"/>
  <c r="E911" i="1"/>
  <c r="E910" i="1"/>
  <c r="E909" i="1"/>
  <c r="E908" i="1"/>
  <c r="E907" i="1"/>
  <c r="E906" i="1"/>
  <c r="E905" i="1"/>
  <c r="E904" i="1"/>
  <c r="E903" i="1"/>
  <c r="E902" i="1"/>
  <c r="E901" i="1"/>
  <c r="E900" i="1"/>
  <c r="E899" i="1"/>
  <c r="E898" i="1"/>
  <c r="E897" i="1"/>
  <c r="E896" i="1"/>
  <c r="E895" i="1"/>
  <c r="E894" i="1"/>
  <c r="E893" i="1"/>
  <c r="E892" i="1"/>
  <c r="E891" i="1"/>
  <c r="E890" i="1"/>
  <c r="E889" i="1"/>
  <c r="E888" i="1"/>
  <c r="E887" i="1"/>
  <c r="E886" i="1"/>
  <c r="E885" i="1"/>
  <c r="E884" i="1"/>
  <c r="E883" i="1"/>
  <c r="E882" i="1"/>
  <c r="E881" i="1"/>
  <c r="E880" i="1"/>
  <c r="E879" i="1"/>
  <c r="E878" i="1"/>
  <c r="E877" i="1"/>
  <c r="E876" i="1"/>
  <c r="E875" i="1"/>
  <c r="E874" i="1"/>
  <c r="E873" i="1"/>
  <c r="E872" i="1"/>
  <c r="E871" i="1"/>
  <c r="E870" i="1"/>
  <c r="E869" i="1"/>
  <c r="E868" i="1"/>
  <c r="E867" i="1"/>
  <c r="E866" i="1"/>
  <c r="E865" i="1"/>
  <c r="E864" i="1"/>
  <c r="E863" i="1"/>
  <c r="E862" i="1"/>
  <c r="E861" i="1"/>
  <c r="E860" i="1"/>
  <c r="E859" i="1"/>
  <c r="E858" i="1"/>
  <c r="E857" i="1"/>
  <c r="E856" i="1"/>
  <c r="E855" i="1"/>
  <c r="E854" i="1"/>
  <c r="E853" i="1"/>
  <c r="E852" i="1"/>
  <c r="E851" i="1"/>
  <c r="E850" i="1"/>
  <c r="E849" i="1"/>
  <c r="E848" i="1"/>
  <c r="E847" i="1"/>
  <c r="E846" i="1"/>
  <c r="E845" i="1"/>
  <c r="E844" i="1"/>
  <c r="E843" i="1"/>
  <c r="E842" i="1"/>
  <c r="E841" i="1"/>
  <c r="E840" i="1"/>
  <c r="E839" i="1"/>
  <c r="E838" i="1"/>
  <c r="E837" i="1"/>
  <c r="E836" i="1"/>
  <c r="E835" i="1"/>
  <c r="E834" i="1"/>
  <c r="E833" i="1"/>
  <c r="E832" i="1"/>
  <c r="E831" i="1"/>
  <c r="E830" i="1"/>
  <c r="E829" i="1"/>
  <c r="E828" i="1"/>
  <c r="E827" i="1"/>
  <c r="E826" i="1"/>
  <c r="E825" i="1"/>
  <c r="E824" i="1"/>
  <c r="E823" i="1"/>
  <c r="E822" i="1"/>
  <c r="E821" i="1"/>
  <c r="E820" i="1"/>
  <c r="E819" i="1"/>
  <c r="E818" i="1"/>
  <c r="E817" i="1"/>
  <c r="E816" i="1"/>
  <c r="E815" i="1"/>
  <c r="E814" i="1"/>
  <c r="E813" i="1"/>
  <c r="E812" i="1"/>
  <c r="E811" i="1"/>
  <c r="E810" i="1"/>
  <c r="E809" i="1"/>
  <c r="E808" i="1"/>
  <c r="E807" i="1"/>
  <c r="E806" i="1"/>
  <c r="E805" i="1"/>
  <c r="E804" i="1"/>
  <c r="E803" i="1"/>
  <c r="E802" i="1"/>
  <c r="E801" i="1"/>
  <c r="E800" i="1"/>
  <c r="E799" i="1"/>
  <c r="E798" i="1"/>
  <c r="E797" i="1"/>
  <c r="E796" i="1"/>
  <c r="E795" i="1"/>
  <c r="E794" i="1"/>
  <c r="E793" i="1"/>
  <c r="E792" i="1"/>
  <c r="E791" i="1"/>
  <c r="E790" i="1"/>
  <c r="E789" i="1"/>
  <c r="E788" i="1"/>
  <c r="E787" i="1"/>
  <c r="E786" i="1"/>
  <c r="E785" i="1"/>
  <c r="E784" i="1"/>
  <c r="E783" i="1"/>
  <c r="E782" i="1"/>
  <c r="E781" i="1"/>
  <c r="E780" i="1"/>
  <c r="E779" i="1"/>
  <c r="E778" i="1"/>
  <c r="E777" i="1"/>
  <c r="E776" i="1"/>
  <c r="E775" i="1"/>
  <c r="E774" i="1"/>
  <c r="E773" i="1"/>
  <c r="E772" i="1"/>
  <c r="E771" i="1"/>
  <c r="E770" i="1"/>
  <c r="E769" i="1"/>
  <c r="E768" i="1"/>
  <c r="E767" i="1"/>
  <c r="E766" i="1"/>
  <c r="E765" i="1"/>
  <c r="E764" i="1"/>
  <c r="E763" i="1"/>
  <c r="E762" i="1"/>
  <c r="E761" i="1"/>
  <c r="E760" i="1"/>
  <c r="E759" i="1"/>
  <c r="E758" i="1"/>
  <c r="E757" i="1"/>
  <c r="E756" i="1"/>
  <c r="E755" i="1"/>
  <c r="E754" i="1"/>
  <c r="E753" i="1"/>
  <c r="E752" i="1"/>
  <c r="E751" i="1"/>
  <c r="E750" i="1"/>
  <c r="E749" i="1"/>
  <c r="E748" i="1"/>
  <c r="E747" i="1"/>
  <c r="E746" i="1"/>
  <c r="E745" i="1"/>
  <c r="E744" i="1"/>
  <c r="E743" i="1"/>
  <c r="E742" i="1"/>
  <c r="E741" i="1"/>
  <c r="E740" i="1"/>
  <c r="E739" i="1"/>
  <c r="E738" i="1"/>
  <c r="E737" i="1"/>
  <c r="E736" i="1"/>
  <c r="E735" i="1"/>
  <c r="E734" i="1"/>
  <c r="E733" i="1"/>
  <c r="E732" i="1"/>
  <c r="E731" i="1"/>
  <c r="E730" i="1"/>
  <c r="E729" i="1"/>
  <c r="E728" i="1"/>
  <c r="E727" i="1"/>
  <c r="E726" i="1"/>
  <c r="E725" i="1"/>
  <c r="E724" i="1"/>
  <c r="E723" i="1"/>
  <c r="E722" i="1"/>
  <c r="E721" i="1"/>
  <c r="E720" i="1"/>
  <c r="E719" i="1"/>
  <c r="E718" i="1"/>
  <c r="E717" i="1"/>
  <c r="E716" i="1"/>
  <c r="E715" i="1"/>
  <c r="E714" i="1"/>
  <c r="E713" i="1"/>
  <c r="E712" i="1"/>
  <c r="E711" i="1"/>
  <c r="E710" i="1"/>
  <c r="E709" i="1"/>
  <c r="E708" i="1"/>
  <c r="E707" i="1"/>
  <c r="E706" i="1"/>
  <c r="E705" i="1"/>
  <c r="E704" i="1"/>
  <c r="E703" i="1"/>
  <c r="E702" i="1"/>
  <c r="E701" i="1"/>
  <c r="E700" i="1"/>
  <c r="E699" i="1"/>
  <c r="E698" i="1"/>
  <c r="E697" i="1"/>
  <c r="E696" i="1"/>
  <c r="E695" i="1"/>
  <c r="E694" i="1"/>
  <c r="E693" i="1"/>
  <c r="E692" i="1"/>
  <c r="E691" i="1"/>
  <c r="E690" i="1"/>
  <c r="E689" i="1"/>
  <c r="E688" i="1"/>
  <c r="E687" i="1"/>
  <c r="E686" i="1"/>
  <c r="E685" i="1"/>
  <c r="E684" i="1"/>
  <c r="E683" i="1"/>
  <c r="E682" i="1"/>
  <c r="E681" i="1"/>
  <c r="E680" i="1"/>
  <c r="E679" i="1"/>
  <c r="E678" i="1"/>
  <c r="E677" i="1"/>
  <c r="E676" i="1"/>
  <c r="E675" i="1"/>
  <c r="E674" i="1"/>
  <c r="E673" i="1"/>
  <c r="E672" i="1"/>
  <c r="E671" i="1"/>
  <c r="E670" i="1"/>
  <c r="E669" i="1"/>
  <c r="E668" i="1"/>
  <c r="E667" i="1"/>
  <c r="E666" i="1"/>
  <c r="E665" i="1"/>
  <c r="E664" i="1"/>
  <c r="E663" i="1"/>
  <c r="E662" i="1"/>
  <c r="E661" i="1"/>
  <c r="E660" i="1"/>
  <c r="E659" i="1"/>
  <c r="E658" i="1"/>
  <c r="E657" i="1"/>
  <c r="E656" i="1"/>
  <c r="E655" i="1"/>
  <c r="E654" i="1"/>
  <c r="E653" i="1"/>
  <c r="E652" i="1"/>
  <c r="E651" i="1"/>
  <c r="E650" i="1"/>
  <c r="E649" i="1"/>
  <c r="E648" i="1"/>
  <c r="E647" i="1"/>
  <c r="E646" i="1"/>
  <c r="E645" i="1"/>
  <c r="E644" i="1"/>
  <c r="E643" i="1"/>
  <c r="E642" i="1"/>
  <c r="E641" i="1"/>
  <c r="E640" i="1"/>
  <c r="E639" i="1"/>
  <c r="E638" i="1"/>
  <c r="E637" i="1"/>
  <c r="E636" i="1"/>
  <c r="E635" i="1"/>
  <c r="E634" i="1"/>
  <c r="E633" i="1"/>
  <c r="E632" i="1"/>
  <c r="E631" i="1"/>
  <c r="E630" i="1"/>
  <c r="E629" i="1"/>
  <c r="E628" i="1"/>
  <c r="E627" i="1"/>
  <c r="E626" i="1"/>
  <c r="E625" i="1"/>
  <c r="E624" i="1"/>
  <c r="E623" i="1"/>
  <c r="E622" i="1"/>
  <c r="E621" i="1"/>
  <c r="E620" i="1"/>
  <c r="E619" i="1"/>
  <c r="E618" i="1"/>
  <c r="E617" i="1"/>
  <c r="E616" i="1"/>
  <c r="E615" i="1"/>
  <c r="E614" i="1"/>
  <c r="E613" i="1"/>
  <c r="E612" i="1"/>
  <c r="E611" i="1"/>
  <c r="E610" i="1"/>
  <c r="E609" i="1"/>
  <c r="E608" i="1"/>
  <c r="E607" i="1"/>
  <c r="E606" i="1"/>
  <c r="E605" i="1"/>
  <c r="E604" i="1"/>
  <c r="E603" i="1"/>
  <c r="E602" i="1"/>
  <c r="E601" i="1"/>
  <c r="E600" i="1"/>
  <c r="E599" i="1"/>
  <c r="E598" i="1"/>
  <c r="E597" i="1"/>
  <c r="E596" i="1"/>
  <c r="E595" i="1"/>
  <c r="E594" i="1"/>
  <c r="E593" i="1"/>
  <c r="E592" i="1"/>
  <c r="E591" i="1"/>
  <c r="E590" i="1"/>
  <c r="E589" i="1"/>
  <c r="E588" i="1"/>
  <c r="E587" i="1"/>
  <c r="E586" i="1"/>
  <c r="E585" i="1"/>
  <c r="E584" i="1"/>
  <c r="E583" i="1"/>
  <c r="E582" i="1"/>
  <c r="E581" i="1"/>
  <c r="E580" i="1"/>
  <c r="E579" i="1"/>
  <c r="E578" i="1"/>
  <c r="E577" i="1"/>
  <c r="E576" i="1"/>
  <c r="E575" i="1"/>
  <c r="E574" i="1"/>
  <c r="E573" i="1"/>
  <c r="E572" i="1"/>
  <c r="E571" i="1"/>
  <c r="E570" i="1"/>
  <c r="E569" i="1"/>
  <c r="E568" i="1"/>
  <c r="E567" i="1"/>
  <c r="E566" i="1"/>
  <c r="E565" i="1"/>
  <c r="E564" i="1"/>
  <c r="E563" i="1"/>
  <c r="E562" i="1"/>
  <c r="E561" i="1"/>
  <c r="E560" i="1"/>
  <c r="E559" i="1"/>
  <c r="E558" i="1"/>
  <c r="E557" i="1"/>
  <c r="E556" i="1"/>
  <c r="E555" i="1"/>
  <c r="E554" i="1"/>
  <c r="E553" i="1"/>
  <c r="E552" i="1"/>
  <c r="E551" i="1"/>
  <c r="E550" i="1"/>
  <c r="E549" i="1"/>
  <c r="E548" i="1"/>
  <c r="E547" i="1"/>
  <c r="E546" i="1"/>
  <c r="E545" i="1"/>
  <c r="E544" i="1"/>
  <c r="E543" i="1"/>
  <c r="E542" i="1"/>
  <c r="E541" i="1"/>
  <c r="E540" i="1"/>
  <c r="E539" i="1"/>
  <c r="E538" i="1"/>
  <c r="E537" i="1"/>
  <c r="E536" i="1"/>
  <c r="E535" i="1"/>
  <c r="E534" i="1"/>
  <c r="E533" i="1"/>
  <c r="E532" i="1"/>
  <c r="E531" i="1"/>
  <c r="E530" i="1"/>
  <c r="E529" i="1"/>
  <c r="E528" i="1"/>
  <c r="E527" i="1"/>
  <c r="E526" i="1"/>
  <c r="E525" i="1"/>
  <c r="E524" i="1"/>
  <c r="E523" i="1"/>
  <c r="E522" i="1"/>
  <c r="E521" i="1"/>
  <c r="E520" i="1"/>
  <c r="E519" i="1"/>
  <c r="E518" i="1"/>
  <c r="E517" i="1"/>
  <c r="E516" i="1"/>
  <c r="E515" i="1"/>
  <c r="E514" i="1"/>
  <c r="E513" i="1"/>
  <c r="E512" i="1"/>
  <c r="E511" i="1"/>
  <c r="E510" i="1"/>
  <c r="E509" i="1"/>
  <c r="E508" i="1"/>
  <c r="E507" i="1"/>
  <c r="E506" i="1"/>
  <c r="E505" i="1"/>
  <c r="E504" i="1"/>
  <c r="E503" i="1"/>
  <c r="E502" i="1"/>
  <c r="E501" i="1"/>
  <c r="E500" i="1"/>
  <c r="E499" i="1"/>
  <c r="E498" i="1"/>
  <c r="E497" i="1"/>
  <c r="E496" i="1"/>
  <c r="E495" i="1"/>
  <c r="E494" i="1"/>
  <c r="E493" i="1"/>
  <c r="E492" i="1"/>
  <c r="E491" i="1"/>
  <c r="E490" i="1"/>
  <c r="E489" i="1"/>
  <c r="E488" i="1"/>
  <c r="E487" i="1"/>
  <c r="E486" i="1"/>
  <c r="E485" i="1"/>
  <c r="E484" i="1"/>
  <c r="E483" i="1"/>
  <c r="E482" i="1"/>
  <c r="E481" i="1"/>
  <c r="E480" i="1"/>
  <c r="E479" i="1"/>
  <c r="E478" i="1"/>
  <c r="E477" i="1"/>
  <c r="E476" i="1"/>
  <c r="E475" i="1"/>
  <c r="E474" i="1"/>
  <c r="E473" i="1"/>
  <c r="E472" i="1"/>
  <c r="E471" i="1"/>
  <c r="E470" i="1"/>
  <c r="E469" i="1"/>
  <c r="E468" i="1"/>
  <c r="E467" i="1"/>
  <c r="E466" i="1"/>
  <c r="E465" i="1"/>
  <c r="E464" i="1"/>
  <c r="E463" i="1"/>
  <c r="E462" i="1"/>
  <c r="E461" i="1"/>
  <c r="E460" i="1"/>
  <c r="E459" i="1"/>
  <c r="E458" i="1"/>
  <c r="E457" i="1"/>
  <c r="E456" i="1"/>
  <c r="E455" i="1"/>
  <c r="E454" i="1"/>
  <c r="E453" i="1"/>
  <c r="E452" i="1"/>
  <c r="E451" i="1"/>
  <c r="E450" i="1"/>
  <c r="E449" i="1"/>
  <c r="E448" i="1"/>
  <c r="E447" i="1"/>
  <c r="E446" i="1"/>
  <c r="E445" i="1"/>
  <c r="E444" i="1"/>
  <c r="E443" i="1"/>
  <c r="E442" i="1"/>
  <c r="E441" i="1"/>
  <c r="E440" i="1"/>
  <c r="E439" i="1"/>
  <c r="E438" i="1"/>
  <c r="E437" i="1"/>
  <c r="E436" i="1"/>
  <c r="E435" i="1"/>
  <c r="E434" i="1"/>
  <c r="E433" i="1"/>
  <c r="E432" i="1"/>
  <c r="E431" i="1"/>
  <c r="E430" i="1"/>
  <c r="E429" i="1"/>
  <c r="E428" i="1"/>
  <c r="E427" i="1"/>
  <c r="E426" i="1"/>
  <c r="E425" i="1"/>
  <c r="E424" i="1"/>
  <c r="E423" i="1"/>
  <c r="E422" i="1"/>
  <c r="E421" i="1"/>
  <c r="E420" i="1"/>
  <c r="E419" i="1"/>
  <c r="E418" i="1"/>
  <c r="E417" i="1"/>
  <c r="E416" i="1"/>
  <c r="E415" i="1"/>
  <c r="E414" i="1"/>
  <c r="E413" i="1"/>
  <c r="E412" i="1"/>
  <c r="E411" i="1"/>
  <c r="E410" i="1"/>
  <c r="E409" i="1"/>
  <c r="E408" i="1"/>
  <c r="E407" i="1"/>
  <c r="E406" i="1"/>
  <c r="E405" i="1"/>
  <c r="E404" i="1"/>
  <c r="E403" i="1"/>
  <c r="E402" i="1"/>
  <c r="E401" i="1"/>
  <c r="E400" i="1"/>
  <c r="E399" i="1"/>
  <c r="E398" i="1"/>
  <c r="E397" i="1"/>
  <c r="E396" i="1"/>
  <c r="E395" i="1"/>
  <c r="E394" i="1"/>
  <c r="E393" i="1"/>
  <c r="E392" i="1"/>
  <c r="E391" i="1"/>
  <c r="E390" i="1"/>
  <c r="E389" i="1"/>
  <c r="E388" i="1"/>
  <c r="E387" i="1"/>
  <c r="E386" i="1"/>
  <c r="E385" i="1"/>
  <c r="E384" i="1"/>
  <c r="E383" i="1"/>
  <c r="E382" i="1"/>
  <c r="E381" i="1"/>
  <c r="E380" i="1"/>
  <c r="E379" i="1"/>
  <c r="E378" i="1"/>
  <c r="E377" i="1"/>
  <c r="E376" i="1"/>
  <c r="E375" i="1"/>
  <c r="E374" i="1"/>
  <c r="E373" i="1"/>
  <c r="E372" i="1"/>
  <c r="E371" i="1"/>
  <c r="E370" i="1"/>
  <c r="E369" i="1"/>
  <c r="E368" i="1"/>
  <c r="E367" i="1"/>
  <c r="E366" i="1"/>
  <c r="E365" i="1"/>
  <c r="E364" i="1"/>
  <c r="E363" i="1"/>
  <c r="E362" i="1"/>
  <c r="E361" i="1"/>
  <c r="E360" i="1"/>
  <c r="E359" i="1"/>
  <c r="E358" i="1"/>
  <c r="E357" i="1"/>
  <c r="E356" i="1"/>
  <c r="E355" i="1"/>
  <c r="E354" i="1"/>
  <c r="E353" i="1"/>
  <c r="E352" i="1"/>
  <c r="E351" i="1"/>
  <c r="E350" i="1"/>
  <c r="E349" i="1"/>
  <c r="E348" i="1"/>
  <c r="E347" i="1"/>
  <c r="E346" i="1"/>
  <c r="E345" i="1"/>
  <c r="E344" i="1"/>
  <c r="E343" i="1"/>
  <c r="E342" i="1"/>
  <c r="E341" i="1"/>
  <c r="E340" i="1"/>
  <c r="E339" i="1"/>
  <c r="E338" i="1"/>
  <c r="E337" i="1"/>
  <c r="E336" i="1"/>
  <c r="E335" i="1"/>
  <c r="E334" i="1"/>
  <c r="E333" i="1"/>
  <c r="E332" i="1"/>
  <c r="E331" i="1"/>
  <c r="E330" i="1"/>
  <c r="E329" i="1"/>
  <c r="E328" i="1"/>
  <c r="E327" i="1"/>
  <c r="E326" i="1"/>
  <c r="E325" i="1"/>
  <c r="E324" i="1"/>
  <c r="E323" i="1"/>
  <c r="E322" i="1"/>
  <c r="E321" i="1"/>
  <c r="E320" i="1"/>
  <c r="E319" i="1"/>
  <c r="E318" i="1"/>
  <c r="E317" i="1"/>
  <c r="E316" i="1"/>
  <c r="E315" i="1"/>
  <c r="E314" i="1"/>
  <c r="E313" i="1"/>
  <c r="E312" i="1"/>
  <c r="E311" i="1"/>
  <c r="E310" i="1"/>
  <c r="E309" i="1"/>
  <c r="E308" i="1"/>
  <c r="E307" i="1"/>
  <c r="E306" i="1"/>
  <c r="E305" i="1"/>
  <c r="E304" i="1"/>
  <c r="E303" i="1"/>
  <c r="E302" i="1"/>
  <c r="E301" i="1"/>
  <c r="E300" i="1"/>
  <c r="E299" i="1"/>
  <c r="E298" i="1"/>
  <c r="E297" i="1"/>
  <c r="E296" i="1"/>
  <c r="E295" i="1"/>
  <c r="E294" i="1"/>
  <c r="E293" i="1"/>
  <c r="E292" i="1"/>
  <c r="E291" i="1"/>
  <c r="E290" i="1"/>
  <c r="E289" i="1"/>
  <c r="E288" i="1"/>
  <c r="E287" i="1"/>
  <c r="E286" i="1"/>
  <c r="E285" i="1"/>
  <c r="E284" i="1"/>
  <c r="E283" i="1"/>
  <c r="E282" i="1"/>
  <c r="E281" i="1"/>
  <c r="E280" i="1"/>
  <c r="E279" i="1"/>
  <c r="E278" i="1"/>
  <c r="E277" i="1"/>
  <c r="E276" i="1"/>
  <c r="E275" i="1"/>
  <c r="E274" i="1"/>
  <c r="E273" i="1"/>
  <c r="E272" i="1"/>
  <c r="E271" i="1"/>
  <c r="E270" i="1"/>
  <c r="E269" i="1"/>
  <c r="E268" i="1"/>
  <c r="E267" i="1"/>
  <c r="E266" i="1"/>
  <c r="E265" i="1"/>
  <c r="E264" i="1"/>
  <c r="E263" i="1"/>
  <c r="E262" i="1"/>
  <c r="E261" i="1"/>
  <c r="E260" i="1"/>
  <c r="E259" i="1"/>
  <c r="E258" i="1"/>
  <c r="E257" i="1"/>
  <c r="E256" i="1"/>
  <c r="E255" i="1"/>
  <c r="E254" i="1"/>
  <c r="E253" i="1"/>
  <c r="E252" i="1"/>
  <c r="E251" i="1"/>
  <c r="E250" i="1"/>
  <c r="E249" i="1"/>
  <c r="E248" i="1"/>
  <c r="E247" i="1"/>
  <c r="E246" i="1"/>
  <c r="E245" i="1"/>
  <c r="E244" i="1"/>
  <c r="E243" i="1"/>
  <c r="E242" i="1"/>
  <c r="E241" i="1"/>
  <c r="E240" i="1"/>
  <c r="E239" i="1"/>
  <c r="E238" i="1"/>
  <c r="E237" i="1"/>
  <c r="E236" i="1"/>
  <c r="E235" i="1"/>
  <c r="E234" i="1"/>
  <c r="E233" i="1"/>
  <c r="E232" i="1"/>
  <c r="E231" i="1"/>
  <c r="E230" i="1"/>
  <c r="E229" i="1"/>
  <c r="E228" i="1"/>
  <c r="E227" i="1"/>
  <c r="E226" i="1"/>
  <c r="E225" i="1"/>
  <c r="E224" i="1"/>
  <c r="E223" i="1"/>
  <c r="E222" i="1"/>
  <c r="E221" i="1"/>
  <c r="E220" i="1"/>
  <c r="E219" i="1"/>
  <c r="E218" i="1"/>
  <c r="E217" i="1"/>
  <c r="E216" i="1"/>
  <c r="E215" i="1"/>
  <c r="E214" i="1"/>
  <c r="E213" i="1"/>
  <c r="E212" i="1"/>
  <c r="E211" i="1"/>
  <c r="E210" i="1"/>
  <c r="E209" i="1"/>
  <c r="E208" i="1"/>
  <c r="E207" i="1"/>
  <c r="E206" i="1"/>
  <c r="E205" i="1"/>
  <c r="E204" i="1"/>
  <c r="E203" i="1"/>
  <c r="E202" i="1"/>
  <c r="E201" i="1"/>
  <c r="E200" i="1"/>
  <c r="E199" i="1"/>
  <c r="E198" i="1"/>
  <c r="E197" i="1"/>
  <c r="E196" i="1"/>
  <c r="E195" i="1"/>
  <c r="E194" i="1"/>
  <c r="E193" i="1"/>
  <c r="E192" i="1"/>
  <c r="E191" i="1"/>
  <c r="E190" i="1"/>
  <c r="E189" i="1"/>
  <c r="E188" i="1"/>
  <c r="E187" i="1"/>
  <c r="E186" i="1"/>
  <c r="E185" i="1"/>
  <c r="E184" i="1"/>
  <c r="E183" i="1"/>
  <c r="E182" i="1"/>
  <c r="E181" i="1"/>
  <c r="E180" i="1"/>
  <c r="E179" i="1"/>
  <c r="E178" i="1"/>
  <c r="E177" i="1"/>
  <c r="E176" i="1"/>
  <c r="E175" i="1"/>
  <c r="E174" i="1"/>
  <c r="E173" i="1"/>
  <c r="E172" i="1"/>
  <c r="E171" i="1"/>
  <c r="E170" i="1"/>
  <c r="E169" i="1"/>
  <c r="E168" i="1"/>
  <c r="E167" i="1"/>
  <c r="E166" i="1"/>
  <c r="E165" i="1"/>
  <c r="E164" i="1"/>
  <c r="E163" i="1"/>
  <c r="E162" i="1"/>
  <c r="E161" i="1"/>
  <c r="E160" i="1"/>
  <c r="E159" i="1"/>
  <c r="E158" i="1"/>
  <c r="E157" i="1"/>
  <c r="E156" i="1"/>
  <c r="E155"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5" i="1"/>
  <c r="E114" i="1"/>
  <c r="E113" i="1"/>
  <c r="E112" i="1"/>
  <c r="E111" i="1"/>
  <c r="E110" i="1"/>
  <c r="E109" i="1"/>
  <c r="E108" i="1"/>
  <c r="E107" i="1"/>
  <c r="E106" i="1"/>
  <c r="E105" i="1"/>
  <c r="E104" i="1"/>
  <c r="E103" i="1"/>
  <c r="E102" i="1"/>
  <c r="E101" i="1"/>
  <c r="E100" i="1"/>
  <c r="E99" i="1"/>
  <c r="E98" i="1"/>
  <c r="E97" i="1"/>
  <c r="E96" i="1"/>
  <c r="E95" i="1"/>
  <c r="E94" i="1"/>
  <c r="E93" i="1"/>
  <c r="E92" i="1"/>
  <c r="E91" i="1"/>
  <c r="E90" i="1"/>
  <c r="E89" i="1"/>
  <c r="E88" i="1"/>
  <c r="E87" i="1"/>
  <c r="E86" i="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E2" i="1"/>
</calcChain>
</file>

<file path=xl/sharedStrings.xml><?xml version="1.0" encoding="utf-8"?>
<sst xmlns="http://schemas.openxmlformats.org/spreadsheetml/2006/main" count="6404" uniqueCount="6403">
  <si>
    <t>tweets</t>
  </si>
  <si>
    <t>likes</t>
  </si>
  <si>
    <t>time</t>
  </si>
  <si>
    <t>ids</t>
  </si>
  <si>
    <t>englishtweets</t>
  </si>
  <si>
    <t>RT @RTErdogan: Kabine Toplantısı Sonrası Millete Sesleniş https://t.co/lfsE61XoZS</t>
  </si>
  <si>
    <t>1472971906668187656</t>
  </si>
  <si>
    <t>Bakanlığımız, belirlenmiş aşı takvimi üzerinden 3 aydan uzun süre geçmiş olan vatandaşlarımızı hatırlatma dozunu yaptırmaları için telefon mesajıyla doğrudan bilgilendirmektedir. HATIRLATMA DOZU zamanı gelenler aşılarını hemen yaptırsınlar. VAKTİNDE YAPILAN AŞI DAHA ÇOK KORUR. https://t.co/mqT95vUm5B</t>
  </si>
  <si>
    <t>1472965515169705986</t>
  </si>
  <si>
    <t>YAKALANARAK GÖZALTINA ALINDI! Didim Devlet Hastanesinde görevli hekime şiddet uygulayan kişi, kamera kayıtları ve yeni deliller üzerine dün yakalanarak gözaltına alındı. Bu önemli gelişmeyi basın açıklamasıyla kamuoyuna duyuran Söke Cumhuriyet Başsavcılığı’na teşekkür ediyoruz.</t>
  </si>
  <si>
    <t>1472687870456516612</t>
  </si>
  <si>
    <t>Salgının sonuçlarının günlük tablodaki verilerle ölçülemeyeceği bir dönemdeyiz. Hayatın tamamını etkileyen Covid-19’un sağlık dışı etkileri zaten öngörülüyordu. Toplumca bize düşen, bu kritik mücadelenin hayatı savunmak anlamına geldiğini bilip, salgın şartlarını hızla aşmaktır. https://t.co/AU8hqhhmFU</t>
  </si>
  <si>
    <t>1472601920426713097</t>
  </si>
  <si>
    <t>Didim Devlet Hastanesinde görevli hekime karşı, adli kontrol için hastaneye polis eşliğinde getirilen bir kişi tarafından ağır şiddet suçu işlendi, arkadaşımıza dört dikiş atıldı. Failin serbest bırakılması hepimizi yaraladı. Başlatılacak yasal sürecin kararlı takipçisi olacağız.</t>
  </si>
  <si>
    <t>1472593353724375040</t>
  </si>
  <si>
    <t>İzmir Kınık’ta bir maden ocağında yaşanan göçük olayında yaralanan 18 kişi Kınık, 6 kişi Bergama, 21 kişi Soma Devlet Hastanesinde tedavi altındadır. Yaralı sayısını 45 olarak düzeltiyoruz. Olay yerinde 14 Ambulans, 2 UMKE Timi ile toplam 48 sağlık personeli görevlendirilmiştir.</t>
  </si>
  <si>
    <t>1472329760667746306</t>
  </si>
  <si>
    <t>İzmir Kınık’taki bir maden ocağında, patlama sonrası meydana gelen göçükte 9 kişi yaralanmış, yaralılar 8 Acil Ambulansla hastanelere nakledilmiştir. İlk tespitlere göre yaralanmalar hafif düzeydedir. İzmir’e, bütün halkımıza geçmiş olsun dileklerimizi sunuyoruz.</t>
  </si>
  <si>
    <t>1472306449971912710</t>
  </si>
  <si>
    <t>Salgının ülkemizdeki seyrini bizler belirleyeceğiz. Birlikte aşı ile korunup tedbirlere uyarak kayıplarımızı azaltacağız. Yok saymakla virüs yok olmuyor ama tedbir ve aşı ile yok olacak. Hatırlatma dozunu ihmal etmeyin. https://t.co/iFgDxGhWRp</t>
  </si>
  <si>
    <t>1472239962586238984</t>
  </si>
  <si>
    <t>4-10 Aralık arasında vaka yoğunluğu bir önceki haftaya göre en çok artan 9 ilimiz: Edirne, Artvin, Tekirdağ, Ordu, Trabzon, Kırklareli, Yozgat, Rize, Isparta. https://t.co/oEerZPLSs6</t>
  </si>
  <si>
    <t>1472193825338707977</t>
  </si>
  <si>
    <t>4-10 Aralık arasında, 100.000 kişi içinde bir haftalık toplam yeni Covid-19 vaka sayısı il bazında neydi? Bilgiler, haftalık İnsidans haritasında. https://t.co/vQXbm9hhcz</t>
  </si>
  <si>
    <t>1472191932445122568</t>
  </si>
  <si>
    <t>Eski Başbakan Yardımcısı Prof. Dr. Emrullah İşler Beyin babası Abdullah İşler Beyefendi tedavi gördüğü Ankara Şehir Hastanesinde hayata veda etti. Başta Emrullah ağabeyimiz olmak üzere ailesine, dost çevresine başsağlığı dilerim. Allah rahmet etsin, mekânı cennet olsun.</t>
  </si>
  <si>
    <t>1471921253313392643</t>
  </si>
  <si>
    <t>3. Türkiye-Afrika Ortaklık Zirvesinde, Sağlık Oturumu’nun ardından Sierra Leone, Güney Sudan, Libya, Fildişi ve Cibuti sağlık bakanlarıyla ikili görüşmeler yaptık. Sağlıkta dayanışma, yardım, iş birliği konularını ele aldık. Pandemi dünyaya sağlığın ortak mesele olduğunu öğretti. https://t.co/CZ0EuWwlAn</t>
  </si>
  <si>
    <t>1471910487503904780</t>
  </si>
  <si>
    <t>3. Türkiye-Afrika Ortaklık Zirvesi Sağlık Oturumuna başkanlık ettik. Pandemi Dönemi ve Sonrasında Afrika Sağlık İhtiyaçları İçin Potansiyelin Harekete Geçirilmesi konulu oturuma Afrika CDC Acil Durum Operasyon Merkezi Başkanı, 17 ülkenin sağlık bakanı ve DSÖ temsilcileri katıldı. https://t.co/uPwhAqWH8t</t>
  </si>
  <si>
    <t>1471896448098783233</t>
  </si>
  <si>
    <t>Hatırlatma dozu Türkiye’de erken uygulanmaya başladı ve ani vaka artışları yaşanmadı. Bu doz, aşıların yeni varyantlara karşı etkisini de artırıyor. Belirlenen aşı takvimi üzerinden 3 aydan uzun süre geçen vatandaşlarımızın hatırlatma dozunu yaptırmasını ısrarla öneriyoruz. https://t.co/8RndpXmUNr</t>
  </si>
  <si>
    <t>1471879330515062789</t>
  </si>
  <si>
    <t>Meclis Nöbetimiz sırasında milletvekili arkadaşlarımızla, çeşitli konumlarda bulunan siyasetçilerimizle görüşerek taleplerini aldık, öneri ve eleştirilerinden yararlandık. Yüce Meclis’in çatısı altındaki nöbet görevimizle sorumluluk duygumuz bir kez daha yenilendi. https://t.co/22LNXcti7r</t>
  </si>
  <si>
    <t>1471571636981841923</t>
  </si>
  <si>
    <t>Ankara Milletvekili Sadir Durmaz Beyin kıymetli babası HACI İBRAHİM DURMAZ’IN hayatını kaybettiği haberini aldım. Ailesinin ve tüm dost çevresinin üzüntülerini paylaşıyor; merhuma Allah’tan rahmet, sevenlerine başsağlığı diliyorum. Dua edenleri çok, mekânı cennet olsun.</t>
  </si>
  <si>
    <t>1471546274537222146</t>
  </si>
  <si>
    <t>YALOVA ikinci doz aşı oranında %75’in üzerine çıkarak Mavi, BİTLİS ise %65’in üzerine çıkarak Sarı kategorisine geçti. Oranlar yavaş yükseliyor. Aşılarını eksik bırakanlar bir an önce kendi sağlıkları ve sosyal hayat için doğru olanı yapmalı.</t>
  </si>
  <si>
    <t>1471537415944867845</t>
  </si>
  <si>
    <t>2020 MARTINA BİR ANLIĞINA GERİ DÖNELİM. Aşı olmayanlar ve aşılarını eksik bırakanlar açısından bugünle 21 ay öncesi arasında büyük farklar yok: Eğer hastalığa yakalanırlarsa sonuçta aynı virüsle mücadele edecekler. Covid-19’a karşı herkes aşıyla, tedbirle kendini korumaya almalı. https://t.co/YA1cnXHYVI</t>
  </si>
  <si>
    <t>1471523448656695301</t>
  </si>
  <si>
    <t>Üniversite hastanelerimizde görevli ASİSTAN DOKTORLARLA bir araya geldik. Sorunlarımızı sözün eşitliğiyle ele aldık. Şiddet, özlük hakları, çalışma şartları, nöbetler ve Malpraktis davaları ana konularımızdı. Dönüştürüp, hayallerimizin hizmetine sunacağımız çok şey var. https://t.co/pg5FE9hGJE</t>
  </si>
  <si>
    <t>1471187628695429133</t>
  </si>
  <si>
    <t>Omicron Tedbiri: Belirlenmiş aşı takvimi üzerinden üç aydan uzun süre geçen vatandaşlarımız hatırlatma dozunu olabilirler. https://t.co/bYfSJKPZSQ</t>
  </si>
  <si>
    <t>1471176756056973318</t>
  </si>
  <si>
    <t>Toplumumuza etkisiyle yaşayacağına inandığım aydınımız, hukuk insanı PROF. DR. YÜCEL SAYMAN aramızdan ayrıldı. Şahsiyetinde tecessüm eden değerler bakımından onu tanımış olmayı hep bir şans kabul ettim. Kendisine Allah’tan rahmet; ailesine, sevenlerine başsağlığı diliyorum.</t>
  </si>
  <si>
    <t>1471163668096241667</t>
  </si>
  <si>
    <t>Aşının sonuçlarını biliyoruz: Kişiyi koruma altına alıyor ve hastalığın genelde hafif geçirilmesini sağlıyor. Bu kadar mı? Hepsi sağlıkla mı ilgili? Değil. Aşı, toplumsal hayatın normale dönmesini kolaylaştırıyor, önünü açıyor. HAYATI DESTEKLEMEK için de eksik aşılarınızı olun. https://t.co/bXiuNReSJT</t>
  </si>
  <si>
    <t>1471161905758752768</t>
  </si>
  <si>
    <t>Doktor, hastasına sevgi ve şefkatle yaklaşan kişidir.
Bazen sevdiğinize can verirsiniz, bazen sevdiğiniz elinizde can verir. Yükü ağır bir meslektir hekimlik.
2022 BÜTÇE KONUŞMASINDAN https://t.co/crZ9cUuvja</t>
  </si>
  <si>
    <t>1471031358881472514</t>
  </si>
  <si>
    <t>27 Kasım-3 Aralık arasında vaka yoğunluğu bir önceki haftaya göre en çok artan 10 ilimiz: Çanakkale, Kırklareli, Edirne, Tekirdağ, Eskişehir, Artvin, Sinop, Denizli, Giresun, Gümüşhane. https://t.co/EoaUEW1e2D</t>
  </si>
  <si>
    <t>1471020695769464835</t>
  </si>
  <si>
    <t>27 Kasım-3 Aralık arasında, 100.000 kişi içinde bir haftalık toplam yeni Covid-19 vaka sayısı il bazında neydi? Bilgiler, haftalık İnsidans haritasında. https://t.co/viWOygeX07</t>
  </si>
  <si>
    <t>1471019031943651328</t>
  </si>
  <si>
    <t>TIP FAKÜLTESİ ÖĞRENCİLERİYLE 3 saat süren bir toplantıda bir araya geldik. Eğitim süreçlerini, geleceğe bakışlarını, Tıpta Uzmanlık Sınavını, sağlıkta şiddet başta olmak üzere sorunlarımızı ele aldık. Dönüştürüp, hayallerimizin hizmetine sunacağımız çok şey var. https://t.co/Y85kzFcqvA</t>
  </si>
  <si>
    <t>1470820924165349377</t>
  </si>
  <si>
    <t>KIŞ ŞARTLARINDA hastalığın bulaşması kolaylaşacak. Havalandırması sınırlı, kapalı ve kalabalık ortamlardan mümkün ölçüde uzak durulmalıdır. Aşıların belirtilen sürelere göre yapılmasının daha iyi sonuç verdiği unutulmamalı. Alması tümüyle size bağlı tedbirleri almalısınız. https://t.co/RcXYhAengn</t>
  </si>
  <si>
    <t>1470797139123085312</t>
  </si>
  <si>
    <t>İş olan yerde, insan olan yerde hata da noksan da olur. Esas olan kasıt olmamasıdır. Milletimizin takdiri önünde boynumuz kıldan incedir.
2022 BÜTÇE KONUŞMASINDAN https://t.co/f7LGSQFvG9</t>
  </si>
  <si>
    <t>1470439379214770189</t>
  </si>
  <si>
    <t>FARK NEDİR? Covid-19 salgını ortaya çıktığı aylarda ve bu yılın başlarındaki kadar korkutucu değil. Neden? Sosyal hayatı eski ölçüde tahrip etmiyor. Neden? Çoğu insan hastalığı oldukça hafif geçiriyor. Neden? Bu soruların ilk sıradaki cevabı aşıdır. Eksik aşılarınızı tamamlayın https://t.co/LDP6tJ6SMx</t>
  </si>
  <si>
    <t>1470430909631451142</t>
  </si>
  <si>
    <t>Kırk bin kadro kapsamındaki 10.000 SÖZLEŞMELİ sağlık personeli pozisyonu ile 10.000 SÜREKLİ İŞÇİ kadrosu için Mart ayı içinde ilana çıkılarak alım işlemi yapılacaktır. Sağlık hizmeti alacak vatandaşlarımıza ve sağlık camiamıza hayırlı olsun.</t>
  </si>
  <si>
    <t>1470353311329042437</t>
  </si>
  <si>
    <t>TERCİH KILAVUZU, ÖSYM’nin internet sitesi üzerinden yayınlandıktan sonra adaylar tercihlerini Kılavuzda belirtilen tarihler arasından yapabilecek. Duyurular, Bakanlığımızın Yönetim Hizmetleri Genel Müdürlüğü ve ÖSYM internet adresinden takip edilebilir.</t>
  </si>
  <si>
    <t>1470353309248671745</t>
  </si>
  <si>
    <t>10.348 HEMŞİRE, 1.600 EBE VE 6.604 SAĞLIK TEKNİSYENİ/ SAĞLIK TEKNİKERİ ile psikolog, sosyal çalışmacı, biyolog, odyolog, çocuk gelişimcisi, diyetisyen, fizyoterapist, iş ve uğraşı terapisti, dil ve konuşma terapisti, perfüzyonist ve sağlık fizikçileri alımı yapılacaktır.</t>
  </si>
  <si>
    <t>1470353307268956160</t>
  </si>
  <si>
    <t>Taşra teşkilatımızda istihdam edilmek üzere, KPSS PUANINA GÖRE, ÖSYM tarafından yapılacak merkezi yerleştirme ile 20 bin sözleşmeli personel alım sürecini başlatıyoruz. Gerekli bilgiler, tercih kılavuzu hazırlanmak üzere ÖSYM’ye verilmiştir.</t>
  </si>
  <si>
    <t>1470353305461268486</t>
  </si>
  <si>
    <t>Bilindiği üzere, Cumhurbaşkanlığı tarafından Bakanlığımıza 30.000’i sözleşmeli sağlık personeli, 10 bini de sürekli işçi olmak üzere, toplam 40 BİN POZİSYON/ KADRO ihdası yapılmıştır. 20.000 sözleşmeli sağlık personelinin alımına ilişkin kılavuz ÖSYM’YE GÖNDERİLDİ.</t>
  </si>
  <si>
    <t>1470353303729061894</t>
  </si>
  <si>
    <t>Şimdi bazılarının zihninden, şunu eksik yaptınız, falan konuda geç kaldınız, filan konuyu yeterince dikkate almadınız gibi düşünceler geçiyor olabilir. Elbette eksiklerimiz oldu. İş olan yerde, insan olan yerde hata da noksan da olur. Esas olan bunda bir kasıt olmamasıdır. https://t.co/EVNelX2z8Z</t>
  </si>
  <si>
    <t>1470076516167991298</t>
  </si>
  <si>
    <t>Ülkemizde toplam 6 kişide Omicron varyantı tespit edilmiştir. Biri İstanbul’da, 5’i İzmir’dedir. Bu 6 kişi Covid-19’u hafif belirtilerle geçirmektedir. Hastaneye yatırılmalarına ihtiyaç olmamıştır. Vatandaşlarımız kaygılanmamalı, tedbirlere uymalı, eksik aşılarını tamamlamalıdır. https://t.co/gUGfVQfofj</t>
  </si>
  <si>
    <t>1470067246949179401</t>
  </si>
  <si>
    <t>Salgın bireysel hayatla toplumsal hayat arasına bir uçurum koydu. İkisini birbirinin zıddı haline getirdi. Toplumlar bunu sürdüremez. Hayat bir tür halk sağlığı yasaklar manzumesiyle devam edemez. Bizim tavrımız şu oldu: Bireysel hayatla toplumsal hayat birlikte savunuldu. https://t.co/4DqoLB5Ddj</t>
  </si>
  <si>
    <t>1470060546737291269</t>
  </si>
  <si>
    <t>Türkiye yaklaşık 50 yıl sonra %100 kendi imkânları ile aşı geliştirdi. Bu değere sahip çıkmak hepimizin sorumluluğudur. Teknoloji transferi ile ülkemize getirilmek üzere suçiçeği, hepatit A ve kuduz aşısı için de çağrıya çıkarak ülkemize yatırım yapılması için imkân sağladık. https://t.co/0SHoW1gWA8</t>
  </si>
  <si>
    <t>1470053465258926094</t>
  </si>
  <si>
    <t>COVID-19 aşısını üretebilmiş 6 ülkeden biriyiz. https://t.co/MNoMHY0Zuc</t>
  </si>
  <si>
    <t>1470049686698479622</t>
  </si>
  <si>
    <t>Ülkemizde 25 yıl aradan sonra yeniden aşı üretildi. Yaklaşık 50 yıldan uzun bir süredir ilk defa hücre çalışmalarından başlayarak, antijen dâhil, yerli olarak geliştirilen bir aşımız oldu. Yerli inaktif COVID-19 aşımız Turkovac’ın her safhası ülkemizde geliştirildi. https://t.co/Zybe3Fg3Ue</t>
  </si>
  <si>
    <t>1470029418747858949</t>
  </si>
  <si>
    <t>Biz sadece Kamu Özel İş Birliği ile hastaneler yapmadık. Yapımı genel bütçeden tamamlanmış ve inşaatı devam eden toplam 15 şehir hastanemiz var. https://t.co/3pOoPUY22o</t>
  </si>
  <si>
    <t>1470019712029388800</t>
  </si>
  <si>
    <t>Doğrulara tutunmadan yanlışlardan kurtuluş yok. Milletimiz, iktidarımız eli ile bize nasıl hizmet etme sorumluluğu yüklemişse, muhalefete de, biz hizmet ederken bizi eleştirme sorumluluğunu yüklemiştir. Hepimiz vazifemizi bu kutsal çatının altında yerine getireceğiz. https://t.co/gkTm7VslDz</t>
  </si>
  <si>
    <t>1470008401455423488</t>
  </si>
  <si>
    <t>Gelişmiş olduğu iddia edilen ülkelerde verilemeyen sağlık hizmetlerinin acı bilançosuna şahit olduk. Ülkemizdeyse; koridorlarda oksijen tüpleri önünde kuyruğa girmiş hastalar görmedik. Vatandaşlarımızı dünyanın dört bir tarafından ülkemize getirip tedavi ettik. https://t.co/RQOR6IOuoZ</t>
  </si>
  <si>
    <t>1470004165615267841</t>
  </si>
  <si>
    <t>Bakanlığımızın 2022 Yılı Bütçesi TBMM Genel Kurulunda onaylandı. Yapıcı eleştirileriyle katkı sunan, bütçeyi onaylayarak bize büyük bir emaneti teslim eden tüm milletvekillerine, bütçenin hazırlanmasına emek veren personelimize teşekkür ediyorum. Bütçe milletimize hayırlı olsun. https://t.co/ASB4TYVYgn</t>
  </si>
  <si>
    <t>1469995356993773570</t>
  </si>
  <si>
    <t>Hekimlerimiz en zengin ülkelerin alıcı gözlerle baktığı, en iyi yetişmiş hekimlerdir. Bunu unutmayın. https://t.co/QFeVBQcdhx</t>
  </si>
  <si>
    <t>1469755190249246722</t>
  </si>
  <si>
    <t>Sağlık çalışanları ağır davalara maruz kalıyor, büyük tazminatlar ödüyorlar. Bu alanda ihtisas mahkemesinin olmaması davaların seyrini yanlış yönlere sürüklüyor. Hekimler astronomik tazminat korkusuyla hastalarına müdahale etmeleri gereken noktada adeta eli kolu bağlı kalıyorlar. https://t.co/kLMCkuag3g</t>
  </si>
  <si>
    <t>1469752625851740179</t>
  </si>
  <si>
    <t>Yeni bir şiddet olayı vuku bulduğunda çalışanlarımıza söyleyeceğim kelimeleri bulmakta aciz kalıyorum. Bütün kurumlar olarak, sağlıkta şiddete karşı toplumsal dayanışma oluşturmak zorundayız. Hukuk, sorumluluk ahlakıyla eli kolu bağlı olan sağlık çalışanını korumalıdır. https://t.co/9t5TGFqDKb</t>
  </si>
  <si>
    <t>1469750247723261960</t>
  </si>
  <si>
    <t>Sağlık çalışanlarının hakları için diyalog içinde olduk. “Maaşları, özlük hakları konusunda atılacak adımları ortak iradeyle atmalıyız” dedik. Bakanlığımıza verdiğiniz destek için şükran duyuyor ve desteğinizin son noktaya değin devam edeceğine inanıyorum. https://t.co/AchDwI76La</t>
  </si>
  <si>
    <t>1469747644654403589</t>
  </si>
  <si>
    <t>Bugün huzurlarınızda sadece Sağlık Bakanı olarak değil, aynı zamanda bir hekim olarak bulunuyorum. Doktor, hastasına sevgi ve şefkatle yaklaşan kişidir. Yükü ağır bir meslektir hekimlik. Tüm ayrışmalardan, sürtüşme ve çatışmalardan arındırılmış bir iş yapar hekimler. https://t.co/l8lugf9xLD</t>
  </si>
  <si>
    <t>1469745178328109058</t>
  </si>
  <si>
    <t>“Bu bütçede insan var. Bu bütçede sağlık var. Bu bütçede meslek ahlakı var. Vicdan ve merhamet var. Ayrışma, çatışma, ötekileşme yok.”
BAKANLIĞIMIZIN 2022 YILI BÜTÇESİ İÇİN TBMM Genel Kurulu’nda yaptığımız konuşmanın girişinden. https://t.co/kVZEnpA9OP</t>
  </si>
  <si>
    <t>1469740867791601665</t>
  </si>
  <si>
    <t>Bakanlığımızın 2022 Yılı Bütçesi için TBMM Genel Kurulu’ndayız. https://t.co/BxtpcZinYb</t>
  </si>
  <si>
    <t>1469715446815408133</t>
  </si>
  <si>
    <t>Yaygın aşılamanın ardından süreç şunu gösteriyor: Tam aşılı olanlar Covid-19’u genellikle hafif geçirmekte. Aşı aleyhtarı söylemlerden etkilenenler, aşılarını eksik bırakanlar, genç olsalar da, kronik rahatsızlıkları bulunmasa da yıpratıcı günler yaşıyor. Aşının sonuçları ortada! https://t.co/Z5Q2AQOV9D</t>
  </si>
  <si>
    <t>1469706367170752521</t>
  </si>
  <si>
    <t>Covid-19’a yakalanma endişesi giderek azalıyor. Aşılarını tamamlamış ve tedbirli davranan gençler için bu anlaşılabilir. Fakat risk grubunda bulunan ileri yaştakiler, kronik hastalığı olanlar yine yüksek hassasiyet göstermeli. Aşıları eksik olan herkes aşılarını tamamlamalı. https://t.co/H6Tba8bKgM</t>
  </si>
  <si>
    <t>1469346853242257418</t>
  </si>
  <si>
    <t>Irak'ın kuzeyinde Pençe-Yıldırım Operasyon Bölgesinde şehit düşen kahraman askerlerimize Allah'tan rahmet, ailelerine, ordumuza ve milletimize başsağlığı diliyorum. Şehitlerimizin mekânı cennet olsun. https://t.co/maGTH5sA4w</t>
  </si>
  <si>
    <t>Salgın son 6 haftada benzer günlük vaka sayılarıyla seyretti. Avrupa'da görülen ani artışlar ülkemizde görülmedi. Bu olumlu durumu sürdürmek ve kayıplarımızı azaltmak için eksik aşıları tamamlamalı tedbirden taviz vermemeliyiz. https://t.co/722F26y5EE</t>
  </si>
  <si>
    <t>1469013767585517579</t>
  </si>
  <si>
    <t>İnsanlarımızı aşıdan önyargılarla korkutmaya çalışanlar NE KAZANDI? Hatalı kararlarınsa sonucunu biliyoruz. Yoğun bakımlarda yatan Covid-19 hastalarının önemli bölümü hiç aşı yaptırmamış veya aşısı tam olmayan kişiler. Aşı, alınması gereken bir karar. Pişman olmayı beklemeyin. https://t.co/NF67X5okDK</t>
  </si>
  <si>
    <t>1468625208189894660</t>
  </si>
  <si>
    <t>RT @RTErdogan: Kabine Toplantısı Sonrası Millete Sesleniş https://t.co/8v29AOAsNs</t>
  </si>
  <si>
    <t>1468612714713038851</t>
  </si>
  <si>
    <t>Türkiye’nin her yerinde yoğun bakımda yatan Covid-19 hastaları var. Bunların önemli bir bölümünün hiç aşı yaptırmamış veya aşıları eksik kişiler olması tesadüf değil. Aşılı kişilerin hastalığı büyük oranda hafif geçirmesi de tesadüf değil. Geride kalan 10 ayın sonuçlarına güvenin https://t.co/EF3ZNMn0Lo</t>
  </si>
  <si>
    <t>1468258388987555845</t>
  </si>
  <si>
    <t>Büyük bir hayat son buldu. Biyoloji Felsefesi konulu teziyle felsefe doktoru olan, eserleri ve yetiştiği yeni felsefecilerle öncü akademisyenler arasında yer alan PROF. DR. TEOMAN DURALI artık aramızda değil. Kendisine Allah’tan rahmet, sevenlerine başsağlığı diliyorum.</t>
  </si>
  <si>
    <t>1467963979679117315</t>
  </si>
  <si>
    <t>Türkiye’nin herhangi bir yerinde bir doz aşı yapıldığında bundan hepimiz mutluluk duyuyorduk. Aşılanmanın, toplumun tüm bireylerine karşı da görevimiz olduğunun farkındaydık. Şimdi ciddi artışların olmaması üzüntü verici. 30 ilde 2. doz oranı %75’in altında. AŞI ÖNEMİNİ KORUYOR. https://t.co/lIXkJUndIB</t>
  </si>
  <si>
    <t>1467912357762543628</t>
  </si>
  <si>
    <t>3.156 Acil Sağlık Hizmetleri İstasyonumuz, 5.886 Kara Ambulansımız, 6 Deniz Ambulansımız, 12 Helikopter Ambulansımız, 3 Uçak Ambulansımız ve 39.836 Acil Sağlık Personelimizle Acil Sağlık Hizmetleri Haftamız Kutlu Olsun. https://t.co/io4VSaeznl</t>
  </si>
  <si>
    <t>1467782222132518915</t>
  </si>
  <si>
    <t>Vaka sayıları 20 binin altına büyük uğraşlar ve özveri ile düşüyor. Bunu kalıcı kılmak bizim mücadele kararlılığımıza bağlı. Hemen aşılarımızı olmalı ve tadbirden taviz vermemeliyiz. https://t.co/8xOtObjf5b</t>
  </si>
  <si>
    <t>1467535331314573324</t>
  </si>
  <si>
    <t>20-26 Kasım arasında vaka yoğunluğu bir önceki haftaya göre en çok artan 10 ilimiz: Osmaniye, Adana, Mersin, Hatay, Kırklareli, Çanakkale, Eskişehir, Burdur, Bilecik ve Edirne. https://t.co/xWvDB5eVJx</t>
  </si>
  <si>
    <t>1467482844255731714</t>
  </si>
  <si>
    <t>20-26 Kasım arasında, 100.000 kişi içinde bir haftalık toplam yeni Covid-19 vaka sayısı il bazında neydi? Bilgiler, haftalık İnsidans haritasında. https://t.co/QI07NSj6lj</t>
  </si>
  <si>
    <t>1467481588858597392</t>
  </si>
  <si>
    <t>Mevsim şartlarından hepimizin çıkarması gereken sonuçlar var. Kapalı yerlerde kalabalık ortamlarda uzun süre bulunmaktan kaçınmalıyız. Bulunduğumuz kapalı ortamları sık sık havalandırmalıyız. Temizliğe dikkat etmeliyiz. Riskin arttığı bu dönemde aşılarımızı hemen yaptırmalıyız. https://t.co/fEJf2DwX64</t>
  </si>
  <si>
    <t>1467169880550133772</t>
  </si>
  <si>
    <t>SMA TARAMASI
Projemizle, genetik yapıları SMA hastası bebek dünyaya getirme riski içeren çiftler, tüp bebek yöntemiyle riskten uzak bir şekilde çocuk sahibi olabilecek ve bedeli devletimizce karşılanacak. SMA hastası bebeklere ise tedavinin etkili olduğu aşamada tanı konabilecek. https://t.co/MmPhWmfuNg</t>
  </si>
  <si>
    <t>1467147036948635660</t>
  </si>
  <si>
    <t>Nusinersen etkin maddeli, SMA hastalarında etkisinin sınırları ortaya konmuş olan ilaç ülkemizde uygulanan tedavinin kapsamındadır ve ilaç bedelsiz olarak sağlanmaktadır. Araştırmalar ve hastalarımızdaki sonuçlar, ilacın erken evrede fayda sağlayabildiğini göstermektedir. https://t.co/WPyD7jcZOv</t>
  </si>
  <si>
    <t>1467144799442677766</t>
  </si>
  <si>
    <t>SMA hastalarından söz ederken yaşamın en kırılgan halinden söz ediyoruz. Konuyla ilgili her söz bu kırılganlığı gözetmek zorundadır. Boş umutlarla yıpratılmaya açık olmamak fakat en küçük imkânı değerlendirmek gerekir. Bakanlığımız, SMA hastaları için bunu yapmaya çalışmaktadır. https://t.co/cVX4ikmBuv</t>
  </si>
  <si>
    <t>1467139577689387016</t>
  </si>
  <si>
    <t>4 Maddede SMA Bilim Kurulu Toplantısı Sonuçları https://t.co/LYDwt8we7C</t>
  </si>
  <si>
    <t>1467135611429605382</t>
  </si>
  <si>
    <t>ENGELLİLER GÜNÜ. Ulusal Engelli Veri Tabanına göre ülkemizde 1,5 Milyondan çok engelli birey var. Dünyada ise engelli oranının yine çok yüksek olduğunu biliyoruz. Engelli olmak kusur değil, pozitif ayrım yapmamaksa toplumlar için büyük hata. HAYATI BİZ BİRLİKTE VAR EDİYORUZ.</t>
  </si>
  <si>
    <t>1466826647630495754</t>
  </si>
  <si>
    <t>Bakanlık görevleri başta olmak üzere, yakın dönem siyasi hayatımızda önemli sorumluluklar üstlenmiş, dava ve çalışma arkadaşı kimliğiyle gönüllerde “Güldal abla” olarak yer etmiş Güldal Akşit’i kaybettik. Kendisine Allah’tan rahmet, ailesine ve sevenlerine başsağlığı diliyorum.</t>
  </si>
  <si>
    <t>1466810323839692805</t>
  </si>
  <si>
    <t>Omicron varyantına ülkemizde rastlanmamıştır. Bu varyantta virüsün birden fazla gen bölgesinde mutasyona uğradığı bilinmektedir. Ön bilgilere göre Omicron varyantı daha hızlı bulaşmaktadır ancak daha çok hasta edici özellikte olduğunu gösteren bir bulgu yoktur. https://t.co/I1Bvxg1bmc</t>
  </si>
  <si>
    <t>1466803672608911364</t>
  </si>
  <si>
    <t>Salgın hayatı değiştirdi, salgın boyunca da değişimler yaşadık. Bu değişimlerden biri aşının bulunmasıyla önlemlerin kısmen esnekleşmesi oldu. Bugün, hayat kalitelerimiz için aşıya çok önem vermeliyiz. Tıpkı, ilk günlerde tedbirlere verdiğimiz önem kadar. Ve dikkatli olmalıyız. https://t.co/DvYWrEojQh</t>
  </si>
  <si>
    <t>1466461319251509252</t>
  </si>
  <si>
    <t>SMA Bilim Kurulu Toplantımızın ardından basın açıklamamız: https://t.co/1AZpi0W8cK</t>
  </si>
  <si>
    <t>1466424353562714127</t>
  </si>
  <si>
    <t>Kabinedeki yeni çalışma arkadaşımız, Hazine ve Maliye Bakanı Sn. Dr. Nureddin Nebati’yi atandığı önemli görev için kutluyor, başarılar diliyorum. Görevi devreden değerli bakan arkadaşımız Sn. Lütfi Elvan’a hizmetleri ve yakın iş birliği için bakanlığım adına teşekkür ediyorum.</t>
  </si>
  <si>
    <t>1466296161560670211</t>
  </si>
  <si>
    <t>Sn. Cumhurbaşkanımıza duyarlılığı için şükranlarımı arz ederim. Bize destek veren Hazine ve Maliye Bakanlığı’na, Çalışma ve Sosyal Güvenlik Bakanlığı’na, düzenlemenin Meclis’te görüşülmesinde oy birliğiyle hareket eden milletvekillerine ve partilere teşekkür ediyorum.</t>
  </si>
  <si>
    <t>1466107864758554625</t>
  </si>
  <si>
    <t>Hekimler başta olmak üzere, sağlık çalışanlarımızın maddi haklarının iyileştirilmesini sağlayacak kanun maddeleri yüce Meclis’te gündeme alındı. Bu iyileştirmelerin çoktan hak edildiğini toplum olarak biliyor, sonuçlarının hepimize yansıyacağına yine toplumca inanıyoruz.</t>
  </si>
  <si>
    <t>1466107734072438788</t>
  </si>
  <si>
    <t>Bilim Kurulu Toplantımız sonrası basın açıklamamız: https://t.co/yMMcvAWwYV</t>
  </si>
  <si>
    <t>1466096106534748163</t>
  </si>
  <si>
    <t>Virüsler, gribe yol açan Influenza’daki gibi, zamanla değişime uğrar. Bizim verdiğimiz mücadeleye ve değişen şartlara karşı virüs de hayatta kalma mücadelesi verir. Covid-19’da yeni varyantlardan endişe duyulabilir, fakat salgının sonunun zayıf varyantlarla geleceğini unutmayın. https://t.co/6xJIr0d8Mu</t>
  </si>
  <si>
    <t>1466080647739547653</t>
  </si>
  <si>
    <t>MARMARA BÖLGESİNDE yaşanan Lodos Fırtınası kaynaklı afet olaylarında 63 kişi yaralanmış, 5 kişi hayatını kaybetmiştir. Afet yerlerinde 28 adet 112 Ambulansı, 3 UMKE Timiyle 99 sağlık personeli görevlendirilmiştir. Milletimize başsağlığı ve geçmiş olsun dileklerimi sunuyorum.</t>
  </si>
  <si>
    <t>1465791353049202690</t>
  </si>
  <si>
    <t>Yüksek Düzeyli Sağlık Diyaloğu kapsamında Avrupa Birliği Sağlık Komiseri Stella Kyriakides ile video konferans yöntemiyle görüştük. Görüşmede; Covid-19 ve küresel sağlık tehdidi, iklim değişikliğinin sağlık üzerine etkileri, kanserden korunma ve ruh sağlığı konularını ele aldık. https://t.co/Ft0Muu4VqA</t>
  </si>
  <si>
    <t>1465742806144753668</t>
  </si>
  <si>
    <t>Bir dozun yetersizliğinin bilinmesine ve ısrarlı uyarılara rağmen ikinci doz aşısını olmayan 5.166.607 kişi var. Üçüncü dozda ise beklenen seviyenin çok altındayız: Sadece 12.180.234 kişi üçüncü doz aşısını oldu. Bu, yetişkin nüfusun %20,01’ine karşılık geliyor. Aşılarınızı olun. https://t.co/2gogGfLEg2</t>
  </si>
  <si>
    <t>1465737772422111240</t>
  </si>
  <si>
    <t>13-19 Kasım arasında vaka yoğunluğu bir önceki haftaya göre en çok artan 10 ilimiz: Tunceli, Adana, Gümüşhane, Mersin, Sinop, Hatay, Burdur, Kilis, Giresun, Mardin. https://t.co/pqmIshpFjA</t>
  </si>
  <si>
    <t>1465562977990549506</t>
  </si>
  <si>
    <t>13-19 Kasım arasında, 100.000 kişi içinde bir haftalık toplam yeni Covid-19 vaka sayısı il bazında neydi? Bilgiler, haftalık İnsidans haritasında. https://t.co/6hXgH90ndg</t>
  </si>
  <si>
    <t>1465561712585842692</t>
  </si>
  <si>
    <t>TIBBİ SEKRETERLER GÜNÜ. Sağlık hizmetlerinin sunumunda kaliteleri artırıcı ve organize edici rolü yüksek olan, camiamızın saygın üyeleri Tıbbi Sekreterlerimizin gününü kutluyor, kendilerine başarılar diliyorum.
Sizin profesyonelliğinizin ışığı, hastadan hekime hepimize yansır.</t>
  </si>
  <si>
    <t>1465366839559606289</t>
  </si>
  <si>
    <t>Omicron (Nu) varyantı gelişmesini ve buna karşı aldığımız tedbiri 26 ve 27 Kasımda açıkladık. Varyantlar, örneklerini daha önce yaşadığımız gibi, salgın sürecinin doğal bir parçasıdır. Ülkemizde yeni varyanta rastlanmamıştır. Tedbirin önemi ise tekrar ortaya çıkmıştır. https://t.co/J8pY2hLUXE</t>
  </si>
  <si>
    <t>1465362836100689922</t>
  </si>
  <si>
    <t>Olay olan illerde 24 adet 112 Ambulansı, 3 adet UMKE Timi ile 87 sağlık personeli görev başındadır. Bölge halkına ve bütün ülkemize başsağlığı ve geçmiş olsun dileklerimizi sunuyoruz. Çalışmalarımız devam ediyor.</t>
  </si>
  <si>
    <t>1465348579019698177</t>
  </si>
  <si>
    <t>Saat 17.30 itibarı ile afette son durum: Olayda 38 kişi yaralanmış, 4 kişi ise hayatını kaybetmiştir. Yaralılar, olay yerine görevlendirilen 112 ambulanslarımız ile hastaneye nakledilmiştir.</t>
  </si>
  <si>
    <t>1465348577174212611</t>
  </si>
  <si>
    <t>MARMARA BÖLGESİNDE YAŞANAN LODOS FIRTINASINDA; İstanbul, Bursa ve Bolu’da maddi hasar ve yaralanma meydana gelmiş, İstanbul Esenyurt, Arnavutköy, Avcılar ve Başakşehir ilçeleri yoğunlukta olmakla bazı ilçelerimizde afet olayları yaşanmıştır.</t>
  </si>
  <si>
    <t>1465348575546822669</t>
  </si>
  <si>
    <t>Ağır sağlık sorunları sebebiyle uzun süredir tedavi görmekte olan Galatasaray Spor Kulübü eski başkanı Mustafa Cengiz aramızdan ayrıldı. Kendisine Allah’tan rahmet, ailesine, yakınlarına ve tüm spor camiasına başsağlığı diliyorum. Mekânı cennet olsun.</t>
  </si>
  <si>
    <t>1464992996294811648</t>
  </si>
  <si>
    <t>Tabloda bir süredir ciddi değişkenlikler görülmüyor. Bu seyir, kontrolü kolaylaştırıyor. Tedbirlere daha fazla duyarlı olursak vaka sayılarında daha iyi sonuçlar elde edebiliriz. Salgın ortamından çıkış için, aşı gündemde ilk sırada yer alıyor. Aşınızı vaktinde yaptırın. https://t.co/jqjJyu7eNw</t>
  </si>
  <si>
    <t>1464991754038521860</t>
  </si>
  <si>
    <t>COVİD-19 VE ÖLÜMLER. Ölüm nedeni tespitinde baştan beri DSÖ ölçütü PCR’ı esas alıyoruz. Doğrulanmamış vakalar, sağlık hizmetine erişimin kısıtlı olması gibi dolaylı nedenlerle en az şu anki kadar daha ölüm söz konusu. Bazı hastalarda, ilerde ciddi yan rahatsızlıklar da çıkabilir. https://t.co/m5qQDuvzGG</t>
  </si>
  <si>
    <t>1464988354357903362</t>
  </si>
  <si>
    <t>TİP-1 SMA. Etkin maddesi Nusinersen olan ilacı hastalarımıza karşılıksız veriyoruz. SMA Bilim Kurulu, Zolgensma isimli ilacın hangi hastalarda kullanılabileceğini tespit etmek üzere gelecek hafta toplanıyor. Önlenmesi için, SMA’yı evlilik öncesi zorunlu tarama kapsamına alıyoruz. https://t.co/5O58eRB8ZJ</t>
  </si>
  <si>
    <t>1464985865864757252</t>
  </si>
  <si>
    <t>MOLNUPİRAVİR. Covid-19’a karşı dünyada ruhsatlandırılmaya başlanan bu ilaca Cumhurbaşkanımızın imzasıyla zorunlu lisans verildi. Firmalara çağrıda bulunuldu. İlaç, 1 ay içinde kullanımda olacak. https://t.co/tWQLSeK51J</t>
  </si>
  <si>
    <t>1464678508089815042</t>
  </si>
  <si>
    <t>ŞİDDET. Plan ve Bütçe Komisyonu’ndaki konuşmamızda, geçen yıl çıkarılan sağlıkta şiddet suçlarına yönelik yasanın bizler için koruyuculuktan uzak olduğunu, uygulamada etkisiz kaldığını ifade ettik. Hapis cezasının para cezasına çevrilmemesi yönündeki talebimizi dile getirdik. https://t.co/U7iFncKS8s</t>
  </si>
  <si>
    <t>1464673473796755458</t>
  </si>
  <si>
    <t>Plan ve Bütçe Komisyonu’ndaki konuşmamızda sabit ek ödemenin genel bütçeye aktarılması, sabit ek ücretin genel bütçeye arttırılarak aktarılması, mesai sonrası çalışmanın isteğe bağlı olarak yeniden getirilmesi ve emeklilikte önemli bir İYİLEŞTİRME yapılmasını gündeme getirdik. https://t.co/pvHRosICjq</t>
  </si>
  <si>
    <t>1464668610450890759</t>
  </si>
  <si>
    <t>NÖBETLER. Asistan hekimlerin 36 saat çalışmasını istemiyor, tercih etmiyor ve uygulamayı insani bulmuyoruz. 24 saat çalışmayı da ben insani bulmuyorum. Süre, bana göre 16 saate doğru inmeli. Bunu, bugünden yapamayabiliriz ama 2-3 yıl sonrası için şimdiden planlama yapmalıyız. https://t.co/2I7StjIAji</t>
  </si>
  <si>
    <t>1464662678442545171</t>
  </si>
  <si>
    <t>BEYAZ REFORM. Hekimlerin istedikleri branşlarda uzmanlık yapabilmeleri için köklü değişiklikler gerçekleştirmek istiyoruz. Kimse bu sebeple yurt dışına gitmeye ihtiyaç duymamalı. Uzmanlıktan emeklilik şartlarına bir dizi değişim, beyaz reform. Bunu gerçekleştireceğiz. https://t.co/sD01eOxrXE</t>
  </si>
  <si>
    <t>1464659835547439106</t>
  </si>
  <si>
    <t>TÜRKİYE AŞI ARGE VE ÜRETİM MERKEZİ. Proje çalışmalarını tamamladık. 50.000 metrekare büyüklüğündeki tesisin ihalesi önümüzdeki günlerde yapılacak, inşaatın gelecek yıl bitmesini planlıyoruz. https://t.co/2FRfbxBgkY</t>
  </si>
  <si>
    <t>1464652334387060737</t>
  </si>
  <si>
    <t>Farklı ülkelerde ortaya çıkan varyantlara bağlı gelişmeleri izliyor ve ülkemizin dışarıyla teması konusunda önlem alıyoruz. Gündemde olan Nu (omicron) varyantına karşı en erken önlem alan ülkelerdeniz. Türkiye’de en yaygın varyant Delta varyantıdır. Nu varyantına rastlanmamıştır. https://t.co/O6IqcH604u</t>
  </si>
  <si>
    <t>1464646698702188546</t>
  </si>
  <si>
    <t>🇩🇪 durchlebt eine schwierige Phase in der Pandemie. Gestern erreichte die Zahl der Neuinfektionen und Todesfälle einen neuen Höchststand. Wir haben Verpflichtungen gegenüber unseren Bürgern und der Menschheit. Wir sind bereit, für unsere Bürger Verantwortung zu übernehmen. https://t.co/yrD2dgHOBd</t>
  </si>
  <si>
    <t>1464643305921253393</t>
  </si>
  <si>
    <t>3,5 Milyon vatandaşımızın yaşadığı 84 Milyon nüfuslu Almanya salgında zor günler geçiriyor. Dün 72.159 ile en yüksek günlük vaka sayısına ulaşıldı, 374 kişi hayatını kaybetti. İnsanımıza ve insanlığa karşı görevlerimiz var. Hasta vatandaşlarımız için sorumluluk almaya hazırız.</t>
  </si>
  <si>
    <t>1464625782144344067</t>
  </si>
  <si>
    <t>Sn. Meral Akşener,
Üzerinde siyaset yaptığınız konu, Avrupa’da yaşayan 5 Milyon insanımızdan Covid-19’a yakalananların İstanbul’da, bir acil durum hastanemizde tedavi olabilmeleri konusudur. Alman Sağlık Bakanı yoğun bakım kapasitelerinin dolmaya başladığını açıkladı. https://t.co/KkFtXvPS9a</t>
  </si>
  <si>
    <t>1464608238494756864</t>
  </si>
  <si>
    <t>TEDBİR: Nu varyantı kaynaklı artan vakalar sebebiyle; Botsvana, Güney Afrika Cumhuriyeti, Mozambik, Namibya ve Zimbabve’den ülkemize tüm kara, hava, deniz ve demiryolu sınır kapılarımız yoluyla bu geceden itibaren seyahat edilmesine izin verilmeyecektir.</t>
  </si>
  <si>
    <t>1464297687889727500</t>
  </si>
  <si>
    <t>Salgın hastalığı gündemimizden çıkarmalıyız. Ancak bunu yaparken tedbirlere uymayı terk etmemeliyiz. Mücadele sürekliliği bize başarıyı getirecek. Varyant ve mutasyonlar gündeminizde yer almamalı. Bilim Kurulumuz sizin için her durumu titizlikle izliyor. https://t.co/adLZOkfXDt</t>
  </si>
  <si>
    <t>1464269001618567172</t>
  </si>
  <si>
    <t>Diyarbakır’da bir aile sağlığı merkezinde yaşanan şiddet olayında bir hekim arkadaşımız bıçakla yaralandı. Kamuoyuna da yansıyan görüntüler dehşet uyandırıcı. Psikiyatrik bozukluğu olan saldırgan tutuklanmıştır. Hukuk harekete geçti. SAĞLIKTA ŞİDDETİ ÖNLEME DAVAMIZDA KARARLIYIZ.</t>
  </si>
  <si>
    <t>1463981938327367682</t>
  </si>
  <si>
    <t>Hayatın bir süre daha salgın koşullarında devam edeceği gerçeğine alışmamız gerekiyordu. Bu adaptasyonu çoğumuz sağladık. Bir kısmımızsa, salgın yokmuş gibi davranmayı seçiyor. Hepimiz için doğru olan, hayatı normale yaklaştırırken salgınla mücadelenin şartlarına da uymaktır. https://t.co/dmxyzFzvjI</t>
  </si>
  <si>
    <t>1463905199878250499</t>
  </si>
  <si>
    <t>Sağlık Bakanlığı 2022 Yılı Plan ve Bütçe Komisyonu Toplantısı (Sunum 2. Kısım) https://t.co/K7g0twljQI</t>
  </si>
  <si>
    <t>1463803969722064898</t>
  </si>
  <si>
    <t>Milletimiz adına sevindirici bilgi: Yerli Covid-19 aşımız Turkovac için acil kullanım onayına müracaat edilmiştir. Yıl sonuna kadar yaygın kullanıma geçmeyi hedefliyoruz. Aziz milletimize hayırlı olsun. https://t.co/WeOs62Fuci</t>
  </si>
  <si>
    <t>1463798855322025984</t>
  </si>
  <si>
    <t>Sağlık Bakanlığı 2022 Yılı Plan ve Bütçe Komisyonu Toplantısı https://t.co/hm1izzXkzP</t>
  </si>
  <si>
    <t>1463768047131451393</t>
  </si>
  <si>
    <t>Kadına yönelik şiddet tüm insanlığın en hassas sorunlarından biri. Buna bakarak, uygarlığın övündüğümüz düzeyinin çok gerilerinde olduğunu düşünebiliriz. Kadına Yönelik Şiddetle Uluslararası Mücadele Gününde, sizinle, Bangladeş’te yayınlanmış dokunaklı bir filmi paylaşıyorum. https://t.co/VNXR7dOwmX</t>
  </si>
  <si>
    <t>1463751642923347970</t>
  </si>
  <si>
    <t>Sn @hans_kluge
Pandeminin başından itibaren Türkiye’nin Cumhurbaşkanımızın liderliğinde uluslararası dayanışmaya verdiği katkıya dikkat çektiğiniz için teşekkür ediyorum. Covax oluşumu üzerinden 10 milyon doz aşı hibesi daha yapacağımızın müjdesini de sizinle paylaşmak istiyorum. https://t.co/6gan3tVJwS</t>
  </si>
  <si>
    <t>1463580283974868992</t>
  </si>
  <si>
    <t>Dear @hans_kluge, thanks for pointing out 🇹🇷’s contribution to international solidarity since day one of the pandemic under the leadership of President Erdoğan. I also would like to share the good news: 🇹🇷 will donate 10 million more doses via COVAX Facility. https://t.co/6gan3tVJwS</t>
  </si>
  <si>
    <t>1463579722311479296</t>
  </si>
  <si>
    <t>Bilim kurulu toplantımız sonrası basın açıklamamız: https://t.co/DqChR45XTL</t>
  </si>
  <si>
    <t>1463575993113890825</t>
  </si>
  <si>
    <t>Salgın sürecinin tahmin edilenden çok daha fazla sürmesi beklentileri kırdı, motivasyonu azalttı. Fakat yüksek vaka sayıları ve vefatlarla, gerçek her gün tekrar tekrar karşımızda. Covid-19’u yok sayamayız. Mücadele, tıpkı salgının varlığı kadar tartışılmaz bir kesinlikte olmalı. https://t.co/KGKjNlBqk6</t>
  </si>
  <si>
    <t>1463554348164784132</t>
  </si>
  <si>
    <t>Matematik öğretmenlerimiz bize matematik, kimya öğretmenlerimiz kimya, Türkçe öğretmenlerimiz bize dilimizin inceliklerini öğretmeye çalıştı. İyi insan nasıl olunur? Bu, hepsinin ortak konusuydu. Öğretmen, asıl, insan olmayı öğretir. 24 Kasım Öğretmenler Günü kutlu olsun.</t>
  </si>
  <si>
    <t>1463429220537876487</t>
  </si>
  <si>
    <t>Afyonkarahisar, ikinci doz aşı oranında %75’in üzerine çıkarak Mavi kategorisine geçti. Geç kalanlar, kolları sıvayalım. Türkiye, salgınla mücadelenin rengine bürünmeli!</t>
  </si>
  <si>
    <t>1463423089677643782</t>
  </si>
  <si>
    <t>Kahraman subayımız Piyade Binbaşı Mete Yıldırım’ın bir kaza sonucunda hayatını kaybettiği haberini aldık, müteessiriz. Olay, kendisinin görevli olduğu Barış Pınarı Harekât bölgesinde yaşandı. Şehidimize Allah’tan rahmet; ailesine, milletimize ve ordumuza başsağlığı diliyoruz. https://t.co/uevC6fb3nz</t>
  </si>
  <si>
    <t>1463259350881947651</t>
  </si>
  <si>
    <t>Pendik Devlet Hastanesinde yaşanan şiddet olayının ardından adli kontrol şartıyla serbest bırakılan saldırgan, görüntülerin tarafımızca Başsavcılığa teslim edilmesi üzerine gözaltına alınarak tutuklandı. Kararlıyız. Hiçbir şiddet olayında faillerin peşini bırakmayacağız.</t>
  </si>
  <si>
    <t>1463212487143272464</t>
  </si>
  <si>
    <t>Covid-19 solunum yoluyla bulaşan bir hastalık. Çoğu kere farkında bile olmadan yüzümüze dokunmamız virüsün bulaşma ihtimalini artıyor. Temas ettiğimiz yüzeylerde virüs olabileceği için ellerimizi sık sık yıkamalıyız. Maskenin bu açıdan da koruma sağladığını ise unutmamalıyız. https://t.co/RaHbiTwSfF</t>
  </si>
  <si>
    <t>1463207922247290882</t>
  </si>
  <si>
    <t>Eğitimleri, teknoloji kullanımına hâkimiyetleri ve hastalara yaklaşımdaki titizlikleriyle diş hekimlerimiz, hekimlik mesleğinin en güzel örneklerini veriyor. Ağız ve diş sağlığında koruyucu önlemler yaygınlaşıyor. Diş Hekimleri Gününü ve bu başarıları hepimiz adına kutluyorum. https://t.co/6g9OhhNnIJ</t>
  </si>
  <si>
    <t>1462849371981107210</t>
  </si>
  <si>
    <t>Covid-19 salgınının doğrudan halk sağlığını tehdit eden sonuçlarını 20 aydır yaşıyoruz. Salgın bununla kalmıyor, bütün ülkelerde hayatın tüm alanlarını zayıf düşürüyor. Aşı ve tedbir, başta sağlığımız olmak üzere hayat kalitelerimizin savunulması demektir. Aşınızı zamanında olun. https://t.co/HzYiAG8ase</t>
  </si>
  <si>
    <t>1462839678487474197</t>
  </si>
  <si>
    <t>RT @RTErdogan: Kabine Toplantısı Sonrası Millete Sesleniş https://t.co/TMS8Roel1g</t>
  </si>
  <si>
    <t>1462813527144607744</t>
  </si>
  <si>
    <t>İlk doz aşılanmada kısa sürede başarı elde ettiği halde, ikinci doz oranı %65’in altında kalan 8, %80’in altında kalan 59 ilimiz var. Aşılanmada halen kararsız olanlara hatırlatmak istiyoruz: İnsanlık aşıda istekli. Aşılanma oranı düşük ülkeler, aşı tedarik edemeyen ülkelerdir. https://t.co/75Xub011Yl</t>
  </si>
  <si>
    <t>1462459489907617796</t>
  </si>
  <si>
    <t>6-12 Kasım arasında vaka yoğunluğu bir önceki haftaya göre en çok artan 10 ilimiz: Tunceli, Osmaniye, Çanakkale, Kırklareli, Balıkesir, Bilecik, Hatay, Tekirdağ, Adana, Bartın. https://t.co/BQMo069Psz</t>
  </si>
  <si>
    <t>1462353365736857602</t>
  </si>
  <si>
    <t>6-12 Kasım arasında, 100.000 kişi içinde bir haftalık toplam yeni Covid-19 vaka sayısı il bazında neydi? Bilgiler, haftalık İnsidans haritasında. https://t.co/1O0zR18XO0</t>
  </si>
  <si>
    <t>1462350391924994050</t>
  </si>
  <si>
    <t>İki doz aşılıların sayısının 50 Milyonu geçtiğini ve 50 Milyonun toplam nüfusun %60’ına karşılık geldiğini bugün açıkladık. Aşılama programında 18 yaş ve üstünü esas aldığımız için bu oran tabloda %80,5 görünüyor. Salgına karşı daha güçlü mücadele için bu oranı yükseltmeliyiz. https://t.co/wqLGfnyzIk</t>
  </si>
  <si>
    <t>1462092012086251525</t>
  </si>
  <si>
    <t>İKİ DOZ AŞISINI YAPTIRANLARIN SAYISI bugün 50 Milyonu geçti. İki doz aşılılar şu an toplam nüfusun %60’ına karşılık geliyor. Aşı konusunda halen kararsız olanlar 50 Milyonun kararını örnek almalı.</t>
  </si>
  <si>
    <t>1462067679695675394</t>
  </si>
  <si>
    <t>2020’de yapılan değişiklikle, sağlık çalışanlarına yönelik şiddet suçlarının cezasını yasa 1,5’la çarpıyor. Sonuç alamadık. İki yıllık hekim arkadaşımız Dr. Esma’ya yapılan saldırı çok sayıdaki olaydan biri. “Artık yeter” çığlığı. Sorun tüm toplumun. Toplumu harekete geçireceğiz.</t>
  </si>
  <si>
    <t>1461801237196820490</t>
  </si>
  <si>
    <t>Erzurum’da meydana gelen 5,1 büyüklüğündeki depremde, 2 köyde küçük çaplı hasar oldu. Depreme bağlı olaylar sonucu 4 kişi yaralandı. 5 adet 112 Ambulansı ve 3 UMKE Timiyle toplam 27 sağlık personelimiz bölgede görev başında. Erzurum’a, ülkemize geçmiş olsun. Yanındayız Erzurum. https://t.co/7ureNOH9r1</t>
  </si>
  <si>
    <t>1461742534615515154</t>
  </si>
  <si>
    <t>Salgın boyunca birçok kez günlük yaşam kısıtlamalarla düzene konmuş ve bunlardan sonuçlar alınmıştı. Kısıtlamalar artık söz konusu olmasa da, biz kişisel tercihlerimizde bunları dikkate almalıyız. Hizmet alacağımız kurumlara DAHA AZ YOĞUN oldukları saatte gidelim. https://t.co/2itmmf28UI</t>
  </si>
  <si>
    <t>1461736789371199492</t>
  </si>
  <si>
    <t>Keçiören’de meydana gelen patlamada; aynı aileden 2 yaşlarında bir kız çocuğu ve 35 yaşlarında baba hayatını kaybetti. 5 yaşlarındaki erkek kardeşin ise durumu ağır. Hamile annenin tedavisine devam ediliyor.</t>
  </si>
  <si>
    <t>1461468713455165444</t>
  </si>
  <si>
    <t>Ankara Keçiören'de bir binada yaşanan patlamada 2'si ağır 6 yaralımız olduğunu belirtmiştik. Ağır yaralı olanların ikisi de çocuk. Maalesef tüm çabalara rağmen yavrularımızdan birisi kurtarılamadı. Diğer yavrumuzun durumu ise hâlâ ciddiyetini koruyor. Başımız sağ olsun.</t>
  </si>
  <si>
    <t>1461453754520248327</t>
  </si>
  <si>
    <t>Ankara Keçiören’de bir apartmanda, kaynağı henüz bilinmeyen patlama sonucu meydana gelen göçükte ikisi ağır 6 kişi yaralanmıştır. Olay yerine 8 adet 112 ambulansı görevlendirilmiş olup yaralılar 112 ambulansları ile hastanelere nakledilmektedir. Ekiplerimizle takipteyiz. https://t.co/anf4LZ0NwT</t>
  </si>
  <si>
    <t>1461444085059887110</t>
  </si>
  <si>
    <t>Kahramanmaraş milletvekili, ilim ve irfan adamı değerli ağabeyimiz İmran Kılıç, tedavi gördüğü Ankara Şehir Hastanesinde hayata veda etti. Kendisine Allah’tan rahmet; ailesine, dostlarına ve Kahramanmaraş halkına başsağlığı diliyorum. Mekânı cennet olsun.</t>
  </si>
  <si>
    <t>1461400722659061769</t>
  </si>
  <si>
    <t>AŞI İÇİN BİRLİK ÇAĞRISI
Halkımızdan salgınla mücadelenin şartlarına uymasını, ertelenen, zamanı gelen dozları hemen yaptırmasını istiyoruz. Sağlık camiamızdan aşı kararsızlarını aydınlatmak için destek, tüm medyadan aşı için kamu iletişimi hizmetinde daha fazla ısrar bekliyoruz. https://t.co/iwZejCJtCH</t>
  </si>
  <si>
    <t>1461371647135555588</t>
  </si>
  <si>
    <t>Türkiye hariç tüm Avrupa’da HIMSS mükemmeliyet seviyesi olan Seviye 7’ye ulaşmış hastane sayısı 5’tir. Ülkemizdeyse Seviye 7’ye ulaşan 5 hastane var. Ağız ve diş sağlığı merkezlerimizin dijitalleşme süreçlerinde 14 merkez Seviye 6 ve 2 merkez Seviye 7 olarak tescillenmiştir. https://t.co/Cqx65hOwUF</t>
  </si>
  <si>
    <t>1461308099399233536</t>
  </si>
  <si>
    <t>Sivas, ikinci doz aşı oranında %75’in üzerine çıkarak Mavi kategorisine geçti. Geç kalanlar, yarın kolları sıvayalım. Türkiye, salgınla mücadelenin rengine bürünmeli!</t>
  </si>
  <si>
    <t>1461067350615236613</t>
  </si>
  <si>
    <t>Üstadı ebedi âleme uğurladık. Arkasında nice diriliş şarkıları bıraktı. https://t.co/D7SJGyGtWX</t>
  </si>
  <si>
    <t>1461028681036537862</t>
  </si>
  <si>
    <t>DÜZCE’DE yaşanan 5 şiddetindeki depremde yaralanma ve can kaybı olmadı. Olay sebebiyle, 14 panik atak ve 5 travma tanılı hastaya sağlık hizmeti sunuldu. Toplam 38 personelden oluşan 112 Acil Yardım ve UMKE Timleri bölgede görev başında. Düzce’ye ve Türkiye’ye geçmiş olsun.</t>
  </si>
  <si>
    <t>1461024564742344705</t>
  </si>
  <si>
    <t>Tedbir, gerekli olduğu yerde alınmalı. Örneğin yakınınızda kimse yoksa maske gereksiz, insan yoğunluğunun fazla olduğu ortamlardaysa maske vazgeçilmezdir. Şartlar zamanla TEDBİR YORGUNLUĞUNA ve ciddi ihmale yol açtı. Mevsim kış. Tedbirleri makul şekilde tekrar uygulamaya koyalım. https://t.co/Ht5XDLE2fc</t>
  </si>
  <si>
    <t>1461015126744698886</t>
  </si>
  <si>
    <t>TÜSEB Aziz Sancar 2021 Bilim, Hizmet ve Teşvik Ödüllerine layık görülen 5 bilim insanımıza ödüllerini takdim ettik. Sağlık bilim ve teknolojilerine gelecekte uluslararası düzeyde katkılarda bulunabilecek niteliklere sahip olduğuna inandığımız arkadaşlarımızı tekrar kutluyorum. https://t.co/chbYjK93mF</t>
  </si>
  <si>
    <t>1460988429798412294</t>
  </si>
  <si>
    <t>Antalya’da devam eden HIMSS Sağlık Bilişimi ve Teknolojileri Konferansı ve Fuarı’nda yaptığımız ikili görüşmelerde küresel salgına karşı mücadeleyi ve ülkelerimiz arasındaki iş birliği konularını ele aldık. https://t.co/BXXBiFsMXE</t>
  </si>
  <si>
    <t>1460948508006092806</t>
  </si>
  <si>
    <t>HIMSS Sağlık Bilişimi ve Teknolojileri Konferansı ve Fuarı  📍Antalya https://t.co/3HIL7xnSnw</t>
  </si>
  <si>
    <t>1460874555606671363</t>
  </si>
  <si>
    <t>Karabük ikinci doz aşı oranında %75’in üzerine çıkarak Mavi kategorisine geçti. Geç kalanlar, yarın kolları sıvayalım. Türkiye, salgınla mücadelenin rengine bürünmeli!</t>
  </si>
  <si>
    <t>1460700798413938694</t>
  </si>
  <si>
    <t>Kapalı mekânlarda artık daha fazla zaman geçireceğiz. Maske ve mesafe tedbirlerine uyum azaldığı için virüsün yayılma riski artacak. Yaşlıların gençlerle bir arada yaşadığı KALABALIK AİLELERİN fertleri dışarıda tedbirlere daha çok dikkat etmeli ve eksik aşılarını tamamlamalıdır. https://t.co/3nt1mWr29g</t>
  </si>
  <si>
    <t>1460673483583721473</t>
  </si>
  <si>
    <t>“Sakın kader deme kaderin üstünde bir kader vardır
Ne yapsalar boş göklerden gelen bir karar vardır
Gün batsa ne olur geceyi onaran bir mimar vardır
Yanmışsam külümden yapılan bir hisar vardır”
Sezai Karakoç’u kaybettik. Bilgemiz, şairimiz artık aramızda değil. Başımız sağ olsun. https://t.co/f9tjSAXDXP</t>
  </si>
  <si>
    <t>1460628626953674758</t>
  </si>
  <si>
    <t>Aşılanmada hız sinyali: Ağrı Sarı, Karaman Mavi!</t>
  </si>
  <si>
    <t>1460304994444455943</t>
  </si>
  <si>
    <t>Covid-19 Tablosu mesajında İLK KEZ bir ilin aşı oranını ülke gündemine taşımak istiyoruz. Şu anda ikinci doz aşı oranı en düşük ilimiz %55,2 ile Şanlıurfa’dır. Türkiye ortalamasında ise %80’i geçtik. ŞANLIURFA halkını salgınla mücadelede daha hızlı adımlar atmaya davet ediyoruz. https://t.co/QM1DCa9SLY</t>
  </si>
  <si>
    <t>1460284611175624705</t>
  </si>
  <si>
    <t>AYNI AY, AYNI YILDIZ!
Kuzey Kıbrıs Türk Cumhuriyeti’nin 38. kuruluş yıl dönümü kutlu olsun! Bağımsızlık ve barış için mücadele eden tüm kahramanlarımızı saygı ve rahmetle anıyoruz. https://t.co/oq1xSdCAVP</t>
  </si>
  <si>
    <t>1460172227450654721</t>
  </si>
  <si>
    <t>%75’i hep birlikte geçmeliyiz.
Sarı iller, Türkiye’yi sevindirelim!</t>
  </si>
  <si>
    <t>1459950737253883906</t>
  </si>
  <si>
    <t>%75’i hep birlikte geçmeliyiz.
Turuncu iller, Türkiye’yi sevindirelim!</t>
  </si>
  <si>
    <t>1459950679976460298</t>
  </si>
  <si>
    <t>DÜNYA DİYABET GÜNÜ
Yanlış beslenme, fazla kilo, hipertansiyon, hareketsiz yaşam tarzı gibi birçok nedene bağlı olarak diyabet hastalığı yaygınlaşıyor. Bu kronik hastalığın önlenmesi büyük oranda bize bağlı. Vücudumuzun istediği, doğal dengelerine ve ihtiyaçlarına uygun bir yaşam!</t>
  </si>
  <si>
    <t>1459925201085468676</t>
  </si>
  <si>
    <t>Şanlıurfa, Mardin, Diyarbakır, Batman, Siirt, Bitlis, Muş, Bingöl, Ağrı: Bu 9 ildeki aşılanma oranını yükseltmek için aşı olan herkesten İKNA DESTEĞİ istiyoruz. Aşıyı teşvik amacıyla tanıdıklarınızla irtibata geçin. Aşılanmanın artmasına, kararsızlığın aşılmasına yardımcı olun. https://t.co/gAWNt9GtCs</t>
  </si>
  <si>
    <t>1459922955560013824</t>
  </si>
  <si>
    <t>İkinci doz aşı oranı %65’ten düşük dokuz ilimiz kaldı: Şanlıurfa, Mardin, Diyarbakır, Batman, Siirt, Bitlis, Muş, Bingöl, Ağrı. Sadece karar verilmesi aşı hizmeti almak için yeterlidir. Ekiplerimizle her türlü kolaylığı sağlamaya hazırız. Yeter ki aşılanma oranımızı yükseltelim. https://t.co/CsTeVleeoM</t>
  </si>
  <si>
    <t>1459557315682750471</t>
  </si>
  <si>
    <t>30 Ekim-5 Kasım arasında vaka yoğunluğu bir önceki haftaya göre EN ÇOK ARTAN 10 İLİMİZ: Sinop, Osmaniye, Kastamonu, Tunceli, Amasya, Balıkesir, Tokat, Çankırı, Edirne, Giresun. https://t.co/NrEfMJwVJD</t>
  </si>
  <si>
    <t>1459537583122395145</t>
  </si>
  <si>
    <t>30 Ekim-5 Kasım arasında, 100.000 KİŞİ İÇİNDE bir haftalık toplam yeni Covid-19 vaka sayısı il bazında neydi? Yaşadığınız, gidip geldiğiniz illerdeki durumu haftalık İnsidans haritamızdan öğrenebilirsiniz. https://t.co/ZqKGrnUQON</t>
  </si>
  <si>
    <t>1459535698516750342</t>
  </si>
  <si>
    <t>Geç kalanlar, kolları sıvayalım! Hakkâri de Mavi!</t>
  </si>
  <si>
    <t>1459245529272131584</t>
  </si>
  <si>
    <t>4 Renkli haritadan 3 RENKLİ haritaya geçtik!
Şanlıurfa Turuncu, hedef tek renk Mavi!</t>
  </si>
  <si>
    <t>1459244310776401920</t>
  </si>
  <si>
    <t>Son 1 aydaki vakaların %15’ini 60 yaş ve üzeri oluşturuyor. Buna karşın, vefatların %84,8’i 60 yaş üzerindedir. Okul çağındaki 8-16 yaş grubundaki çocuklarımızın toplam vakalar içindeki oranı ise yaklaşık %10 seviyesinde düşüş göstermiştir. Bu, salgının seyri açısından önemlidir. https://t.co/b7efuWBGGG</t>
  </si>
  <si>
    <t>1459196448571023364</t>
  </si>
  <si>
    <t>Zatürre (Pnömoni) bulaşıcı ve riskli bir hastalıktır. Akciğerdeki hava kesecikleri iltihaplı sıvı ile dolar. KOAH, kalp hastalığı, böbrek yetmezliği, diyabet gibi kronik hastalığı olanlar, yaşlılar, küçük çocuklar, hamileler risk grubundadır. Zatürre, aşısı olan bir hastalıktır. https://t.co/PVcJcSyO3o</t>
  </si>
  <si>
    <t>1459156422105702403</t>
  </si>
  <si>
    <t>Yaklaşık 8,6 Milyon kişi zamanı gelmiş olan 2. veya 3. doz aşısını yaptırmadı. Aşının tam olması, doz sayısına ve dozlar arasındaki sürenin uzamamasına bağlı. Bildirimlerimiz bu sürelere göre yapılıyor. Aşının gücünden daha çok yararlanabilmek için AŞI TAKVİMİNİZE UYMALISINIZ. https://t.co/XLaooLpmxc</t>
  </si>
  <si>
    <t>1458830717023105027</t>
  </si>
  <si>
    <t>Uçak ve Helikopter Ambulanslarımız sadece bu yıl yurt içinde 3.629 hasta ve yaralı taşıdı. Ayrıca yurt dışına 1 hasta, yurt dışından ülkemize ise 148 hasta nakledildi. Sağlık için zamana karşı hareket halindeyiz.</t>
  </si>
  <si>
    <t>1458821706999599104</t>
  </si>
  <si>
    <t>Hava ambulans filosu
saniyeler için uçar! https://t.co/s1Cm2CZ3qm</t>
  </si>
  <si>
    <t>1458817665649233922</t>
  </si>
  <si>
    <t>Karaman’daki Acil Sağlık Hizmetleri ekiplerimiz, bugün, doğum sancıları köyden yola çıktıktan kısa bir süre sonra başlayan anne adayı için harekete geçti. Ekibimiz anne adayına ulaşıp doğumu ambulansta gerçekleştirdi. BİR ERKEK BEBEK! BİRAZ ACELECİ. Anne oğul hastanede ve iyiler. https://t.co/G82zMUS8d7</t>
  </si>
  <si>
    <t>1458536487746736140</t>
  </si>
  <si>
    <t>Koronavirüs Bilim Kurulumuz bugün risk grubundaki vatandaşlarımızın durumu, salgının seyri ve aşı programı gündemi ile toplandı. https://t.co/QSTGjNFBzk</t>
  </si>
  <si>
    <t>1458492855484358659</t>
  </si>
  <si>
    <t>Aşı olmak, yeni dozları gününde yaptırmak, salgın tedbirlerine uymak düşünülenden büyük sonuçlara yol açacaktır. Çünkü Covid-19 aşısı ve tedbirler bizleri koruma altına almakla kalmaz: virüsün yayılma, yaşama alanını daraltır. Yüksek aşı oranı ve tedbir virüsün gücünü kırar. https://t.co/AACHsgiII7</t>
  </si>
  <si>
    <t>1458481390371155970</t>
  </si>
  <si>
    <t>Atatürk aramızdan ayrıldığı zaman 57 yaşındaydı. Bildiğimiz yıllarla bir tutulamayacak bir 57 yıl! Lider olarak hayatını adadığı ve milletimizle inşa ettiği eserler binlerce yıl yaşayacak. O’nu, hatırasına saygı ve rahmetle anıyoruz. https://t.co/WmJ4L1lnd0</t>
  </si>
  <si>
    <t>1458314821871538186</t>
  </si>
  <si>
    <t>MALATYA’DA SON DURUM: Bir binanın çökmesi sonucu yaralanıp hastaneye kaldırılan 13 kişiden 8’i tedavileri tamamlanarak taburcu edilmiştir. 5 yaralı halen tedavi altında. 5 UMKE timi dâhil toplam 141 sağlık çalışanımızla olay yerindeyiz. Kurtarma çalışmaları devam ediyor.</t>
  </si>
  <si>
    <t>1458201009721905160</t>
  </si>
  <si>
    <t>UMKE ekiplerimiz bugün Malatya’da enkazdan kurtardıkları hayatlarla bize dünyaları bağışlamış oldular. Malatya ve tüm halkımız adına, iyi ki varsın UMKE! https://t.co/3y1BIPh8yH</t>
  </si>
  <si>
    <t>1458167935231565829</t>
  </si>
  <si>
    <t>Aktif vaka sayımız yaklaşık 450.126. Testi pozitif çıkmış kişilerin, şikayetleri ne düzeyde olursa olsun, hastalığın yayılmasına izin vermemek için izolasyon koşullarına kesinlikle uymaları gerektiğini hatırlatmak istiyoruz. Salgınla mücadelede başarı ortak sorumluluğa bağlı. https://t.co/4Mp5r4QCKS</t>
  </si>
  <si>
    <t>1458138217086132227</t>
  </si>
  <si>
    <t>Malatya merkezde bir binanın çökmesi sebebiyle 13 kişi yaralandı. Yaralıların tedavisi hastanelerimizde devam ediyor. Olay yerinde 28 ambulans ve 2 UMKE ekibi görevlendirilmiştir. Geçmiş olsun Malatya. Yanınızdayız.</t>
  </si>
  <si>
    <t>1458102921904758786</t>
  </si>
  <si>
    <t>Türkiye, Covid-19 aşısı için vatandaşına mecburiyet getirmedi. Fakat şartlar, aşının zaten bir mecburiyet olarak görülmesi gerektiğini ortaya koymaktadır. Kişilerin iradesi toplum yararını gözetmelidir. Sorumluluk duygusu aşı olmayı gerektirir. Salgında sorumluluktan kaçılmaz.</t>
  </si>
  <si>
    <t>1458073221518045189</t>
  </si>
  <si>
    <t>BAYBURT ikinci doz aşı oranında %65’in üzerine çıkarak Sarı kategorisine geçti. Aşı oranı düşük tüm illerimizde %75 hedefine ulaşmalıyız.
GEÇ KALANLAR, KOLLARI SIVAYALIM!</t>
  </si>
  <si>
    <t>1457989236976668679</t>
  </si>
  <si>
    <t>Bu kez UMKE ekiplerimize sadece çalışma arkadaşları olarak değil, bir Konyalı olarak da teşekkür ediyorum. Büyük küçük her afete karşı, iyi ki varsınız! https://t.co/QOwGI6mv3h</t>
  </si>
  <si>
    <t>1457804020181962757</t>
  </si>
  <si>
    <t>Saat 20.43’te Konya Meram’da 5,1 şiddetinde bir deprem meydana geldi. Depremden bir kişi etkilendi. Metruk 2 bina yıkıldı, 1’i hasar gördü. Bölgede görev başındayız. Depremin sonuçlarının bu kadarla sınırlı kalacağını umuyor, Konya’mıza geçmiş olsun diyorum. Bizi yanınızda bilin.</t>
  </si>
  <si>
    <t>1457794706654433281</t>
  </si>
  <si>
    <t>Cumhurbaşkanımız açıklamayı yaptı. Yoğun bir hazırlık sürecinin ardından yeni sağlık çalışanı arkadaşlarımızın atama kararı alındı. 40.000 arkadaşımız, nitelikli eğitimleri ve sorumluluk duygularıyla halkımızın hizmetinde olacak. Şimdiden, aramıza hoş geldiniz diyorum. https://t.co/bceqCsTHrR</t>
  </si>
  <si>
    <t>1457784433633755141</t>
  </si>
  <si>
    <t>Eksik aşıların yaptırılması ve aşı oranımızın yükselmesi gerektiğini ısrarla vurguluyoruz. Bu konuda sahadaki kararlılığımız devam ediyor. Fakat salgın şartlarının üstesinden gelmenin sadece aşıya bağlı olmadığını hiç unutmamalıyız. Virüsün artan dolaşım hızına karşı tedbir şart. https://t.co/T3oxqUWYQA</t>
  </si>
  <si>
    <t>1457764117322809346</t>
  </si>
  <si>
    <t>RT @RTErdogan: Kabine Toplantısı Sonrası Millete Sesleniş https://t.co/z1UfZsZvrl</t>
  </si>
  <si>
    <t>1457750847568371719</t>
  </si>
  <si>
    <t>Salgın gündeminden yorulduğunuzun farkındayız. Siz tedbirlere uyun, aşınızı olun; yapılması gereken başka ne varsa o görev bizim. Covid-19 testleri, hastalarımızın tedavisi, Turkovac’ın yaygın kullanıma hazırlığı devam ediyor. Hedefimiz, şu günlerin bir an önce unutulması. https://t.co/KSGWZitvXg</t>
  </si>
  <si>
    <t>1457381337942433807</t>
  </si>
  <si>
    <t>23-29 Ekim arasında vaka yoğunluğu bir önceki haftaya göre EN ÇOK ARTAN 10 İLİMİZ: Yalova, Osmaniye, Balıkesir, Ordu, Çanakkale, Kırklareli, Tekirdağ, Bilecik, Antalya, İzmir. https://t.co/X4vjiu7AC8</t>
  </si>
  <si>
    <t>1457355666830540802</t>
  </si>
  <si>
    <t>23-29 Ekim arasında, 100.000 KİŞİ İÇİNDE bir haftalık toplam yeni Covid-19 vaka sayısı il bazında neydi? Yaşadığınız, gidip geldiğiniz ildeki durumu haftalık İnsidans haritamızdan öğrenebilirsiniz. https://t.co/Z80z8ZTPIT</t>
  </si>
  <si>
    <t>1457354362079096844</t>
  </si>
  <si>
    <t>BATMAN ZİYARETİMİZDEN KÜÇÜK BİR HEDİYE. Yöreye ait “Bir Ceket İsterem” adlı türküden bir bölüm paylaşıyoruz. Batman halkının selamlarıyla. https://t.co/QG32I3LBIt</t>
  </si>
  <si>
    <t>1457076266620829696</t>
  </si>
  <si>
    <t>Eğitim ve Araştırma Hastanesinin açılışı sebebiyle bugün BATMANLILARLA beraberdik. Taleplerini, beklentilerini öğrenme fırsatımız oldu. Bize bu imkânı sunanların her birine teşekkür ediyorum. https://t.co/DnHeNCF44w</t>
  </si>
  <si>
    <t>1457050265471918084</t>
  </si>
  <si>
    <t>Hedeflediğimiz aşı başarısına ulaşabilmiş değiliz. AŞI KARARSIZLIĞI bunun önemli nedenleri arasında. İlk dozu olmayanlar ve ikinci dozu erteleyenler konuyu sürüncemede bırakmayıp, ciddiyetle ele almalı. Bilgi kaynağımız bilim insanları, %79’un kararıysa hepimize örnek olmalı. https://t.co/L5w1jrJuOg</t>
  </si>
  <si>
    <t>1457033787997659137</t>
  </si>
  <si>
    <t>Bugün Batman'a yakışır bir sağlık tesisi hizmete alındı. Batman Eğitim ve Araştırma Hastanesi’yle, artık yeni hekimler de yetiştirecek. Hayırlı olsun. https://t.co/tHLetVK6gj</t>
  </si>
  <si>
    <t>1456989917456834561</t>
  </si>
  <si>
    <t>RT @RTErdogan: Batman Eğitim ve Araştırma Hastanesi, 36 Fabrika, Şehir Stadyumu ve Tamamlanan Projelerin Toplu Açılış Töreni https://t.co/P…</t>
  </si>
  <si>
    <t>1456976743449997316</t>
  </si>
  <si>
    <t>Batman Eğitim ve Araştırma Hastanemizi Batmanlı hemşehrilerimizin hizmetine açıyoruz. 
📍Batman https://t.co/lRTOaZYokK</t>
  </si>
  <si>
    <t>1456971947309404165</t>
  </si>
  <si>
    <t>KAYSERİ VE KİLİS ikinci doz aşı oranında %75’in üzerine çıkarak Mavi kategorisine geçti. Aşı oranı düşük tüm illerimizde bu hedefe ulaşmalıyız. 81 ilin tamamı bir an önce Mavi olmalı.</t>
  </si>
  <si>
    <t>1456707511118094344</t>
  </si>
  <si>
    <t>RİSKE KARŞI İDEAL SONUÇ tam doz aşı ile elde ediliyor. Gebelerin, kronik hastalığı olanların ve 60 yaş üzerindekilerin tam aşılı olmaları son derece önemlidir. İki doz mRNA aşısı olanlardan şu an öncelik grubundakiler de zaman kaybetmeden randevu alabilir. Aşı ertelemeye gelmez. https://t.co/gEAIKghFBO</t>
  </si>
  <si>
    <t>1456683221601726464</t>
  </si>
  <si>
    <t>ORGAN VE DOKU BAĞIŞI FARKINDALIK HAFTASINDAYIZ. Organ nakli için bekleyen 26.894 hastamız var. Organ Nakli Merkezlerimiz oldukça başarılı. Fakat bazı hastalar yıllarca bekliyor. Sonuç, organ bağışının yaygınlaşmasına, başka hayatlara umut olanların artmasına bağlı. Bize katılın.</t>
  </si>
  <si>
    <t>1456622879601303559</t>
  </si>
  <si>
    <t>Doğru uygulama için adım adım takipçi, değişim için kararlıyız! https://t.co/8aY1haYFqz</t>
  </si>
  <si>
    <t>1456336869046853637</t>
  </si>
  <si>
    <t>HATAY ikinci doz aşı oranında %75’in üzerine çıkarak Mavi kategorisine geçti. Aşı oranı düşük tüm illerimizde bu hedefe ulaşmalıyız. 81 ilin tamamı bir an önce Mavi olmalı.</t>
  </si>
  <si>
    <t>1456335841786204167</t>
  </si>
  <si>
    <t>Tablodaki aşı oranları bizi yanıltmamalı, 84 Milyon içindeki karşılıklarını dikkate almalıyız. Bir doz aşı olanların tüm nüfusa oranı %67,2’dir. İki doz aşı olanların oranı ise sadece %59. Toplumsal bağışıklığı sağlayabilmek için bu oranın %70’in üzerine çıkarılması gereklidir. https://t.co/bSUsZhGiBC</t>
  </si>
  <si>
    <t>1456293949157658627</t>
  </si>
  <si>
    <t>MECLİS NÖBETİ görevimiz sırasında ziyaretimize gelenlere, hizmet önerisi ve taleplerini paylaşanlara teşekkür ederim. Milletin bütün temsilcileri huzurunda tutulan bu nöbetler bizim için aziz bir görev. https://t.co/X02QumqDBA</t>
  </si>
  <si>
    <t>1456217839333830665</t>
  </si>
  <si>
    <t>Kaza Trabzon Arsin’de yaşandı. Kayan toprak sebebiyle sıkışmaya bağlı travma ihtimali bilgisini aldık. Acil ekipleri ilk müdahaleyi olay yerinde yaptı. Ambulans Helikopter çağrıyla havalandı. 48 km mesafedeki Fakülte Hastanesine 11 dakikada ulaştı. Tanı: Sol femur boyun fraktürü. https://t.co/WgChf7YRXO</t>
  </si>
  <si>
    <t>1455994042458771459</t>
  </si>
  <si>
    <t>RİZE ikinci doz aşı oranında %75’in üzerine çıkarak Mavi kategorisine geçti. Aşı oranı düşük tüm illerimizde bu hedefe ulaşmalıyız. 81 ilin tamamı bir an önce Mavi olmalı. Hızlanalım.</t>
  </si>
  <si>
    <t>1455992295636021255</t>
  </si>
  <si>
    <t>Bilim Kurulunda; mRNA AŞISI olup, 2. doz üzerinden 6 ay geçmiş kişilere 3. DOZ yapılmasının uygun olacağına karar verildi. Öncelikli gruplar; 60 yaş üzeri, 16-60 yaş arasında ve ek hastalığı olanlarla başta sağlık çalışanları olmak üzere yüksek riskli mesleklerde çalışanlardır. https://t.co/bF0ldJpb5A</t>
  </si>
  <si>
    <t>1455984244791123972</t>
  </si>
  <si>
    <t>Yarından itibaren mRNA aşısı olanlara risk gruplarına göre hatırlatma dozu uygulanacak. https://t.co/LeSA8jd198</t>
  </si>
  <si>
    <t>1455981952364957706</t>
  </si>
  <si>
    <t>Ülkemizde Halk Sağlığı disiplininin öncüsü olan Prof. Dr. Nusret Fişek’i 1990 yılında, 3 Kasım günü kaybetmiştik. Örnek hizmetler yapan, sağlık hizmetlerinin sosyalleşmesi yönünde büyük katkılar veren Tıp büyüğümüzü saygıyla anıyoruz. https://t.co/Q3HLgNKifP</t>
  </si>
  <si>
    <t>1455957046352916487</t>
  </si>
  <si>
    <t>“Atama Bekleyenler Haklılar. Bu Ay İçinde Sayı Açıklanacak.”
SİZİN YERİNİZE SORDULAR, CEVAP VERDİK https://t.co/vNs68KmAxQ</t>
  </si>
  <si>
    <t>1455799226802266113</t>
  </si>
  <si>
    <t>SMA Hastalığına Karşı Proje: Evlilik Öncesi Tarama Testi
SİZİN YERİNİZE SORDULAR, CEVAP VERDİK https://t.co/ulgDEyptyd</t>
  </si>
  <si>
    <t>1455792753795866624</t>
  </si>
  <si>
    <t>Turkovac’ın Seri Üretimi ve Gönüllü İhtiyacı
SİZİN YERİNİZE SORDULAR, CEVAP VERDİK https://t.co/yUkBKrRmqG</t>
  </si>
  <si>
    <t>1455630393374302209</t>
  </si>
  <si>
    <t>mRNA Aşısında 3. Doz Uygulaması İhtimali
SİZİN YERİNİZE SORDULAR, CEVAP VERDİK https://t.co/la0szwgYE6</t>
  </si>
  <si>
    <t>1455628121806458885</t>
  </si>
  <si>
    <t>18 Yaşından Küçükler Açısından Aşı Uygulaması
SİZİN YERİNİZE SORDULAR, CEVAP VERDİK https://t.co/hNxerKOOjZ</t>
  </si>
  <si>
    <t>1455625988470198272</t>
  </si>
  <si>
    <t>Okullarda Rastgele PCR Taramasının Sonucu ve Anlamı
SİZİN YERİNİZE SORDULAR, CEVAP VERDİK https://t.co/O8xXtllijY</t>
  </si>
  <si>
    <t>1455623413880475648</t>
  </si>
  <si>
    <t>İki Kapanma da Tamamen İhtimal Dışı
SİZİN YERİNİZE SORDULAR, CEVAP VERDİK https://t.co/MXwaAGZQ4u</t>
  </si>
  <si>
    <t>1455621815594885125</t>
  </si>
  <si>
    <t>Asistan Hekimler İçin Reform Değerinde İyileştirmeler Olacak
SİZİN YERİNİZE SORDULAR, CEVAP VERDİK https://t.co/fuz5NnSb9V</t>
  </si>
  <si>
    <t>1455619800059760645</t>
  </si>
  <si>
    <t>KÜTAHYA ikinci doz aşı oranında %75’in üzerine çıkarak Mavi kategorisine geçti. Aşı oranı düşük tüm illerimizde bu hedefe ulaşmalıyız.</t>
  </si>
  <si>
    <t>1455617494127874054</t>
  </si>
  <si>
    <t>18 yaş ve üstü nüfusta birinci doz aşı oranımız %90’a yakın. İkinci doz oranımız %79 seviyesinde. İkisi arasında 11 puan fark var. Bu farkı kapatmalıyız. Aşının süreci stabil hale getirdiği ve can kayıplarını azalttığından şüphemiz yok. Fakat tek doz, sonuç almak için yetersiz! https://t.co/nm2TFlmupe</t>
  </si>
  <si>
    <t>1455584851223003145</t>
  </si>
  <si>
    <t>16-22 Ekim arasında vaka yoğunluğu bir önceki haftaya göre EN ÇOK ARTAN 10 İLİMİZ: Yalova, Tunceli, Edirne, Balıkesir, Çanakkale, Tekirdağ, Kocaeli, Amasya, Osmaniye, Kırşehir. https://t.co/oggTncEMp3</t>
  </si>
  <si>
    <t>1455511885571297283</t>
  </si>
  <si>
    <t>16-22 Ekim arasında, 100.000 KİŞİ İÇİNDE bir haftalık toplam yeni Covid-19 vaka sayısı il bazında neydi? Yaşadığınız, gidip geldiğiniz ildeki durumu haftalık İnsidans haritamızdan öğrenebilirsiniz. https://t.co/bjAKPohW29</t>
  </si>
  <si>
    <t>1455507660523065348</t>
  </si>
  <si>
    <t>ELAZIĞ ikinci doz aşı oranında %65’in üzerine çıkarak SARI kategorisine geçti. Aşı oranı düşük tüm illerimizde %75 hedefine ulaşmalıyız.
GEÇ KALANLAR, YARIN KOLLARI SIVAYALIM.</t>
  </si>
  <si>
    <t>1455240702288351240</t>
  </si>
  <si>
    <t>CUMHURİYET’TE 98 YIL
BEYAZ ÖNLÜKLERİYLE İLKLER
Bazı bakımlardan bizden çok ileriydiler. Onlara ilham veren şeyi anlamak için bile emek gerekir. Aşağıda çok azının adına yer verebildik. Bu ilklerden çok var. Daha çok olacak! Beyaz önlüklüler, izleyelim: https://t.co/1CgE9Bawl0</t>
  </si>
  <si>
    <t>1455226570436644864</t>
  </si>
  <si>
    <t>Kimileri aşıdan beklenen sonucun alınamadığı kanısında. İkinci doz aşı oranı %75’i geçtiği halde vaka sayıları 30 bini aşabiliyor. Oysa aşıyla sağlanan önemli bir sonuç var. Artık hızlı tırmanışlar ve pikler görmüyoruz. Dramatik seyir yerine stabil, kontrolü kolay bir seyir var. https://t.co/ta6bir5IDv</t>
  </si>
  <si>
    <t>1455220662176469001</t>
  </si>
  <si>
    <t>Okulların kapanması ihtimalinden söz eden bir habere rastladım. Haber yanlıştır. Bilim Kurulumuzun böyle bir gündemi yok. Kurul üyesi bir arkadaşımızın aşının önemini vurgularken seçtiği ifade yanlış anlaşılmış. ÖĞRENCİLERİMİZE BAŞARI DOLU HAFTALAR DİLİYORUZ.</t>
  </si>
  <si>
    <t>1455060409157931010</t>
  </si>
  <si>
    <t>Yaklaşık 3 milyon kişi zamanı gelen Üçüncü Doz aşısını henüz yaptırmadı. Bilim insanları üçüncü dozu Koruma Kalkanı Dozu şeklinde adlandırıyor. Üçüncü doz aşınızı yaptırın. 18-59 yaş arasında ve sağlıklıysanız 3. Doz için Turkovac da tercih edebilirsiniz. https://t.co/E8uh4tlN81 https://t.co/aFCUYrS2Xa</t>
  </si>
  <si>
    <t>1454847765855588356</t>
  </si>
  <si>
    <t>Köpeğimiz Sultan, dünyaya getirdiği yedi yavruyla hayatımızı bereketlendirdi. Görenler, analı babalı büyüsünler :) dedi. Birazcık büyüsünler isimlerini koyacağız. Diğer köpeğimiz, heyecandan mıdır, şimdilik olayın farkında değil. https://t.co/clRF5Cf6k1</t>
  </si>
  <si>
    <t>1454812341535756288</t>
  </si>
  <si>
    <t>30 Ekim 2020 İzmir depremi hepimizi sarsmıştı. Depremde 117 insanımız can verdi. Bir anda yıkımlara yol açan bir afet! Kayıpları; hastalığa bağlı, süreci bilinen ölümlerle elbette bir tutulamaz. Ama unutmayın: Sadece bugünkü vefat sayımız 203. Önlenmesi mümkün ölümler önlenmeli. https://t.co/gssyWBELO2</t>
  </si>
  <si>
    <t>1454485576527360005</t>
  </si>
  <si>
    <t>Onu Elif bebek diye hatırlıyoruz. Adı Elif Perinçek, büyümüş, umutlarla dolu kız olmuş. Geçen yıl bugün yaşadığımız İzmir depreminde Doğanlar Apartmanının enkazından 65. saatte kurtarılmıştı. Kaybettiğimiz 117 insanımıza Allah’tan rahmet diliyoruz. Acımız taze. Başımız sağ olsun. https://t.co/GcLvoYRyJI</t>
  </si>
  <si>
    <t>1454463071280324609</t>
  </si>
  <si>
    <t>Onu Ayda bebek diye hatırlıyoruz. Adı Ayda Gezgin, kocaman kız olmuş. Geçen yıl bugün yaşadığımız İzmir depreminde Rıza Bey Apartmanının enkazından 91. saatte kurtarılmıştı. Kaybettiğimiz 117 insanımıza Allah’tan rahmet diliyoruz. Başımız sağ olsun. Hayat gücünü umutlardan alır. https://t.co/e1FQDkZhf3</t>
  </si>
  <si>
    <t>1454461323442597889</t>
  </si>
  <si>
    <t>“Elimi tutar mısın?”
30 EKİM İZMİR DEPREMİNDE, UMKE personeli Eda ile İnci arasındaki kurtarma anı diyalogları hâlâ kulaklarımızda. Aradan geçen zamanda bir araya geldiklerini biliyoruz. Konuştukları gibi, İnci keman çalmış. Hayat gücünü umuttan alır.
 https://t.co/V6kEBTly5I</t>
  </si>
  <si>
    <t>1454452602620583936</t>
  </si>
  <si>
    <t>KIRIKKALE ikinci doz aşı oranında %75’in üzerine çıkarak Mavi kategorisine geçti. Aşı oranı düşük tüm illerimizde bu hedefe ulaşmalıyız.</t>
  </si>
  <si>
    <t>1454143662963712012</t>
  </si>
  <si>
    <t>GEBE ÖLÜMLERİ 2020’de salgın öncesi yıla göre %52 artmıştı. Bu yılsa geçen yıla oranla %50 daha fazla anne adayını Covid-19 sebebiyle kaybettik. Kaybettiğimiz gebelerin %99’u aşısızdı. Gebelerde aşılanma oranı maalesef oldukça çok düşük. BEBEKLER DOĞMALI, ANNELER YAŞAMALI https://t.co/jSBbznEUSD</t>
  </si>
  <si>
    <t>1454128188221759491</t>
  </si>
  <si>
    <t>Bayrağınla, İstiklal Marşınla, Cumhuriyet Bayramınla Nice 98 Yıllara Türkiye!
Cumhuriyetimizin kurucusu Mustafa Kemal Atatürk’ü ve arkadaşlarını saygıyla anıyor, Cumhuriyet Bayramımızı 84 Milyon birlikte kutluyoruz. https://t.co/QhTh6Vomph</t>
  </si>
  <si>
    <t>1454056657030365189</t>
  </si>
  <si>
    <t>İlk gününün heyecanıyla Cumhuriyet’in 98. yılındayız. Sağlık çalışanları olarak, 29 Ekim Cumhuriyet Bayramınızı kutluyoruz. https://t.co/NJ0vFOsO39</t>
  </si>
  <si>
    <t>1454048654688403460</t>
  </si>
  <si>
    <t>Ülkemizi hedef alan teröre karşı K. Irak’ta sürdürülen operasyonda görevli Uzm. Çvş. Harun Çalışkan kardeşimiz şehit düştü. Kendisine Allah’tan rahmet; ailesine, kahraman ordumuza başsağlığı diliyorum. Birlik ve beraberlik, bu uğurda can veren şehitlerimize karşı görevimizdir. https://t.co/S2LiwzKT3Y</t>
  </si>
  <si>
    <t>1453797977714274331</t>
  </si>
  <si>
    <t>ADANA ikinci doz aşı oranında %75’in üzerine çıkarak Mavi kategorisine geçti. Aşı oranı düşük tüm illerimizde bu hedefe ulaşmalıyız.</t>
  </si>
  <si>
    <t>1453762543911161864</t>
  </si>
  <si>
    <t>25.528 test pozitif çıktı. Hastalığı ağır geçirenlerden 229 kişi hayatını kaybetti. İkinci doz aşı oranı %75’in altında olan 42 ilimizde aşılanma düşük hızla ilerliyor. Aşının riski azalttığını biliyoruz. Aşınızı bir an önce yaptırın. SİZE DEĞER VERENLER ADINA, LÜTFEN. https://t.co/9wO8iiWK92</t>
  </si>
  <si>
    <t>1453759987176689667</t>
  </si>
  <si>
    <t>TUNCELİ ikinci doz aşı oranında %75’in üzerine çıkarak Mavi kategorisine geçti. Aşı oranı düşük tüm illerimizde bu hedefe ulaşmalıyız.</t>
  </si>
  <si>
    <t>1453635674440089600</t>
  </si>
  <si>
    <t>Bilim Kurulu Gündemi, Covid-19 ve Türkiye https://t.co/CPBWrN1GQS</t>
  </si>
  <si>
    <t>1453618357794713600</t>
  </si>
  <si>
    <t>Sağlık Camiası Gündemi
Yeni Atamalar https://t.co/sdJEGb4472</t>
  </si>
  <si>
    <t>1453459003711934470</t>
  </si>
  <si>
    <t>Sağlık Camiası Gündemi
Ekonomik Koşulların İyileştirilmesi https://t.co/1G5qX5nE62</t>
  </si>
  <si>
    <t>1453457346710097932</t>
  </si>
  <si>
    <t>Sağlık Camiası Gündemi
Çalışanlara Yönelik Şiddet https://t.co/qjBepxoHV4</t>
  </si>
  <si>
    <t>1453455402952187912</t>
  </si>
  <si>
    <t>Sağlık Camiası Gündemi
Nöbetler Konusunda Sevindirici İlk Gelişmeler https://t.co/PTTHxuI7Fu</t>
  </si>
  <si>
    <t>1453453844839600132</t>
  </si>
  <si>
    <t>Sağlık Camiası Gündemi
Makul Nöbet Uygulaması İçin Takipte Olacağız https://t.co/WqouTM72e8</t>
  </si>
  <si>
    <t>1453452509738119184</t>
  </si>
  <si>
    <t>Hepimizi Üzen Olay: Asistan Dr. Rümeysa Şen’in Vefatı. https://t.co/4fXQRHuczj</t>
  </si>
  <si>
    <t>1453449999954677764</t>
  </si>
  <si>
    <t>Bugünkü basın açıklamamızda sağlık çalışanlarımızın sorunlarını ön plana aldık. Bilim Kurulu Toplantısındaki gündemi de her zaman olduğu gibi sizlerle paylaşıyoruz.
video: https://t.co/rW4oBdISz4</t>
  </si>
  <si>
    <t>1453412805617590283</t>
  </si>
  <si>
    <t>26.896 test pozitif çıktı. Hastalığı ağır geçirenlerden 210 kişi hayatını kaybetti. Bu ölümlerin bir kısmı birden çok sebebin bir araya gelmesine bağlı ve önlenebilir. Örneğin, Covid-19’a kronik hastalıkların eşlik etmesi riski artıran bir faktör. Tam doz aşı bu riski azaltıyor. https://t.co/chiSpgkyKJ</t>
  </si>
  <si>
    <t>1453399125609832472</t>
  </si>
  <si>
    <t>KOCAELİ ikinci doz aşı oranında %75’in üzerine çıkarak Mavi kategorisine geçti. Aşı oranı düşük tüm illerimizde bu hedefe ulaşmalıyız.</t>
  </si>
  <si>
    <t>1453054972661207041</t>
  </si>
  <si>
    <t>Covid-19, kronik hastalıklarla bir araya geldiğinde ağır geçirilmesi ihtimali artıyor. Aşı bu ihtimale karşı tabloyu büyük oranda değiştiriyor. Kronik hastalığınız varsa aşı konusunda özenli olun. İstenilen sonucun dozlar tam olduğunda alındığını unutmayın. https://t.co/N9kj4ne5oP</t>
  </si>
  <si>
    <t>1453042813604663299</t>
  </si>
  <si>
    <t>“Kırk yaşındayım. Bu yaşıma kadar yaşamadığımı yaşadım. Bu kadar kötü yakalanacağımı bilseydim aşı yaptırmak isterdim.” https://t.co/kLpfhAigik</t>
  </si>
  <si>
    <t>1452713633830653952</t>
  </si>
  <si>
    <t>BURSA ikinci doz aşı oranında %75’in üzerine çıkarak Mavi, ŞIRNAK %65’in üzerine çıkarak Sarı kategorisine geçti. %75 hedefini tüm illerimizde aşmalıyız.</t>
  </si>
  <si>
    <t>1452705325472272386</t>
  </si>
  <si>
    <t>İkinci doz aşı oranının Türkiye genelinde %77,5’i geçmesi gurur duyulacak bir toplumsal başarıdır. Halen 56 ilimiz ülke ortalamasının altında, bazı illerde fark büyük. Aşıyla birlikte tedbirlerin de önemli olduğunu unutmamalıyız. https://t.co/TeJRTQFsBt</t>
  </si>
  <si>
    <t>1452699850601123843</t>
  </si>
  <si>
    <t>RT @RTErdogan: Kabine Toplantısı Sonrası Millete Sesleniş https://t.co/ELFmgbWTcD</t>
  </si>
  <si>
    <t>1452672346452635652</t>
  </si>
  <si>
    <t>Tablo, belirtileri ciddi veya hafif, aramızdan 24.792 kişiye daha virüs bulaştığını söylüyor. Aşılı olanların hastalığı genellikle hafif geçirdiğini biliyoruz. Aşı vücudu önceden korumaya alıyor. Risklere karşı dikkatli, aşınızı yaptırarak da hastalığa karşı baştan güçlü olun. https://t.co/wgH7brkzn8</t>
  </si>
  <si>
    <t>1452311169465716743</t>
  </si>
  <si>
    <t>Günlük vaka sayılarının 28-30 Bin civarında olduğu son döneme ait veriler, her 1.000 vakadan ortalama 4,2’sinin yatırılarak tedaviye ihtiyaç duyduğunu gösteriyor. Hastalarda zatürre oranı yine bu dönemde %4,2. Vaka sayısına kıyasla ağır hasta oranımız binde 6,6. https://t.co/lb3P0hDPlq</t>
  </si>
  <si>
    <t>1451950018093518848</t>
  </si>
  <si>
    <t>Aşılarınızı yaptırmadıysanız veya devam dozunu öncelikli konularınız arasında görmüyorsanız, hastalığı yaşayan tanıdıklarınızla konuşun. Aşı hakkında en gerçekçi fikre sahip olanlar, Covid-19’u aşı yardımıyla atlatanlardır. Lütfen aşılarınızı yaptırın.</t>
  </si>
  <si>
    <t>1451945802285395981</t>
  </si>
  <si>
    <t>9-15 Ekim arasında vaka yoğunluğu bir önceki haftaya göre EN ÇOK ARTAN 10 İLİMİZ: Kastamonu, Zonguldak, Karabük, Kilis, Tunceli, Ardahan, Çankırı, Kahramanmaraş, Osmaniye, Erzincan. https://t.co/9tGawmx0VN</t>
  </si>
  <si>
    <t>1451921831791931393</t>
  </si>
  <si>
    <t>9-15 Ekim arasında, 100.000 KİŞİ İÇİNDE bir haftalık toplam yeni Covid-19 vaka sayısı il bazında neydi? Yaşadığınız, gidip geldiğiniz ildeki durumu haftalık İnsidans haritamızdan öğrenebilirsiniz. https://t.co/pX3zgqwk9e</t>
  </si>
  <si>
    <t>1451919439356698626</t>
  </si>
  <si>
    <t>23 Ekim 2011’de yaşadığımız VAN DEPREMİNİN 10. YIL DÖNÜMÜNDEYİZ. Hayatını kaybeden insanlarımızı rahmetle anıyor, benzer acıların yaşanmayacağına inanıyoruz. Depremler en çetin sınavlarımızdan oldu, milletimiz felaketler karşısında birlik ve beraberliğini daima gösterdi. https://t.co/Tf2xQKPiGP</t>
  </si>
  <si>
    <t>1451911767278379008</t>
  </si>
  <si>
    <t>“Mehmet amca, senin için geldik.”
Sağlık kurumlarımıza gelmekte zorlanacak büyüklerimizin, evde bakım ihtiyacı olanların aşılarını kendilerini ziyaret ederek yapıyoruz. https://t.co/23Yf86moxy</t>
  </si>
  <si>
    <t>1451621827755794435</t>
  </si>
  <si>
    <t>1 AYIN verilerine göre; yeni vakaların %1,38’i 0-4 yaş, %4,86’sı 5-9 yaş, %16,24’ü 10-14 yaş, %12,94’ü 15-19 yaş grubundan. Buna göre, 19 yaş ve altının vakalar içindeki oranı %35,42. Fakat virüs, bu grupta genel olarak soruna yol açmıyor. Büyüklerimiz dikkatli olmalı. https://t.co/rxJj9n5vXW</t>
  </si>
  <si>
    <t>1451591115543650328</t>
  </si>
  <si>
    <t>Hastalarımızın “Aşınızı olun!” uyarılarına kulak verin. Bilim insanları virüsü, hastalığı ise asıl yaşayanlar biliyor. En çok da, hiç aşı olmayanlar veya aşılarını eksik bırakanlar. Lütfen bugün aşınızı yaptırın.</t>
  </si>
  <si>
    <t>1451470724967944215</t>
  </si>
  <si>
    <t>Aşılarını yaptırdığı halde Covid-19’a yakalanan ve hasta olan da var. Ama hiçbiri keşke aşı olmasaydım demedi. Aşı hakkında en gerçekçi fikre sahip olanlar Covid-19’u aşı yardımıyla atlatanlardır. Lütfen bugün aşınızı yaptırın.</t>
  </si>
  <si>
    <t>1451461910336086016</t>
  </si>
  <si>
    <t>Trabzon, Maviye çok yakın.
Tunceli, Maviye çok yakın.
Bursa, Maviye çok yakın.
Iğdır, Sarıya çok yakın.
Bugün kategori değiştiren ilimiz yok.</t>
  </si>
  <si>
    <t>1451258088867106817</t>
  </si>
  <si>
    <t>5.
İkinci doz ve hatırlatma dozu aşılarının zamanı gelen çok sayıda vatandaşımız var. Vakit kaybetmeden aşılarını tamamlamaları gerekmektedir. Bu, önce kendileri sonra tüm toplum için hayati önemde bir davranıştır.
Salgınla mücadelede sağlığınız için kararlı ve ısrarcıyız.</t>
  </si>
  <si>
    <t>1451232969604145154</t>
  </si>
  <si>
    <t>4.
Toplum bağışıklığı elde edilene kadar maalesef yayılım devam edecek. Şu an, aşılanma oranının seviyesi aşı olmayanlar için güvence değildir. “Nasılsa başkaları aşı oldu ben olmasam da olur” düşüncesi yanlıştır. Aşı, birinci derecede, aşı olan kişileri koruyor.</t>
  </si>
  <si>
    <t>1451232967637020679</t>
  </si>
  <si>
    <t>3.
65 yaş üstü, salgının ilk döneminde kısıtlamalara ciddiyetle uydu. Şu anda bir kısıtlama bulunmuyor ama risk grubunda olduklarını unutmamalıdırlar. Aşılarını tamamlamaları ise hayati derecede önemlidir. Aşı, eğer tamamlanmamış ise sağlayacağı koruma sınırlıdır.</t>
  </si>
  <si>
    <t>1451232966005374981</t>
  </si>
  <si>
    <t>2.
Gençler çok daha az oranda hasta olsalar da büyüklerine karşı sorumlulukları var. Yeni dönemde virüsün daha ziyade gençler üzerinden yayıldığı biliniyor. Bu nedenle, hem sağlıklı bir eğitim ortamı oluşturmak hem de aile çevrelerini korumak için aşılarını yaptırmalıdırlar.</t>
  </si>
  <si>
    <t>1451232964138962949</t>
  </si>
  <si>
    <t>DURUM DEĞERLENDİRMESİ, 1
Vakaların yaş ortalaması düştü. Artık yarıya yakını 30 yaş altında. Aşılama sonucunda hastane kapasitemiz zorlanmıyor. Yoğun bakım üniteleri ile servislerde yatan Covid-19 hastalarının çoğunluğunu halen yaşlılar ve kronik hastalığı olanlar oluşturuyor. https://t.co/kRCpmwHMro</t>
  </si>
  <si>
    <t>1451232961475526656</t>
  </si>
  <si>
    <t>Tunceli Ovacık’ta, terör örgütü ile yaşanan çatışmada, kahraman evlatlarımızdan Jandarma Uzman Çavuş Burak Tortumlu şehit düştü. Şehit askerimize Allah'tan rahmet, ailesine, ordumuza ve milletimize başsağlığı diliyorum. https://t.co/cvdPqMYbNz</t>
  </si>
  <si>
    <t>1451176948344901649</t>
  </si>
  <si>
    <t>Gençler, sorumlu davranarak evlerinize, sevdiklerinize, büyüklerinize virüs taşımamak için tedbirlere uymalı ve en kısa sürede tam aşılı hale gelmelisiniz. Gençler, sizleri mücadelede ön safa davet ediyorum. https://t.co/Hu4uASTy1Y</t>
  </si>
  <si>
    <t>1450911053710254085</t>
  </si>
  <si>
    <t>Türkiye, nüfusa kıyasla aşı oranı en iyi ülkeler arasında. Buna rağmen, günlük vaka ve can kaybı sayılarımız arasında belirgin farklar var. Aşı her yerde benzer etkiyi göstereceğine göre, acaba nerede hata yapıyoruz? Tedbirlerde zayıfız. Aşılanma da tedbir de artmalı. https://t.co/5RaOgVa0kq</t>
  </si>
  <si>
    <t>1450903212697997323</t>
  </si>
  <si>
    <t>84 Milyonun huzurunda her gün vefat haberi vermenin insana neler hissettirdiğini bilemezsiniz. Sağlık bakanı ve yol arkadaşınız olarak, salgın tedbirleriyle aşı konusundaki çağrılarıma lütfen kulak verin. Bugünkü vefat sayımız 214.</t>
  </si>
  <si>
    <t>1450898913658085384</t>
  </si>
  <si>
    <t>KIRŞEHİR’DE ikinci doz aşı oranı %75’in üzerine çıktı. Kırşehir, MAVİ kategorisinde. Bu oranı yükseltmeye devam etmeli, zamanı gelen aşılarımızı hiç aksatmadan yaptırmalıyız. Geç kalmak, risk almaktır.</t>
  </si>
  <si>
    <t>1450534408319127553</t>
  </si>
  <si>
    <t>Zamanı geldiği, hatta üzerinden haftalar geçtiği halde 3. doz aşısını yaptırmamış olan yaklaşık 5 Milyon kişi var. Bu grupta olanlardan hastanede yatanlar var.
İnaktif aşı tercih edenlerin üçüncü dozu yaptırmalarını ısrarla talep ediyoruz. Üçüncü doz, koruma kalkanı dozudur. https://t.co/50hFkVxTwt</t>
  </si>
  <si>
    <t>1450516171846033418</t>
  </si>
  <si>
    <t>Bilge Kralı rahmetle anıyoruz. https://t.co/LbTmXhssLx</t>
  </si>
  <si>
    <t>1450449386752856069</t>
  </si>
  <si>
    <t>“Ben bir şeyi hiç mi hiç az sevemedim. Hele orta hiç sevemedim. Hep çok sevdim.” Nuri Pakdil’i rahmetle anıyoruz. (1934 - 18 Ekim 2019) https://t.co/44nCGkrUpQ</t>
  </si>
  <si>
    <t>1450212398615441417</t>
  </si>
  <si>
    <t>Umutsuzluk da aşısız olmak gibi riskli!
Eğer umutsuz olursak, yapmamız gerekenleri yapma gücünü ve isteğini kendimizde bulamayız. Hem salgına karşı hem salgın ortamında süren hayatımızda! Yaygın aşılamayla şartlar değişecek. Dünya bu çıkış yoluna odaklanmış durumda. İyi akşamlar.</t>
  </si>
  <si>
    <t>1450204545586434054</t>
  </si>
  <si>
    <t>“Ben bir hekim olarak Covid-19 aşısını ihmal etmiştim. Yaklaşık 1 aydır tedavi görüyorum. Toparladım çok şükür.” https://t.co/RLTrsbdg5s</t>
  </si>
  <si>
    <t>1450171918569639948</t>
  </si>
  <si>
    <t>VAN’DA ikinci doz aşı oranı %65’in üzerine çıktı. Van, Sarı kategorisinde. Zamanı gelmiş ikinci veya üçüncü doz aşılarımızı yaptıralım. Geç kalmak, risk almaktır.</t>
  </si>
  <si>
    <t>1450166936059490319</t>
  </si>
  <si>
    <t>TOKAT’TA ikinci doz aşı oranı %75’in üzerine çıktı. Tokat, Mavi kategorisinde. Bu oranı yükseltmeye devam etmeli, zamanı gelen aşılarımızı hiç aksatmadan yaptırmalıyız. Geç kalmak, risk almaktır.</t>
  </si>
  <si>
    <t>1450165039038611456</t>
  </si>
  <si>
    <t>Kronik hastalığı olanlar ve büyüklerimiz Covid-19’u ağır geçiriyor. Tam doz aşı olmalarını ısrarla öneriyoruz. Gençlere çağrımız devam ediyor. 18-25 yaş arası grupta tam doz aşılı olma oranı %53,77.
Dünya salgından çıkış yolu olarak aşıya odaklanmış durumda. Aşı ihmal edilmemeli! https://t.co/YTE4g6xsKW</t>
  </si>
  <si>
    <t>1450155362833817607</t>
  </si>
  <si>
    <t>Türkiye büyük bir değerini kaybetti. Milleti için eşsiz hayalleri olan ve bunların birçoğunu gerçekleştirme bahtiyarlığına eren sanayici, girişimci Özdemir Bayraktar ağabeyimiz Hakk’ın rahmetine yürüdü.
Hayatın, zorluklara bir meydan okumaydı. Mekânın Cennet olsun Özdemir ağabey! https://t.co/VSCNiafUnh</t>
  </si>
  <si>
    <t>1450062627305136128</t>
  </si>
  <si>
    <t>İyi bir hafta diliyorum.
Toplum olarak bizi birleştiren amaçlardan biri, salgın hastalığa karşı başarı kazanmak. Bu uzun, yorucu gündemi geride bırakmak istiyoruz. Tüm dünyada insanlar benzer durumda. Ve dünya, bu amaçla aşı seferberliği içinde. Aşılarınızı aksatmadan yaptırın.</t>
  </si>
  <si>
    <t>1449968964549943297</t>
  </si>
  <si>
    <t>HERKESİN HUZURUNDA gençlerimize çağrıda bulunmak istiyorum: Yarın yeni bir hafta başlıyor. Sizleri, aşılarınızı olmak üzere sağlık kurumlarımıza bekliyoruz. Aşı olmaya kararlı gelmeniz şart değil, bir sorunuz varsa cevap vermeye hazırız. Ne olursa olsun, yeter ki ihmal etmeyin! https://t.co/C8Nn5EmkEx</t>
  </si>
  <si>
    <t>1449771197277872135</t>
  </si>
  <si>
    <t>Erdemin, güler yüzün, iyi davranışın evrensel örneği Peygamberimiz Hz. Muhammed’in doğum yıl dönümündeyiz. Mevlid Kandiliniz mübarek, dualarınız kabul olsun. O’na olan hürmet ve sevgimizi, “İnsanın ufku Peygamber, şiirin ufku na’ttir.” diyen Sezai Karakoç ne güzel anlatıyor! https://t.co/tF86TQIvsp</t>
  </si>
  <si>
    <t>1449744303471931398</t>
  </si>
  <si>
    <t>2-8 Ekim arasında vaka yoğunluğu bir önceki haftaya göre EN ÇOK ARTAN 10 İLİMİZ: Giresun, Ordu, Ardahan, Kastamonu, Çorum, Samsun, Tokat, Amasya, Kahramanmaraş, Karabük. https://t.co/V36NAKw4bx</t>
  </si>
  <si>
    <t>1449683360843026446</t>
  </si>
  <si>
    <t>2-8 Ekim arasında, 100.000 KİŞİ İÇİNDE bir haftalık toplam yeni Covid-19 vaka sayısı il bazında neydi? Yaşadığınız, gidip geldiğiniz ildeki durumu haftalık İnsidans haritamızdan öğrenebilirsiniz. https://t.co/BBH5dgl0Nf</t>
  </si>
  <si>
    <t>1449681298474287108</t>
  </si>
  <si>
    <t>DİYARBAKIR ve BATMAN’DA ikinci doz aşı oranı %55’in üzerine çıktı. Bu iki ilimiz TURUNCU iller kategorisinde. Zamanı gelen aşılarımızı aksatmayalım. Geç kalmak, risk almaktır.</t>
  </si>
  <si>
    <t>1449452011167100936</t>
  </si>
  <si>
    <t>BOLU’DA ikinci doz aşı oranı %75’in üzerine çıktı. Bolu MAVİ iller kategorisinde. Zamanı gelen aşılarımızı aksatmayalım. Geç kalmak, risk almaktır.</t>
  </si>
  <si>
    <t>1449445483542421510</t>
  </si>
  <si>
    <t>Covid-19 tedbirleri, geçtiğimiz yıl, gribal enfeksiyonları çok büyük oranda azaltmıştı. Belirtileri Covid-19’a benzeyen bu enfeksiyonlarda, mevsim şartları, maske ve mesafe tedbirlerindeki ihmaller sebebiyle ciddi artış var. Her iki riske karşı lütfen tedbirlere uymaya çalışın. https://t.co/PvnL7Ainh0</t>
  </si>
  <si>
    <t>1449423250526642176</t>
  </si>
  <si>
    <t>Yeni vakalar içinde gençlerin oranı artış gösteriyor. Umulanın aksine, üniversite öğrencilerimiz arasında aşılanma oranı düşük. Sağlıklı bir eğitim ortamı için gençlerimiz aşılarını aksatmadan yaptırmalı. Toplum, bütün gençlerinin aşı olarak mücadeleye katılmalarını bekliyor. https://t.co/cLzUj2a3qo</t>
  </si>
  <si>
    <t>1449411859182915586</t>
  </si>
  <si>
    <t>16 EKİM DÜNYA ANESTEZİ GÜNÜ
Hastalarımıza ıstırap duymayacakları operasyon koşullarını hazırlayan anestezi uzmanlarımıza ve anestezi ekibi üyelerine bugün vesilesiyle tekrar teşekkür ediyoruz. Tıp tarihinde bir atılım olan anestezi, sağlık hizmetlerine büyük kolaylıklar getirdi. https://t.co/yx15N96Odf</t>
  </si>
  <si>
    <t>1449371608838295552</t>
  </si>
  <si>
    <t>Dün yapılan aşılarla ARDAHAN ve ANTALYA, ikinci doz aşı oranında %75’in üzerine çıkarak MAVİ kategorisine; GAZİANTEP ise %65’in üzerine çıkarak SARI kategorisine geçti. Türkiye’nin her yerinde ikinci doz aşı oranımızı yükseltelim.</t>
  </si>
  <si>
    <t>1449298108937129985</t>
  </si>
  <si>
    <t>YILGINLIK BİZE ZARAR VERİR. Aşısı bulunmuş bir bulaşıcı hastalıkla mücadele ettiğimizi unutmayın. Biraz zamana ve tam doz aşılanma oranının artmasına ihtiyacımız var. Bu gerçek yeterince büyük bir moral kaynağıdır. Salgınlara yol açan birçok hastalık yaygın aşıyla ortadan kalktı. https://t.co/gub2B804cB</t>
  </si>
  <si>
    <t>1449056470008479750</t>
  </si>
  <si>
    <t>COVID-19 AŞILARINI AKSATMADAN YAPTIRAN şu üç şeyi yapmış olur: Kendini korumaya alır. Yakın çevresinde ve şehrinde riski azaltır. 84 Milyonu, salgına karşı verdiği zorlu mücadelede güçlendirir. Kendimize ve tüm topluma karşı böylesi bir sorumlulukla daha önce az karşılaştık.</t>
  </si>
  <si>
    <t>1448918567077007367</t>
  </si>
  <si>
    <t>Şu anda çocuklarımız sınıflarında. Kural, ağız ve burun kapalı olacak şekilde maske takmalarını gerektiriyor. Altı yaşındaki evladımız dâhil.
Anne babalar olarak düşünelim: Salgınla mücadelenin yükünü onlar bizimle bu kadar paylaşmışken, toplum neleri ihmal ediyor? İyi sabahlar..</t>
  </si>
  <si>
    <t>1448888847044075525</t>
  </si>
  <si>
    <t>Muş’ta ikinci doz aşı oranı %55’in üzerine çıktı. Turuncu iller kategorisine giren Muş, oranı yükseltmeli. Tek doz aşı koruma sağlamaz. İkinci doz aşımızı geç kalmadan yaptırmalıyız.</t>
  </si>
  <si>
    <t>1448744061603549185</t>
  </si>
  <si>
    <t>Erzurum’da ikinci doz aşı oranı %65’in üzerine çıktı. Sarı iller kategorisine giren Erzurum, oranı yükseltmeli. Aşı oranı arttıkça risk azalacak.</t>
  </si>
  <si>
    <t>1448733679669456908</t>
  </si>
  <si>
    <t>Günlük vaka sayımız bir süredir 30 binin üzerinde seyrediyor. Şartlar göz önünde bulundurulursa, daha da yükselmesi ihtimali var. Maskenin gerekli olduğu ortamları biliyoruz, maskeyi hayatımızdan çıkarmayalım. Sosyal mesafe kuralına dikkat edelim. Aşılarımızı mutlaka olalım. https://t.co/3IYIQbB890</t>
  </si>
  <si>
    <t>1448709727144325122</t>
  </si>
  <si>
    <t>D Vitamini ihtiyacımızı çok büyük oranda, güneş ışınlarıyla doğrudan temasımız sonucu sağlıyoruz. Kas ve kemik sağlığı için önemli olan D vitamini, bağışıklığı da güçlendiriyor. Uzun zaman kapalı bir hayat yaşadık. Daha fazla güneş ışığı sağlığımıza iyi gelir. BİRAZ DAHA GÜNEŞ? https://t.co/lg6v25vtkA</t>
  </si>
  <si>
    <t>1448606503125008384</t>
  </si>
  <si>
    <t>Günaydın,
Çantalar hazır mı?
Gençler, kahvaltımızı yaptık mı?
Mesajım anne babalara, çocuklara, üniversitelilere:
Dün, Bilim Kurulu toplandı. Aktif vakaların %40’ının 23 yaş altı kişiler olduğu bilgisini sizlerle paylaştık. Dikkatli davranalım. 18 yaş üstüysek aşılarımızı olalım.</t>
  </si>
  <si>
    <t>1448504280223207426</t>
  </si>
  <si>
    <t>ENDİŞE ETMEYİN. Aşı oranımız yükseliyor, Maviye geçen illerimiz artıyor. Tam doz aşı, yakalanmanız durumunda, hastalığı hafif geçirmenizi sağlıyor.
ENDİŞE EDİN. Maske kullananlar azaldı, sosyal mesafeye hassasiyet zayıf. Aşıları henüz eksik olan çok sayıda insan var.</t>
  </si>
  <si>
    <t>1448384348135251971</t>
  </si>
  <si>
    <t>ŞİDDET! Olayların çoğu medyaya yansımıyor. Beyaz Kod uygulamasına çok az durumda başvuruluyor. Dünyada rastlanmayan bir ifade bizde sık sık haber başlığı: “Sağlıkta şiddet!” Şanlıurfa’da bir aile hekimliğimizde yeni bir örneğini yaşadık. Asla toleransımız yok. Gereği yapılacak!</t>
  </si>
  <si>
    <t>1448382722041339908</t>
  </si>
  <si>
    <t>Adıyaman’dan beklenen gelişme!
İkinci doz aşı oranında %65’in üzerine çıktık. Hazır Sarıya geçmişken, oranı hızla yükseltelim.</t>
  </si>
  <si>
    <t>1448378102862725122</t>
  </si>
  <si>
    <t>MAVİ ÇANKIRI: “Her 4 kişiden 3’ümüz 2. doz aşımızı yaptırdık!”
İkinci doz aşı oranı %75’in altında olan bütün iller harekete geçmeli. Yüksek aşı oranıyla ortak hedef, toplum bağışıklığı!</t>
  </si>
  <si>
    <t>1448376400180883456</t>
  </si>
  <si>
    <t>Kendi aşımızın kullanılması için iki doz aşısını olmuş kişilerin Turkovac aşı hatırlatma dozu çalışmasına katılmasına ihtiyaç var. Kendi aşımızın ortaya çıkmasında ben de varım diyen tüm gönüllülerimizi çalışmaya katılmaya davet ediyorum.
Başvuru: https://t.co/E8uh4tlN81 ALO 184</t>
  </si>
  <si>
    <t>1448368545021243392</t>
  </si>
  <si>
    <t>Bilim Kurulumuz bugün salgının seyri, gençler üzerindeki etkisi, aşı programımız ve yerli aşımız Turkovac’ın güncel durumunu değerlendirmek üzere bir araya geldi. https://t.co/pWulwxjut0</t>
  </si>
  <si>
    <t>1448364357843308545</t>
  </si>
  <si>
    <t>31.248 kişinin Covid-19 testi pozitif. Bu sayı büyük olasılıkla önümüzdeki günlerde vefat sayılarına yansıyacak. Bazı kişiler hastalığı ağır geçirecek, yoğun bakıma ihtiyaç duyacak. Tam doz aşının bunları büyük oranda önlediğini biliyoruz. Tedbirlerin sonuç verdiğine tanığız. https://t.co/fxGx3WNXEP</t>
  </si>
  <si>
    <t>1448343845431824385</t>
  </si>
  <si>
    <t>Turkovac’ı Türkiye’nin hizmetine sunmaya hazırlanıyoruz. Daha önce 2 doz aşı yaptırmış, Covid-19 geçirmemiş, 18-59 yaş arası sağlıklı herkes bize destek olabilir! 3. doz aşı tercihi serbest. Ama madem gönüller yerli aşı Turkovac’ta, en az 3.000’imiz Turkovac’ı tercih etmeli! https://t.co/HubUjj7xYr</t>
  </si>
  <si>
    <t>1448225365634256898</t>
  </si>
  <si>
    <t>Günaydın,
Dün yatışı yapılan Covid-19 hastalarına ait bilgileri inceledim. Aşı yaptırmamış gençlerin hastalarımız içindeki oranı arttı. Kronik hastalığı olan büyüklerimiz, aşı yaptırmış olsalar da virüsten etkilenebiliyor. Gençlerimiz aşı olmalı, büyüklerimiz dikkatli davranmalı.</t>
  </si>
  <si>
    <t>1448157421461979138</t>
  </si>
  <si>
    <t>Mardin’de kritik eşiği geçtik.
İkinci doz aşı oranında %55’in üzerindeyiz. Turuncu kategorisinde yerimizi almışken, aşı konusunu aramızda konuşalım. Cevabını merak ettiğimiz soru varsa sağlık görevlilerimize soralım. Aşılarımızı ne kadar erken tamamlarsak o kadar lehimize olur.</t>
  </si>
  <si>
    <t>1448011322139021316</t>
  </si>
  <si>
    <t>MAVİ SAMSUN: “Her 4 kişiden 3’ümüz 2. doz aşımızı yaptırdık!”
Mavi il sayımız 28’e ulaştı. Geride kalan 53 il hızlı hareket etmeli!</t>
  </si>
  <si>
    <t>1448000336258641927</t>
  </si>
  <si>
    <t>Son günlerde aşılanma hızında durağanlık var. Vaka sayılarının yüksekliği aşı konusunda bir tereddüt uyandırmış olabilir mi? Ama şunu unutmayın: Covid-19’u aşı sayesinde, adeta grip gibi atlatanların sayısı artık bunlarla yarışıyor. Kayıplarımızın çoğuysa tam doz aşı olmayanlar. https://t.co/g86G5rJbQN</t>
  </si>
  <si>
    <t>1447986765583761414</t>
  </si>
  <si>
    <t>Bunca tecrübenin gösterdiği bir yol var. Normal hayatımızı sürdürmeli, sadece dikkatli olmalıyız. Aşılarımızı yaptırmalıyız. Oranlar yükseliyor. Biraz daha sabır, sonrası zafer!</t>
  </si>
  <si>
    <t>1447819274744213507</t>
  </si>
  <si>
    <t>Bitlis’te iki doz aşılılar olarak yaklaşık yarı yarıyayız. %55’i aşıp, hazır Turuncu kategorisine geçmişken, aşı konusunu aramızda konuşalım. Cevabını merak ettiğimiz soru varsa sağlık görevlilerimize soralım. Aşılarımızı ne kadar erken tamamlarsak o kadar lehimize olur.</t>
  </si>
  <si>
    <t>1447643445439381514</t>
  </si>
  <si>
    <t>Sırada %75’i aşmak var!
Aksaray ve Gümüşhane’de ikinci doz aşı oranı bugün %65’i geçti. Sarı kategorisine giren bu iki ilimizin yeni hedefi Mavi! Zamanı gelmiş ikinci doz aşıları hemen olalım!</t>
  </si>
  <si>
    <t>1447637414504243201</t>
  </si>
  <si>
    <t>İsmet Uçma ağabeyimizi genç yaşında kaybettik. Farklı alanlardaki eğitimi ve aydın kimliğiyle çok yönlü bir siyasetçiydi. Birikimine coşkulu konuşmacılığı da ekleniyordu. Erken ölüm de bir takdiri ilahi. Ailesinin, dostlarının başı sağ olsun. Kendisine Allah'tan rahmet diliyorum.</t>
  </si>
  <si>
    <t>1447620090594217992</t>
  </si>
  <si>
    <t>Covid-19 sebebiyle bugün kaç can kaybımız olduğu, bu saatlerde cevabı beklenen soruydu. Tanımıyor olsak bile, insanlarımızın acısına kayıtsız kalmayışımız, vefat sayılarından duyduğumuz üzüntü bizi çoğu toplumdan ayırıyor. Bu hassasiyet büyük bir güçtür. Birbirimizi koruyalım. https://t.co/i54IexPNVC</t>
  </si>
  <si>
    <t>1447610960101916673</t>
  </si>
  <si>
    <t>RT @RTErdogan: Kabine Toplantısı Sonrası Millete Sesleniş https://t.co/JynGJf6d6x</t>
  </si>
  <si>
    <t>1447599166906114050</t>
  </si>
  <si>
    <t>Dünya Kız Çocukları Gününde, kızlarımızın her birini gözlerinden öpüyoruz. Gelecek o gözlerde! Bir tane’lerin günü kutlu olsun. https://t.co/zKsoA21ERk</t>
  </si>
  <si>
    <t>1447536883123240961</t>
  </si>
  <si>
    <t>Benim bir gram sıkılma, bir gram yorulma hakkım yok. Sizlerinse, artık uyarılardan bile yorulduğunuzu biliyorum. Haklısınız. Günün sonunda tüm kaygıların yerini sağlık alacak. Emin olun. Ve şartları göz ardı etmeyin. Bu yeter. Bizler, mücadelenin gereğini yapmaya devam edeceğiz.</t>
  </si>
  <si>
    <t>1447425920646647808</t>
  </si>
  <si>
    <t>İki yiğit polisimiz, Fırat Kalkanı Harekât Bölgesinde zırhlı araca terör örgütünce yapılan hain saldırı sonucu şehit düştü. Polis kardeşlerime Allah’tan rahmet, ailelerine ve emniyet teşkilatımıza başsağlığı diliyorum. Makamı cenneti ala olan şehitlerin kalplerdeki yeri ebedidir. https://t.co/Og5XLfp7Lj</t>
  </si>
  <si>
    <t>1447304612508315649</t>
  </si>
  <si>
    <t>Tebrikler Anıl, tebrikler Resul, tebrikler Hami, tebrikler Birkan… Tebrikler ve alkışlar size Down Sendromlular Futsal Milli Takımı. Avrupa şampiyonluk finalinde Portekiz kalesine attığınız 6 gol ve bizlere kazandırdığınız kupa için sizlere teşekkür ediyoruz. Daima yanınızdayız! https://t.co/tp3CQLYSre</t>
  </si>
  <si>
    <t>1447300851232657413</t>
  </si>
  <si>
    <t>4, 3, 2 sizce ne demek?
“Her 4 kişiden 3’ümüz 2 doz aşımızı yaptırdık!” demek.
Bu illerin sayısı bugün itibariyle 27. Geride kalan 54 il hızlı hareket etmeli!</t>
  </si>
  <si>
    <t>1447293576916971530</t>
  </si>
  <si>
    <t>4, 3, 2 sizce ne demek?</t>
  </si>
  <si>
    <t>1447287791491158018</t>
  </si>
  <si>
    <t>Covid-19’a karşı güçleniyoruz.
İkinci doz aşı oranı bugün KASTAMONU’DA da %75’i geçti. MAVİ il sayımız 27. Toplum bağışıklığı için, bütün iller, ikinci doz aşı oranında yarışalım!</t>
  </si>
  <si>
    <t>1447284573642141701</t>
  </si>
  <si>
    <t>“Aşıya rağmen vaka sayıları neden yüksek?” Bugünkü sayıya bakalım: 28.370. Covid-19 sebebiyle hastaneye yatanların sayısı ise 1.283. Henüz toplum bağışıklığı aşamasında değiliz. Aşının sonucunu hastalığın hafif geçirilmesinde görüyoruz. Vaka sayısı? Aşı artıyor ama tedbir azaldı! https://t.co/UwtzklF9KM</t>
  </si>
  <si>
    <t>1447253749693616130</t>
  </si>
  <si>
    <t>Tek değişiklik Siirt’te!
İkinci doz aşı oranında %55’i aşarak Kırmızıdan Turuncuya geçmesi, bizim için neredeyse Maviye geçmesi gibi kıymetli. Teşekkür ederiz Siirt!</t>
  </si>
  <si>
    <t>1446896754121715716</t>
  </si>
  <si>
    <t>GENÇLER, bize salgından çıkış yolunu gösterin! Yeni vakalarda en yüksek oranı sizler oluşturuyorsunuz. Hastalığı fark etmeden bulaştırmanız çok kolay! Covid’siz günlerin özlemini en çok duyansa sizlersiniz. Aşınızla, günlük hayatınızla bize örnek olsanız… Şu tablo çook değişir! https://t.co/3WLaepDRVo</t>
  </si>
  <si>
    <t>1446871200769134600</t>
  </si>
  <si>
    <t>25 Eylül-1 Ekim arasında vaka yoğunluğu bir önceki haftaya göre EN ÇOK ARTAN 10 İLİMİZ: Bursa, Balıkesir, Uşak, Kırklareli, Sakarya, Ardahan, Edirne, Mersin, Denizli, Samsun. Bu illerden birindeyseniz şimdi daha da dikkatli olmalısınız. https://t.co/MQUXHJL8Fw</t>
  </si>
  <si>
    <t>1446835952899481603</t>
  </si>
  <si>
    <t>25 Eylül-1 Ekim arasında, 100.000 kişi içinde BİR HAFTALIK TOPLAM yeni Covid-19 vaka sayısı neydi? Yaşadığınız, gidip geldiğiniz ildeki durumu haftalık İnsidans haritamızdan öğrenebilirsiniz. https://t.co/mJrDAA6HGn</t>
  </si>
  <si>
    <t>1446834818604470276</t>
  </si>
  <si>
    <t>Siz aşınızı olun, tedbirinizi alın. Sağlık çalışanlarımız ve bilim insanlarımızla Covid-19’un üstesinden geliriz. Eğer bu yapılmazsa, kimimiz hasta, çoğumuz salgın şartlarının mağduru olarak bu mücadelenin içinde yaşamak zorundayız. Böyle sürmesin. Bu hayatı değiştirelim.</t>
  </si>
  <si>
    <t>1446570606359719936</t>
  </si>
  <si>
    <t>Hakkâri’nin yeni hedefi Mavi!
İkinci doz aşı oranı bugün %65’in üzerine çıktı. Bu orana göre, haritadaki rengi Sarı. Covid-19’a karşı, Hakkâri’nin tüm Türkiye’ye Mavi haberini vermesini bekliyoruz</t>
  </si>
  <si>
    <t>1446554844395888643</t>
  </si>
  <si>
    <t>Covid-19’a karşı güçleniyoruz.
İkinci doz aşı oranı bugün MERSİN’DE de %75’i geçti. MAVİ il sayımız 26. Toplum bağışıklığı için, bütün iller, ikinci doz aşı oranında yarışalım!</t>
  </si>
  <si>
    <t>1446552732618432513</t>
  </si>
  <si>
    <t>Ana gündeminizin salgın olmasını istemiyoruz. Konuya odaklanma görevi bizim. Olağan hayatınıza kavuşmanız için sizden beklediğimiz, tedbirli davranarak kendinizi korumanız. Aşı olarak, toplum bağışıklığı sürecini hızlandırmanız. Bu tablo ciddi ihmallerimiz olduğunu gösteriyor. https://t.co/1yeYBV4hwq</t>
  </si>
  <si>
    <t>1446520749909495808</t>
  </si>
  <si>
    <t>Dün 236, bugün 217… Her gün, birbirinden çok farklı hayat hikâyeleri son buluyor. Covid-19 kaynaklı, önlenebilir sebeplere bağlı ölüme karşı duyarlı olalım. Tedbirlere uyup, aşımızı olarak kendi hayatımızı ve başkalarını koruyalım.</t>
  </si>
  <si>
    <t>1446176626421772288</t>
  </si>
  <si>
    <t>Covid-19’a karşı güçleniyoruz. Mavi il sayımız 25’e ulaştı! https://t.co/ufMDYs6tbE</t>
  </si>
  <si>
    <t>1446172179087900676</t>
  </si>
  <si>
    <t>Covid-19’a karşı güçleniyoruz.
İkinci doz aşı oranı bugün ANKARA’DA da %75’i geçti. MAVİ il sayımız 25. Toplum bağışıklığı için, 81 il, ikinci doz aşı oranında yarışalım!</t>
  </si>
  <si>
    <t>1446170078123368456</t>
  </si>
  <si>
    <t>Covid-19’a karşı en çok aşı yapılan ülkeler arasında tüm dünyada 7. sıradayız! Bu başarının çok sayıda nedeni var. Bunlardan biri, sağlık çalışanlarımızın içten ve eşsiz çabası. Videoyu izleyince bunu daha iyi anlayacaksınız. https://t.co/vQWEiUHJ1u</t>
  </si>
  <si>
    <t>1446160741527138306</t>
  </si>
  <si>
    <t>217 SAYISINI ANLAMAK? Her gün yeni kayıplar veriyoruz. Kimi torunlarını sevmeye doyamamış bir büyükanne, kimi ailesi için hayalleri olan bir baba, kimi doğumu bekleyen bir anne. Tablolardaki sayılar keşke yeterince hissedilebilir olsa. Birbirimizi anlayıp dayanışma içinde olalım. https://t.co/qhMnUZgmfD</t>
  </si>
  <si>
    <t>1446156790689894404</t>
  </si>
  <si>
    <t>Milletimizin kahraman evlatlarından Samsunlu kardeşimiz Tayfun Özköse, Suriye’nin El Bab bölgesinde, bugün, terör örgütünün hain saldırısı sonucu şehit düştü. Şehidimize Allah’tan rahmet; ailesine, kahraman ordumuza ve milletimize başsağlığı diliyoruz. Vatan sağ olsun! https://t.co/vGaX4BYwxL</t>
  </si>
  <si>
    <t>1446117637239439366</t>
  </si>
  <si>
    <t>Vaka sayılarının günlük 28-30 bin bandında seyrediyor olması on günlük zaman dilimi için yaklaşık aktif 300 bin vakaya karşılık gelmektedir. Bu durumun KRİTİK BİR YÜK olduğunun farkında olmalıyız. Kişilerin genç olması sebebiyle sağlık sistemi zorlanmıyor olsa da sayı çok yüksek.</t>
  </si>
  <si>
    <t>1446114546049978386</t>
  </si>
  <si>
    <t>2 doz mRNA aşısı olan vatandaşlarımızın ortalama 4 ay önce aşı olduklarını dikkate alarak aşının koruyuculuğunun halen devam ettiğini düşünüyoruz. Şu an için 3. doz aşıyı gerektiren bir durum yoktur. İNAKTİF AŞI OLANLARINSA 3. doz aşılarını yaptırmalarını ısrarla öneriyoruz.</t>
  </si>
  <si>
    <t>1446113193344974851</t>
  </si>
  <si>
    <t>Covid-19’a karşı ikinci doz aşı oranı SAKARYA’DA bugün %65’i geçti. Sakarya’nın haritadaki rengi artık SARI. Hepimizin lehine sonuçlar için ikinci doz aşı oranında %75’i aşmak üzere yarışalım!</t>
  </si>
  <si>
    <t>1445839389003853824</t>
  </si>
  <si>
    <t>Covid-19’a karşı ikinci doz aşı oranı UŞAK’TA da %75’i geçti. Böylece MAVİ il sayımız 24’e ulaştı. Hepimizin lehine sonuçlar için ikinci doz aşı oranında yarışalım!</t>
  </si>
  <si>
    <t>1445837277679206400</t>
  </si>
  <si>
    <t>ŞU AN AKTİF VAKALARIN %50’den fazlası 30 yaş altındadır. Gençlerdeki oran artmakla birlikte bu durum hastaneye yatışlara ve yoğun bakıma girişlere yansımamıştır. Ancak gençlerimiz, hastalığın ailelere, vefat oranının yüksek olduğu büyüklerimize taşınmasında etkili bir faktördür.</t>
  </si>
  <si>
    <t>1445832841787412488</t>
  </si>
  <si>
    <t>Vaka sayılarının günlük 28-30 bin bandında seyrediyor olması on günlük zaman dilimi için yaklaşık aktif 300 bin vakaya karşılık gelmektedir. https://t.co/VgJ834NN0h</t>
  </si>
  <si>
    <t>1445790000306692096</t>
  </si>
  <si>
    <t>VAKA SAYILARI NEDEN DÜŞMÜYOR? Sebeplerden üçü: Toplumsal hareketlilik çok arttı. Dışarıda, ortak mekânlarda tedbire önem verilmiyor, hastalığın yayılma ortamları çok fazla. Toplum bağışıklığını henüz sağlamış değiliz. Ne yapmalıyız? Tedbirlere uymalı, aşılarımızı tamamlamalıyız. https://t.co/CyOZsyPxxw</t>
  </si>
  <si>
    <t>1445789026854719490</t>
  </si>
  <si>
    <t>4 YIL 10 AY 23 GÜN! Muhtemelen tarihimizde hiçbir süre milletimize İstanbul’un işgal altında olduğu günler kadar uzun gelmemiştir. Medeniyetimizin göz bebeği İstanbul, Birinci Dünya Savaşından sonraki işgalden 6 Ekim 1923’te kurtuldu. 6 Ekim, İstanbul gibi kutlu bir gün! https://t.co/vu7WMHqKV0</t>
  </si>
  <si>
    <t>1445760875219013639</t>
  </si>
  <si>
    <t>Bazı çocuklarımız Serebral Palsi dediğimiz kalıcı bir beyin hastalığıyla doğuyor ve buna bağlı güçlükler, engeller yaşıyorlar. Bu çocuklarımızın mümkün olan en iyi yaşam kalitesine ulaşması bizler için yüce bir ödev. Toplumsal farkındalığın artması için elimizden geleni yapalım. https://t.co/uHyAdCRXII</t>
  </si>
  <si>
    <t>1445756529521528832</t>
  </si>
  <si>
    <t>Covid-19’a karşı ikinci doz aşı oranı BİNGÖL’DE bugün %55’i geçti. Bingöl’ün haritadaki rengi artık TURUNCU. Hepimizin lehine sonuçlar için ikinci doz aşı oranında %75’i aşmak üzere yarışalım!</t>
  </si>
  <si>
    <t>1445484306126622737</t>
  </si>
  <si>
    <t>Covid-19’a karşı ikinci doz aşı oranı KONYA ve KARS’TA bugün %65’i geçti. Bu iki ilimizin haritadaki rengi artık SARI. Hepimizin lehine sonuçlar için ikinci doz aşı oranında %75’i aşmak üzere yarışalım!</t>
  </si>
  <si>
    <t>1445476064336044036</t>
  </si>
  <si>
    <t>Covid-19’a karşı ikinci doz aşı oranı ISPARTA’DA da %75’i geçti. Böylece MAVİ il sayımız 23’e ulaştı. Hepimizin lehine sonuçlar için ikinci doz aşı oranında yarışalım!</t>
  </si>
  <si>
    <t>1445473485027823616</t>
  </si>
  <si>
    <t>YARIN, İSTER DIŞARIDA İSTER KAPALI MEKÂNDA yolunuz kalabalık bir yere düşerse çevrenize bakın. Kaçımız maskemizi takmış, kaçımız takmamışız? Sosyal mesafe kuralına uyum çabası var mı? Henüz toplum bağışıklığı aşamasında değiliz. Aşılarımızı olmalı ve kurallara uymalıyız. https://t.co/AmOxXe6OcA</t>
  </si>
  <si>
    <t>1445437323668299786</t>
  </si>
  <si>
    <t>Aşı hiçbirimizi Koronavirüse karşı kahraman yapmaz. Aşı olan da maske takmalı, sosyal mesafe kuralına mümkün mertebe uymalıdır. Virüs, hasta etmese bile, herkese bulaşma ve yayılma potansiyeline sahiptir. Toplum bağışıklığı sağlanana kadar kurallara uymalıyız.</t>
  </si>
  <si>
    <t>1445432113986211840</t>
  </si>
  <si>
    <t>Hayvanları Koruma Günü ikinci mesajı. Maviyi yine araya sıkıştırdık :) https://t.co/FnKiZ83B5x</t>
  </si>
  <si>
    <t>1445100945847820293</t>
  </si>
  <si>
    <t>Covid-19’a karşı ikinci doz aşı oranı KAHRAMANMARAŞ ve NİĞDE’DE %65’i geçti. Bu iki ilimizin haritadaki rengi artık SARI. Hepimizin lehine sonuçlar için ikinci doz aşı oranında %75’i aşmak üzere yarışalım!</t>
  </si>
  <si>
    <t>1445097168424087552</t>
  </si>
  <si>
    <t>Covid-19’a karşı ikinci doz aşı oranı TEKİRDAĞ ve ÇORUM’DA da %75’i geçti. Böylece MAVİ il sayımız 22’ye ulaştı. Hepimizin lehine sonuçlar için ikinci doz aşı oranında yarışalım!</t>
  </si>
  <si>
    <t>1445095748538970113</t>
  </si>
  <si>
    <t>Tabloda sık sık endişe verici vaka ve vefat sayıları görüyoruz. Daha iyi durumda olduğumuz dönemler de var. Art arda iniş çıkışlar geliyor. Bu bir kısır döngü mü? Tedbirlerde tekrarlanan yorgunluğa bakılırsa, evet. Ama aşının yakında bu döngüyü kıracağını unutmayın. Toparlanalım! https://t.co/UxuTUlByBq</t>
  </si>
  <si>
    <t>1445079584244916247</t>
  </si>
  <si>
    <t>Dünya Hayvanları Koruma Günü, bizlere hayatın bir bütün, hayvanlara sağlıklı yaşam koşulları sağlamanınsa görevimiz olduğunu hatırlatıyor. Bu konuda da işin başı sevgidir! Çünkü bencilliğin üstesinden gelip, iyi yaşamı hazırlayan sevgidir. Ve her canlı sevildiğini hisseder. https://t.co/dN1vuoaGVH</t>
  </si>
  <si>
    <t>1445037617909796868</t>
  </si>
  <si>
    <t>Covid-19’a karşı ikinci doz aşı oranı MANİSA’DA da %75’i geçti. Böylece MAVİ il sayımız 20’ye ulaştı. Hepimizin lehine sonuçlar için ikinci doz aşı oranında yarışalım!</t>
  </si>
  <si>
    <t>1444759772146831366</t>
  </si>
  <si>
    <t>“Nefesim tamamen gidince yatış verdiler. Aşı olmamıştım.” https://t.co/uELb49lxFE</t>
  </si>
  <si>
    <t>1444731934249267201</t>
  </si>
  <si>
    <t>Aşı konusunda daha hızlı hareket etmeliyiz. Toplum bağışıklığı sağlanana kadar tedbirlere daha büyük bir ciddiyetle uymalıyız. İçinde bulunduğumuz dönemde hastalığın yayılması kolaylaştı. İyi haberler çift doz aşı oranının artmasına, maske ve mesafe kuralına uyulmasına bağlı. https://t.co/NHjJ39pWTk</t>
  </si>
  <si>
    <t>1444715582302179330</t>
  </si>
  <si>
    <t>İşitme Engelliler Kadın Voleybol Milli Takımımız, Dünya Şampiyonası finalinde ev sahibi İtalya'yı yenerek altın madalya kazandı. Ülkemize şampiyonluk getiren milli oyuncularımızı yürekten kutluyoruz. Adınız hep şampiyonlukla anılsın! https://t.co/urcksSzCvg</t>
  </si>
  <si>
    <t>1444377103508680706</t>
  </si>
  <si>
    <t>“Hani, derler ya, ölümü gözümle gördüm. Keşke aşı olsaydım, bu kadar çekmezdim.” https://t.co/UU9ILN1c0E</t>
  </si>
  <si>
    <t>1444357119353016327</t>
  </si>
  <si>
    <t>Yeni vaka sayımız 27.973. Can kaybımız 203. Sonbahar, kış şartlarında salgınla mücadele biraz daha zor. Kapalı ortamlarda geçen zaman ve temas artıyor. Maske kullanımı fazlasıyla önem kazanmış durumda. Hastalığın solunum yoluyla bulaştığını unutmayalım. Aşılarımızı yaptıralım. https://t.co/KZNq3rdjN4</t>
  </si>
  <si>
    <t>1444335143016189953</t>
  </si>
  <si>
    <t>BUGÜN 110 MİLYON DOZU AŞTIK! Covid-19’a karşı uygulanan toplam aşı dozu sayısında Avrupa’da birinci, tüm dünyada 7. ülkeyiz! İlk 6 sırada, aşı üreticisi olan yüksek nüfuslu Çin ve ABD ile yine nüfusu yüksek ülkeler var.</t>
  </si>
  <si>
    <t>1444276988273905666</t>
  </si>
  <si>
    <t>18-24 Eylül arasında vaka yoğunluğu bir önceki haftaya göre EN ÇOK ARTAN 10 İLİMİZ: Zonguldak, Kırşehir, Düzce, Bursa, Bolu, Kars, Bartın, Kütahya, Kocaeli, Bilecik. Bu illerden birindeyseniz şimdi daha da dikkatli olmalısınız. Nihai çözüm aşı! Tedbirler vazgeçilmez. https://t.co/q52AsFO95v</t>
  </si>
  <si>
    <t>1444263350687371267</t>
  </si>
  <si>
    <t>18-24 Eylül arasında, 100.000 kişi içinde BİR HAFTALIK TOPLAM yeni Covid-19 vaka sayısı neydi? Yaşadığınız, gidip geldiğiniz ildeki durumu haftalık İnsidans haritamızdan öğrenebilirsiniz. https://t.co/ysPKuJNyL3</t>
  </si>
  <si>
    <t>1444261987215716360</t>
  </si>
  <si>
    <t>Covid-19’a karşı ikinci doz aşı oranı ARTVİN, SİNOP ve BİLECİK’TE de %75’i geçti. Böylece MAVİ il sayımız 19’a ulaştı. Hepimizin lehine sonuçlar için ikinci doz aşı oranında yarışalım!</t>
  </si>
  <si>
    <t>1444010104899129348</t>
  </si>
  <si>
    <t>Türkiye Büyük Millet Meclisi, 27. Dönem 5. Yasama Yılı çalışmalarına bugün başladı. Yüce Meclisimizin yeni yasama yılının ülkemize nice hayırlı sonuçlar getireceği inancıyla, aziz milletimizin temsilcilerine başarılar diliyorum. https://t.co/OBJL3RI4g2</t>
  </si>
  <si>
    <t>1443992458501705737</t>
  </si>
  <si>
    <t>Yeni vaka sayımız 28.873. Can kaybımız 210. Tedbirleri toplum olarak birlikte ve düzenli şekilde uygulamadığımız gerçeğiyle karşı karşıyayız. Yer yer küçük düşüşler oluyor ama bu düşüşler istikrar göstermiyor. Sonbahar şartlarında daha dikkatli olmalı, aşılarımızı yaptırmalıyız. https://t.co/dEBMWrTX3N</t>
  </si>
  <si>
    <t>1443981903426686978</t>
  </si>
  <si>
    <t>Türk siyasetinin önemli isimlerinden, Milli Görüş Hareketinde rahmetli Necmettin Erbakan’ın yol arkadaşlarından OĞUZHAN ASİLTÜRK beyefendi, bir süredir tedavi gördüğü hastanede Hakk’ın rahmetine kavuştu. Mekânı cennet, makamı âli olsun. Sevenlerine başsağlığı diliyorum.</t>
  </si>
  <si>
    <t>1443954083732332544</t>
  </si>
  <si>
    <t>COVİD-19’A KARŞI YARINKİ PLANINIZ NE?
İlk doz aşınızı yaptırdınız mı? Yaptırmadıysanız, hemen randevu alabilirsiniz. Devam dozunun zamanı gelmişse, aşınızı olabilirsiniz. İşyerinizde, dışarıda, başkalarıyla bir aradayken maskenizi takıp, sosyal mesafenize dikkat etmeyi unutmayın.</t>
  </si>
  <si>
    <t>1443650973323382796</t>
  </si>
  <si>
    <t>Covid-19’a karşı İKİNCİ DOZ aşı oranı KİLİS’TE %65’i geçti. Kilis’in haritadaki rengi artık SARI. Hepimizin lehine sonuçlar için ikinci doz aşı oranında %75’i aşmak üzere yarışalım!</t>
  </si>
  <si>
    <t>1443646489025208325</t>
  </si>
  <si>
    <t>Covid-19’a karşı İKİNCİ DOZ aşı oranı DENİZLİ’DE de %75’i geçti. Böylece MAVİ İL sayımız 16’ya ulaştı. Hepimizin lehine sonuçlar için ikinci doz aşı oranında yarışalım!</t>
  </si>
  <si>
    <t>1443643709636100100</t>
  </si>
  <si>
    <t>Bugünkü can kaybımız 216. Kaybettiğimiz kişiler kendileri önlem almamış olsalar, ama diğer insanlar salgınla mücadelenin gereklerini tam olarak yapsalardı sonuç çok farklı olacaktı. Bulaşma ve vefatlar, zincirleme ihmal sonucu gerçekleşiyor. Aşılarımızı olup, tedbirlere uyalım. https://t.co/yHCOMawNH9</t>
  </si>
  <si>
    <t>1443630749970731016</t>
  </si>
  <si>
    <t>Covid-19’a karşı İKİNCİ DOZ aşı oranı YOZGAT, ERZİNCAN ve MALATYA’DA %65’in üzerine çıktı. Bu üç ilimizin haritadaki rengi SARI. Hepimizin lehine sonuçlar için ikinci doz aşı oranında %75’i geçmek üzere yarışalım!</t>
  </si>
  <si>
    <t>1443281577371389956</t>
  </si>
  <si>
    <t>Covid-19’a karşı İKİNCİ DOZ aşı oranımız AYDIN ve ZONGULDAK’TA da %75’in üzerine çıktı. Böylece MAVİ İL sayımız 15’e ulaştı. Hepimizin lehine sonuçlar için ikinci doz aşı oranında yarışalım!</t>
  </si>
  <si>
    <t>1443270517818073104</t>
  </si>
  <si>
    <t>Günlük vaka sayısında 20.000’in altını kritik eşik kabul ediyoruz. Yeni vaka sayılarımızsa 30.000’e yaklaşmış durumda. Bugünkü vefat sayımız, daha önceki yüksek vaka sayılarının sonucu olarak 227. Bu tabloya karşı, başarının şartı tedbirlere muntazaman uyum ve aşıdır! https://t.co/niKrL4XuDQ</t>
  </si>
  <si>
    <t>1443257397900976132</t>
  </si>
  <si>
    <t>Son günlerde tedbirlerdeki gevşeklik vaka sayılarına yansıyor. Eski günlerimize daha erken dönmek istiyorsak bugün tedbirlere daha sıkı uymalıyız. https://t.co/CkTC53EgkE</t>
  </si>
  <si>
    <t>1443254267863830529</t>
  </si>
  <si>
    <t>Salgın şartlarında yaşamaktan hepimiz sıkıldık. Fakat hayatın eski akışına dönme isteği sağlığımız pahasına olmamalı. Maske ve mesafe kuralına uyalım, virüse karşı direnç kazanmak ve toplum bağışıklığını sağlamak için aşılarımızı yaptıralım.</t>
  </si>
  <si>
    <t>1442937626869178374</t>
  </si>
  <si>
    <t>ŞIRNAK, Covid-19’a karşı İKİNCİ DOZ aşı oranını yükselterek haritamızdaki rengini Kırmızdan TURUNCUYA çevirdi. İkinci doz aşı oranı halen %55’in altında olan illerimiz Doğu ve Güneydoğu Anadolu bölgelerimizde. Hepimizin lehine sonuçlar için ikinci doz aşı oranında yarışalım!</t>
  </si>
  <si>
    <t>1442934930124652546</t>
  </si>
  <si>
    <t>Covid-19’a karşı İKİNCİ DOZ aşı oranımız BARTIN VE GİRESUN’DA da %75’in üzerine çıktı. Böylece MAVİ İL sayımız 13’e ulaştı. Hepimizin lehine sonuçlar için ikinci doz aşı oranında yarışalım!</t>
  </si>
  <si>
    <t>1442924861068746755</t>
  </si>
  <si>
    <t>RT @tcbestepe: Cumhurbaşkanı @RTErdogan’ın Küresel Kovid-19 Zirvesi’ne gönderdiği video mesaj https://t.co/JMCKveJx0e</t>
  </si>
  <si>
    <t>1442902045015478279</t>
  </si>
  <si>
    <t>“BU KADAR İNSANIN İÇİNDE GELİP BENİ Mİ BULACAK?”
Covid-19 toplam vaka sayısı, bugün 28.892 yeni vakayla, 7 Milyon 95.580’e yükseldi. Testleri pozitif çıkana kadar çoğu insan kendini riskten uzak görüyordu. Maske ve mesafe konusunda dikkatli olup, aşılarımızı mutlaka yaptıralım! https://t.co/rJS3qra5vf</t>
  </si>
  <si>
    <t>1442897751235198977</t>
  </si>
  <si>
    <t>Covid-19’a karşı ikinci doz aşı oranı DÜZCE’DE bugün %65’in üzerine çıktı. Risk rengi artık SARI olan Düzce’nin bu oranı kısa sürede %75’in üzerine çıkarmasını bekliyoruz. Hepimizin lehine sonuçlar için, bütün iller, ikinci doz aşıda yarışalım!</t>
  </si>
  <si>
    <t>1442570554494513152</t>
  </si>
  <si>
    <t>Covid-19’a karşı ikinci doz aşı oranı OSMANİYE’DE de %75’in üzerinde. Böylece MAVİ il sayımız 11’e ulaştı. Hepimizin lehine sonuçlar için ikinci doz aşıda yarışalım!</t>
  </si>
  <si>
    <t>1442568073429487619</t>
  </si>
  <si>
    <t>“Neler yaşadım! Bir damla suyun tadını özlemiştim. Herkes aşı olsun lütfen.” https://t.co/GtvyVs9JxK</t>
  </si>
  <si>
    <t>1442561939725602820</t>
  </si>
  <si>
    <t>Bugünkü tabloda, 27.188 kişinin, ortalama bir hafta önce, uymaları gerektiğini aslında bildikleri kurallara uymadığını görüyoruz. Muhtemelen risk aldıklarını düşünmüyor, tedbire gerek görmüyorlardı. Kalabalık ortamda, evimizin dışında tedbirlere mutlaka uymalı, aşımızı olmalıyız. https://t.co/PmhIAE5Nbv</t>
  </si>
  <si>
    <t>1442541896941801475</t>
  </si>
  <si>
    <t>RT @RTErdogan: Kabine Toplantısı Sonrası Millete Sesleniş https://t.co/lAqQfLAicN</t>
  </si>
  <si>
    <t>1442524700647829507</t>
  </si>
  <si>
    <t>Haritamız, toplum bağışıklığı hedefi için yeniden şekillenmeye devam ediyor. MAVİ İL sayımız İZMİR’LE 10’a çıktı. Covid-19’a karşı ikinci doz aşı oranı İzmir’de artık %75’in üzerinde. Hepimizin lehine sonuçlar için, sıradaki 71 il, yarışalım!</t>
  </si>
  <si>
    <t>1442206951333511169</t>
  </si>
  <si>
    <t>“Bu vaka sayısına karşı BEN NE YAPABİLİRİM?” Hastalar tedavi altında, testi pozitif çıkanlar ve temaslılar izolasyonda. Fakat tanı konmamış başka vakalarla virüs aramızda! Vaka sayılarına karşı yapmamız gereken, kendimizi koruyup, aşımızı olarak yayılımı azaltmaktır.</t>
  </si>
  <si>
    <t>1442174549160710144</t>
  </si>
  <si>
    <t>Maske takanların sayısı? Sosyal mesafe kuralına dikkat edenlerin sayısı? Tam doz aşı olanların sayısı?
Salgınla mücadelenin gereklerini yapanlar arttıkça, yeni vaka sayılarımız ve ona bağlı olarak vefat sayılarımız azalacak. Hep birlikte, kararlılıkla, üzerimize düşeni yapalım. https://t.co/3lKGThE5j2</t>
  </si>
  <si>
    <t>1442173228768706569</t>
  </si>
  <si>
    <t>BUGÜN RENKSİZ BİR GÜN, kategori değiştiren ilimiz yok. İkinci doz aşılarla haftaya Covid-19 risk haritamızı iyileştirelim! https://t.co/8BfjGqnJT4</t>
  </si>
  <si>
    <t>1441853469040660481</t>
  </si>
  <si>
    <t>Dünyayı ileriye taşıyacak yeni fikir ve projelerin sergilendiği TEKNOFEST’21 Fuarındayız. Burası geleceğin kalbinin attığı, hayallerin kanatlandığı yer. Sn. Cumhurbaşkanımızın liderliğinde Türkiye’nin potansiyelleri hayat buluyor. Emek veren herkesi tüm kalbimle kutluyorum. https://t.co/rtgUdCWudI</t>
  </si>
  <si>
    <t>1441839563341664261</t>
  </si>
  <si>
    <t>Bozkırın tezenesi (mızrabı), büyük halk ozanımız Neşet Ertaş’ı vefatının dokuzuncu yıl dönümünde saygı, özlem ve rahmetle anıyoruz. Sazıyla, sözüyle hepimizin sesi olmaya devam ediyor. “Gönlüm hep seni arıyor, neredesin sen?” türküsü, bugün daha da dokunaklı! https://t.co/yDtP2e4UEz</t>
  </si>
  <si>
    <t>1441833126410391557</t>
  </si>
  <si>
    <t>Covid-19 virüsü kişiden kişiye geçip yayılırken, direnci zayıf olanları yatağa düşürüyor. Bulaştığı herkesi daha kötü sonuçlar için adeta aracı gibi kullanıyor. Kendini koruyan, başkalarını da hastalıktan, ölümden korur. Dışarıda, birbirimize yakınken maskemizi mutlaka takalım.</t>
  </si>
  <si>
    <t>1441831528338706432</t>
  </si>
  <si>
    <t>“VAKA SAYISI 19 BİN!” Sizce, 20 binin altında günlük vaka sayısı bu toplum için ulaşılması güç bir hedef mi? Hep birlikte karar verip, bugün 26.145 olan vaka sayısını kısa sürede, kritik eşik olan 20 binin altına indirebiliriz. Sonucunu iyi bildiğimiz tedbirler ve aşı bize yeter! https://t.co/W0HUwQqRwm</t>
  </si>
  <si>
    <t>1441827283296268288</t>
  </si>
  <si>
    <t>DOZ SAYISINDA DÜNYADA 7. ÜLKEYİZ!
Covid-19’a karşı uygulanan toplam aşı dozu sayısında, nüfusu bize yakın ve aşı üreticisi olan Almanya’yı da geride bıraktık. Tüm dünyada 7. sıradayız. Türkiye’den önceki ilk 6 sırada, aşı üreticisi Çin ve ABD ile çok yüksek nüfuslu ülkeler var. https://t.co/RcKdl3RWme</t>
  </si>
  <si>
    <t>1441776798912561155</t>
  </si>
  <si>
    <t>Nöbetçi eczane aradığınız bir gece oldu mu? Mutlaka olmuştur. Bir eczacının, eczanenin hayatımızdaki yerini en iyi öyle zamanlarda anlarız. Bugün DÜNYA ECZACILIK GÜNÜ. Sağlık hizmetlerinin en önemli üyelerinden olan eczacılarımıza şükranlarımızı sunuyorum: Bize hep ilaç oldunuz! https://t.co/hUG3hXrIJq</t>
  </si>
  <si>
    <t>1441772996750942208</t>
  </si>
  <si>
    <t>Haritamız, toplum bağışıklığı hedefi için yeniden şekillenmeye devam ediyor. MAVİ İL sayımız bugün BURDUR’LA dokuza çıktı. Hepimizin lehine sonuçlar için, sıradaki 72 il, yarışalım!</t>
  </si>
  <si>
    <t>1441486964163764224</t>
  </si>
  <si>
    <t>11-17 Eylül arasında vaka yoğunluğu bir önceki haftaya göre EN ÇOK ARTAN 10 İLİMİZ: Kastamonu, Kırıkkale, Zonguldak, Tokat, Trabzon, Malatya, Yozgat, Düzce, Erzincan, Çorum! Bu illerden birindeyseniz şimdi daha da dikkatli olmalısınız. Nihai çözüm aşı, tedbirler şart https://t.co/13UXMDNUv6</t>
  </si>
  <si>
    <t>1441446783003942920</t>
  </si>
  <si>
    <t>11-17 Eylül arasında, 100.000 kişi içinde BİR HAFTALIK TOPLAM yeni Covid-19 vaka sayısı neydi? Yaşadığınız, gidip geldiğiniz ildeki durumu haftalık İnsidans haritamızdan öğrenebilirsiniz. https://t.co/Uv8dk8orfU</t>
  </si>
  <si>
    <t>1441444304891830273</t>
  </si>
  <si>
    <t>ALIŞMAK RİSKİ ARTIRIR! Bugünkü vaka sayısı 27.197. Can kaybımız 221. Son günlerde karşımıza çıkan sonuçlara alışırsak salgınla mücadele gücümüz zayıflar. Durumu, ilk kez yaşıyormuş kadar ciddiye almalıyız. Karar verdiğimizde başarı elde ettiğimizi biliyoruz. https://t.co/IsBRgRlSmo</t>
  </si>
  <si>
    <t>1441440535215022081</t>
  </si>
  <si>
    <t>Haritamız, İKİNCİ DOZ aşı oranını esas alacak şekilde yeniden düzenlendi. Şu an SARI olan illerimizde ikinci doz aşı oranı %65’in üzerinde. HATAY, Sarı iller arasına bugün katıldı. Toplum bağışıklığı hedefine ulaşmamız için Hatay’dan çok daha yüksek bir oran bekliyoruz.</t>
  </si>
  <si>
    <t>1441108875319541767</t>
  </si>
  <si>
    <t>Haritamız, İKİNCİ DOZ aşı oranını esas alacak şekilde yeniden düzenlendi. Şu an MAVİ olan illerimizde ikinci doz aşı oranı %75’in üzerinde. BALIKESİR, Mavi iller arasına bugün katıldı. Toplum bağışıklığı hedefine ulaşmamız yönünde gösterdiği başarı için Balıkesir’i kutluyoruz.</t>
  </si>
  <si>
    <t>1441101694708817920</t>
  </si>
  <si>
    <t>Hayat akarken aşı devam ediyor. Soğan tarlalarındayız. https://t.co/toNRIF37Df</t>
  </si>
  <si>
    <t>1441097095201497090</t>
  </si>
  <si>
    <t>Yeni vaka sayımız 27.844. Can kaybımız 217. Salgının dramatik sonuçlarını yeni vaka sayıları belirliyor. Can kayıplarındaki azalmayı ancak vaka sayılarını istikrarlı şekilde düşürerek sürekli hale getirebiliriz. Tabloyu aşılarımızı olarak, tedbirlere uyarak kontrol altına alalım. https://t.co/P60S9Agp0B</t>
  </si>
  <si>
    <t>1441085221756043265</t>
  </si>
  <si>
    <t>13 ülkeyi geride bırakarak Avrupa Ampute Futbol Şampiyonu olan millilerimizle bir araya geldik. 19 Eylül Gaziler Gününde aldıkları kupayı gazilerimizle birlikte sağlık ordumuza armağan ettiler. Gurur duyuyoruz. Sağ olsunlar! https://t.co/pHABR1Qo9b</t>
  </si>
  <si>
    <t>1440761133082628098</t>
  </si>
  <si>
    <t>Bilim Kurulu: “Aşının yaygınlaşması ile birlikte artık üniversiteler dahil okulların en son kapanan değil, asla kapanmayan kurumlar olması konusunda ısrarlıyız.” https://t.co/iabiZIQOJz</t>
  </si>
  <si>
    <t>1440748416712118277</t>
  </si>
  <si>
    <t>Türkiye genelinde, 18 yaş ve üzeri nüfusta iki doz aşı olma oranımız %68,91. Sadece 7 ilde bu oran %75’in üzerinde. İki doz aşıda, il bazında en düşük oranımızsa %42,5. İlk doz başlangıç, ikinci dozla sonuç almaya başlıyoruz. Covid-19 tablosuna karşı aşılarımızı hemen yaptıralım. https://t.co/eOOKeum6mm</t>
  </si>
  <si>
    <t>1440723849927020553</t>
  </si>
  <si>
    <t>Sn. Cumhurbaşkanımız, Birleşmiş Milletler 76. Genel Kuruluna hitaben yaptıkları konuşmada, yerli aşımız Turkovac’ın yakında milletimizle birlikte insanlığın hizmetine sunulacağını belirtti, küresel Covid-19 salgını konusunda önemli tespit ve değerlendirmelerde bulundu: https://t.co/LBqxztqJVT</t>
  </si>
  <si>
    <t>1440421552281976833</t>
  </si>
  <si>
    <t>İki doz aşı olanların 84 Milyon içindeki oranı %50’nin, 18 yaş ve üzeri nüfustaki oranı ise %68’in üstüne çıktı. Bugün paylaşılan bir mesajda toplam nüfustaki aşı oranı yanlışlıkla 18 yaş ve üstü için belirtildi. Doğru haber çok daha iyi: Her ikimizden birimiz çift doz aşılıyız!</t>
  </si>
  <si>
    <t>1440397502344138758</t>
  </si>
  <si>
    <t>Bugünkü vaka sayısı 29.338. Yeni can kaybımız 260. Vaka sayılarında 20.000’i kritik eşik kabul ederken, şimdi neredeyse 30.000’e yaklaşmış durumdayız. Sosyal ortamlarda çok dikkatli olun. Maskenizi kullanın. Yaptırmadığınız aşılarınızı mutlaka yaptırın. Kritik bir dönemdeyiz. https://t.co/Z8YcVpiD9S</t>
  </si>
  <si>
    <t>1440377172649070593</t>
  </si>
  <si>
    <t>“Aşı olmak istedim aslında. İşlerden dolayı ihmalkârlık ettim.” https://t.co/tCISirL81w</t>
  </si>
  <si>
    <t>1440026300136267782</t>
  </si>
  <si>
    <t>GÜNLÜK COVİD-19 TABLOMUZ DEĞİŞTİ. Bugünden itibaren, il bazında, ilk doz yerine, en az iki doz aşı olanların oranlarını paylaşacağız. Aşılarımızı yaptırarak vaka sayılarını düşürelim, can kayıplarımızı azaltalım. İlk doz aşıda önemli bir mesafe kaydettik. https://t.co/gsSO98Hdck</t>
  </si>
  <si>
    <t>1440012037061480454</t>
  </si>
  <si>
    <t>Yüreklerini ortaya koydular, güçleriyle kazandılar! Final maçında İspanya’yı 6-0 yenerek Avrupa Ampute Futbol Şampiyonası kupasının sahibi olan Millilerimizi kutluyoruz. https://t.co/iIy469vjdv</t>
  </si>
  <si>
    <t>1439692295255822337</t>
  </si>
  <si>
    <t>COVİD-19’A KARŞI TEK RENK TÜRKİYE! Sarı risk kategorisinde 10 ilimiz kaldı. İlk doz aşı oranlarımızı yükseltip, 81 il, bütün ülke, Mavide buluşalım. Mavi, toplum bağışıklığı için ilk doz hazırlığının büyük oranda tamamlanması demek!</t>
  </si>
  <si>
    <t>1439679959816155141</t>
  </si>
  <si>
    <t>BİTLİS, ilk doz aşı oranını bugün %75’in üzerine çıkararak, Türkiye Covid-19 Risk Haritasında Mavi oldu. 81 ilimizden 10’u halen Sarı. İlk doz oranındaki başarıyı tamamlamak için harekete geçelim.</t>
  </si>
  <si>
    <t>1439675224245551125</t>
  </si>
  <si>
    <t>Bugünkü vaka sayısı 26.398. Yeni can kaybımız 213. Vaka sayıları son bir haftadaki seyrinde devam ettiği takdirde, yüksek sayıda can kayıplarının önüne geçemeyeceğiz. Tedbirler ve aşıyla istikrarlı bir düşüş sağlamalıyız. Son bir hafta bizi uyarıyor. https://t.co/GmDk8mz621</t>
  </si>
  <si>
    <t>1439624449091936264</t>
  </si>
  <si>
    <t>“Bir dakika, bir saniye bile geçirmeden aşı olun. Benim yaptığım hata sadece ve sadece ihmalkârlıktı.” https://t.co/ZHH6PQmY6r</t>
  </si>
  <si>
    <t>1439310649998389253</t>
  </si>
  <si>
    <t>VAKA SAYILARI
18 Eylül: 26.161
17 Eylül: 27.692
16 Eylül: 28.118
15 Eylül: 28.224
14 Eylül: 27.802
13 Eylül: 24.613
12 Eylül: 21.352
Vaka sayıları bir gün öncesiyle değil, ortalama bir hafta öncesiyle kıyaslanmalıdır. Son bir hafta bizi uyarıyor. Kurallara uyup, aşımızı olalım. https://t.co/Dm24auCsZl</t>
  </si>
  <si>
    <t>1439265590636650503</t>
  </si>
  <si>
    <t>ADIYAMAN, ilk doz aşı oranını bugün %75’in üzerine çıkararak, Türkiye Covid-19 Risk Haritasında Mavi oldu. Adıyaman’dan ikinci doz aşı oranını aynı şekilde yükseltmesini, halen Sarı olan illerimizin de bir an önce Mavi risk kategorisine geçmesini bekliyoruz.</t>
  </si>
  <si>
    <t>1438924034834567169</t>
  </si>
  <si>
    <t>Başbakan Adnan Menderes 60 yıl önce bugün idam edildi. Yargılanması sırasında bu sonuca yol açacak bir suç isnadı bile söz konusu değildi. Fakat 27 Mayıs darbesine ait irade onun idamını istedi. Adnan Menderes’i ve kendisiyle birlikte idam edilen arkadaşlarını rahmetle anıyoruz. https://t.co/4ee4uy9nhD</t>
  </si>
  <si>
    <t>1438913819019984910</t>
  </si>
  <si>
    <t>Can kaybımız dünkü kadar fazla değil. Vaka sayımız, içinde olduğumuz hareketlilik dönemini aynı ciddiyetle yansıtıyor. Bu durum, yakın günlerde vefat sayılarına yansımaya devam edecek. Tam doz aşımızı olup, tedbirlere uyarak salgına karşı gerekli mücadeleyi vermeliyiz. https://t.co/uVsTkxBDD3</t>
  </si>
  <si>
    <t>1438910885565718528</t>
  </si>
  <si>
    <t>Aşı olanlar, aşıları tamamlandıktan, yani 2. dozdan 14 gün geçtikten sonra korundukları gerçeğini aklından çıkarmamalı. Tedbirler ise toplumsal bağışıklık elde edilene kadar hepimiz için zorunlu. Maske, mesafe, temizlik kurallarından taviz vermeyelim. https://t.co/r5VNu3K8Hq</t>
  </si>
  <si>
    <t>1438580992038608896</t>
  </si>
  <si>
    <t>Can kaybımız 262. Vaka sayımız 28.118. Artan hareketlilikle risk daha da yaygın. Yarın tedbirleri uygulayarak, ortalama 1 hafta sonra tablodaki sonuçların değişmesinde, 2. doz aşınızı olarak da, 2 hafta sonra salgına karşı kalıcı başarı elde edilmesinde pay sahibi olabilirsiniz. https://t.co/GAOi95mRcR</t>
  </si>
  <si>
    <t>1438538026116861961</t>
  </si>
  <si>
    <t>Endişe ve karmaşa ortamından çıktık. Bunu kalıcı hale getirmek elimizde. Hep beraber tedbirlere uyacak ve aşı olarak toplumsal bağışıklığı elde edeceğiz. https://t.co/qNDwx1zX9h</t>
  </si>
  <si>
    <t>1438513204427059207</t>
  </si>
  <si>
    <t>Son günlerde kayıplarımızın sayısının yüksek olmasının aşı etkililiği ile ilişkilendirildiğine şahit oluyoruz. Oysa vaka ve kayıplarımız içinde aşısızların oranı çok yüksek. Bu durum, aşılar olmasaydı, sonuçların daha ağır olabileceğini göstermektedir. Mutlaka aşı olmalıyız. https://t.co/9d28YJZjwc</t>
  </si>
  <si>
    <t>1438507306799415296</t>
  </si>
  <si>
    <t>1. Doz aşılamada yüksek bir oranda gelişme kaydettik. Sıra, ikinci doz aşı oranını yükseltmeye geldi. Sizinle her gün paylaştığımız 1. doz aşılanma oranı haritasını düzenleyerek, haritayı Pazartesinden itibaren iki doz aşılanma oranları bilgisiyle yine her gün sunacağız. https://t.co/ADmgAI4xVH</t>
  </si>
  <si>
    <t>1438462485032538116</t>
  </si>
  <si>
    <t>Öğrencilerimize tarama amaçlı yapılacak testler, tümüyle velilerin iznine bağlıdır. Test için örnek alma işlemi, velilerimizin, kendilerine sunulan onam formunda izin vermeleri halinde, sadece boğazdan örnek alınarak yapılacaktır. Aksi tıp etiği bakımından da söz konusu değildir. https://t.co/VlU86JdK2b</t>
  </si>
  <si>
    <t>1438459930340700162</t>
  </si>
  <si>
    <t>4-10 Eylül arasında vaka yoğunluğu bir önceki haftaya göre EN ÇOK ARTAN 10 İLİMİZ: Kilis, Erzincan, Malatya, Karabük, Kastamonu, Erzurum, Adıyaman, Kayseri, Tokat, Sinop! Bu illerden birindeyseniz şimdi daha da dikkatli olmalısınız. https://t.co/GgqfEKQgeZ</t>
  </si>
  <si>
    <t>1438448895160369156</t>
  </si>
  <si>
    <t>4-10 Eylül arasında, 100.000 kişi içinde BİR HAFTALIK TOPLAM yeni Covid-19 vaka sayısı neydi? Yaşadığınız, gidip geldiğiniz ildeki durumu haftalık İnsidans haritamızdan öğrenebilirsiniz. https://t.co/EDK9GYxJBk</t>
  </si>
  <si>
    <t>1438447554258165761</t>
  </si>
  <si>
    <t>CANLI: Bilim Kurulu Toplantımızın ardından Basın Açıklamamız:
https://t.co/YGSTh0drEh</t>
  </si>
  <si>
    <t>1438204503774355459</t>
  </si>
  <si>
    <t>TURUNCU İLİMİZ KALMADI. Türkiye Covid-19 Risk Haritasında son Turuncu ilimiz Gümüşhane, ilk doz aşı oranını %65’in üzerine çıkararak Sarıya geçti. Şimdi sıra, Maviye geçecek başarıyı göstermekte. GÜMÜŞHANE’Yİ KUTLUYORUZ.</t>
  </si>
  <si>
    <t>1438201015354941448</t>
  </si>
  <si>
    <t>Can kaybımız 248. VAKA SAYIMIZ 28.224. Hareketliliğin, dolayısıyla temasın çok yoğun olduğu bir dönemdeyiz. 28 Binin üzerine çıkan yeni vaka sayısına karşı hepimiz tedbirleri uygulamalı, çift doz aşıda hızlı olmalıyız. Salgına karşı başarının şartı birlikte hareket etmektir. https://t.co/rxJWqXAAId</t>
  </si>
  <si>
    <t>1438199223653183490</t>
  </si>
  <si>
    <t>Müziği, çay bahçeleri ve aşı hikâyeleriyle Rize! https://t.co/WgDgrNX5PK</t>
  </si>
  <si>
    <t>1437843963269066753</t>
  </si>
  <si>
    <t>ŞANLIURFA, ilk doz aşı oranını %65’in üzerine çıkardı. Haritamızdaki rengi Turuncu yerine Sarı. Şu an, ilk doz aşı oranı %65’in altında kalan tek ilimiz, Gümüşhane. Sarı ve Mavi bütün iller, Gümüşhane’ye çağrıda bulunalım mı?</t>
  </si>
  <si>
    <t>1437830116155998215</t>
  </si>
  <si>
    <t>Yeni can kaybımız 276. Daha önce tabloda belirtilen vakalardan 276’sı bugün ölümle sonuçlandı. Aşıda ve tedbirlerde birlik ve beraberliği sağlarsak; kısa sürede vaka sayıları, ardından da can kayıpları hızla düşer. Salgına karşı başarının şartı birlik ve istikrardır. https://t.co/iU3OIZX27I</t>
  </si>
  <si>
    <t>1437817610981232644</t>
  </si>
  <si>
    <t>Fındık hasadını tamamlarken aşıları da tamamladılar! https://t.co/90YdcDlR0Z</t>
  </si>
  <si>
    <t>1437499855149142016</t>
  </si>
  <si>
    <t>Bu akşam itibariyle, en az 2 doz aşı yaptıranlarımızın sayısı 40.635.924. Aşı oranı arttıkça toplum bağışıklığına yaklaşmış olacağız. Vaka sayılarının ve buna bağlı olarak da can kayıplarımızın azalması, çift doz aşıların tamamlanma hızına, tedbirlere uyuma bağlı. https://t.co/oIRERqDzJl</t>
  </si>
  <si>
    <t>1437449986212601865</t>
  </si>
  <si>
    <t>Sakarya Meydan Muharebesi Zaferinin 100. Yıl Dönümündeyiz. 22 gün süren muharebe, Kurtuluş Savaşı zaferimizin en büyük haberi olmuştu. Başta Gazi Mustafa Kemal Atatürk ve mücadele arkadaşları olmak üzere, bütün kahramanlarımızı ve şehitlerimizi rahmetle, saygıyla anıyoruz. https://t.co/rVuGkZOdZ2</t>
  </si>
  <si>
    <t>1437442263156731911</t>
  </si>
  <si>
    <t>12 Eylül 1980 darbesi, insanların hayatına, Türkiye’nin yıllarına mal oldu. 15 Temmuz gecesi yeni bir darbeye geçit vermeyerek, darbecilikle de hesaplaşmamızı yaptık. Demokrasi ruhumuz dipdiri. Hafızamızda darbe tecrübeleri var, geleceğimizde asla olmayacak.</t>
  </si>
  <si>
    <t>1437110035629461507</t>
  </si>
  <si>
    <t>“BANA BİR ŞEY OLMAZ!” Bugünkü vaka sayısı: 21.352. Bu vakalara “Bana bir şey olmaz.” ihmali yol açıyor. Bugünkü can kaybı: 243. Vefatların nedeni, ihmallerin yol açtığı yayılım. Tam doz aşımızı zamanında olmalı, tedbirlere düzenli ve birlikte uymalıyız. Risk devam ediyor. https://t.co/bcjy8CMOLt</t>
  </si>
  <si>
    <t>1437090724047200267</t>
  </si>
  <si>
    <t>Cumhurbaşkanımızla dün Kahramanmaraş’ta, Gençlerle Şiir Gecesi’ndeydik. Gecede 1999 yılına ait bir şiir kaydı da yâd edildi: “Sana, Bana, Vatanıma, Ülkemin İnsanlarına Dair”. Erdem Bayazıt’ın ünlü şiirinden bir bölüm paylaşıyoruz: “Beyaz giysilerinden uykular dökülen tabipler…” https://t.co/5aWxWy4v2a</t>
  </si>
  <si>
    <t>1436813665748013057</t>
  </si>
  <si>
    <t>DİYARBAKIR, ilk doz aşı oranını %65’in üzerine çıkardı. Haritamızdaki rengi Turuncu yerine Sarı. Şu an, ilk doz aşı oranı %65’in altında, Turuncu iki ilimiz var: Gümüşhane ile Şanlıurfa. Diyarbakır başta olmak üzere, Sarı ve Mavi bütün iller, çağrıda bulunalım mı?</t>
  </si>
  <si>
    <t>1436765769971519492</t>
  </si>
  <si>
    <t>Milletimizin iki kahraman evladı bugün şehit düştü. İdlib Gerginliği Azaltma Bölgesindeki görevlerinin akabinde uğradıkları hain saldırıda şehit olan Ramazan Demir ile Mücahit Sınırtepe kardeşlerimize Allah’tan rahmet, ailelerine başsağlığı diliyorum. Acımız büyük. https://t.co/rv47jxcNjC</t>
  </si>
  <si>
    <t>1436756479000862728</t>
  </si>
  <si>
    <t>Vaka sayımız 22.923. Can kaybımız 259. Vefat sayılarının azalması; tedbirlere herkesin birlikte - düzenli uymasına, tam doz aşı oranının hızla artmasına bağlı. Yayılımı ve sonuçlarını böyle durdurabiliriz. Her yeni gün, salgın şartlarından geri dönüşü olmayan adımlar atmalıyız. https://t.co/sE8i06jpLh</t>
  </si>
  <si>
    <t>1436739536806088708</t>
  </si>
  <si>
    <t>28 Ağustos-3 Eylül arasında vaka yoğunluğu bir önceki haftaya göre EN ÇOK ARTAN 10 İLİMİZ: Kayseri, Elazığ, Karaman, Bolu, Malatya, Kırşehir, Yozgat, Kırıkkale, Tunceli, Bartın! Bu illerden birindeyseniz şimdi daha da dikkatli olmalısınız. Nihai çözüm aşı! Kurallar çok gerekli. https://t.co/WH4muVxrJN</t>
  </si>
  <si>
    <t>1436617921682345984</t>
  </si>
  <si>
    <t>28 Ağustos-3 Eylül arasında, 100.000 kişi içinde BİR HAFTALIK TOPLAM yeni Covid-19 vaka sayısı neydi? Yaşadığınız, gidip geldiğiniz ildeki durumu haftalık İnsidans haritamızdan öğrenebilirsiniz. https://t.co/OxZ9TVzPY3</t>
  </si>
  <si>
    <t>1436616683150524419</t>
  </si>
  <si>
    <t>Öğretmenlerimizde 2 doz aşısını yaptıranların oranı %77’yi buldu. En az 1 doz aşısını yaptıranların oranı %90’ın üzerinde. Covid-19 hastalığını geçirenlerin oranıysa %4,4’lerde. Sonuç olarak, öğretmenler, şu anda %95’lere yakın aşılanma ve koruyuculuk oranına sahip. https://t.co/Ie95uULGvN</t>
  </si>
  <si>
    <t>1436433858904399914</t>
  </si>
  <si>
    <t>2 doz Sinovac aşısını olan 15 milyon kişi var. 9 milyonu 3. dozu da yaptırdı. 3. dozu yaptıran 9 milyon kişinin hastane yükü %1,5-1,6. Buna karşı, 2 doz aşısını olup, hatırlatma dozunu yaptırmayan 6 milyon kişinin hastane yükü 6-7 kat fazla. 2 doz etkili, 3. doz mutlaka gerekli! https://t.co/1WgGzYseI6</t>
  </si>
  <si>
    <t>1436431722678263819</t>
  </si>
  <si>
    <t>Artık aşı var, yeni dönemde okulları kapatmayı asla istemiyoruz. Olsa olsa bu, vaka sebebiyle, sınıf bazında geçerli olabilir. Mümkün mertebe bu bile olsun istemiyoruz. Eğitimin hiç aksamadan sürdürülmesi için de vatandaşlarımızla birlikte aşı oranını yükseltmeye çalışacağız. https://t.co/9ZiISUETmX</t>
  </si>
  <si>
    <t>1436429216145346563</t>
  </si>
  <si>
    <t>Bu toplum, çocuklarına 13 farklı aşıyı %98 oranında yaptırıyor. Toplumun aşıda bir sorunu yok. Şu an doz sayısı olarak dünyada 8. sıradayız. Avrupa ülkelerinden sadece Almanya bizim önümüzde. Nüfusa oranla yapılan günlük aşı dozu miktarıylaysa genelde dünyada 3. veya dördüncüyüz! https://t.co/zBEICQgutw</t>
  </si>
  <si>
    <t>1436427515912986677</t>
  </si>
  <si>
    <t>İstiklal Madalyası sahibi şehrimiz MARAŞ’TAYIZ. Maraş, aynı zamanda Yüce Meclis tarafından verilen Kahramanlık unvanına sahip. Kahraman olan Maraşlılara sevgi ve saygılarımla bir sürpriz: Şehrimize 1925’te verilen İstiklal Madalyası belgesini görmüş müydük? https://t.co/lmaFocpjCq</t>
  </si>
  <si>
    <t>1436424318469251072</t>
  </si>
  <si>
    <t>ERZURUM, bugün %75’in üzerine çıkan ilk doz aşı oranıyla Mavi illerimiz arasında! Şimdi sıra ikinci doz aşı oranını artırmakta. Öte yandan, halen Turuncu ve Sarı olan illerimiz var. Her yanı Mavi bir Türkiye Risk Haritası için gerekeni yapalım. Yeni örneğimiz Erzurum olsun!</t>
  </si>
  <si>
    <t>1436396672259592218</t>
  </si>
  <si>
    <t>YOZGAT, bugün %75’in üzerine çıkan ilk doz aşı oranıyla Mavi illerimiz arasında! Şimdi sıra ikinci doz aşı oranını artırmakta. Öte yandan, halen Turuncu ve Sarı olan illerimiz var. Her yanı Mavi bir Türkiye Risk Haritası için gerekeni yapalım. Yeni örneğimiz Yozgat olsun!</t>
  </si>
  <si>
    <t>1436394944772591616</t>
  </si>
  <si>
    <t>Vaka sayımız 23.562. Dün 257 olan can kaybımız bugün 214. Vakaların seyrinde bariz düşüş yok. Can kaybı sayısındaki azalma şu an için umut verici. Ama bu, yarın tersi de muhtemel bir durum. Salgın ortamında, aşıyla geri dönüşü olmayan adımlar atmalıyız. Tedbirler yol arkadaşımız. https://t.co/AGyBZpFgaw</t>
  </si>
  <si>
    <t>1436379478188609562</t>
  </si>
  <si>
    <t>OKULLARDA PCR TESTİ? Belirtisiz vaka yaygınlığını anlayabilmek için sınırlı sayıda okulda yapılacak. Velilerimiz önceden bilgilendirilip onayları istenecek. PCR taraması, sağlıklı eğitim ortamının devamına ve olası hazırlığa yönelik. Çocuklarla, en deneyimli arkadaşlar buluşacak.</t>
  </si>
  <si>
    <t>1436363036592324616</t>
  </si>
  <si>
    <t>Sayın Cumhurbaşkanımızın teşrifleriyle, Kahramanmaraş Toplu Açılış Töreni’ni gerçekleştirdik. Biz bir ve beraber oldukça yarın bugünden daha güzel, daha güvenli ve daha müreffeh olacak. https://t.co/puehEw6fVm</t>
  </si>
  <si>
    <t>1436350442607464449</t>
  </si>
  <si>
    <t>RT @RTErdogan: Kahramanmaraş Toplu Açılış Töreni https://t.co/pE6vbqzYaU</t>
  </si>
  <si>
    <t>1436327130103754754</t>
  </si>
  <si>
    <t>Sizlere bir haberim var. Yerli aşımız Turkovac, acil kullanım onayına müracaat edebilecek aşamaya geldi. Bir tesiste üretimine başladığımız Turkovac aşımız bugün ikinci bir tesiste daha seri üretilecek alt yapıya ulaştı. Onay alması halinde Ekim ayı içinde seri üretime geçeceğiz. https://t.co/bvOKuWBQ0G</t>
  </si>
  <si>
    <t>1436058752793387013</t>
  </si>
  <si>
    <t>Covid-19’a karşı Toplum Bağışıklığı için gelin aramızda aşıda birlik ve beraberlik bağı kuralım. Aşı, risklere karşı güven, yarınlar için özgürlük duygusudur. Aşı olan, riski herkes için azaltır. Sizleri, her birimizi kuşatan aşıda birlik ve beraberliğe davet ediyorum. https://t.co/T1jGVN0zIJ</t>
  </si>
  <si>
    <t>1436056230276083723</t>
  </si>
  <si>
    <t>İnaktif aşıdan 3 ay sonra yapılan hatırlatma dozunun koruyuculuğu çok önemli ölçüde artırdığını biliyoruz. 3 doz aşı olmuş vatandaşlarımızın vaka sayıları içindeki oranı %2’den daha azdır. Bugün itibariyle “hatırlatma dozu” zamanı gelen yaklaşık 6 milyon insanımız var. https://t.co/yKxobb8Oki</t>
  </si>
  <si>
    <t>1436053815921418259</t>
  </si>
  <si>
    <t>RT @RTErdogan: Bugün, hamdolsun, 100 milyon doz aşı sayısına ulaştık. Yerli aşımız TURKOVAC’ın da yaygın kullanımıyla birlikte inşallah bu…</t>
  </si>
  <si>
    <t>1436052908706041858</t>
  </si>
  <si>
    <t>Bugünkü başarımız bizi büyük bir sonuca, toplum bağışıklığına hazırlıyor. Toplum bağışıklığı aşı dozlarının tam olmasıyla sağlanabilir. İkinci doz aşısını henüz yaptırmayan 11,3 Milyon kişi var. Oysa tek doz aşı koruyucu değil. İlk dozla biz aşı sürecimizi başlatmış oluyoruz. https://t.co/EtRHyLjTCB</t>
  </si>
  <si>
    <t>1436050499392974848</t>
  </si>
  <si>
    <t>AĞRI, bugün %75’in üzerine çıkan ilk doz aşı oranıyla Mavi illerimiz arasında! Turuncu ve Sarı risk grubunda sadece 14 ilimiz kaldı. Covid-19’a karşı, tüm illeriyle Mavi bir Türkiye Risk Haritası için yapılması gerekeni yapalım. Yeni örneğimiz Ağrı olsun!</t>
  </si>
  <si>
    <t>1436045603524448258</t>
  </si>
  <si>
    <t>100 Milyon Doz, ortak başarının adıdır. 100 Milyon doz aşıda, kararıyla, emeğiyle katkısı olan herkesi kutluyorum. Yeri geldiğinde yaylalara çıkan sağlık çalışanı arkadaşlarıma şükranlarımızı sunuyorum. Geldiğimiz nokta, çok yüksek bir aşılanma hızının mümkün olduğunu gösteriyor. https://t.co/HTwu69cdyM</t>
  </si>
  <si>
    <t>1436041662044717056</t>
  </si>
  <si>
    <t>Bugün,
18 aydır devam eden mücadelemizde kutlanmaya değer bir gün!
100 Milyon doz, 84 Milyona hayırlı olsun! https://t.co/2LlWmQfqio</t>
  </si>
  <si>
    <t>1436030461789315073</t>
  </si>
  <si>
    <t>Vaka sayımız 23.846. Dünle bugün arasında lehimize 68 fark var. Dün 262 olan can kaybımız, bugün 257. Acı haberin sayısı azaldı. Bu farklarda, sayılarla ifade edilemeyecek sonuçlar var. Hayat var. Bugün 100 milyon doz aşıya ulaştık. Birlikte bu tabloyu tümden değiştirebiliriz. https://t.co/n3osKV1nUw</t>
  </si>
  <si>
    <t>1436024211076751361</t>
  </si>
  <si>
    <t>Salgınla mücadele sürecimizde simge bir gün! Aşıda toplam 100 Milyon Doza ulaştık. Toplumun ortak başarısını, önümüzdeki haftaların başarı planını içeren bir gündemle huzurlarınızdayım. Merak ettiğiniz pek çok konu başlıklarımız arasında. https://t.co/tqZ5TlYbMK</t>
  </si>
  <si>
    <t>1435985792925642754</t>
  </si>
  <si>
    <t>Salgınla mücadele sürecimiz açısından simge bir gün! 18:00’DA, rutin seyrin dışında bir konuşmayla huzurlarınızda olacağım. Gündeminizdeki konular, başlıklarımız arasında. 18:00’da buluşmak üzere.</t>
  </si>
  <si>
    <t>1435887384978149382</t>
  </si>
  <si>
    <t>IĞDIR, %75’in üzerine çıkan ilk doz aşı oranıyla Covid-19’a karşı Mavi risk grubundaki iller arasında! Iğdır, ikinci doz aşı hızında diğer illere örnek olmalı. Şimdiden tebrikler!</t>
  </si>
  <si>
    <t>1435681403300204557</t>
  </si>
  <si>
    <t>AKSARAY, %75’in üzerine çıkan ilk doz aşı oranıyla Covid-19’a karşı Mavi risk grubundaki iller arasında! Aksaray, ikinci doz aşı hızında diğer illere örnek olmalı. Şimdiden tebrikler!</t>
  </si>
  <si>
    <t>1435679641931554819</t>
  </si>
  <si>
    <t>Vaka sayımız 23.914. Can kaybımız 262. Tablodaki ciddi seyri kontrol altına almak ve can kayıplarını azaltmak için elimizdeki imkân tedbirler ve aşıdır. Tam doz aşılarımızı olup toplum bağışıklığını sağlayalım. Maske, mesafe, temizlik kuralı şu an vazgeçilmezimiz. https://t.co/FLju1E7j3J</t>
  </si>
  <si>
    <t>1435668988411973636</t>
  </si>
  <si>
    <t>Bugün Bilim Kurulumuz, yüz yüze eğitim, salgının seyri ve aşı programımızın devamlılığı gündemi ile bir araya geldi. Bilim Kurulu Toplantısı sonrası basın açıklamamız: https://t.co/g8fvV04FlR</t>
  </si>
  <si>
    <t>1435665052326105094</t>
  </si>
  <si>
    <t>MARDİN risk haritasındaki rengini Turuncudan Sarıya çevirdi. Covid-19’a karşı aşılanma oranı %65’in üzerinde. Sarıdaki gün sayısı ne kadar azsa o kadar iyi. Mardin’i Mavi iller arasında görmek istiyoruz.</t>
  </si>
  <si>
    <t>1435306452906827781</t>
  </si>
  <si>
    <t>NİĞDE, risk haritamızda artık Mavi. İlk doz aşı oranını %75’in üzerine çıkardı. Kararlılığın şehri Niğde’yi kutluyoruz. Niğde, ikinci doz aşı hızında diğer illere örnek olmalı. Şimdiden tebrikler!</t>
  </si>
  <si>
    <t>1435304921130209289</t>
  </si>
  <si>
    <t>Doğu Anadolu’da MAVİ illerin sayısı artmaya başladı. VAN’DA ilk doz aşı oranı %75’in üzerinde. Van’ı kutluyor, örnek alıyoruz. Van, Covid-19’a karşı ikinci doz aşı oranıyla da örnek olmalı!</t>
  </si>
  <si>
    <t>1435303639732609025</t>
  </si>
  <si>
    <t>Bugün, DMD Kas Hastalığı Farkındalık Günü. Genellikle erkek çocuklarda rastlanan bu hastalıkta zamanla tüm kas gruplarında ilerleyici hasar ortaya çıkıyor. Hastalara düzenli poliklinik hizmeti veriyoruz. Yakınlarıyla sürekli irtibat halindeyiz. Sağlık, yaygın farkındalık ister.</t>
  </si>
  <si>
    <t>1435300347346669568</t>
  </si>
  <si>
    <t>Vaka sayımız 23.638. Covid-19 sebebiyle yeni can kaybımız 274. Vaka sayılarını istikrarlı şekilde düşürmeli ve ölümleri azaltmalıyız. Bunun yolu aşılanma oranını artırmak, toplum bağışıklığı sağlanana kadar tedbirlere uymaktır. İstediğimiz sonuç tedbirle aşıya, yani bize bağlı! https://t.co/y34ippfRxP</t>
  </si>
  <si>
    <t>1435283799647084551</t>
  </si>
  <si>
    <t>KARS, ilk doz aşı oranında %75’i geçerek Orta Risk Seviyesini Düşük Risk Seviyesine indirdi. 4 Turuncu, 15 sarı ilimizin önünde yeni bir örnek var! MAVİ Kars’ı kutluyoruz.</t>
  </si>
  <si>
    <t>1434982792543223816</t>
  </si>
  <si>
    <t>“Aramızdaki tek Turuncu da Sarı oldu!” Doğu Anadolu, ilk doz aşı oranını %65’in üzerine çıkaran MUŞ’U kutluyor. Ve Türkiye’nin dört bir yanı!</t>
  </si>
  <si>
    <t>1434980471058862085</t>
  </si>
  <si>
    <t>Risk haritasında en büyük değişikliklerden birini KONYA yaptı. Nüfusu en kalabalık yedinci şehrimiz artık Mavi. Bu Mavi, Türkiye’de risk düzeyini düşürecek! Kutluyoruz, Konya.</t>
  </si>
  <si>
    <t>1434977146515116035</t>
  </si>
  <si>
    <t>Vaka sayımız 20.962. Covid-19 sebebiyle yeni can kaybımız 271. Okullar açıldı. Büyük şehirlere dönüş başladı. Sosyal hareketlilikle risk artacak. Maske ve mesafe kuralı daha da önemli. Nihai çözüm aşı! Aşılarımızı tamamladığımız zaman Covid-19’a karşı özgürlüğümüze kavuşacağız. https://t.co/cAaQBCwf32</t>
  </si>
  <si>
    <t>1434940395079745548</t>
  </si>
  <si>
    <t>RT @RTErdogan: Kabine Toplantısı Sonrası Millete Sesleniş https://t.co/iBdKCERRtx</t>
  </si>
  <si>
    <t>1434918402095779846</t>
  </si>
  <si>
    <t>Sakarya, Mavi il sayımızı 60’a çıkardı! https://t.co/y5zBv5rI76</t>
  </si>
  <si>
    <t>1434607880498524160</t>
  </si>
  <si>
    <t>G20 Sağlık Bakanları Toplantısına çevrimiçi katılarak, Salgının Küresel Sağlık ve Sürdürülebilir Kalkınma Hedeflerine Etkilerinin Değerlendirilmesi başlıklı oturumda bir konuşma yaptık. G20 Sağlık Bakanları Toplantısı İtalya’nın dönem başkanlığında gerçekleşiyor. https://t.co/4jaeLFoQ5M</t>
  </si>
  <si>
    <t>1434566453936771073</t>
  </si>
  <si>
    <t>Yeni vaka sayımız 19.391. Covid-19 sebebiyle bugünkü can kaybımız 269. Okullar yarın açılıyor. Yedi yaşındaki çocuklarımız sınıflarında maskeli olacak. Hepimize büyük sorumluluk düşüyor. Nihai çözüm, aşı! Aşılarımızı hemen yaptıralım. Tedbirlerde ÇOCUKLARIMIZ KADAR HASSAS olalım. https://t.co/p3AhebYF5G</t>
  </si>
  <si>
    <t>1434562787955642370</t>
  </si>
  <si>
    <t>21-27 Ağustos arasında vaka yoğunluğu bir önceki haftaya göre EN ÇOK ARTAN 10 İLİMİZ: Rize, Bayburt, Nevşehir, Kayseri, Kilis, Trabzon, Aksaray, Gaziantep, Bolu, Tokat. Bu illerden birindeyseniz şu günlerde daha da dikkatli olmalısınız. Nihai çözüm aşı! Kurallar çok gerekli. https://t.co/xSg0z5HxKs</t>
  </si>
  <si>
    <t>1434548464961077252</t>
  </si>
  <si>
    <t>21-27 Ağustos arasında, 100.000 kişi içinde BİR HAFTALIK TOPLAM yeni Covid-19 vaka sayısı neydi? Yaşadığınız, gidip geldiğiniz ildeki durumu haftalık İnsidans haritamızdan öğrenebilirsiniz. https://t.co/g9UkXZYRR8</t>
  </si>
  <si>
    <t>1434547565958156293</t>
  </si>
  <si>
    <t>KAHRAMANMARAŞ, %75’in üzerine çıkan ilk doz aşı oranıyla beklenen haberi verdi. Direniş ve zafer şehrinin Risk Haritasında rengi MAVİ! Maraş’tan yeni beklentilerimiz var. Okullar Pazartesi açılıyor. Şimdi devam doz oranlarını da aynı şekilde yükseltme zamanı. Bugünden tebrikler! https://t.co/RpTjIJmzbQ</t>
  </si>
  <si>
    <t>1434222150257455108</t>
  </si>
  <si>
    <t>ÜÇ-SIFIR!
Türkiye A Milli Kadın Voleybol Takımı, Hollanda’yı 3-0 yenerek Avrupa üçüncüsü oldu. Türk kadınını ve Türkiye’yi temsil eden Filenin Sultanlarını kutluyoruz. Her sayı için ayrı bir alkış! https://t.co/hPzWmVyxNl</t>
  </si>
  <si>
    <t>1434210702336610309</t>
  </si>
  <si>
    <t>Yeni vaka sayımız 20.033. Covid-19 sebebiyle bugünkü can kaybımız 278. İlk ve orta öğretimde okullar 6 Eylülde, devamında üniversiteler açılıyor. Örgün eğitimde 24 Milyondan fazla öğrencimiz var. Kesintisiz, yüz yüze eğitimde kararlıyız. Aşıda ve tedbirde aynı kararlılık olmalı! https://t.co/4JOuPmMKgP</t>
  </si>
  <si>
    <t>1434199553578872842</t>
  </si>
  <si>
    <t>“Hey gidi deli gönlüm,
Ya İSTİKLAL ya ölüm!”
102 yıl önce toplanan Sivas Kongresi’nde Türkiye böyle dedi. Kongre, işgal altında olan ülkemize tam bağımsızlık yolunu açtı. Kararlarıyla yeni devletimize temel oldu. Mustafa Kemal Atatürk’ü, kongrenin tüm üyelerini rahmetle anıyoruz. https://t.co/TQTmtzgD88</t>
  </si>
  <si>
    <t>1434178166097170439</t>
  </si>
  <si>
    <t>Üniversite kayıtları bugün başladı. Birçok gencimiz, okumayı arzu ettikleri şehir yerine, Covid-19 riskinin daha az olduğu yerlerde okumaya hazırlanıyor. Kronik hastalıkları var. İhmallerimizin sonuçları bildiğimizden fazla! Aşı ve tedbirle hayatı herkes için kolaylaştıralım. https://t.co/hg5UuMt4ch</t>
  </si>
  <si>
    <t>1434147170186313733</t>
  </si>
  <si>
    <t>BİTLİS, BATMAN VE BİNGÖL, %65’in üzerine çıkan ilk doz aşı oranlarıyla Covid-19 Risk Haritasında artık SARI. Bu üç ilimiz ilk dozda daha da yüksek oranlara çıkmalı. Okullar 6 Eylül’de açılıyor. Hayatı kolaylaştırmalıyız. Bitlisli, Batmanlı, Bingöllü dostlar! Yeni haber ne zaman?</t>
  </si>
  <si>
    <t>1433902055366832137</t>
  </si>
  <si>
    <t>ERZİNCAN, %75’in üzerine çıkan ilk doz aşı oranıyla beklenen haberi verdi. Risk Haritasında rengi MAVİ! Başarılarıyla tarih kuran bu şehirden yeni beklentilerimiz var. Okullar 6 Eylül’de açılıyor. Şimdi devam doz oranlarını da aynı şekilde yükseltme zamanı. Bugünden tebrikler! https://t.co/wN5hRquPqd</t>
  </si>
  <si>
    <t>1433896817218002950</t>
  </si>
  <si>
    <t>ÇANKIRI, %75’in üzerine çıkan ilk doz aşı oranıyla beklenen haberi verdi. Risk Haritasında rengi MAVİ! Her mücadelesinden galip çıkan bu tarihi şehirden yeni beklentilerimiz var. Okullar 6 Eylül’de açılıyor. Şimdi devam doz oranlarını da yükseltme zamanı. Bugünden tebrikler! https://t.co/UonEzrCk2j</t>
  </si>
  <si>
    <t>1433893343679897604</t>
  </si>
  <si>
    <t>DÜZCE, ilk doz aşı oranında beklenen haberi verdi. Karadeniz sahilinde artık tüm illerimiz MAVİ. Şelaleler şehrinden yeni beklentilerimiz var. Okullar 6 Eylül’de açılıyor. Şimdi ikinci, üçüncü doz aşı oranlarını da aynı şekilde yükseltme zamanı. Bugünden tebrikler! https://t.co/JA7pna6dL5</t>
  </si>
  <si>
    <t>1433891582135177253</t>
  </si>
  <si>
    <t>Filenin Sultanları,
size şampiyonluk bile azdı. Yarın üçüncülük avucunuzda! Şimdiden kutluyoruz. https://t.co/ZkZIjR351Q</t>
  </si>
  <si>
    <t>1433868955895140355</t>
  </si>
  <si>
    <t>PAZARTESİ okullar açılıyor. Yüz yüze ve kesintisiz sürecek bir eğitim yılı için kararlıyız. Şimdi bizlerle birlikte çocuklarımızın, gençlerimizin de gözü bu tabloda: 22.867 yeni vaka, 276 can kaybı! Henüz aşı olmamışsanız, dışarıda maskesizseniz haklı bazı soruları var. https://t.co/XrQxEryibr</t>
  </si>
  <si>
    <t>1433829558248222720</t>
  </si>
  <si>
    <t>Çocuklarımız ve gençlerimiz Pazartesi okullarına kavuşuyor. Güvenilir şartlarda eğitim için dayanışma içinde olmalıyız. Öğretmenlerimizin motivasyonu hepimizden yüksek. Kendi sağlıkları kadar öğrencilerine sevgileri de söz konusu. Bütün topluma büyük sorumluluk düşüyor!</t>
  </si>
  <si>
    <t>1433796402707054602</t>
  </si>
  <si>
    <t>Dünkü Bilim Kurulu toplantısını Milli Eğitim Bakanımızın, YÖK Başkanımızın, Gençlik ve Spor Bakan Yardımcımızın katılımıyla yaptık. Yüz yüze eğitimin kesintisiz devamı için aldığımız tedbirleri değerlendirdik. Tedbirler, salgına karşı, OKULLARDA GÜVEN ORTAMI oluşturacak.</t>
  </si>
  <si>
    <t>1433794592198086705</t>
  </si>
  <si>
    <t>Velilerimiz tedirgin olmasınlar. Ama velilerimiz, üzerine düşen sorumluluğu yapma noktasında en az öğretmenlerimiz kadar sorumluluğu taşıyor olmalılar. https://t.co/dYRTKP6j9I</t>
  </si>
  <si>
    <t>1433756627765768195</t>
  </si>
  <si>
    <t>Biz bu salgını gündemimizden çıkarmak istiyoruz. Bu salgın, artık ülkenin önünde engel olan bir durumdan çıkıyor olmalı. Bu da hepimizin, 84 milyonun bir ve beraber hareket etmesiyle mümkün. Ve aşının etkili olduğunu biliyoruz, sonuçları önümüzde çok net görüyoruz. https://t.co/VciiyBMfiy</t>
  </si>
  <si>
    <t>1433753299623288839</t>
  </si>
  <si>
    <t>Bizim vatandaşımız yüzde 98 oranında kendi çocuğuna hem de yenidoğan döneminde hem de doğduktan bir iki gün sonra başlamak üzere hem de 13 farklı aşıyı yaptırabilmiş bir toplum. Niye aşıyı kendimize yaptırmayalım? Sonuçlarını biliyoruz. https://t.co/ns1G7pnGQM</t>
  </si>
  <si>
    <t>1433748005979578374</t>
  </si>
  <si>
    <t>Bilim Kurulu, özellikle yeni dönemde, hiçbir şekilde okulların kapanmasını gündemine almak istemiyor. Ve yeni dönemde salgın okulların kapanma sebebi olmayacak. Çünkü elimizde artık aşı var. https://t.co/LwczstJGxs</t>
  </si>
  <si>
    <t>1433744992808407040</t>
  </si>
  <si>
    <t>Hep birlikte çaba gösterirsek, zil sesinden sonra alarm sesi gelir diyenleri haksız çıkarırız. Çıkarmalıyız. İnanıyorum ki çıkaracağız. https://t.co/wxzVJF4DDo</t>
  </si>
  <si>
    <t>1433534072505122818</t>
  </si>
  <si>
    <t>Bugün itibariyle, aktif vakalarımızın %81’i tam aşılı olmayan kişilerdir. Hastaneye yatan vatandaşlarımızın yaklaşık %90’ı da tam aşılı olmayan kişilerdir. Vefat eden vatandaşlarımızın %90’ı ya hiç aşı olmamış veya aşıları eksik kişilerdir. https://t.co/WIwlHVfJl1</t>
  </si>
  <si>
    <t>1433531600021688320</t>
  </si>
  <si>
    <t>Bugün 18 yaş ve üzeri nüfusumuzun %78’inden fazlası tek doz, %60’ından fazlası da 2 doz aşı ile aşılanmış durumda. Sizlere aşı programımız başlarken tünelin ucundaki ışık göründü demiştim. Bugün tünelin çıkışı görünüyor diyebilirim. https://t.co/Qpk8DiFvwP</t>
  </si>
  <si>
    <t>1433526163519967233</t>
  </si>
  <si>
    <t>SİVAS VE MALATYA, 18 yaş ve üstü nüfusta %75’in üzerine çıkan ilk doz aşı oranlarıyla, Covid-19 Risk Haritasında artık Mavi. İkinci doz aşıyı yaptırma oranı Sivas’ta %61.8, Malatya’da %57.2. İlk doz oranı hızla %100’e yaklaşırken 2. dozda da yüksek başarı bekliyoruz. TEBRİKLER!</t>
  </si>
  <si>
    <t>1433524698940420096</t>
  </si>
  <si>
    <t>VAKA TABLOLARI ve AŞI: %78’imiz tek, %60’ımız 2 doz aşı olmuş durumdayız. Son 4 haftada vaka artışları özellikle aşı olmamış kişilerden kaynaklanıyor. Aktif vakaların %81’i, hastaneye yatanlarınsa yaklaşık %90’ı aşısı tam olmayan kişiler. Kayıpların sadece %10’a yakını tam aşılı. https://t.co/ezaXjIsgjj</t>
  </si>
  <si>
    <t>1433503574160547850</t>
  </si>
  <si>
    <t>Bilim Kurulu Toplantımızın ardından Koronavirüs ile ilgili son gelişmelere ilişkin basın açıklamamız.
https://t.co/iQhb6kqeMB</t>
  </si>
  <si>
    <t>1433482369160318991</t>
  </si>
  <si>
    <t>18 yaş ve üstü nüfusumuzun %78,5’i birinci doz aşısını yaptırdı. Birinci, ikinci ve üçüncü doz toplamında 95 MİLYONU geçtik. Yakında 100 Milyon doz bilgisini paylaşacağız.</t>
  </si>
  <si>
    <t>1433414053242839048</t>
  </si>
  <si>
    <t>Bize ne oldu?
Maske, mesafe konusunda birbirimize örnektik!</t>
  </si>
  <si>
    <t>1433324155806552065</t>
  </si>
  <si>
    <t>“Şen ol Bayburt!” Covid-19’a karşı risk düzeyin biraz daha azaldı. %65’in üzerine çıkan ilk doz aşı oranını %75’in üstüne çıkarmanı, haritadaki risk rengini Sarıdan Maviye çevirmeni bekliyoruz. https://t.co/HZMhSsYP4k</t>
  </si>
  <si>
    <t>1433177164933963780</t>
  </si>
  <si>
    <t>Merhaba Gaziantep,
Şimdi Kalemiz gibi bir MAVİMİZ var. Covid-19’a karşı ilk doz aşı oranımız %75’in üzeninde. Devam dozlarıyla riski olması gerektiği gibi azaltalım.</t>
  </si>
  <si>
    <t>1433172582103228424</t>
  </si>
  <si>
    <t>Aşı sürecini aksatmış öğretmenler, okul çalışanları; konser, sinema gibi toplu ortamlarda bulunacaklar ve şehirlerarası seyahate çıkacaklar için 6 Eylül itibariyle PCR testi gerekli. Test Covid-19 sağlık durumu takibi anlamı taşıyor. PCR’dan iyi sonuç alalım. Aşılarımızı olalım.</t>
  </si>
  <si>
    <t>1433143456160010240</t>
  </si>
  <si>
    <t>TABLODA DURUM TIPKI BUGÜNKÜ GİBİ devam ederse, 2 haftada en az 335.000 yeni vakamız, 4.000 yeni can kaybımız olur. Günlük hayatta salgın gerçeğini göz ardı etmekle, ilk doz aşıyı ertelemekle, devam dozlarını ihmal etmekle toplum olarak ağır bedel ödüyoruz. https://t.co/RVlhe7786O https://t.co/hCtTMnzGEA</t>
  </si>
  <si>
    <t>1433113031165218819</t>
  </si>
  <si>
    <t>KIRIKKALE’MİZDE ilk doz aşı oranı %75’in üzerine çıktı. İlk doz aşı oranına göre düzenlenen Covid-19 Risk Haritasında Kırıkkale’nin yeni rengi MAVİ. Risk rengini bugün değiştiren Şırnak’la birlikte, Kırıkkale’yi kutluyoruz. Bu oranlar, fazlasıyla, devam dozlarında da şart!</t>
  </si>
  <si>
    <t>1432772280099254276</t>
  </si>
  <si>
    <t>SERTAB ERENER: Ne hastanelerimiz dolsun ne de sahnelerimiz boş kalsın. Çözüm basit ve kesin. Ancak sıramız gelince aşı yaptırarak özlediğimiz normallere dönebiliriz. https://t.co/GlBL2Ba0lg</t>
  </si>
  <si>
    <t>1432768818481451011</t>
  </si>
  <si>
    <t>DEMET AKBAĞ: Uzun bir süredir tüm dünya pandemi ile savaşırken doktorlar, hemşireler, sağlık çalışanları, konunun uzmanları fedakârca çok büyük mücadeleler verdiler. Bu mücadeleye aşı olarak biz de katkıda bulanabiliriz. Aşı olmayı ihmal etmeyelim. https://t.co/d4K7kIcAZc</t>
  </si>
  <si>
    <t>1432766229991800836</t>
  </si>
  <si>
    <t>FARZ EDİN Kİ bugün vefat eden 252 Covid-19 hastamızdan biri için şu an taziye veriyorsunuz. Testi pozitif çıkmış birini aramış, geçmiş olsun diyorsunuz. Bu tabloda yer alacak uyarı, tam o an düşünecekleriniz olsun. Yarın sağduyulu bir başlangıç yapalım. https://t.co/RVlhe7786O https://t.co/GFpeqZwncm</t>
  </si>
  <si>
    <t>1432757928226922504</t>
  </si>
  <si>
    <t>Bu haber akşamı beklemez: Şırnak işi yarına bırakmadı, şu anda Mavi!</t>
  </si>
  <si>
    <t>1432742427681607686</t>
  </si>
  <si>
    <t>YKS tercih sonuçları açıklandı. Hayırlı olsun. Net 18’imizde veya 18’in üstündeysek zamanı gelmiş ilk dozu, bekleyen ikinci veya üçüncü dozu olalım. Ortama uyum aşımızı yaptıralım.</t>
  </si>
  <si>
    <t>1432731624194592768</t>
  </si>
  <si>
    <t>GÖZLER ŞIRNAK’TA!
Şırnak, ilk doz aşı oranında bir haftada 7 ili geride bıraktı. Maviye çok yakın. Yarın hısım akraba, gelin kayınvalide, baba oğul gidip aşılarımızı olalım. Gözler, Covid-19’a karşı elde edilecek sonuçta. Bizce bu iş Çarşambaya garanti olmalı!</t>
  </si>
  <si>
    <t>1432433269035917316</t>
  </si>
  <si>
    <t>Bir hastanın iyileşmesini beklemek nasıl bir duygudur? Hele hayat arkadaşınsa! https://t.co/s3Im2YSp8k</t>
  </si>
  <si>
    <t>1432406942018904071</t>
  </si>
  <si>
    <t>01 ADN MAVİ
03 AFY MAVİ
43 KTH MAVİ
78 KRB MAVİ
Adana, Afyon, Kütahya ve Karabük, %75’in üzerine çıkan ilk doz aşı oranlarıyla Covid-19 Risk Haritasında artık düşük riskli iller arasında. Tüm Türkiye adına, bu dört ile teşekkürler. Aşıda daha yüksek hız bekliyoruz!</t>
  </si>
  <si>
    <t>1432392422303088645</t>
  </si>
  <si>
    <t>Yeni vaka sayımız 19.557 yerine 9.557 olabilirdi. Tedbirler sıkı tutulsa vefat sayılarının da hızla düşeceğini biliyoruz. Toplum bağışıklığı ise tedbir ve aşıyla kolay bir hedef! Her gün ağır sonuçları olan bu tabloyu artık değiştirelim. Başarabiliriz! https://t.co/RVlhe7786O https://t.co/hSqskMkqQP</t>
  </si>
  <si>
    <t>1432386907200278535</t>
  </si>
  <si>
    <t>Gülhane Eğitim ve Araştırma Hastanesinde tedavi altında olan UZM. ÇAVUŞ İSMAİL ŞEBELEK dün şehadete erdi. Askerimiz, sınır ötesi terör operasyonunda uğradığı hain saldırıda ağır yaralanmıştı. Kendisine Allah’tan rahmet; ailesine ve kahraman ordumuza başsağlığı diliyoruz. https://t.co/OO2l1rlZNn</t>
  </si>
  <si>
    <t>1432363593547255814</t>
  </si>
  <si>
    <t>ÖLÜMSÜZ GÜN! Bugün Kurtuluş Savaşımızın başarıya ulaşmasında yeri çok büyük olan Dumlupınar Zaferinin 99. yıl dönümü. Gazi Mustafa Kemal Atatürk’ü, hayatlarını verip bize bir ülke bırakan şehitlerimizi rahmetle anıyoruz. 30 AĞUSTOS ölümsüz gün olarak kalacak. https://t.co/mEdOStvjCd</t>
  </si>
  <si>
    <t>1432240214018338816</t>
  </si>
  <si>
    <t>Bayraktar Akıncı TİHA projesinin gerçekleşmesine katkı verenleri kutluyoruz. Hepimizin hedefi, “Hayırlı uğurlu olsun” sözünün bu millete tekrar tekrar söylenmesi. https://t.co/dqGE5zT10o</t>
  </si>
  <si>
    <t>1432101243233751042</t>
  </si>
  <si>
    <t>Covid-19 Risk Haritasında Maviye geçen yeni ilimiz yok. 255 yeni can kaybı haberine karşı iyi olmaz mıydı! Kütahya, Adana, Karabük, Afyonkarahisar, Kırıkkale ilk doz aşıda %75’in üzerine çıkmaya en yakın 5 ilimiz. Yarın yeni aşılarla, Türkiye’nin Mavi haberlere ihtiyacı var! https://t.co/jteLNPXaEZ</t>
  </si>
  <si>
    <t>1432083823177707522</t>
  </si>
  <si>
    <t>Yeni vaka sayımız 17.332. “Bu bir salgın. İster istemez hastalığa yakalanan olur.” demek hiç mümkün mü? Yeni vefat sayımız 255. Bu ölümleri önceki vakalar hazırlıyor. Toplum bağışıklığına kadar yapılacak iki şey var: Aşı olmak, tedbirlere uymak! https://t.co/RVlhe7786O https://t.co/Ck9NPqFR19</t>
  </si>
  <si>
    <t>1432022556966539265</t>
  </si>
  <si>
    <t>Sn. Nilgün Hanım,
Sorunuz önemli. Covid-19 geçirip antikor düzeyi yüksek olanlar aşı olmalı mı? Dünyada yaygın uygulamaya göre, evet! Salgında olduğu gibi, toplum ölçekli aşılamalarda rutin antikor bakılması önerilmiyor, kesin koruyuculuğu konusundaysa bilgiler henüz yetersiz. https://t.co/qXMJeZ7WYA</t>
  </si>
  <si>
    <t>1431680566865301504</t>
  </si>
  <si>
    <t>Sizin anlatacak pişmanlığınız olmasın. https://t.co/UzqqaoQGuz</t>
  </si>
  <si>
    <t>1431674734085918725</t>
  </si>
  <si>
    <t>TABLOYA KAÇ KİŞİ BAKACAK? Salgın gündemiyle yaşamaya alıştık. Salgının gerektirdiği tedbirler konusundaysa alışkanlıklar sıkı değil. Tabloya her gün bakın. İhmal edilen tedbirleri hatırlamanıza yardımcı olur. Ertelemişseniz aşıyı gündeme almanızı sağlar. https://t.co/RVlhe7786O https://t.co/XmiI9swdNZ</t>
  </si>
  <si>
    <t>1431663189897449473</t>
  </si>
  <si>
    <t>IĞDIR, risk seviyesinde Sarıya geçti. Bölgede Ardahan ve Hakkâri ise %75’in üzerindeki ilk doz aşı oranlarıyla çoktan Mavi. Iğdır; Kars’la, Ağrı’yla, Van’la, Şırnak’la ilk doz aşı hızında karar verip atak yapsa iyi olmaz mı? Çevremize örnek olsak! Komşu ülkeler dâhil!</t>
  </si>
  <si>
    <t>1431560725441417220</t>
  </si>
  <si>
    <t>NEVŞEHİR, %75’in üstündeki ilk doz aşı oranıyla Düşük Riskli İller grubunda. Haritadaki yeni rengi MAVİ. Covid-19’a karşı ilk doz oranı %100’e yaklaşıp, devam dozları da vaktinde yapılırsa caddesinden çarşı pazarına, Avanos’undan Ürgüp’üne Nevşehir eski Nevşehir olacak!</t>
  </si>
  <si>
    <t>1431559881601994755</t>
  </si>
  <si>
    <t>HATAY’DA, ilk doz aşıyı oldunuz mu diye sorsalar, her dört kişiden üçü “Elbette!” der. Türkiye’nin en kalabalık 13. şehri ilk doz aşı oranıyla artık Düşük Riskli İller arasında. Haritadaki rengi MAVİ. Tebrikler Hatay. Mavinin daha mavisi var: %100’e yakın ilk doz oran.</t>
  </si>
  <si>
    <t>1431559134051192837</t>
  </si>
  <si>
    <t>BU 10 ŞEHİRDEN BİRİNDEYSENİZ! 
Bayburt, Gümüşhane, Kayseri, Gaziantep, Kilis, Bolu, Hakkâri, Nevşehir, Sinop, Kars: 14-20 Ağustos arasında vaka sayıları bir önceki haftaya göre en çok artan 10 ilimiz! Bu şehirlerden birindeyseniz, öncesine göre daha az güvendesiniz. Çözüm belli. https://t.co/ukAuXXLxdM</t>
  </si>
  <si>
    <t>1431529378035425281</t>
  </si>
  <si>
    <t>14-20 Ağustos arasında, 100.000 kişi içinde bir haftalık toplam yeni Covid-19 vaka sayısı neydi? Yaşadığınız veya gidip geldiğiniz ildeki durumu haftalık İnsidans haritamızdan öğrenebilirsiniz. Son haritaya göre yeni vaka yoğunluğunun en yüksek olduğu il Rize. https://t.co/kD3vjCE6mI</t>
  </si>
  <si>
    <t>1431528121996558337</t>
  </si>
  <si>
    <t>SİİRT’TE, 18 yaş ve üstü ilk doz aşı olma oranı bugün %65’in üstüne çıktı. Covid-19 Risk Haritasında Siirt’in yeni rengi Sarı. Sağ ol Siirt. Ama İŞ HENÜZ BİTMEDİ!</t>
  </si>
  <si>
    <t>1431363183663583236</t>
  </si>
  <si>
    <t>KARAMAN MAVİ. Demek ki, İzmir, Hakkâri, Kırıkkale, Artvin daha Mavi! Bir ilde risk düzeyi düşünce, risk tüm Türkiye’de düşüyor. Toplum bağışıklığı dayanışma işi! Sağ ol Karaman. %75’in üzerine çıkan ilk doz aşı oranını daha da yükseltelim.</t>
  </si>
  <si>
    <t>1431351109990469638</t>
  </si>
  <si>
    <t>Hepimiz birden sevinebiliriz: İstanbul’umuz Mavi.</t>
  </si>
  <si>
    <t>1431329841811447809</t>
  </si>
  <si>
    <t>Vefat sayımız düne göre az olsa da çok yüksek. Vaka sayımız düne göre az olsa da çok yüksek. Ama şu salgından bayram kutlar gibi çıkmak da var. Hep birlikte tedbirlere uyup, aşılarımızı olmaya bağlı! https://t.co/RVlhe7786O https://t.co/6jnsaFkPbl</t>
  </si>
  <si>
    <t>1431297954170671105</t>
  </si>
  <si>
    <t>ÖĞRETMENLER arasında birinci doz aşı oranı %84,06. Tüm toplumda birinci doz aşı oranı %76,12. İkinci doz aşı oranı öğretmenler arasında %72,57. Tüm toplumda bu oran %58,23. Okullar açılıyor. Henüz aşı olmamış öğretmenler de yakında bizlere örnek olacaklar. Her zaman olmadılar mı? https://t.co/Ubr3IIhnwm</t>
  </si>
  <si>
    <t>1431160558733172742</t>
  </si>
  <si>
    <t>SON DAKİKA MESAJI: Türkiye Covid-19 Risk Haritasında Kırmızı il kalmadı. İşi başlatmak kadar bitirmek de çok güzel. 80 ilden sana selamlar, sevgiler Şanlıurfa!</t>
  </si>
  <si>
    <t>1430988472291037194</t>
  </si>
  <si>
    <t>KAYSERİ risk haritasında artık Mavi. İlk doz aşı oranı %75’in üzerinde. Çevre illerin tamamı Sarı. İç Anadolu’da düşük risk hareketi İç Anadolu’nun kalbinden başladı!</t>
  </si>
  <si>
    <t>1430984838077681664</t>
  </si>
  <si>
    <t>AĞRI risk rengini Sarıya çevirdi. Tebrikler Ağrı! Aslında değil Sarı, değil Mavi, Türkiye’nin en yüksek aşılanma oranı en çok Ağrı’ya yakışmaz mı?</t>
  </si>
  <si>
    <t>1430976695356600329</t>
  </si>
  <si>
    <t>Trafik kazalarında bugün 257 kişinin öldüğü haberini okusaydınız ne hissederdiniz? Covid-19’a bağlı ölüm sayısı bugün 257. Tedbirden uzaklaştık, aşıyı ihmal ettik, sonuçlara alışmaya mı başladık?</t>
  </si>
  <si>
    <t>1430962437457682444</t>
  </si>
  <si>
    <t>TEK AŞI YETMEZ. İLLE İKİ OLACAK. TEK AŞI YETMEZ. İLLE İKİ OLACAK. TEK AŞIYI OLAN İKİNCİYİ DE OLSUN. İKİNCİ DOZU OLUN: Ali Aydoğdu. 80 yaşında. Covid-19 tedavisinin 4. günü. İkinci doz için uyarıyor. https://t.co/ohCpVEO9oD</t>
  </si>
  <si>
    <t>1430957161367183361</t>
  </si>
  <si>
    <t>Dün 217 olan vefat sayısı bugün 257. Vaka sayısı 20.000 sınırında. Elimizden gelen her şeyi yapmayacak mıyız? İlk doz aşısını erteleyen omuz versin. İkinci dozu ihmal eden randevu alsın. Dışarı çıkan kurallara uysun. Bu tablo burada çok uzun kaldı. https://t.co/RVlhe7786O https://t.co/6gCx9gySC9</t>
  </si>
  <si>
    <t>1430925244932497413</t>
  </si>
  <si>
    <t>Bilim Kuruluyla her hafta Covid-19 toplantısı yapıyoruz. Maske, mesafe artık önemsiz sözünü hiç duymadım. Ama sanki öyleymiş gibi yapanlar var. Kurallara uyalım.</t>
  </si>
  <si>
    <t>1430914919717916678</t>
  </si>
  <si>
    <t>Aşı olmakla olmamak arasında, bazı vakalarda yoğun bakım farkı var.</t>
  </si>
  <si>
    <t>1430911060471554050</t>
  </si>
  <si>
    <t>Şimdi size aşı olma diyenler, daha sonra geçmiş olsun diyebilir.</t>
  </si>
  <si>
    <t>1430899413627535361</t>
  </si>
  <si>
    <t>Bunca vaka, bunca ölüm varken birinci doz aşısını olan hiç ikincisini ihmal eder mi?</t>
  </si>
  <si>
    <t>1430866581589041157</t>
  </si>
  <si>
    <t>RT @RTErdogan: Malazgirt Zaferi'nin 950. Yıl Dönümü https://t.co/wK8Oi7tVaB</t>
  </si>
  <si>
    <t>1430813877332283392</t>
  </si>
  <si>
    <t>BUGÜN URFA’DAKİ SEVDİKLERİMİZİ arayıp hal hatır soralım. İlk doz aşı konusunu açalım. Şanlıurfa, halen Kırmızı olan tek ilimiz. Aşı oranı düşük, risk seviyesi Çok Yüksek. Yakınlar böyle yerinde uyarılar için de var. Güzel hassasiyetiniz için şimdiden teşekkür ederim.</t>
  </si>
  <si>
    <t>1430784123677859842</t>
  </si>
  <si>
    <t>İKİ ARKADAŞIMIZ Covid-19’a yenildi. Operatör Dr. İlhami Atılgan 55, Patolog Dr. Murat Tad 49 yaşındaydı. Kayıtlarımızdan maalesef, iki değerli hekimin aşı olmadığını öğrendik. Meslektaşlarımıza Allah’tan rahmet, ailelerine başsağlığı diliyoruz. Benzer acılar artık yaşanmasın.</t>
  </si>
  <si>
    <t>1430621670323195912</t>
  </si>
  <si>
    <t>ELAZIĞ orta riskli iller arasında. Sarı. İlk doz aşı olma oranı artık %65’in üzerinde. Elazığ’ın riski daha da düşürme heyecanı üzümü gibi tatlı.</t>
  </si>
  <si>
    <t>1430619510453776387</t>
  </si>
  <si>
    <t>-Tokat?
+Maviii!
-Kocaeli?
+Maviii!
Türkiye sevinçli. İki ilimiz daha %75’in üzerindeki ilk doz aşı oranıyla düşük riskli.</t>
  </si>
  <si>
    <t>1430607992743997451</t>
  </si>
  <si>
    <t>Kim olduğu şüpheli iki kişi, ailemden kimsenin hatta benim aşı olmadığımı söylemiş. Nerede? Sosyal medyada! Türkiye’de ilk aşıyı ben oldum. Ailemin her ferdi de aşısını yaptırdı. İsim yakıştırma, hesap sahte bile olsa bu iddia insana yakışır mı?</t>
  </si>
  <si>
    <t>1430578484397608961</t>
  </si>
  <si>
    <t>GÖRÜNEN VE GÖRÜNMEYEN TABLO: Bir ayda yaklaşık 5 milyon test yapıldı. Çok büyük bir sayı! Bugün 217 can kaybımızın sebebi önleyemediğimiz bulaşmalar. Salgını başımızdan savdık anlayışı. Ertelenen aşı. Bunların bedelini eğer biz ödemiyorsak, ödeyenler var! https://t.co/RVlhe7786O https://t.co/QM0FuXllfQ</t>
  </si>
  <si>
    <t>1430565811580809220</t>
  </si>
  <si>
    <t>BİZLERE 950 yıldır kutlanan bir zafer bıraktınız! Bir vatan hazırladınız. 1453’teki rüya gibi fethin yolunu açtınız. Bugün evlatlarınız otağ kurduğunuz yerde. Malazgirt Zaferi 950. Yıl Şenlikleri, coşkusuyla tüm ülkede. Ruhunuz şad olsun 1071 ÖNCÜLERİ! https://t.co/ihSzLCKQn0</t>
  </si>
  <si>
    <t>1430525950769381378</t>
  </si>
  <si>
    <t>RT @RTErdogan: Ahlat'tayız. https://t.co/3B4ANM2PFZ</t>
  </si>
  <si>
    <t>1430511302426963968</t>
  </si>
  <si>
    <t>İhmal ettiğimiz ilk doz aşıyı şimdi yaptıralım. Hastalığa, can kaybına karşı! DEĞMEZ Mİ?</t>
  </si>
  <si>
    <t>1430479657053401092</t>
  </si>
  <si>
    <t>Günaydın Şanlıurfa.
Bugün ilk doza karar verip, çok yüksek olan risk seviyemizi düşürelim. Haritada kırmızı tek iliz. Bu yalnızlık bile iyi değil!</t>
  </si>
  <si>
    <t>1430423782880124928</t>
  </si>
  <si>
    <t>4 İYİ HABER! Bursa ve Trabzon’dan söz ettik. Diğer 2 haberimiz de önemli: Mardin çok yüksek risk seviyesini yüksek risk seviyesine, Adıyaman yüksek risk seviyesini orta risk seviyesine indirdi. Kırmızı tek ilimiz var, Şanlıurfa. İlk doz aşı oranıyla o da hepimizi sevindirecek!</t>
  </si>
  <si>
    <t>1430287299980546049</t>
  </si>
  <si>
    <t>Yeşil Bursa Mavi oldu.
%75’i aşan ilk doz aşı oranıyla hangi şehir olmaz! https://t.co/Q4utw2U9AY</t>
  </si>
  <si>
    <t>1430276032809119745</t>
  </si>
  <si>
    <t>Karadeniz sahili boydan boya Mavi! https://t.co/b7FlBJIW4e</t>
  </si>
  <si>
    <t>1430267897230905353</t>
  </si>
  <si>
    <t>Daha güzel günler göreceğiz Trabzon, motorları maviliklere süreceğiz. İlk doz aşı oranında %75’i aşan Trabzon’a saygılar!</t>
  </si>
  <si>
    <t>1430264346127609858</t>
  </si>
  <si>
    <t>“Ne olur, bilinçsiz insanları televizyona çıkarmayın. Herkes konuşuyor, sağlık siyasetle karışıyor. İnsanlar doğru bilgilendirilmiyor. Daha düne kadar ben de aşı olmayın diyordum.”
UĞUR ÇALIŞKAN, 35 yaşında, mühendis. Çam ve Sakura Şehir Hastanesinde 20 gündür yoğun bakımda. https://t.co/oa3GNK90ti</t>
  </si>
  <si>
    <t>1430262320626814980</t>
  </si>
  <si>
    <t>Toplam doz sayısında dünyada 7. sıradayız. Nüfusu Türkiye ile aynı olan aşı üreticisi Almanya 6. sırada. İlk sıradaki ülke, 1 Milyar 400 Milyon nüfuslu, yine aşı üreticisi Çin. Birçok Avrupa ülkesi ise, bu ülke ile aynı hızı, aynı performansı gösteremedi. “HADİ AMA BEKLİYORUZ!” https://t.co/9w2aPToG4v</t>
  </si>
  <si>
    <t>1430238898152779784</t>
  </si>
  <si>
    <t>Covid-19’a karşı uygulanan toplam aşı dozu sayısında dünyada 7. sıradayız.</t>
  </si>
  <si>
    <t>1430222852008128524</t>
  </si>
  <si>
    <t>Vaka sayıları azalmadıkça kayıplarımız azalmıyor. Bugün tedbir alıp harekete geçmezsek yarın daha ağır yükler taşıyabiliriz. Sevdiklerimiz için aşı olup tedbirlere uyalım. https://t.co/RVlhe7786O https://t.co/vcJJmqR1w4</t>
  </si>
  <si>
    <t>1430220734035529732</t>
  </si>
  <si>
    <t>18 YAŞ VE ÜSTÜ HER DÖRT KİŞİDEN ÜÇÜ en az 1 doz aşısını yaptırdı. %75’imizin, ilk dozu erteleyenlerden isteği belli: “Ertelemeyin. Hepimiz nasıl bir bütünsek, aşıda da aynı beraberliği sağlamalıyız. Karşımızda salgın var.”</t>
  </si>
  <si>
    <t>1430161492666724355</t>
  </si>
  <si>
    <t>Aşılarını olanlara, aşılarımızı yapanlara milyonlarca teşekkür. TOPLAM 90 MİLYON DOZU GEÇTİK. Erteleyenler de karar verdiğinde, sonuç sayılarla ifade edilemez.</t>
  </si>
  <si>
    <t>1430138373176545307</t>
  </si>
  <si>
    <t>BABALARA 6 EYLÜL MESAJI. 15.5 Milyon kişi ilk doz Covid-19 aşısını henüz yaptırmadı. Karar verseler, 10 günde ilk dozların hepsi tamamlanır. Aşının önemini çevrenize anlatarak bize yardımcı olun. Okullar 6 Eylülde açılıyor. Hastalığa yakalananlar çocuklarını üzer.</t>
  </si>
  <si>
    <t>1430131805437534208</t>
  </si>
  <si>
    <t>ANNELERE 6 EYLÜL MESAJI. 15.5 Milyon kişi ilk doz Covid-19 aşısını henüz yaptırmadı. Karar verseler, 10 günde ilk dozların hepsi tamamlanır. Aşının önemini çevrenize anlatarak bize yardımcı olun. Okullar 6 Eylülde açılıyor. Hastalığa yakalananlar çocuklarını üzer.</t>
  </si>
  <si>
    <t>1430131560326606848</t>
  </si>
  <si>
    <t>Alparslan Bey bize bir aşı tembelinin hikâyesini anlatıyor. https://t.co/dug7aQPq2V</t>
  </si>
  <si>
    <t>1429885967771504642</t>
  </si>
  <si>
    <t>RİZE, düşük riskli iller arasında yerini aldı. Salgın hastalığa karşı karar verip, ilk doz aşıyı olma oranı %75’in üzerinde. Haritadaki yeni rengi Mavi. Düşük riskli il sayımız 37. Düşük risk düzeyi bir karara bağlı.</t>
  </si>
  <si>
    <t>1429858636017328135</t>
  </si>
  <si>
    <t>ŞAHAN GÖKBAKAR aşı konusunda öyle önemli doğruları dile getirdi ki, bir tek bilgi yanlışı diğer sözlerinden ayrılıyor. Sevgili Gökbakar, devlet turizm sektörü çalışanlarına aşı zorunluluğu getirmedi. Onlara zorunluysa öğretmenlere de zorunlu olmalıydı diyemeyiz.</t>
  </si>
  <si>
    <t>1429848198378577926</t>
  </si>
  <si>
    <t>Kayıplarımız can yakan seviyede. Bu gidişi durduracak olan da sevdiklerini koruyacak olan da biziz. Tedbirli ve aşı yaptırmış olmak yeterli. https://t.co/RVlhe7786O https://t.co/cUWNAuYkF9</t>
  </si>
  <si>
    <t>1429840891691274242</t>
  </si>
  <si>
    <t>Tarihin en uzun meydan savaşı 100 yıl önce bugün başladı. 13 Eylül 1921’deki zaferle, ordumuz bütün dünyaya yeni bir Türk devletinin kurulduğunu kabul ettirdi. Sakarya Meydan Savaşı başkomutanı Gazi Mustafa Kemal Atatürk’ü ve tüm silah arkadaşlarını saygıyla, rahmetle anıyoruz. https://t.co/qwgN94vLSQ</t>
  </si>
  <si>
    <t>1429832682998018054</t>
  </si>
  <si>
    <t>Burdur Devlet Hastanesinde yaşanan şiddet olayında arkadaşlarımızı darp eden, kendilerine sözlü saldırıda bulunan 4 kişi gözaltına alınmıştır. Saldırganların hak ettiği, benzer suçların önünü kesecek cezaları almaları için, camiamız adına sürecin ödünsüz takipçisi olacağız.</t>
  </si>
  <si>
    <t>1429798641028538376</t>
  </si>
  <si>
    <t>Bir sonraki hastayla ilgilenmek yerine darp raporu hazırlatmak? Hasta şikâyeti dinlemek yerine polis merkezine ifade için gitmek? Açıklanabilir yanı yok. Toplum bizimle. Adaletin takipçisiyiz. Aşağıdaki rapor, Burdur İl Sağlık Müdürlüğümüzden geldi. Yargıya, 84 Milyona sunuyorum. https://t.co/uhYg2TLm8F</t>
  </si>
  <si>
    <t>1429700561268576257</t>
  </si>
  <si>
    <t>Solunum cihazının sesi sizi tedirgin edecekse, hastanın uyarılarını lütfen alt yazıdan takip edin. https://t.co/CgzY8MzJ1J</t>
  </si>
  <si>
    <t>1429509787910393862</t>
  </si>
  <si>
    <t>Hafta sonu vaka sayılarında beklediğimiz düşüşler gerçekleşmedi. Bu bize daha dikkatli ve tedbirlere uymada daha ısrarcı olmamız gerektiği uyarısında bulunuyor. Aşı ile başarmak mümkün. https://t.co/RVlhe7786O https://t.co/9dzIhV02ne</t>
  </si>
  <si>
    <t>1429496778139766784</t>
  </si>
  <si>
    <t>“Aşı olan da Koronavirüse yakalanıyor diyenlere uyduk. Aşımı eğer yaptırmış olsaydım belki de şu an 14 günlük çocuğumun yanındaydım.” https://t.co/wme1RfBAoE</t>
  </si>
  <si>
    <t>1429145802434392078</t>
  </si>
  <si>
    <t>Hastalığa yakalananların bir bölümü hastalığı ağır geçiriyor ya da kaybediyoruz. Maalesef yüksek vaka sayıları yüksek kayıp demek. Aşımızı yaptırırsak salgına son vermek için harekete geçmiş oluruz. Aşı ve tedbirle yeniden mücadeleye dönelim.
https://t.co/RVlhe7786O https://t.co/u5UtvhHV2D</t>
  </si>
  <si>
    <t>1429139224348041221</t>
  </si>
  <si>
    <t>DİYARBAKIR, MUŞ ve BİTLİS %55’in üzerine çıkan ilk doz aşılanma oranlarıyla çok yüksek risk seviyesini yüksek risk seviyesine indirdiler. DİYARBAKIR, MUŞ ve BİTLİS Turuncu iller arasında.</t>
  </si>
  <si>
    <t>1428782857611321348</t>
  </si>
  <si>
    <t>KASTAMONU ve KIRŞEHİR düşük riskli iller arasında yerini aldı. Salgın hastalığa karşı karar verip ilk doz aşıyı olma oranları %75’in üzerinde. Haritada iki şehrimiz daha Mavi. Düşük riskli il sayımız 36’ya yükseldi.</t>
  </si>
  <si>
    <t>1428782045862432768</t>
  </si>
  <si>
    <t>Kayıplarımız var. Salgın hastalık bizi sevdiklerimizden zamansız ayırıyor. Dikkatli ve tedbirli olmalıyız. Aşı ile başaracağız. https://t.co/RVlhe7786O https://t.co/a2EOUmGfAG</t>
  </si>
  <si>
    <t>1428753716212027395</t>
  </si>
  <si>
    <t>Sinop’un Ayancık ilçesine bağlı Kestanelik köyünde yaşayan Behiye Yıldırım’ın evindeyiz. Kalça protezi nedeniyle bakıma ihtiyacı olan hastamızın genel muayenesi yapıldı. Behiye teyze evinde sağlık hizmeti alacak. Biz haberini almışsak kimse derdiyle baş başa kalmaz. https://t.co/mPtQRIYLnZ</t>
  </si>
  <si>
    <t>1428436489185206278</t>
  </si>
  <si>
    <t>KAHRAMANMARAŞ ve AKSARAY’DA 18 yaş ve üstü nüfusun en az bir doz aşı olma oranı %65’in üstüne çıktı. Covid-19 Risk Haritasında bu illerimizin rengi Turuncu yerine Sarı.</t>
  </si>
  <si>
    <t>1428432459109183494</t>
  </si>
  <si>
    <t>SAMSUN düşük riskli iller arasında yerini aldı. Salgın hastalığa karşı karar verip ilk doz aşıyı olma oranları %75’in üzerinde. Haritada bir şehrimiz daha Mavi. Düşük riskli il sayımız 34’e yükseldi.</t>
  </si>
  <si>
    <t>1428428218567217163</t>
  </si>
  <si>
    <t>Vaka sayılarının 20 binin altında kalması yeterli değil. Hızla daha düşük vaka sayılarına ulaşmak zorundayız. Maske, mesafe ve temizlik kurallarına tam uyum şart. https://t.co/RVlhe7786O https://t.co/YHceLWklMC</t>
  </si>
  <si>
    <t>1428418037397532674</t>
  </si>
  <si>
    <t>RT @RTErdogan: Kabine Toplantısı Sonrası Millete Sesleniş https://t.co/kcdi5QZUuC</t>
  </si>
  <si>
    <t>1428392754627895301</t>
  </si>
  <si>
    <t>Son bir haftada vaka sayısı en çok artan illerimiz; Batman, Bayburt, Aksaray, Gümüşhane ve Ardahan. Aşı ile bağışıklık kazanana kadar tedbirlere tam uyum şart. Maske, Mesafe ve Temizlik olmazsa olmaz. https://t.co/3rTefY2tLX</t>
  </si>
  <si>
    <t>1428271277794541574</t>
  </si>
  <si>
    <t>İllerimizde 100.000 nüfusa karşılık gelen bir haftalık toplam vaka sayısını gösteren insidans haritasının güncel halini ekte görebilirsiniz. Salgın son hasta iyileşmeden bitmiş sayılmaz. Maske, mesafe ve temizlik kurallarına uyalım. https://t.co/x7pzQcTcIf</t>
  </si>
  <si>
    <t>1428269971239575555</t>
  </si>
  <si>
    <t>Bilim Kurulumuz okullarımızın güvenle açılması için gereken tedbirleri içeren çalışma rehberini hazırladı. https://t.co/JaUtO3mtbU</t>
  </si>
  <si>
    <t>1428266072201998343</t>
  </si>
  <si>
    <t>Son günlerde temelsiz bir cesaret ile hareket edenlerimiz var. https://t.co/leKFmSTnIo</t>
  </si>
  <si>
    <t>1428263692081172482</t>
  </si>
  <si>
    <t>VAN, YOZGAT ve ERZURUM 18 yaş ve üstü nüfusun en az bir doz aşı olma oranı %65’in üstüne çıktı. Covid-19 Risk Haritasında bu illerimizin rengi Turuncu yerine Sarı.</t>
  </si>
  <si>
    <t>1428094303943991305</t>
  </si>
  <si>
    <t>KİLİS ve ZONGULDAK düşük riskli iller arasında yerini aldı. Salgın hastalığa karşı karar verip ilk doz aşıyı olma oranları %75’in üzerinde. Haritada iki şehrimiz daha Mavi. Düşük riskli il sayımız 33’e yükseldi.</t>
  </si>
  <si>
    <t>1428091084165599238</t>
  </si>
  <si>
    <t>Bugün birlik, beraberlik ve kardeşliğin en önemli günlerinden biri. Aşure farklılıkların bir arada olmasının en tatlı halidir. Muharrem ayının 10. günündeyiz. Aşure günümüz mübarek olsun.</t>
  </si>
  <si>
    <t>1428088159217364996</t>
  </si>
  <si>
    <t>Ülkemizde Yüksek Öğretim Kurumlarına kayıt yaptıracak 18 yaşından küçük kişiler de aşı talebinde bulunabiliyorlar. https://t.co/jOhpiMPd9O</t>
  </si>
  <si>
    <t>1428069957796048906</t>
  </si>
  <si>
    <t>Bugün için en önemli sonuç, iki doz inaktif aşı olmuşsanız 3. Doz uygulamayı geciktirmeden yaparak koruma seviyemizi yükseltmemiz gerektiğidir. https://t.co/O77ZcpCMji</t>
  </si>
  <si>
    <t>1428066926501183493</t>
  </si>
  <si>
    <t>3 doz inaktif aşı ile 2 doz inaktif ve bir doz mRNA aşısı yapılmış kişiler benzer oranda korunuyor. Bunun yanında 3 doz aşı olmuş kişiler iki doz aşı olmuş kişilerden daha iyi korunuyor. https://t.co/LB340WyavX</t>
  </si>
  <si>
    <t>1428060204105703427</t>
  </si>
  <si>
    <t>Salgın hastalığı gündemimizden çıkarmalıyız. Ancak bunu hastalığı yok sayarak, salgını bitti kabul ederek yapamayız. https://t.co/bB28ZQYPp8</t>
  </si>
  <si>
    <t>1428053449690816526</t>
  </si>
  <si>
    <t>Aşılanma oranı arttıkça ve tedbirlere uydukça yeni vaka sayısı da azalacak. Yarın bugünden daha güvenli olacak. https://t.co/RVlhe7786O https://t.co/1HBWhzrDCD</t>
  </si>
  <si>
    <t>1428051033763241989</t>
  </si>
  <si>
    <t>CANLI: Bilim Kurulu Toplantımızın ardından Basın Açıklamamız:
https://t.co/aqeBceYBuN</t>
  </si>
  <si>
    <t>1428035028206895104</t>
  </si>
  <si>
    <t>Zeynep Hanım, başınız sağ olsun.
Yaptığınız uyarı için sağlık çalışanları size minnettar. https://t.co/OMb8tgZdFy</t>
  </si>
  <si>
    <t>1427726751594070027</t>
  </si>
  <si>
    <t>ŞIRNAK 18 yaş ve üstü nüfusun en az bir doz aşı olma oranı %65’in üstüne çıktı. Covid-19 Risk Haritasında bu ilimizin rengi Turuncu yerine Sarı.</t>
  </si>
  <si>
    <t>1427720608494796800</t>
  </si>
  <si>
    <t>ARDAHAN, ÇORUM ve MERSİN düşük riskli iller arasında yerini aldı. Salgın hastalığa karşı karar verip ilk doz aşıyı olma oranları %75’in üzerinde. Haritada üç şehrimiz daha Mavi. Düşük riskli il sayımız 31’e yükseldi.</t>
  </si>
  <si>
    <t>1427719573407772674</t>
  </si>
  <si>
    <t>TOPLAM 85 MİLYON DOZ: Üniversiteli ekrandan kampüse neşesi tam yerinde dönsün diye! Biz ilk dozları, eksik aşıları hızla tamamlamaya hazırız. Siz aşı için karar, başarmamız için omuz verin.</t>
  </si>
  <si>
    <t>1427694237806641159</t>
  </si>
  <si>
    <t>TOPLAM 85 MİLYON DOZ: Büyüklerimiz torunlarını sarılıp öpsün, dostlar birbirine rahat konuk olsun diye! Biz ilk dozları, eksik aşıları hızla tamamlamaya hazırız. Siz aşı için karar, başarmamız için omuz verin.</t>
  </si>
  <si>
    <t>1427693142116032519</t>
  </si>
  <si>
    <t>TOPLAM 85 MİLYON DOZ: Türkiye işini gücünü aksatmasın, sokakta hayatın hakkını versin diye! Biz ilk dozları, eksik aşıları hızla tamamlamaya hazırız. Siz aşı için karar, başarmamız için omuz verin.</t>
  </si>
  <si>
    <t>1427691829160513542</t>
  </si>
  <si>
    <t>Kastamonu’da yaşanan sel felaketinde köylerde mağdur duruma düşen, hasta ve ilaca ihtiyacı olan vatandaşların imdadına UMKE Ulusal Medikal Kurtarma Ekipleri yetişti. https://t.co/VBDZWlwhvr</t>
  </si>
  <si>
    <t>1427684816653361163</t>
  </si>
  <si>
    <t>Kontrollü hareket etmez, tedbirlere uymazsak aşı ile bağışıklık elde edene kadar kayıplarımız olacak. Tedbirli olup aşımızı hemen olmalıyız. https://t.co/RVlhe7786O https://t.co/mSX0AmQfb4</t>
  </si>
  <si>
    <t>1427667373427986437</t>
  </si>
  <si>
    <t>TOPLAM 85 MİLYON DOZ! Birinci, ikinci ve üçüncü doz Covid-19 aşılarının toplamı 85 Milyona ulaştı. Kalan tüm aşıları da hızla yapmaya hazırız. Aşı olmayı erteleyenler, lütfen birlikte başarmamız için omuz verin</t>
  </si>
  <si>
    <t>1427651429762744330</t>
  </si>
  <si>
    <t>1939 Erzincan depreminden sonra yaşadığımız en büyük afet olan 1999 Marmara depreminin 22. yıl dönümündeyiz. Hayatını kaybeden 18.373 insanımızı bir kez daha rahmetle anıyoruz. Yıkımlara karşı ayağa kalkan o büyük dayanışma ruhu bu topraklardan hiç eksilmesin.</t>
  </si>
  <si>
    <t>1427574631666442263</t>
  </si>
  <si>
    <t>KONYA, NİĞDE ve GAZİANTEP 18 yaş ve üstü nüfusun en az bir doz aşı olma oranı %65’in üstüne çıktı. Covid-19 Risk Haritasında bu illerimizin rengi Turuncu yerine Sarı.</t>
  </si>
  <si>
    <t>1427359780939644936</t>
  </si>
  <si>
    <t>BATMAN %55’in üzerine çıkan ilk doz aşılanma oranıyla çok yüksek risk seviyesini yüksek risk seviyesine indirdi. BATMAN Turuncu iller arasında.</t>
  </si>
  <si>
    <t>1427358944557735938</t>
  </si>
  <si>
    <t>SİNOP ve OSMANİYE düşük riskli iller arasında yerini aldı. Salgın hastalığa karşı karar verip ilk doz aşıyı olma oranları %75’in üzerinde. Haritada iki şehrimiz daha Mavi. Düşük riskli il sayımız 28’e yükseldi.</t>
  </si>
  <si>
    <t>1427354166293315591</t>
  </si>
  <si>
    <t>Kastamonu Bozkurt'ta ilçe merkezi ve ilçeye bağlı köylerde selden etkilenenler sağlık taramasına alınırken, ilaç ve medikal malzeme ihtiyaçları da karşılandı. Bazı kişilere tedavi uygulandı. İncesu köyü halkı bu kapsamda sağlık taramasından geçirilenlerden. https://t.co/ybxplo4DDs</t>
  </si>
  <si>
    <t>1427339455220887553</t>
  </si>
  <si>
    <t>Sel felaketinin yaşandığı Bozkurt’un köylerinde acil sağlık hizmetlerine devam ediyoruz. Ulusal Medikal Kurtarma Ekiplerinin başta tansiyon ölçümleri olmak üzere gerçekleştirdiği sağlık taramalarında öncelikle yaşlılarımızın muayeneleri yapılarak ilaç ihtiyaçları karşılandı. https://t.co/lSK3dLvk71</t>
  </si>
  <si>
    <t>1427337944449310728</t>
  </si>
  <si>
    <t>Vaka sayılarının kontrolü bizde olsun istiyorsak aşı olmalı ve tedbirlere bir süre daha sıkıca uymalıyız. Kontrolü elde tutma imkanımız var. https://t.co/RVlhe7786O https://t.co/ihxV1xhOeO</t>
  </si>
  <si>
    <t>1427323377241427972</t>
  </si>
  <si>
    <t>Yıldırım-Pençe harekatı bölgesinde 3 kahraman askerimiz şehit oldu. Şehitlerimize Allah'tan rahmet, milletimize sabırlar diliyorum. https://t.co/IXGVKhwILK</t>
  </si>
  <si>
    <t>1427216191999860736</t>
  </si>
  <si>
    <t>Bugün itibariyle 2 doz mRNA aşısı ya da 3 doz inaktif aşı olmuş kimsenin ek bir doz aşı olmasını gerektiren bir durum söz konusu değildir. Böyle bir tıbbi gereklilik de kesinlikle yoktur.</t>
  </si>
  <si>
    <t>1427211961557737472</t>
  </si>
  <si>
    <t>Bazı ülkelere girişte sadece belirli aşı türleri kabul edilmektedir. İlgili ülke düzenlemelerine uymak üzere 2 doz mRNA aşısı olmayı talep eden kişiler için özel bir düzenleme yapılmıştır. Özel seyahat için talep edilmesi dışında ek bir aşı gerekliliği yoktur.</t>
  </si>
  <si>
    <t>1427211960081321989</t>
  </si>
  <si>
    <t>Vaka sayılarındaki kontrolü kalıcı hale getirmek elimizde. Daha çok tedbirlere uyum ve daha çok aşılanma oranı ile başaracağız. https://t.co/RVlhe7786O https://t.co/LnC1j3FGTT</t>
  </si>
  <si>
    <t>1426945759921020933</t>
  </si>
  <si>
    <t>Sağlık için birlik olalım. Hepimiz ilk doz aşılarımızı yaptıralım.</t>
  </si>
  <si>
    <t>1426904215264317454</t>
  </si>
  <si>
    <t>BUGÜN TÜRKİYE HARİTASINA BAKTINIZ MI? 81 ilimizden 26’sı Mavi. 18 yaş ve üstü nüfusta, salgın hastalığa karşı karar verip en az bir doz aşı olanların oranı 26 ilde %75’in üzerinde.</t>
  </si>
  <si>
    <t>1426901700695236612</t>
  </si>
  <si>
    <t>BİNGÖL, çok yüksek risk seviyesini yüksek risk seviyesine indirdi. Haritadaki yeni rengi Turuncu. Aşı konusunda doğru kararı vermek ve risk seviyesini düşürenlerden biri olmak, sağlık çalışanlarımızdan bizzat bilgi almaya bağlı.</t>
  </si>
  <si>
    <t>1426647582676242434</t>
  </si>
  <si>
    <t>BOLU, DÜŞÜK RİSKLİ İLLER ARASINDA YERİNİ ALDI. Salgın hastalığa karşı karar verip ilk doz aşısını olanların oranı %75’in üzerinde. Haritada bir şehrimiz daha Mavi. Düşük riskli il sayımız 26’ya yükseldi.</t>
  </si>
  <si>
    <t>1426646479746306049</t>
  </si>
  <si>
    <t>Kastamonu Bozkurt’ta suların zemin kata sürüklediği kaplumbağayı arkadaşlarımız fark ederek kurtardı ve doğal yaşam alanı olan ormana bıraktı. Sel felaketleri insanlarla birlikte doğadaki hayatları da yerinden ediyor. UMKE ekipleri bölgede görev başında. https://t.co/UySr45FdON</t>
  </si>
  <si>
    <t>1426637821767520263</t>
  </si>
  <si>
    <t>Türk hekimliğinin büyük isimlerinden Prof. Dr. Demir Başar ebediyete uğurlandı. İstanbul Tıp Fakültesinde hocam olan, sayısız insan yetiştiren, göz hekimliği alanında kuşaklara öncülük etmiş Prof. Demir Başar’a Allah’tan rahmet, ailesine ve tıp camiasına başsağlığı diliyorum.</t>
  </si>
  <si>
    <t>1426624687237484553</t>
  </si>
  <si>
    <t>Cerrahpaşa Tıp Fakültesindeki hocalarımızdan; Enfeksiyon Hastalıkları ve Klinik Mikrobiyoloji alanında uzman bilim insanı Prof. Dr. Yaşar Bağdatlı aramızdan ayrıldı. Çalışmasını yaşam boyu sürdüren Prof. Bağdatlı’ya Allah’tan rahmet, ailesine, tıp camiasına başsağlığı diliyorum.</t>
  </si>
  <si>
    <t>1426623850826055688</t>
  </si>
  <si>
    <t>Vaka sayılarındaki artışı kontrol etmek için yüksek aşılanma oranını elde etmek ve tedbirlere uymak zorundayız. https://t.co/RVlhe7786O https://t.co/rbDM1Fbw5v</t>
  </si>
  <si>
    <t>1426580342236909568</t>
  </si>
  <si>
    <t>AŞIDA 13 AĞUSTOS: Dün 1 Milyon 145 Bin 321 doz aşı uygulandı. İlk doz aşısını yaptıranların sayısı 384.945. İkinci doz aşısını yaptıranların sayısı 602.251. Üçüncü doz aşısını yaptıranların sayısı 158.125. İlk doz aşısını henüz yaptırmayanların sayısı 18.313.689’a indi.</t>
  </si>
  <si>
    <t>1426485285290971138</t>
  </si>
  <si>
    <t>Diyaliz hastası gibi, tedavileri belli bir programa bağlı olan hastalarımızı Kastamonu afet bölgesinden alarak en yakın hastanelerimize naklediyoruz. Hizmetine kısa süre ara veren Bozkurt ilçesindeki Devlet Hastanemiz ise tüm kadrosuyla yeniden hizmette. https://t.co/nmAX75Yv2V</t>
  </si>
  <si>
    <t>1426259861797543936</t>
  </si>
  <si>
    <t>Kars, ilk doz aşılanma oranıyla yüksek risk düzeyini orta düzeye düşürdü. Haritada şu an Sarı. TÜM TÜRKİYE BİLİYOR Kİ, KARS’I AÇACAK RENK MAVİ.</t>
  </si>
  <si>
    <t>1426258002508754945</t>
  </si>
  <si>
    <t>ARTVİN, MANİSA, UŞAK düşük riskli iller arasında yerini aldı. Salgın hastalığa karşı karar verip ilk doz aşıyı olma oranları %75’in üzerinde. Haritada üç şehrimiz daha Mavi. Düşük riskli il sayımız 25’e yükseldi.</t>
  </si>
  <si>
    <t>1426256026639212544</t>
  </si>
  <si>
    <t>YAŞANAN SELLERDE SON DURUM: Sinop’ta 6 can kaybımız var. Ayancık Devlet Hastanesi’nde tedavi gören 56 hastanın 38’i Sinop Atatürk Devlet Hastanesi’ne nakledildi. 18 hasta evlerine nakledildi. 27 ambulans, 16 UMKE, 1 Mobil komuta aracıyla toplam 149 sağlık personeli görev başında.</t>
  </si>
  <si>
    <t>1426247122035396612</t>
  </si>
  <si>
    <t>YAŞANAN SELLERDE SON DURUM: Kastamonu’da 32 can kaybımız var. 228 kişi selden etkilendi. Hastanelerimizde 12 kişinin tedavisine devam ediliyor. 32 adet ambulans, 24 adet UMKE timi, 1 set çadır, 1 hastane donanımı ve 1 adet unimog ile toplam 215 sağlık personeli görev başında.</t>
  </si>
  <si>
    <t>1426245692322979841</t>
  </si>
  <si>
    <t>Vaka sayılarındaki azalma henüz istediğimiz seviyede değil. Daha çok bağışıklık kazandıkça ve tedbirlere uydukça başarılı olacağız. Yarın daha güvenli olsun istiyorsak bugün daha tedbirli olalım. https://t.co/RVlhe7786O https://t.co/m4pJrLBeI8</t>
  </si>
  <si>
    <t>1426218877919375361</t>
  </si>
  <si>
    <t>İnsan olmak, hep insanın yanında!
Afet bölgelerine koşan UMKE’lere bin teşekkür. https://t.co/AF5NgclUnR</t>
  </si>
  <si>
    <t>1426210552141987847</t>
  </si>
  <si>
    <t>Aşılama programımızı başarıyla sürdürüyoruz. Bir yandan yoğun aşı yapan, diğer yandan kronik hastalarımızı başarıyla takip eden aile hekimlerimizi ve aile sağlığı çalışanlarımızı tebrik ederim. Aile hekimlerimizi pozitif performansla desteklemeye devam edeceğiz.</t>
  </si>
  <si>
    <t>1426151836642328578</t>
  </si>
  <si>
    <t>18 yaş ve üstü nüfusun, en az bir doz aşı yaptıranların oranı %70’i geçti.</t>
  </si>
  <si>
    <t>1426150813332873223</t>
  </si>
  <si>
    <t>SİİRT VE IĞDIR, %55’in üzerine çıkan ilk doz aşılanma oranıyla çok yüksek risk seviyesini yüksek risk seviyesine indirdi. SİİRT VE IĞDIR Turuncu iller arasında.</t>
  </si>
  <si>
    <t>1426110306569408512</t>
  </si>
  <si>
    <t>MALATYA 18 yaş ve üstü nüfusun en az bir doz aşı olma oranı %65’in üstüne çıktı. Covid-19 Risk Haritasında bu ilimizin rengi Turuncu yerine Sarı.</t>
  </si>
  <si>
    <t>1426107777408278528</t>
  </si>
  <si>
    <t>ISPARTA, Mavi kategoriye geçen yeni ilimiz. İlk doz aşılanma oranı %75’in üzerinde. Bu ilimizle birlikte düşük riskli il sayımız 22’ye yükseldi.</t>
  </si>
  <si>
    <t>1426104131945705472</t>
  </si>
  <si>
    <t>UMKE ekiplerimiz ve acil sağlık hizmetlerimizle dün gece sel felaketi yaşanan Batı Karadeniz illerindeyiz. Felaketlerin üstesinden görev bilinci ve gönüllü gücü gelir. https://t.co/nBq2JV2Q31</t>
  </si>
  <si>
    <t>1425902030409904134</t>
  </si>
  <si>
    <t>Vaka sayılarının seyrini kontrol altında tutmak için elimizdeki iki büyük imkan tedbir ve aşıdır. Aşı olup bağışıklık elde edene kadar tedbirlere uymaya devam etmeliyiz. Aşı ile salgın son bulacak. https://t.co/RVlhe7786O https://t.co/jVGa0ekIjv</t>
  </si>
  <si>
    <t>1425872413355544577</t>
  </si>
  <si>
    <t>Bugün, Milli Eğitim Bakanlığına yeni atanan Prof. Dr. Mahmut Özer hocamıza hayırlı olsun ziyaretinde bulundum. Birlikte büyük hizmetler vermek için çok çalışacağız. Hocamıza muvaffakiyetler dilerim. https://t.co/RtBlLJ7cPU</t>
  </si>
  <si>
    <t>1425870702809391108</t>
  </si>
  <si>
    <t>Sayıştay başkanlığına atanan Sayın Metin Yener beyefendiyi makamında ziyaret ederek hayırlı olsun dileklerimizi ilettik. Yeni başkanımıza görevinde muvaffakiyetler diliyorum. https://t.co/BqYuyZ31LH</t>
  </si>
  <si>
    <t>1425869540999770119</t>
  </si>
  <si>
    <t>Yüksek Öğretim Kurumu başkanlığına atanan Prof. Dr. Erol Özvar hocamızı makamında ziyaret ettim. Hocamızın Yüksek Öğretim camiamıza büyük hizmetler sunacağına eminim. Kendisine kolaylıklar ve muvaffakiyetler diliyorum. https://t.co/wrcgZZCCCB</t>
  </si>
  <si>
    <t>1425867650081689600</t>
  </si>
  <si>
    <t>UMKE ekiplerimiz ve acil sağlık hizmetlerimizle dün gece sel felaketi yaşanan Batı Karadeniz illerindeyiz. Felaketlerin üstesinden görev bilinci ve gönüllü gücü gelir. https://t.co/mMAgxXaw0A</t>
  </si>
  <si>
    <t>1425849458269556746</t>
  </si>
  <si>
    <t>Son bir haftada vaka sayısı en çok artan illerimiz; Rize, Batman, Diyarbakır, Artvin ve Bingöl. En az iki doz aşı olanların sayısı arttıkça vaka sayıları düşecek. Aşınızı vakit kaybetmeden olun. https://t.co/FDZHPbF2nm</t>
  </si>
  <si>
    <t>1425806211195314182</t>
  </si>
  <si>
    <t>İllerimizde 100.000 nüfusa karşılık gelen bir haftalık toplam vaka sayısını gösteren insidans haritasının güncel halini ekte görebilirsiniz. En az iki doz aşı olanların sayısı arttıkça vaka sayıları da düşecek. https://t.co/5XV1qaIUYn</t>
  </si>
  <si>
    <t>1425804360102158345</t>
  </si>
  <si>
    <t>AĞRI, %55’in üzerine çıkan ilk doz aşılanma oranıyla çok yüksek risk seviyesini yüksek risk seviyesine indirdi. AĞRI, Turuncu iller arasında.</t>
  </si>
  <si>
    <t>1425802529443549189</t>
  </si>
  <si>
    <t>BAYBURT, %55’in üzerine çıkan ilk doz aşılanma oranıyla çok yüksek risk seviyesini yüksek risk seviyesine indirdi. BAYBURT, Turuncu iller arasında.</t>
  </si>
  <si>
    <t>1425801221860909060</t>
  </si>
  <si>
    <t>ANTALYA, DENİZLİ, TUNCELİ VE GİRESUN, Mavi kategoriye geçen yeni illerimiz. İlk doz aşılanma oranları %75’in üzerinde. Bu üç ille birlikte düşük riskli il sayımız 21’e yükseldi.</t>
  </si>
  <si>
    <t>1425800255640150016</t>
  </si>
  <si>
    <t>AŞIDA 11 AĞUSTOS: Dün 1 Milyon 274 Bin 368 doz aşı uygulandı. İlk doz aşısını yaptıranların sayısı 385.519. İkinci doz aşısını yaptıranların sayısı 698.312. Üçüncü doz aşısını yaptıranların sayısı 190.537. İlk doz aşısını henüz yaptırmayanların sayısı 19.070.186’a indi.</t>
  </si>
  <si>
    <t>1425799223660974084</t>
  </si>
  <si>
    <t>Bilim Kurulumuz uygulanabilir kuralları belirledi. Bu çalışmaları Milli Eğitim Bakanlığımız ve Yüksek Öğretim Kurulumuzla istişare ederek sizlerle paylaşacağız. İlgili kurumlarımız, bakanlıklarımız tam bir koordinasyon halinde çalışacak ve okullarda öğrencilerimizi bekleyeceğiz. https://t.co/eaWvF6hwLM</t>
  </si>
  <si>
    <t>1425571981420810243</t>
  </si>
  <si>
    <t>Okullarımız açılmadan toplumsal bağışıklık hedefimize ulaşmalıyız. https://t.co/pAOO8EmLr4</t>
  </si>
  <si>
    <t>1425518211290714112</t>
  </si>
  <si>
    <t>Kendi aşımız kendi silahımızdır, bunu unutmamalıyız. https://t.co/LC1lxUDzwI</t>
  </si>
  <si>
    <t>1425516797126529026</t>
  </si>
  <si>
    <t>İnaktif aşı olan vatandaşlarımızda en yüksek koruma seviyesi 3 doz inaktif aşı olan vatandaşlarımızda. Buna en yakın koruma seviyesi ise iki doz inaktif aşı olup 3. Doz mRNA aşısı olan vatandaşlarımızda. https://t.co/e5vfKwXoZb</t>
  </si>
  <si>
    <t>1425515356622397443</t>
  </si>
  <si>
    <t>Aşı programımız bugüne kadar bir teşvik ve tercih konusuydu oysa artık eğitim ve iş hayatının devamı gayesiyle her bir vatandaşımız için tercihe bırakılamayacak bir toplumsal ödevdir. https://t.co/zoA8sO7Bdi</t>
  </si>
  <si>
    <t>1425512712570867718</t>
  </si>
  <si>
    <t>Yüz yüze eğitimden vazgeçmemiz kesinlikle mümkün değildir. Tüm seviyelerde okullarımız yüz yüze eğitim verecek, uygulamalı eğitimler aralıksız olarak devam edecektir. https://t.co/U5qMOrLesU</t>
  </si>
  <si>
    <t>1425510740002226182</t>
  </si>
  <si>
    <t>Artık aşı var. https://t.co/y47xmk0oA3</t>
  </si>
  <si>
    <t>1425509064273014791</t>
  </si>
  <si>
    <t>Artık aşı var. Artan vaka sayılarının kontrolü mümkün. Zaman aleyhimize işlememeli. Bir an evvel aşınızı olun. https://t.co/RVlhe7786O https://t.co/qjLVHrKKp6</t>
  </si>
  <si>
    <t>1425506662467653632</t>
  </si>
  <si>
    <t>CANLI: Bilim Kurulu Toplantımızın ardından Basın Açıklamamız:
https://t.co/VTBUgxt5NZ</t>
  </si>
  <si>
    <t>1425499245436678149</t>
  </si>
  <si>
    <t>3. DÜN GECE BATI KARADENİZ İLLERİNDE meydana gelen sellerde son durum: Bartın Kumluca’da 1 kişi kayıp. İl genelinde selden 4 kişi etkilendi. Olay yerine 7 adet 112 ambulansı, 1 UMKE görevlendirildi. Kastamonu’da ise yine sel sebebiyle 4 UMKE görevde. Hepimize geçmiş olsun.</t>
  </si>
  <si>
    <t>1425436404440567810</t>
  </si>
  <si>
    <t>2. DÜN GECE BATI KARADENİZ İLLERİNDE meydana gelen sellerde son durum: Karabük Bahçecik mevkiindeki köprüde yaşanan çökmede 13 kişi etkilendi. 8’i ambulansla hastaneye nakledildi. Hastaneye naklini istemeyen 5 kişiye evlerinde sağlık hizmeti verildi. 4 ambulans görevlendirildi.</t>
  </si>
  <si>
    <t>1425435277833682946</t>
  </si>
  <si>
    <t>1. DÜN GECE BATI KARADENİZ İLLERİNDE meydana gelen sellerde son durum: Sinop Ayancık Devlet Hastanesi tahliye ediliyor. 4’ü yoğun bakım hastası, 45 hasta Sinop Atatürk Devlet Hastanesine naklediliyor. 27 ambulans, 6 UMKE, 1 Mobil Komuta Aracı görevlendirildi. Kayıp, yaralı yok.</t>
  </si>
  <si>
    <t>1425432617181224965</t>
  </si>
  <si>
    <t>18 yaş ve üzeri nüfusta iki doz aşısını tamamlama oranı %50’nin üzerine çıktı.</t>
  </si>
  <si>
    <t>1425429358865432585</t>
  </si>
  <si>
    <t>Covid-19 salgınına karşı uygulanan aşı dozu sayısı 80 Milyonu geçti.</t>
  </si>
  <si>
    <t>1425421234829934592</t>
  </si>
  <si>
    <t>BUGÜN DE AZ DEĞİLİZ!
Toplam doz sayısı 1.434.181.
410.098 kişi karar verip ilk doz aşısını oldu. 812.852 kişi zamanı gelen 2. doz aşısını, 211.231 kişi ise yaş ve kronik hastalık sebebiyle yapılmasında yarar görülen 3. doz aşısını yaptırdı. Yarın daha da fazla olalım.</t>
  </si>
  <si>
    <t>1425203960852455428</t>
  </si>
  <si>
    <t>Düşük riskli il sayımız 17’ye ulaştı. İl il sonuca yaklaşıyoruz. Hedef, Covid-19’a karşı Mavi bir Türkiye haritası! İlk doz aşıları yaptırarak, toplum bağışıklığı sürecini hızlandıralım. 64 ŞEHRİMİZE SEVGİLER.</t>
  </si>
  <si>
    <t>1425193493580992517</t>
  </si>
  <si>
    <t>SİVAS VE ADANA’DA 18 yaş ve üstü nüfusun en az bir doz aşı olma oranı %65’in üstüne çıktı. Covid-19 Risk Haritasında bu iki ilin rengi Turuncu yerine Sarı. Yüksek risk düzeyini orta risk düzeyine indiren Sivas’la Adana’yı bir an önce haritada Mavi görmek istiyoruz.</t>
  </si>
  <si>
    <t>1425182027888922625</t>
  </si>
  <si>
    <t>BARTIN VE BURDUR DA MAVİ. 18 yaş ve üstü nüfusta en az bir doz aşı olma oranı bu iki ilde de %75’in üstüne çıktı. Sakinlerini kutluyoruz. İkinci doz aşıları da artırarak masmavi olalım.</t>
  </si>
  <si>
    <t>1425177683688894464</t>
  </si>
  <si>
    <t>Vaka sayılarındaki artışı kontrol altında tutmak zorundayız. Aşı ile bağışıklık sağlanmadan tedbirsizlik kısır döngü ile sonuçlanır. Aşı olun. Tedbirlere uyun. https://t.co/RVlhe7786O https://t.co/6Wc9lKibQa</t>
  </si>
  <si>
    <t>1425168724982632459</t>
  </si>
  <si>
    <t>“1 Milyonuncu aşı bize mi nasip oldu?” Elâzığ Fethi Sekin Şehir Hastanesinde yapılan Ali Haydar Polat’ın aşısı günün 1 Milyonuncu aşısıydı. Aşıyı 15.14’te Dr. Leyla Güngör uyguladı. 1 Milyonuncu aşıyı yapmış olmaktan çok o ana dek 1 Milyon aşı yapılmış olmasına sevindi. İşte bu! https://t.co/1T4e0RE57B</t>
  </si>
  <si>
    <t>1425118964242391043</t>
  </si>
  <si>
    <t>İLK DOZ AŞISINI YAPTIRANLARIN SAYISI 42 Milyonu geçti. 18 yaş ve üstü 62 Milyon olarak, üçte ikimiz sağlığımızı koruyacak kararı uygulaya koymuş durumdayız! İkinci dozu yaptırmamışsak zamanında yaptıralım. Hiç aşı olmamışsak harekete geçelim. Sağlık için birlik şart.</t>
  </si>
  <si>
    <t>1425107723813806084</t>
  </si>
  <si>
    <t>İKİ DOZ AŞISINI YAPTIRANLARIN SAYISI 30 Milyona ulaştı. 18 yaş ve üstü 62 Milyon olarak, yarıya yakınımız, sağlığımızı koruyacak kararı çift doz aşıyla uygulamış durumdayız! İlk dozu olanlar ikinciyi ertelemesin. Hiç aşı olmayanlar harekete geçsin. Sağlık için birlik şart.</t>
  </si>
  <si>
    <t>1425099777453211648</t>
  </si>
  <si>
    <t>BUGÜN ÜÇÜNCÜYÜZ! Son 24 saatte 1 Milyon 508 Bin 939 doz Covid-19 aşısı yapıldı. 9 Ağustos, aşı performansında en iyi olduğumuz günler sıralamasında üçüncü. 1.582.232 doz olan günlük rekoru yakalamak biraz bize, biraz da aşıya karar verme hızına bağlı. Biz yarın hazırız!</t>
  </si>
  <si>
    <t>1424853850763190273</t>
  </si>
  <si>
    <t>“Cesaret insanı aslana galip eder. Herkesi aşıya davet ediyorum. Ben faydasını gördüm.” 96 yaşındaki Hüseyin amca size ve 84 Milyona sesleniyor: https://t.co/2o8gIoOSsL</t>
  </si>
  <si>
    <t>1424842592487886856</t>
  </si>
  <si>
    <t>ORDU, Covid-19’a karşı %75’in üstünde aşılanma sağduyusunu gösterdi. Riski düşüren aşılanma oranıyla Ordu’nun haritamızdaki yeni rengi Mavi. Tüm kıyı şeridi illeri rengini Maviye çevirmeli. (Ton fark etmez. Karadeniz mavisi de bize uyar.)</t>
  </si>
  <si>
    <t>1424798549913579525</t>
  </si>
  <si>
    <t>ANKARA, Covid-19’a karşı %75’i aşan aşılanma oranıyla artık Düşük Riskli İller arasında. Haritamızdaki yeni rengi Mavi. Bolu, Çankırı, Kırıkkale, Kırşehir, Aksaray ve Konya, başkentin aşı olma kararıyla kararı uygulama hızını örnek almalı.</t>
  </si>
  <si>
    <t>1424788508963659780</t>
  </si>
  <si>
    <t>Hakkâri, aşılanma oranıyla Covid-19’a karşı güçlü 13 il arasında. Oranın düşük olduğu Iğdır, Ağrı, Muş, Bingöl, Bitlis, Diyarbakır, Şanlıurfa, Mardin, Batman, Siirt, Hakkâri’nin aşı kararını, aşılanma hızını örnek almalı. Van’la Şırnak’tan %75’imiz aşılandık haberini bekliyoruz.</t>
  </si>
  <si>
    <t>1424774691806498818</t>
  </si>
  <si>
    <t>Vaka sayılarının artış hızının durağan hale gelmesi ve vaka sayılarının azalması için önümüzdeki 10 gün çok önemli. Tedbirlere uymalı ve aşı olmayı ihmal etmemeliyiz. https://t.co/7wdZ2ssc4J https://t.co/3ujCfQ6Es9</t>
  </si>
  <si>
    <t>1424772446197096449</t>
  </si>
  <si>
    <t>Saat 15.07’yi gösterirken günün 1 Milyonuncu Covid-19 aşısı yapıldı. Türkiye aşılamada normaline dönüyor. Aşı olma kararı da hızlandı.</t>
  </si>
  <si>
    <t>1424765243494907909</t>
  </si>
  <si>
    <t>Aybüke Hemşire, doğru. 1 Milyonuncu aşıyı bugün siz yaptınız. Kayıtlarımıza göre, aşıyı yaptıran vatandaşımız Özlem Uşar, 42 yaşında. Buca 126 Nolu Aile Hekimliği çalışanlarına selamlar. https://t.co/aDuj5TUN7Z</t>
  </si>
  <si>
    <t>1424737002583470090</t>
  </si>
  <si>
    <t>Eski Sağlık Bakanlarımızdan Prof. Dr. Yaşar Eryılmaz aramızdan ayrıldı. Erzurum Atatürk Üniversitesinde uzun yıllar öğretim üyesi ve dört dönem Ağrı milletvekili olan hocamız, yetiştiği bölgenin büyüklerindendi. Kendisine Allah’tan rahmet, sevenlerine başsağlığı diliyorum.</t>
  </si>
  <si>
    <t>1424711666495787008</t>
  </si>
  <si>
    <t>HAKKÂRİ AŞI EKİBİMİZDEN Melike ve arkadaşları, dün akşam yayınlanan mesajımıza yaptıkları yorumda, adeta, “Sabaha kalmaz, Mavi kategoriye geçeriz.” diyorlardı. Sabah akşam çalışarak %75’in üzerinde aşılanma başarısı sağlayan ekiplerimize teşekkür ediyorum. https://t.co/Yxz4Q5tqzM</t>
  </si>
  <si>
    <t>1424698719547662337</t>
  </si>
  <si>
    <t>HAKKÂRİ, %75’in üstüne çıkan aşılanma oranıyla, Covid-19 Risk Haritasında DÜŞÜK RİSKLİ İLLER ARASINA GİRDİ! Sahadaki uzmanlarımızdan aşı konusunda bilgi alarak karar veren, ekiplerimizi konukları gibi ağırlayarak aşılarını olan Hakkâri insanına teşekkür ediyorum.</t>
  </si>
  <si>
    <t>1424696976365563904</t>
  </si>
  <si>
    <t>HAKKÂRİ, aşılanma oranında, sadece bir haftada, 40. sıradan 13. sıraya yükseldi. Yarın yapılacak aşılarla, Covid-19 Risk Haritasında Mavi ile gösterilen Düşük Riskli İller kategorisine geçmesini bekliyoruz. Salgına karşı toplum bağışıklığı yarışında Hakkâri örnek alınmalı!</t>
  </si>
  <si>
    <t>1424457967139688449</t>
  </si>
  <si>
    <t>Aşılar en güçlü silahımız. Ancak en az iki dozunu tamamlamak koşulu ile. Aşınızı olun ve bağışıklık elde edilene kadar tedbirlere uyun. Tedbir almadan, aşı olmadan istenilen sonucu elde edemeyiz. https://t.co/RVlhe7786O https://t.co/7Wvn6cUNrO</t>
  </si>
  <si>
    <t>1424406555513040899</t>
  </si>
  <si>
    <t>“AŞI GELDİĞİ GÜN GİTMEK LAZIMMIŞ!” 30 yaşındaki hastamız Zekeriya Atabey, aşıyı erteleyenlerden. Kendini korumaya çalışsa da Covid-19’a yakalanmayı önleyememiş. Prof. Dr. Feriha Öz Acil Durum Hastanesinde tedavi altında. Hayatımın en zor günleri diyor. Lütfen dinleyin. https://t.co/sqD5j1f99p</t>
  </si>
  <si>
    <t>1424085286678667267</t>
  </si>
  <si>
    <t>İçişleri Bakanımız Süleyman Soylu’nun amcası Hüseyin Soylu bu dünyadan ayrıldı. Merhuma Allah’tan rahmet, başta Süleyman Bey olmak üzere, Soylu ailesine başsağlığı ve sabır diliyorum. Hüseyin amcamızın mekânı cennet olsun.</t>
  </si>
  <si>
    <t>1424083260762644484</t>
  </si>
  <si>
    <t>Vaka sayılarının hafta sonu olmasına rağmen yüksek seyretmesi sorun olabilir. Bunun önünü almak için aşı olmalı ve bağışıklık kazanana kadar tedbirlere uymalıyız. https://t.co/RVlhe7786O https://t.co/e0oUsk1opZ</t>
  </si>
  <si>
    <t>1424072831051223040</t>
  </si>
  <si>
    <t>Tokyo Olimpiyatlarında ülkemize altın madalya kazandırıp, bizlere İstiklal Marşımızı dünyaya dinlettirme gururunu yaşatan kadın boksörümüz Busenaz Sürmeneli’yi, yine boksta gümüş madalya sahibi Buse Naz Çakıroğlu’nu yürekten kutluyoruz. Buse’lerin demir yumrukları dert görmesin! https://t.co/UxaJTLSGzA</t>
  </si>
  <si>
    <t>1424017775958319106</t>
  </si>
  <si>
    <t>Alanya’daki yangından etkilenen Bircan ile Ceylan sağlığına kavuştu. UMKE ekipleri, yaptıkları müdahale ile nefes alma ve beslenme zorluğu, öksürük ve ses kısıklığı sorunlarını tedavi etti. BİRCAN İLE CEYLAN? Hayvanlarına insan ismi veren güzel halkımızın iki keçisi! https://t.co/8EseeF7CBs</t>
  </si>
  <si>
    <t>1423755483593199618</t>
  </si>
  <si>
    <t>YALOVA, %75’in üstüne çıkan ilk doz aşılanma oranıyla düşük riskli iller kategorisinde yerini aldı. Covid-19 Risk Haritamızda Yalova artık MAVİ.</t>
  </si>
  <si>
    <t>1423731609006747648</t>
  </si>
  <si>
    <t>“ÇOK TEŞEKKÜR EDERİM.” Bu teşekkürler, sağlık çalışanlarıyla birlikte, onları büyütüp yetiştiren sizlere. Tüm kalbinizle; ağabeyleriniz, ablalarınız, evlatlarınızla aynı yerdesiniz. https://t.co/jHv3A94IEu</t>
  </si>
  <si>
    <t>1423712550408105985</t>
  </si>
  <si>
    <t>Sağlık Bakanlığı, Antalya'nın Manavgat ilçesinde, ormanlık alanda çıkan ve çevreye yayılan yangından etkilenen vatandaşlara yönelik sağlık taraması ve psikososyal destek hizmetlerine devam ediyor. Bölgede, doktor ve hemşire yanı sıra, psikolog ve sosyal hizmet uzmanı bulunuyor. https://t.co/W8OtfJiemm</t>
  </si>
  <si>
    <t>1423702504722866177</t>
  </si>
  <si>
    <t>Vaka sayılarının artış hızı istenilen seviyede düşerse daha güvende olacağız. Bunun için iki yol var; tedbir ve aşı. Aşınızı olun. https://t.co/RVlhe7786O https://t.co/duJeo2e6U3</t>
  </si>
  <si>
    <t>1423687200571543556</t>
  </si>
  <si>
    <t>Şimdi her birimiz görevimizin başındayız. Bu karede buluşacağız. https://t.co/IOMHzbyITB</t>
  </si>
  <si>
    <t>1423662422913585163</t>
  </si>
  <si>
    <t>Bakan arkadaşım Sn. Ziya Selçuk görevinden ayrıldı. Eğitim ve öğretimde güler yüzlülüğün simgesi olan hocamıza hizmetleri için teşekkür ediyorum. Milli Eğitim Bakanlığına yeni atanan Prof. Dr. Mahmut Özer’e ve yardımcılarına üstün başarı dileklerimi sunuyorum.</t>
  </si>
  <si>
    <t>1423581176455995395</t>
  </si>
  <si>
    <t>Covid-19 salgınına karşı şu ana kadar 75 MİLYON DOZ aşı yapıldı. Aşılama hızımız, performansımız yüksek. Fakat çift doz aşısını yaptıranların sayısı salgınla mücadele için henüz yeterli değil. Daha önemlisi, ilk dozu erteleyen kişilerin yaklaşık 20 Milyon 570 Bin olması.</t>
  </si>
  <si>
    <t>1423552016102699013</t>
  </si>
  <si>
    <t>Covid-19 salgınına karşı şu ana dek 75 Milyon Doz aşı yapıldı.</t>
  </si>
  <si>
    <t>1423547201247236096</t>
  </si>
  <si>
    <t>Milas’ın Akçakaya köyünün tedbiren tahliyesine karar verilince, köyde yaşayan ve yürümekte güçlük çeken Ayşe nine, ekiplerimiz tarafından evinden alınarak güvenli bölgeye ulaştırıldı. https://t.co/Y4qB2ylC7D</t>
  </si>
  <si>
    <t>1423324201918861320</t>
  </si>
  <si>
    <t>Vaka sayılarındaki artışı kontrol altında tutabilmek için artış hızı yavaşlamalı. Tedbir ve aşı ile bunu başarabilirsek, kontrol bizde kalacak. Tedbirlere uyun, aşınızı olun. https://t.co/RVlhe7786O https://t.co/DiNYubLSEY</t>
  </si>
  <si>
    <t>1423321475273089026</t>
  </si>
  <si>
    <t>Yangından etkilenen bölgelerde, vatandaşlarımıza ilkyardım kitlerini veriyor, genel sağlık durumlarını kontrol ediyor, sağlık hizmetine ihtiyacı olanları kurumlarımıza yönlendiriyoruz. https://t.co/AFIAqW5jeO</t>
  </si>
  <si>
    <t>1423243735178129413</t>
  </si>
  <si>
    <t>Son bir haftada vaka sayısı en çok artan illerimiz; Siirt, Diyarbakır, Bingöl, Batman ve Bitlis. Daha çok aşı olan kişi daha az salgından etkilenmek demek. Aşınızı zaman kaybetmeden olun. https://t.co/MZMRuMgIF8</t>
  </si>
  <si>
    <t>1423238751011188737</t>
  </si>
  <si>
    <t>İllerimizde 100.000 nüfusa karşılık gelen bir haftalık toplam vaka sayısını gösteren insidans haritasının güncel halini ekte görebilirsiniz. Aşı olma oranı yüksek olan illerimiz vaka artışlarından çok daha az etkileniyor. Aşınızı zaman kaybetmeden olun. https://t.co/mAuwbXYnK9</t>
  </si>
  <si>
    <t>1423236418554540032</t>
  </si>
  <si>
    <t>Aşı olmayı erteleyenlerimiz var. Aşı olmamakla bugün risk alsalar da, bilim insanları onlara ikna edici açıklamaları sundukça, düşünceleri değişecektir. Sağlık; kararsızlığa, karşıtlığa elverişli değildir. İnsanlığın ve bilim dünyasının tamamına yakını ise yanlışta birleşmez. https://t.co/AokP8Q8gau</t>
  </si>
  <si>
    <t>1422979544529711106</t>
  </si>
  <si>
    <t>TEKRAR MERHABA. Biontech aşılarımız dün gece gelmeye başladı. 13 Milyon doza yakın aşımızı Pazartesi gününe kadar teslim alacağız. Cuma günü normal hızımıza dönüyoruz. Olağanüstü bir durum olmadıkça biz randevularımıza sadığız.</t>
  </si>
  <si>
    <t>1422978431495589894</t>
  </si>
  <si>
    <t>Vaka sayıları sınır kabul ettiğimiz 20 bin sınırının çok üzerinde. Vaka sayılarını bu sınırın altına indirmek elimizde. Aşınızı olun, kalabalıklardan uzak durun. https://t.co/RVlhe7786O https://t.co/AphphJHyQW</t>
  </si>
  <si>
    <t>1422969793884401664</t>
  </si>
  <si>
    <t>MUĞLA. 450 hastamızı tedavilerini tamamlayarak taburcu ettik. Tedavisi devam eden 10 hastamız var. Bölgedeki felakette 1 can kaybımız olmuştu. 61 Ambulans, 22 UMKE ekibi, 1 mobil komuta aracı, toplam 306 sağlık profesyoneli ile sahadayız.</t>
  </si>
  <si>
    <t>1422949778435067909</t>
  </si>
  <si>
    <t>ANTALYA. 704 hastamızı tedavilerini tamamlayarak taburcu ettik. Tedavisi devam eden 6 hastamız var. Bölgedeki felakette 7 can kaybımız olmuştu. 46 Ambulans, 17 UMKE ekibi, 1 mobil komuta aracı, toplam 242 sağlık profesyoneli ile sahadayız.</t>
  </si>
  <si>
    <t>1422949415971659787</t>
  </si>
  <si>
    <t>BİLECİK, %75’in üstüne çıkan aşılanma oranıyla artık düşük risk kategorisinde. MAVİ haberlerimiz çok olsun!</t>
  </si>
  <si>
    <t>1422942020356689927</t>
  </si>
  <si>
    <t>Yangın söndürme çalışmaları sırasında, gözleri dumandan rahatsız olduğu için işine ara vermek zorunda kalan bir orman kahramanına UMKE gönüllüsü gerekli tıbbi müdahaleyi yapıyor.
3 Ağustos, Saat: 20.30, Marmaris https://t.co/g71Qxw51LM</t>
  </si>
  <si>
    <t>1422889604030533634</t>
  </si>
  <si>
    <t>Söndürülmesi uzun zaman alan yangınlar saniyeler içinde büyüyor. Şükür ki, yine saniyeler içinde sevindirici olaylar da yaşanıyor. Dün Marmaris’te, dumanların arasından gelen yardım çağrısı için UMKE timi anında harekete geçti.
3 Ağustos, Saat: 20.17, Marmaris https://t.co/UJYcwEyH73</t>
  </si>
  <si>
    <t>1422863455271411713</t>
  </si>
  <si>
    <t>Ülkece en büyük mücadelemiz şu an yangınlarla. Öte yandan, önünü almak zor değilse de, salgın hastalıkta vaka sayıları artış gösteriyor. Bizi çevreleyen şartlara karşı, birlikte elimizden geleni yapalım. Yüreklere su serpecek haberlere ihtiyacımız var.</t>
  </si>
  <si>
    <t>1422814819665817601</t>
  </si>
  <si>
    <t>Marmaris’te, iki dağ arasındaki dik arazide devam eden yangında, söndürme ekiplerinin yaralanma ve dumandan etkilenmesi ihtimaline karşı, UMKE timleri acil müdahale eylem planlarını gözden geçiriyor. 
3 Ağustos, Saat: 12.10 https://t.co/hCbuA3YYqw</t>
  </si>
  <si>
    <t>1422652737347522561</t>
  </si>
  <si>
    <t>Günlük vaka sayısı 25 bine yaklaştı. Salgınla mücadelenin kurallarına uyarsak ve aşımızı yaptırırsak salgına son vermek için harekete geçmiş oluruz. İlk doz aşılar gibi, zamanı gelmiş ikinci ve üçüncü doz aşılar da son derece önemli. https://t.co/dXhRgnVtW9</t>
  </si>
  <si>
    <t>1422634653735956482</t>
  </si>
  <si>
    <t>MUĞLA. 271 hastamızı tedavilerini tamamlayarak taburcu ettik. Tedavisi devam eden 36 hastamız var. Bölgedeki felakette 1 can kaybımız oldu. 44 Ambulans, 16 UMKE ekibi, 1 mobil komuta aracı, toplam 228 sağlık profesyoneli ile sahadayız.</t>
  </si>
  <si>
    <t>1422476961331490903</t>
  </si>
  <si>
    <t>ANTALYA. 598 hastamızı tedavilerini tamamlayarak taburcu ettik. Tedavisi devam eden 11 hastamız var. Bölgedeki felakette 7 can kaybımız oldu. 34 Ambulans, 17 UMKE ekibi, 1 mobil komuta aracı, toplam 191 sağlık profesyoneli ile sahadayız.</t>
  </si>
  <si>
    <t>1422476735086538759</t>
  </si>
  <si>
    <t>Vaka sayılarındaki artış hızı azalma eğiliminde. Bunu kalıcı hale getirecek olan biziz. Tedbirden taviz vermeden aşınızı olun. https://t.co/RVlhe7786O https://t.co/Hx8eKAPuM9</t>
  </si>
  <si>
    <t>1422237309710307331</t>
  </si>
  <si>
    <t>İnsanlar acı çektiğinde üstesinden insanlık gelir.
Gönüllü UMKE ekipleri ve acil sağlık hizmetleriyle felaket bölgelerindeyiz. https://t.co/M0AyTvbMZg</t>
  </si>
  <si>
    <t>1422167874823761932</t>
  </si>
  <si>
    <t>Yangınlardaki can kayıpları, yanan ormanlardaki canlılar sayısınca fazla. Manavgat’taki yangında dumandan etkilenen köpeğe tıbbi müdahale UMKE ekiplerimizce yapıldı. Bütün hayvan severler adına teşekkür ediyoruz. https://t.co/ugcYWuCDTp</t>
  </si>
  <si>
    <t>1421899189798178816</t>
  </si>
  <si>
    <t>HASTAMIZIN BİR ÇİFT SÖZÜ VAR. İlki: Covid aşısı olmadım. İkincisi: Keşke olsaydım! Nurettin Karabük 48 yaşında. Covid-19 sebebiyle tedavi görüyor. Virüsü yakınlarına da bulaştırdı. Video, yoğun bakımdaki beşinci gününde çekildi. https://t.co/yBwoXqBuCz</t>
  </si>
  <si>
    <t>1421893835567910914</t>
  </si>
  <si>
    <t>Van’da selden etkilenen bölgelerde ekiplerimiz sağlık taraması yapıyor. Meteorolojiden gelen yağış uyarılarının ardından yaşanabilecek yeni olumsuzluklara karşı da görev başındayız. https://t.co/55PSUWrJvr</t>
  </si>
  <si>
    <t>1421891441287122947</t>
  </si>
  <si>
    <t>Manavgat’taki orman yangınlarından etkilenenlere sunduğumuz sağlık hizmetleri sürüyor. Acil müdahaleler yanında genel sağlık kontrolleri de yapılıyor. Yaşlı ve kronik hastalığı olanların tüm kontrolleri tamamlandı, ilaç ve hijyenik bakım ihtiyaçları karşılandı. https://t.co/O3PEZon6zZ</t>
  </si>
  <si>
    <t>1421889510489608193</t>
  </si>
  <si>
    <t>Vaka sayılarındaki yükselişi durduracak olan bizim göstereceğimiz irade ve tedbirlere uyumdur. Aşı olun, kalabalıklardan uzak durun. https://t.co/RVlhe7786O https://t.co/JDW79YtaK3</t>
  </si>
  <si>
    <t>1421885868336369667</t>
  </si>
  <si>
    <t>112 Acil Ambulans ekiplerimiz, yangın sebebiyle tahliye edilen köylerde olaydan etkilenip bakım ve tedavisi kısa bir süreliğine evlerde yapılan hastalarımızı hastanelere naklediyor. Acil sağlık hizmetlerinin daha da aciliyet kazandığı bir sınavdayız. Arkadaşlarımızı kutluyorum. https://t.co/CzK24kiiEp</t>
  </si>
  <si>
    <t>1421863767193890820</t>
  </si>
  <si>
    <t>Marmaris ve Bodrum’daki yangınlardan etkilenen 203 kişiden 186’sı tedavileri tamamlanarak taburcu oldu. 17’nin tedavisi devam ediyor. Olay yerinde 39 adet 112 ambulansı VE 15 UMKE ekibiyle toplam 193 sağlık personeli görev yapıyor. Marmaris’te bir can kaybımız olmuştu.</t>
  </si>
  <si>
    <t>1421822414900670470</t>
  </si>
  <si>
    <t>Mersin’deki yangından etkilenen 154 kişi, tedavileri tamamlanarak taburcu oldu. 28 adet 112 ambulansı, 2 UMKE timi, 90 sağlık personeliyle olay yerindeyiz. Sağlık çalışanlarımız adına tüm Mersinlilere geçmiş olsun dileklerimi sunuyorum.</t>
  </si>
  <si>
    <t>1421821167732723718</t>
  </si>
  <si>
    <t>Manavgat’taki yangında, ikisi yeni toplam 7 can kaybımız var. Yangından etkilenen 507 kişiden 497’si tedavileri tamamlanarak taburcu edildi. 10 kişinin tedavisi sürüyor. 34 adet 112 ambulansı, 15 UMKE ekibi, 1 mobil komuta aracı, 183 sağlık personeliyle olay yerindeyiz.</t>
  </si>
  <si>
    <t>1421820621231640582</t>
  </si>
  <si>
    <t>KİLİS VE KAYSERİ aşılanmada %65’in üstünde bir orana ulaşarak yüksek riskli (Turuncu) iller grubundan çıktı. Orta riskli (Sarı) iller grubuna geçti. Bundan daha iyisi Mavi!</t>
  </si>
  <si>
    <t>1421789146461392898</t>
  </si>
  <si>
    <t>Vaka sayılarında 20 bin sınırının üzerindeyiz. Almadığımız tedbirleri alalım, ertelediğimiz aşımızı olalım. Sebepleri tersine çevirirsek sonuçlar hızla değişir.</t>
  </si>
  <si>
    <t>1421564153903341573</t>
  </si>
  <si>
    <t>Ankara Şehir Hastanesi Covid-19 Yoğun Bakım Ünitesinde tedavi gören 46 yaşındaki Yasin Yavaş, kendisi gibi aşı olmayanları, bugün yarın diye erteleyenleri uyarıyor: “Ben konuyu basite aldım. Kimse aşısını ihmal etmesin." https://t.co/n1AfvE5W4q</t>
  </si>
  <si>
    <t>1421543624869924866</t>
  </si>
  <si>
    <t>Bu aileyi Nisan ayında böyle mutlu göremezdiniz. Cengiz Bey, kızı Melike, oğlu Alperen COVID-19 hastasıydılar. Anneleri hemşire Semra Hanımsa hasta olmadı, sağlık personeli olarak aşılıydı. Üçünün zamanı gelen aşılarını kendisi yaptı. Fotoğrafın mesajı? Bizce iyilik, sağlık! https://t.co/EGHl2sF8IZ</t>
  </si>
  <si>
    <t>1421528067760168967</t>
  </si>
  <si>
    <t>Kara günlerimizde UMKE daima yanımızda.
Yardım eliniz eksik olmasın arkadaşlar. https://t.co/tAiB79WoQN</t>
  </si>
  <si>
    <t>1421526028837662721</t>
  </si>
  <si>
    <t>Vaka sayıları hafta sonuna rağmen 20 bin sınırının üzerinde. Bunu tersine çevirmek mümkün. Tedbirlere uyar ve aşı ile bağışıklık kazanırsak, durum lehimize dönecek. https://t.co/RVlhe7786O https://t.co/1wm43qUG0l</t>
  </si>
  <si>
    <t>1421516926417784832</t>
  </si>
  <si>
    <t>MERHABA. Çarşamba günü aşacağımız bir gelişme var. Biontech aşısının üretiminde yaşanan aksama sebebiyle ülkemize sevkiyatta birkaç gün azalma olacak. Bu aşıyı tercih edenlerin aşı olmaya randevu almadan gelmemesini rica ediyorum. Anlayışınız için sağ olun. Sinovac’ta aksama yok.</t>
  </si>
  <si>
    <t>1421481906227527685</t>
  </si>
  <si>
    <t>AŞIDA 30 TEMMUZ: Dün 1 Milyon 410 Bin 562 doz aşı uygulandı. İlk doz aşısını yaptıranların sayısı 331.616. İkinci doz aşısını yaptıranların sayısı 890.173. Üçüncü doz aşısını yaptıranların sayısı 188.773. İlk doz aşısını henüz yaptırmayanların sayısı 21.253.444’e indi.</t>
  </si>
  <si>
    <t>1421452420694032388</t>
  </si>
  <si>
    <t>Manavgat’taki orman yangınında, olay yerindeki can kayıplarımız, iki orman işçimizin vefatıyla maalesef beşe yükseldi. Ormanlar gibi, arka arkaya yürekler de yandı. Yangından şu ana kadar 410 kişi etkilendi. Tedavisini tamamladığımız 400 kişi taburcu oldu. Yatan hasta sayımız 10.</t>
  </si>
  <si>
    <t>1421442627178844165</t>
  </si>
  <si>
    <t>Biz de, bize bu gururları yaşatan sporcularımızın değerini bileceğiz. Tebrikler Mete! https://t.co/PfjsiumfsZ</t>
  </si>
  <si>
    <t>1421434560466800642</t>
  </si>
  <si>
    <t>Marmaris ve Bodrum’daki orman yangınlarından 160 kişi etkilendi. 159 hastamızın tedavilerini tamamladık, taburcu oldular. Bir hastamız yanık tedavisi için İzmir Bozyaka Eğitim ve Araştırma Hastanesine sevk edildi. Bilindiği gibi, ilk gün Marmaris’te bir can kaybımız olmuştu.</t>
  </si>
  <si>
    <t>1421432583372554241</t>
  </si>
  <si>
    <t>Memleketim Konya’da bir eve yapılan silahlı saldırıyla akıl almayacak yedi cinayet işlendi. Hayatını kaybedenlere Allah’tan rahmet, yakınlarına başsağlığı diliyorum. Konya’nın acısı ortak, hiçbir amaca alet edilemeyecek kadar büyük. Katillerin yeri hapishane, memleket hepimizin.</t>
  </si>
  <si>
    <t>1421227494041079810</t>
  </si>
  <si>
    <t>Mersin’in Silifke ve Aydıncık ilçelerinde meydana gelen yangınlardan etkilenen 132 kişi, tedavileri tamamlanarak taburcu edildi. Silifke ve Aydıncık halkına, tüm ülkemize, sağlık çalışanlarımız adına geçmiş olsun dileklerimi sunuyorum.</t>
  </si>
  <si>
    <t>1421218820732112896</t>
  </si>
  <si>
    <t>Bugün 1 Milyonuncu doz aşıya saat 15.37’de, Mersin Üniversitesi Hastanesinde ulaştık. Hatice Güzeloğlu’nun 2. doz Biontech aşısını hemşire Sevda Sevim Dürüs, Dr. Gülden Ersöz gözetiminde yaptı. https://t.co/42tBE9VVeL</t>
  </si>
  <si>
    <t>1421212098781138951</t>
  </si>
  <si>
    <t>HAKKARİ, KIRIKKALE, NEVŞEHİR VE ÇANKIRI yüksek riskli il (Turuncu) kategorisinden orta riskli il (Sarı) kategorisine geçti.</t>
  </si>
  <si>
    <t>1421198949545828361</t>
  </si>
  <si>
    <t>VAN VE ERZURUM, çok yüksek riskli il (Kırmızı) kategorisinden yüksek riskli il (Turuncu) kategorisine geçti.</t>
  </si>
  <si>
    <t>1421192782291607552</t>
  </si>
  <si>
    <t>Vaka sayılarının artış hızını henüz kontrol altına tutabilmiş değiliz. Bunun yolu tedbir ve aşıdır. Vakit kaybetmeden, gece gündüz demeden, haftasonu demeden aşınızı olun, tedbirlere uyun. https://t.co/oYEJs9PuFT</t>
  </si>
  <si>
    <t>1421158060349865986</t>
  </si>
  <si>
    <t>Marmaris ve Bodrum’daki orman yangınlarında bir kişi hayatını kaybetti. Yangınlardan etkilenen, üçü yabancı uyruklu 64 kişiden 60’ı tedavileri tamamlanarak taburcu edildi. Tedavisi devam eden dört kişinin genel durumu iyi. Ekiplerimizle yangın bölgelerinde görevdeyiz.</t>
  </si>
  <si>
    <t>1421131704392114178</t>
  </si>
  <si>
    <t>Manavgat’taki orman yangınında üç can kaybımız var. İkisi kırıklarından dolayı ameliyat edilen 16 kişinin tedavileri sürüyor. 292 hastamızı tedavilerini tamamlayarak taburcu ettik. Kısmi tahliye gereği, Devlet Hastanemizdeki 10 yoğum bakım hastası diğer hastanelere nakledildi.</t>
  </si>
  <si>
    <t>1421130639278055429</t>
  </si>
  <si>
    <t>AŞIDA 29 TEMMUZ: Dün 1 Milyon 405 Bin 579 doz aşı uygulandı. İlk doz aşısını yaptıranların sayısı 316.571. İkinci doz aşısını yaptıranların sayısı 857.710 . Üçüncü doz aşısını yaptıranların sayısı 231.298. İlk doz aşısını henüz yaptırmayanların sayısı 21.585.060’a indi.</t>
  </si>
  <si>
    <t>1421044036358582273</t>
  </si>
  <si>
    <t>Bugün 1 milyon 405 Bin 579 doz aşı uygulandı.
Yarın sabah yeni randevularla bu sayıyı aşalım.</t>
  </si>
  <si>
    <t>1420854529034182657</t>
  </si>
  <si>
    <t>Fedakarca çalışan bir hekim arkadaşımız aramızdan ayrıldı. Hayat kurtaran bir kardeşimizi yitirdik. Beylikdüzü Devlet Hastanesi başhekimi Dr.Ali Kalyoncu uzun süreden beri tedavi gördüğü hastanede hayatını kaybetti. Başta ailesi ve sevenleri olmak üzere camiamızın başı sağ olsun.</t>
  </si>
  <si>
    <t>1420819250630078471</t>
  </si>
  <si>
    <t>Şerif Sezer: Geriye dönüp baktığımda, geçmez sandığım bütün acıların geçip gittiğini görüyorum. Bu da geçecek. Gene hayata dört elle sarılacağız umutla, aşı sayesinde. Lütfen aşı olalım, kendimizi ve sevdiklerimizi riske atmayalım. https://t.co/wWwuN9QPvd</t>
  </si>
  <si>
    <t>1420814494121480194</t>
  </si>
  <si>
    <t>ŞIRNAK, çok yüksek riskli il (Kırmızı) kategorisinden yüksek riskli il (Turuncu) kategorisine geçti. Hedefimiz, daha yüksek aşı oranıyla “düşük risk” grubu!</t>
  </si>
  <si>
    <t>1420812783822716936</t>
  </si>
  <si>
    <t>Hayko Cepkin: Aşı konserlere, sahalara, sinemalara, tiyatrolara kısacası hayata açılan kapımız. Bu kapının tekrar kapanmaması ve yarınlarımızın sağlıklı olması için hepimiz aşı olmak zorundayız. https://t.co/BuB34gCTG1</t>
  </si>
  <si>
    <t>1420807836775354368</t>
  </si>
  <si>
    <t>Bugünkü vaka sayısı 22.161. Aşı olmadan tedbirlere uymadan salgında korunmak mümkün değil. AŞI VE TEDBİRLE YENİDEN MÜCADELEYE DÖNELİM. https://t.co/RVlhe7786O https://t.co/195wcaCUZa</t>
  </si>
  <si>
    <t>1420798090462867460</t>
  </si>
  <si>
    <t>SON DAKİKA: Toplam yapılan aşı doz sayısı 71 Milyonu geçti.</t>
  </si>
  <si>
    <t>1420779499902443524</t>
  </si>
  <si>
    <t>AŞIDA 28 TEMMUZ: Dün 1 Milyon 99 Bin 5 doz aşı uygulandı. İlk doz aşısını yaptıranların sayısı 222.803. İkinci doz aşısını yaptıranların sayısı 680.278 . Üçüncü doz aşısını yaptıranların sayısı 195.924. İlk doz aşısını henüz yaptırmayanların sayısı 21.901.631’e indi.</t>
  </si>
  <si>
    <t>1420710247157600260</t>
  </si>
  <si>
    <t>1.099.005 kişi bugün hepimiz için hayırlı bir iş yaptı.</t>
  </si>
  <si>
    <t>1420503839493562368</t>
  </si>
  <si>
    <t>AKSARAY, RİSK DÜZEYİNİ DÜŞÜRDÜ. Çok yüksek riskli, yani haritamızda Kırmızıyla gösterilen iller grubunda olan Aksaray, aşılanma oranının %55’in üzerine çıkmasıyla artık Turuncu, bir alt risk grubunda. Maviye geçiş bir karara, bir de hıza bağlı.</t>
  </si>
  <si>
    <t>1420495914108657673</t>
  </si>
  <si>
    <t>Eskişehir’in kararı Mavi. 
En az 1 doz aşılanma oranı %75’in üzerine çıktı.</t>
  </si>
  <si>
    <t>1420494255194247172</t>
  </si>
  <si>
    <t>Aydın’ın kararı Mavi.
En az 1 doz aşılanma oranı %75’in üzerine çıktı.</t>
  </si>
  <si>
    <t>1420492637551874061</t>
  </si>
  <si>
    <t>Koronavirüs size bulaşırsa vücudunuz ne yapacağını bilsin. Aşınızı olun.</t>
  </si>
  <si>
    <t>1420472557992611853</t>
  </si>
  <si>
    <t>Birinci önceliğimiz, tüm vatandaşlarımızın sorumluluk alarak ve sorumlu bir birey olarak kendi tedbirlerini alması ve aşı olarak topluma karşı ödevini yerine getirmesidir. https://t.co/8KKL3tEH1v</t>
  </si>
  <si>
    <t>1420460077744537600</t>
  </si>
  <si>
    <t>Salgın yönetimi açısından aşıların etki süresi ve etkinliği son derece önemli. Ön değerlendirmemiz risk grubu ve ileri yaşlar için 3. doz aşının gerekli olduğunu gösteriyor. https://t.co/E4bHO9hvtL</t>
  </si>
  <si>
    <t>1420455185357361154</t>
  </si>
  <si>
    <t>Hastanede yatan hastalarımızın %95'i aşısı tamamlanmamış kişiler. https://t.co/YPL2uo1x4y</t>
  </si>
  <si>
    <t>1420450798413168646</t>
  </si>
  <si>
    <t>Artan vaka sayılarının aşı programımız toplum bağışıklığı hedefine ulaşamadan yeni bir varyantın baskın hale gelmesi ve aşı ile bağışıklık programımızı sekteye uğratma riski var. https://t.co/4iwYrCNzLY</t>
  </si>
  <si>
    <t>1420447927638630403</t>
  </si>
  <si>
    <t>Manavgat’ta çıkan yangından 62 kişi etkilendi. 3’ü yanık, 2’si kırık, 57’siyse dumana maruz kalma sebebiyle tedavi altına alındı. 112 ambulanslarımız, mobil komuta aracımız, UMKE ekiplerimiz olay yerinde. Devlet Hastanemizin tahliyesi söz konusu değil. Hepimize büyük geçmiş olsun</t>
  </si>
  <si>
    <t>1420441737588363271</t>
  </si>
  <si>
    <t>Vakalar salgının kontrol altına alınmasını zorlaştıracak düzeyde. Bu riski ortak irade ve hepimizin lehine olacak kararla durdurmalıyız. Tedbirlere uymalı ve aşı olmayanlar aşısını yaptırmalıdır. İlk dozu hemen, ikinci ve üçüncü dozu zamanı gelir gelmez! https://t.co/RVlhe7786O https://t.co/fR5SeCVvuv</t>
  </si>
  <si>
    <t>1420439046690639879</t>
  </si>
  <si>
    <t>CANLI: Bilim Kurulu Toplantımızın ardından Basın Açıklamamız: 
https://t.co/6eykWYIPPZ</t>
  </si>
  <si>
    <t>1420425794699022341</t>
  </si>
  <si>
    <t>Söke Acil Sağlık Hizmetleri İstasyonunda görev yapan acil tıp teknikeri arkadaşımız Erol Yıldız, aşı görevlisi olarak gittiği fabrikada insan kaynakları biriminde çalışan eşi Fatma Yıldız'ın ilk aşısını yaptı. Daha önce Covid-19 geçiren Fatma Hanım, herkese aşı olmasını öneriyor. https://t.co/6s7dMo2VoI</t>
  </si>
  <si>
    <t>1420395248077967362</t>
  </si>
  <si>
    <t>AŞIDA 27 TEMMUZ: Dün 1 Milyon 144 Bin 837 doz aşı uygulandı. İlk doz aşısını yaptıranların sayısı 219.973. İkinci doz aşısını yaptıranların sayısı 722.598. Üçüncü doz aşısını yaptıranların sayısı 202.266. İlk doz aşısını henüz yaptırmayanların sayısı 22.124.434’e indi.</t>
  </si>
  <si>
    <t>1420356661911429125</t>
  </si>
  <si>
    <t>SON DAKİKA: En az bir doz aşı yaptıranların sayısı 40 Milyonu geçti.</t>
  </si>
  <si>
    <t>1420305182408257537</t>
  </si>
  <si>
    <t>Son bir haftada vaka sayısı en çok artan illerimiz; Siirt, Diyarbakır, Bitlis, Giresun ve Iğdır. Vaka sayılarındaki artış ve aşılanma oranları arasında ilişki var. Aşı olup tedbirlere uyun. https://t.co/AKGe6cV87R</t>
  </si>
  <si>
    <t>1420300682108747781</t>
  </si>
  <si>
    <t>İllerimizde 100.000 nüfusa karşılık gelen bir haftalık toplam vaka sayısını gösteren insidans haritasının güncel halini ekte görebilirsiniz. Salgını kontrol altında tutma gücümüzü zora sokmayalım. Aşı olup tedbirlere uymak zorundayız. https://t.co/L8lOdq94Vx</t>
  </si>
  <si>
    <t>1420297556102373376</t>
  </si>
  <si>
    <t>27 TEMMUZ, 1 MİLYONUNCU DOZ
Aşı Olan: Hatice Yenigün (34)
Aşı: Sinovac, 2. Doz
Aşıyı Yapan: İrem Özay
Sorumlu Hekim: Fidan Yıldız Ünal
Aşının Zamanı: 18.05
Yer: İstanbul Okan Üniversitesi
Sağlık Uygulama ve Araştırma Merkezi, Tuzla https://t.co/ClCFjwtfOH</t>
  </si>
  <si>
    <t>1420104969865281544</t>
  </si>
  <si>
    <t>Kolay gelsin diyorlar, aşılarını yapıyorlar. Aşı ekiplerimiz, sağlık kurumlarımıza gelecek zamanı olmayan tarım işçilerinin aşılarını yapabilmek için tarlalarda. Fotoğraf Bafra’nın Yeşilyazı mahallesinden. https://t.co/pjebe5QGxZ</t>
  </si>
  <si>
    <t>1420099681418465281</t>
  </si>
  <si>
    <t>Sevcan Orhan: Aşılar uygulanmaya başladığından beri hastaneye yatış ve can kaybı oranı ne kadar azaldı farkında mısınız? Herkes aşı olduğunda bizi çok daha güzel günler karşılayacak. Lütfen, siz de aşınızı olun. https://t.co/xUKjBLpNsX</t>
  </si>
  <si>
    <t>1420091543243956228</t>
  </si>
  <si>
    <t>Günlük vaka sayısı 20 bine yaklaştı. Salgınla mücadelenin kurallarına uyarsak ortalama bir hafta sonra sonuç almaya başlar, aşımızı yaptırırsak salgına son vermek için harekete geçmiş oluruz. İlk doz aşılar gibi, zamanı gelmiş ikinci ve üçüncü doz aşılar da son derece önemli.</t>
  </si>
  <si>
    <t>1420089486072029184</t>
  </si>
  <si>
    <t>Beyazıt Öztürk: Hiçbirimizin yapısı birbirimizden ayrı kalmaya, hayatı kısıtlamalarla yaşamaya uygun değil. Bugünleri bir daha yaşamamak için aslında yapmamız gereken şey çok basit. Normalleşmek için bilime ve aşıya güvenin. https://t.co/cKHEfj3nXK</t>
  </si>
  <si>
    <t>1420082321097732096</t>
  </si>
  <si>
    <t>Salgının kontrol altında tutulmasını tedirgin edici seviyede vaka sayılarına ulaştık. Bunu durduracak olan göstereceğimiz iradedir. Tedbirlere uyup aşınızı olun. https://t.co/RVlhe7786O https://t.co/jA4OTgjtcZ</t>
  </si>
  <si>
    <t>1420066157369995266</t>
  </si>
  <si>
    <t>AŞILARI AYNI ANDA YAPILDI! Kırşehir Kaman’da aşı için başvuran 18 yaşındaki üçüz kız kardeşler Hasibe, Aslı ve Buse'nin aşıları sağlık çalışanımız Rabia, Temel ve Gökmen tarafından aynı anda yapıldı. Salgınla mücadeleye kattıkları bu renkli an için kendilerine teşekkür ettik. https://t.co/A5pDybOU9s</t>
  </si>
  <si>
    <t>1419984492345843716</t>
  </si>
  <si>
    <t>26 TEMMUZ, 1 MİLYONUNCU AŞI
Aşı Yaptıran: Hatice Mermer (51)
Aşı: Biontech, 2. Doz
Aşıyı Yapan Hemşire: Nevin Özdemir
Sorumlu Hekim: Mehmet İlker Uludağ
Aşının Yapılma Zamanı: 15.49 
Yer: Dr. Sadettin Bilgiç Devlet Hastanesi
Isparta, Şarkikaraağaç https://t.co/OlP0J6AQZy</t>
  </si>
  <si>
    <t>1419947139346612225</t>
  </si>
  <si>
    <t>AŞIDA 26 TEMMUZ: Toplam 1 milyon 367 bin 872 doz aşı uygulandı. İlk doz aşısını yaptıranların sayısı 244.868. İkinci doz aşısını yaptıranların sayısı 910.136. Üçüncü doz aşısını yaptıranların sayısı 212.868. İlk doz aşısını henüz yaptırmayanların sayısı 22.344.407’e indi.</t>
  </si>
  <si>
    <t>1419924555351662592</t>
  </si>
  <si>
    <t>Adıyaman ve Kahramanmaraş, çok yüksek riskli il (Kırmızı) kategorisinden yüksek riskli il (Turuncu) kategorisine geçti. Aşılarımızı yaptırarak riski en az düzeye indirelim.</t>
  </si>
  <si>
    <t>1419772764773306375</t>
  </si>
  <si>
    <t>Vaka sayılarındaki artış hızı salgını kontrol altında tutmayı güçleştiriyor. Aşı ile bağışıklık kazanmadan tedbirlerden taviz vermenin telafisi acı tecrübelere sebep olabilir. Tedbirlere uyun, aşınızı olun. https://t.co/RVlhe7786O https://t.co/h04jKF887Z</t>
  </si>
  <si>
    <t>1419709634697383936</t>
  </si>
  <si>
    <t>AMASYA MAVİYE GEÇTİ.
Amasya artık düşük riskli iller arasında. En az bir doz aşı olanların oranı %75’in üzerinde. Salgınla mücadelenin kurallarına uyum yüksek. Amasya’yı kutluyoruz. Mavi haberlerimiz çok olsun!</t>
  </si>
  <si>
    <t>1419380129613197313</t>
  </si>
  <si>
    <t>Covid-19’la mücadelenin kurallarına uymaz ve aşımızı hemen ilk fırsatta yaptırmazsak, salgını durdurmak uzun sürebilir. Ödediğimiz bedelleri, yaşadığımız kısıtları, maddi ve manevi kayıpları düşünün. Ne çok insanı kaybettiğimizi hatırlayın. Salgın aşısız yenilmez. Aşınızı olun.</t>
  </si>
  <si>
    <t>1419354792569286666</t>
  </si>
  <si>
    <t>“Ne yapalım, böyle oldu” diyemeyiz. Hemen yapacağımız şeyler var!</t>
  </si>
  <si>
    <t>1419351056077701123</t>
  </si>
  <si>
    <t>Tedbirli olmaz ve aşı olmazsak salgını durdurmak çok uzun sürebilir. Ödediğimiz bedelleri, kaybettiğimiz sevdiklerimizi düşünün ve aşınızı olun. https://t.co/RVlhe7786O https://t.co/9Vi5uOZTqJ</t>
  </si>
  <si>
    <t>1419332563127181320</t>
  </si>
  <si>
    <t>Geri dönüp son 10 günü daha dikkatli yaşayamayız. Yarın bize bağlı!</t>
  </si>
  <si>
    <t>1419206101388627969</t>
  </si>
  <si>
    <t>Yaklaşık 23 Milyon kişi henüz aşı olmadı. 2. dozu olmayanların sayısı 17 Milyon. Çift doz aşı olup, 3. doz aşıya gelmeyenlerin sayısı 9 Milyona yakın. Aşıdan istediğimiz sonucu almak için süreci hızla tamamlamalıyız. Şu anki sorun, tedbirlerin esnetilmesidir. Kontrolü ele alalım.</t>
  </si>
  <si>
    <t>1419199322781069314</t>
  </si>
  <si>
    <t>Fırat Kalkanı bölgesinde bir askeri aracımıza teröristlerce yapılan saldırıda iki askerimiz şehit oldu. İki askerimiz yaralı. Milletimizin iki kahramanına Allah’tan rahmet, yakınlarına sabır, yaralılarımıza acil şifa diliyorum. Milletimizin başı sağ olsun. https://t.co/nkDkKinCor</t>
  </si>
  <si>
    <t>1419043313710256133</t>
  </si>
  <si>
    <t>BUGÜNKÜ VAKA SAYISI 12.381. Yeni vaka sayıları, bildiğimiz gibi ortalama 1 hafta önceki temaslardan kaynaklanıyor. Bu demektir ki, yakın günlerde, halen salgın şartlarında yaşadığımızı, bugünkü sonuca yol açacak düzeyde unuttuk. AŞI VE TEDBİRLE YENİDEN MÜCADELEYE DÖNELİM.</t>
  </si>
  <si>
    <t>1419011474949910528</t>
  </si>
  <si>
    <t>Bugünkü vaka sayısı 12.381. Aşı ve tedbirle yeniden mücadeleye dönelim.</t>
  </si>
  <si>
    <t>1419009849023680515</t>
  </si>
  <si>
    <t>Vaka sayılarındaki artış devam ediyor. Bu durum hastaneye yatışlara da yansıyabilir. Bundan korunmanın yolu tedbirlere uymak ve aşı olmak. Vakit kaybetmeyin aşınızı olun. Tedbirden taviz vermeyin. https://t.co/RVlhe7786O https://t.co/53MqAR5VvO</t>
  </si>
  <si>
    <t>1418973222993805315</t>
  </si>
  <si>
    <t>ABLASININ 3. DOZ AŞISINI YAPTI. Aydın Karacasu Toplum Sağlığı Merkezinde görevli Ebe Deniz Engür Karancı, hemşirelikten emekli kardeşi Pınar Mehri Şanlıer’in 3. doz Biontech aşısını kendisi yaptı. Deniz hanımın aşıyı erteleyenlere bir mesajı var: “BİZ SAĞLIKÇILARI ÖRNEK ALIN.” https://t.co/WIus0hIjYR</t>
  </si>
  <si>
    <t>1418958203958747142</t>
  </si>
  <si>
    <t>BABA VE DOKTOR KIZI AŞIDA. Dr. Gizem Ertürk Kastamonu Devrekâni İlçe Devlet Hastanesinde çalışıyor. Babası Rafet Bey sağlık memuru, annesi ebe. Tüm aile Covid-19 ‘a yakalanmışlardı. Hastalığı ağır geçirdiler. Dr. Gizem’in aşısını, çocukluk aşıları gibi, babası yaptı. https://t.co/p60XDJr6nb</t>
  </si>
  <si>
    <t>1418662125296361476</t>
  </si>
  <si>
    <t>ANNE KIZ AŞIDA! Huriye Hanımla kızı Yadigâr, aşılarını Buca Seyfi Demirsoy Eğitim ve Araştırma Hastanesinde yan yana yaptırdılar. Huriye Hanım ikinci doz konusunda kararsızmış. Yadigâr, aşı neden şart, anlatmış. Anne sevgisi ve doğru bilgi! İkisi birlikte sorunu çözmüş. https://t.co/u5uotEO0xG</t>
  </si>
  <si>
    <t>1418660637757120513</t>
  </si>
  <si>
    <t>Bugünkü vaka sayısı: 11.094
Esneklikten sıkı tedbire dönmeli ve ilk doz aşımızı hemen yaptırmalıyız.</t>
  </si>
  <si>
    <t>1418620136458620931</t>
  </si>
  <si>
    <t>Aşısı bulunduğu halde, yıkıcı etkisi süren bir bulaşıcı hastalık yok. Toplum bağışıklığı sağlandıkça, Covid-19’da da vaka sayıları önemsiz hale gelecek. Kurumlarımız gece gündüz emrinizde, sağlık çalışanlarımız hizmetinizde. İlk doz aşınızı olmadıysanız hemen yaptırın.</t>
  </si>
  <si>
    <t>1418615591850680327</t>
  </si>
  <si>
    <t>Yarın bugünden daha iyi olsun istiyorsanız tedbirlere uyun. Aşınızı olun. Verilen emekler milletçe hepimizin emeğidir. https://t.co/RVlhe7786O https://t.co/Kznv6BiGfd</t>
  </si>
  <si>
    <t>1418608247293071365</t>
  </si>
  <si>
    <t>Aşı kampanyamızda toplam 65 MİLYON DOZU geçtik. Başarı ortak ve büyük. Fakat, 18 yaş ve üstü nüfusta henüz aşı olmayanların sayısının 23 Milyona yakın olduğunu unutmayalım. Bu da ciddi bir zayıf noktamız. ERTELEMEDEN İLK DOZU YAPTIRALIM.</t>
  </si>
  <si>
    <t>1418602314890301453</t>
  </si>
  <si>
    <t>Kasım ayında bütün aile Covid-19 geçiren Hemşire Ayşe Kuşçu, bu kez kardeşi Recep’in aşısını yapıyor. Hatay’da görev yapan arkadaşımızın aşıyı erteleyenlere önerisi: “Bir an önce!” https://t.co/uPDLqnhjX6</t>
  </si>
  <si>
    <t>1418599641432543234</t>
  </si>
  <si>
    <t>Ayaktaki, Hemşire Ayşe Kuşçu. Oturan, Hemşire Gamze Dağcı. Hemşire hanım, hemşire hanımın aşısını yapıyor. Hatay’da görevli iki arkadaşımız da Covid-19 geçirmişti. İkisi de aşının önemini hem hasta, hem sağlık çalışanı olarak iyi biliyor. https://t.co/mxMhX1iRnU</t>
  </si>
  <si>
    <t>1418597179388801026</t>
  </si>
  <si>
    <t>Aşı kampanyamızda 65 Milyon dozu geçtik. Aşısını yaptıranlar arasında yerimizi alalım.</t>
  </si>
  <si>
    <t>1418595326659866624</t>
  </si>
  <si>
    <t>Hekim adayı bir kardeşimizin acısı yüreğimizi yaktı. Kırıkkale Tıp Fakültesi öğrencisi Onur Alp Eker’in cansız bedenine ulaşıldığını öğrendik. Bayramın ilk günü, dağlık alana kaçan kurbanlık koyunu bulmaya çalışırken kaybolmuştu. Ailesine, arkadaşlarına başsağlığı diliyorum. https://t.co/DqekdDSLie</t>
  </si>
  <si>
    <t>1418313136260751363</t>
  </si>
  <si>
    <t>Vaka sayılarının 1 gün, birkaç gün içinde düşmediğini deneyimlerimizle biliyoruz. Yarın muhtemelen daha yüksek bir sayıyla karşılaşacağız. Sonraki günleri uyacağımız kurallar, yaptıracağımız aşılar belirleyecek. Almak istediğimiz sonuca göre hareket edelim. Kararlı davranalım.</t>
  </si>
  <si>
    <t>1418307214465511436</t>
  </si>
  <si>
    <t>%63’ümüz en az bir doz aşımızı olduk. Aşılanma oranı daha düşük olsaydı, bugün daha yüksek vaka sayılarıyla karşılaşacaktık. ZAYIF NOKTAMIZ, salgınla mücadelenin kuralları konusunda yorulmuş olmamız ve bazılarımızın aşıyı ertelemesidir. Kurallarla, aşıyla kontrolü ele alalım.</t>
  </si>
  <si>
    <t>1418305899270115328</t>
  </si>
  <si>
    <t>Yeni vaka sayıları 2 haftada 2 katına çıktı. Çözüm: Şu andan itibaren sıkı tedbir, ilk fırsatta aşı. İlk doz ve devam dozları için sağlık kurumlarımız gece gündüz emrinizde. 9.586 olan vaka sayısını geriletelim.</t>
  </si>
  <si>
    <t>1418266044481802251</t>
  </si>
  <si>
    <t>Bugün son zamanların en yüksek vaka sayısına ulaştık. Aşı ile güvence altına alınmadan salgın gündemden çıkmaz. Tedbirinizi alın aşınızı olun. Bu toplumsal sorumluluğumuz. https://t.co/vKWJp8FNML</t>
  </si>
  <si>
    <t>1418259509605175296</t>
  </si>
  <si>
    <t>Son bir haftada vaka sayısı en çok artan illerimiz; Siirt, Giresun, Bingöl, Diyarbakır ve Kırıkkale. Aşı İle Toplumsal bağışıklık elde edilene kadar tedbirlere uymak zorundayız. Sevdiklerinizi tehlikeye atmayın. https://t.co/8LKN9y8hqw</t>
  </si>
  <si>
    <t>1418249214614777856</t>
  </si>
  <si>
    <t>İllerimizde 100.000 nüfusa karşılık gelen bir haftalık toplam vaka sayısını gösteren insidans haritasının güncel halini ekte görebilirsiniz. Aşı programını ne kadar kısa sürede tamamlayabilirsek o kadar kısa sürede salgın gündemi dışında kalırız. https://t.co/IoOSIR3VRc</t>
  </si>
  <si>
    <t>1418247850060886019</t>
  </si>
  <si>
    <t>Artvin Arhavi’de, yoğun yağmur kaynaklı selin yol açtığı afette yedi adet 112 ambulans, 1 UMKE timi görevlendirildi. Göçük altında kalan 1 kişinin hastaneye nakli yapıldı. Durumu iyi. Arhavi Devlet Hastanesi hasta kabulüne tekrar başladı. Geçmiş olsun Artvin, sağlığın için varız!</t>
  </si>
  <si>
    <t>1418219028833660936</t>
  </si>
  <si>
    <t>Gaziantep İl Ambulans Başhekimliğinde görevli bir ekibimiz vaka dönüşündeydi. Yolda önlerine bir kuş düştü. Dönüp aldılar, ayağı kırılmış. Yaralarına pansuman yaptılar. İstasyona getirdikleri kuş iyileşene kadar orada kalacak. Sağlık çalışanı kalbi! Sağ olun arkadaşlar. https://t.co/NwhUTd0K3T</t>
  </si>
  <si>
    <t>1418187750684102661</t>
  </si>
  <si>
    <t>Bir süredir kalp rahatsızlığı olan tiyatro sanatçısı Turgay Yıldız’ı kaybettik. Hastamızın tedavisi son olarak Ankara Şehir Hastanesinin yoğun bakım biriminde devam ediyordu. Kendisine Allah’tan rahmet, ailesine, sevenlerine başsağlığı diliyorum.</t>
  </si>
  <si>
    <t>1418180335263784963</t>
  </si>
  <si>
    <t>Aşı ve tedbirlerle sağlanacak toplumsal bağışıklığın aksi, kısır döngüdür. Salgını bitirmek için tedbirlere uyun, aşınızı olun. Ya tedbir ve aşı, ya kısır döngü!</t>
  </si>
  <si>
    <t>1418104040647389188</t>
  </si>
  <si>
    <t>“Biraz daha zaman geçsin oluruz!” Ya biraz geç olursa? Günlük vaka sayısı 8.780’e kadar çıktı. Ertelemişseniz aşınızı hemen yaptırın.</t>
  </si>
  <si>
    <t>1417894788855107589</t>
  </si>
  <si>
    <t>Bayram artan vaka sayılarını kontrol altına alabilmek için son derece önemli. Aşı olup tedbirlere uyarak toplumsal bağışıklık sağlanırsa salgın biter. Aksi kısır döngü. Tedbirlere uyun, aşınızı olun. https://t.co/RVlhe7786O https://t.co/qQRGAcTxWb</t>
  </si>
  <si>
    <t>1417889659271749632</t>
  </si>
  <si>
    <t>28 yaşındaki Ahmet Yılmaz, ikinci doz aşıların tamamlandığı Kütahya merkeze bağlı İncik köyünde ilk doz aşısını henüz olmamış son kişiydi. Ekiplerimizi köy girişinde karşıladı ve aşısını yaptırdı. https://t.co/3C5U1AJGFv</t>
  </si>
  <si>
    <t>1417877877996015620</t>
  </si>
  <si>
    <t>Kahramanmaraş İl Ambulans Servisi Başhekimliğine ait bir ambulansımız hasta nakli sırasında kaza yaptı. Ağır yaralanan sürücümüz yetiştirildiği hastanede tüm müdahalelere rağmen kurtarılamadı. 2’si sağlık personeli, 5 kişinin tedavisi sürüyor. Allah benzer acı yaşatmasın.</t>
  </si>
  <si>
    <t>1417587420799848462</t>
  </si>
  <si>
    <t>Bugünkü yeni vaka sayısı 8.780.
Tatil boyu hiçbir şey bu sayıya hizmet etmemeli.</t>
  </si>
  <si>
    <t>1417555156854616067</t>
  </si>
  <si>
    <t>İki doz aşı vaka sayılarının önünü keser. İki doz aşı vaka sayılarında artık geri dönüşü olmayacak düşüşü sağlar. Bayramın tadını bozmadan çok dikkatli olalım. Kalıcı çözüm, aşıyla kazanılacak bağışıklıktır. Bugünkü yeni vaka sayısı 8.780. TÜRKİYE’NİN HER YERİNDE AKLIMIZDA OLSUN.</t>
  </si>
  <si>
    <t>1417550699655749634</t>
  </si>
  <si>
    <t>Vaka sayılarındaki artışı engelleyecek olan bir an evvel iki doz aşı olarak bağışıklık elde etmektir. Bayram salgın hastalık için fırsata dönüşmemeli. Sevinç ve teyakkuz bir arada olabilir. https://t.co/RVlhe7786O https://t.co/m3MwgC78M7</t>
  </si>
  <si>
    <t>1417527165713854472</t>
  </si>
  <si>
    <t>Dönüşe bırakmayın.
Bulunduğunuz yerde aşınızı şimdi yaptırın. Sağlık kurumlarımız, ilk doz ve devam dozu aşıları için hizmetinizde.</t>
  </si>
  <si>
    <t>1417477721236676619</t>
  </si>
  <si>
    <t>Mayıs ayında Covid-19’a yakalanan anestezi uzmanı arkadaşımız Dr. Volkan Yarar, 20 gün yoğun bakımda, 45 gün de serviste hayat mücadelesi verdi. Balıkesir Atatürk Şehir Hastanesinde tekrar aramızda. Covid yoğun bakım hastalarıyla ilgilenirken aşı polikliniğine de yardımcı oluyor. https://t.co/eDlt9tsMoT</t>
  </si>
  <si>
    <t>1417441774092623885</t>
  </si>
  <si>
    <t>Önümüzdeki bayramların hazırlığına bugünden başlamalıyız. Video sohbetimize iki dakika ayıralım. Kurban Bayramımız mübarek, SEVİNÇLERİMİZ BÖYLE BÜYÜK VE BİR OLSUN. https://t.co/M42xGh3syd</t>
  </si>
  <si>
    <t>1417333782596788224</t>
  </si>
  <si>
    <t>Yeri geldi tarlalara gittik. Köy bahçelerinde, kent meydanlarında buluştuk. Şimdi bayrama girerken, en az bir doz aşısını yaptıranların sayısı 39 Milyonun üzerinde. Aşı olanların, ev ev dolaşıp aşı yapanların, büyüklerimizin, ülkemizin her bir insanının Bayramını kutluyorum. https://t.co/RKzH0H3NNG</t>
  </si>
  <si>
    <t>1417196242824835073</t>
  </si>
  <si>
    <t>Buluşmak, bulaşmak.
İkisi birbirini andırıyor. Bayramda mesafeyi koruyalım.</t>
  </si>
  <si>
    <t>1417182700591587328</t>
  </si>
  <si>
    <t>Buluşmak güzel de, hasta ayrılmak var. Bayramda dikkatli olalım.</t>
  </si>
  <si>
    <t>1417175248106053633</t>
  </si>
  <si>
    <t>Vaka sayıları geçen haftaya kıyasla yaklaşık %30 oranında artış gösterdi. Bayram telaşı ve neşesi içinde tedbirleri hafife almayın. Kapalı ve kalabalık ortamlardan uzak durun. Bayrama gölge düşürecek tedbirsizliklerde bulunmayın. https://t.co/RVlhe7786O https://t.co/E6Tm3XLuz3</t>
  </si>
  <si>
    <t>1417165699055771650</t>
  </si>
  <si>
    <t>EN AZ BİR DOZ aşısını yaptıranların sayısı 39 Milyonu geçti.
Bu sayı, 18 yaş ve üstü nüfusun yaklaşık %63’üne karşılık geliyor.</t>
  </si>
  <si>
    <t>1417163724855681026</t>
  </si>
  <si>
    <t>İKİ DOZ aşısını yaptıranların sayısı 20 milyonu geçti.
Bu sayı, 18 yaş ve üstü nüfusun yaklaşık %33’üne karşılık geliyor.</t>
  </si>
  <si>
    <t>1417162010203234304</t>
  </si>
  <si>
    <t>Bulaşın kolaylaştığı ortamlara bağlı olarak, vaka sayısı artıyor. Bir hafta önce 5.261 olan yeni vaka sayısı dün 7.680. Biraz daha özen bayram sevincimizi sürdürür, bayramdan sonrasını hasta geçirmemizi önler.</t>
  </si>
  <si>
    <t>1417052877219061769</t>
  </si>
  <si>
    <t>Taraftarlarına aşı olun çağrısı yapan futbol kulüplerimize ve KULÜPLER BİRLİĞİNE TEŞEKKÜR ediyorum. Aşımızı olalım ki, tribünlere tam kadro çıkalım. https://t.co/5D05TOSWFN</t>
  </si>
  <si>
    <t>1417041890285920256</t>
  </si>
  <si>
    <t>Taraftar, tribünlere tam kadro çıkmalı. Kendimizi hastalıktan korumak için aşılarımızı yaptıralım. Gösterdiği hassasiyet için Trabzon Spor Kulübüne teşekkür ediyorum. https://t.co/mFFG0QXQH2</t>
  </si>
  <si>
    <t>1416820065266188289</t>
  </si>
  <si>
    <t>Taraftar, tribünlere tam kadro çıkmalı. Kendimizi hastalıktan korumak için aşılarımızı yaptıralım. Gösterdiği hassasiyet için Beşiktaş Spor Kulübüne teşekkür ediyorum. https://t.co/ZTcZteK1n3</t>
  </si>
  <si>
    <t>1416817648487239683</t>
  </si>
  <si>
    <t>Taraftar, tribünlere tam kadro çıkmalı. Kendimizi hastalıktan korumak için aşılarımızı yaptıralım. Gösterdiği hassasiyet için Galatasaray Spor Kulübüne teşekkür ediyorum. https://t.co/1v1UkYeblp</t>
  </si>
  <si>
    <t>1416815179329937409</t>
  </si>
  <si>
    <t>Taraftar, tribünlere tam kadro çıkmalı. Kendimizi hastalıktan korumak için aşılarımızı yaptıralım. Gösterdiği hassasiyet için Fenerbahçe Spor Kulübüne teşekkür ediyorum. https://t.co/Qvxa7C7WPf</t>
  </si>
  <si>
    <t>1416812525727911940</t>
  </si>
  <si>
    <t>Aydın, İzmir ve Tekirdağ maviye yaklaştı. Tedbirlere taviz vermeden uyalım. Bayramda tedbirlere uymak bayram sonrasını da bayram eder. https://t.co/RVlhe7786O https://t.co/poxlHlh5N6</t>
  </si>
  <si>
    <t>1416811012725121028</t>
  </si>
  <si>
    <t>RİZE’DE dört gün önce yaşanan afetin ardından, acil sağlık ekiplerimiz, bu kez, olaydan etkilenen köyleri ev ev gezerek vatandaşlarımızın sağlık kontrollerini yaptı. Geçmiş olsun Rize. Allah benzer acılar yaşatmasın. https://t.co/UzTsZpzsgh</t>
  </si>
  <si>
    <t>1416477516932558850</t>
  </si>
  <si>
    <t>VAN, DAĞSU YAYLASI. Hemşire arkadaşımız Viyan Çakır, aşı olacak kişilerin kaydını sisteme girebilmek için önce 2.700 metre yükseklikteki internet erişimini yakaladı. Sonra da Dağsu yaylasında, 1.950 metre yükseklikte yaşayan vatandaşlarımızın aşılarını yaptı. https://t.co/dPMfqjTTSS</t>
  </si>
  <si>
    <t>1416450749257723904</t>
  </si>
  <si>
    <t>GAZAL TEYZE, aşısını yapan sağlık personelimizi alnından öptü. Biz de senin ellerinden öpüyoruz Gazal teyze. Sağlığın önce Allah’a sonra bize emanet. https://t.co/4ISg9BZPwy</t>
  </si>
  <si>
    <t>1416443645222440960</t>
  </si>
  <si>
    <t>Bayrama az kaldı. Bayram öncesi 18 yaş ve üzeri nüfusun en az bir doz aşı olması hedefimiz için gayret edelim. Aşı ile salgını gündemden çıkaralım. https://t.co/RVlhe7786O https://t.co/ZA4CXjJsd0</t>
  </si>
  <si>
    <t>1416436709496139779</t>
  </si>
  <si>
    <t>Hayaller gerçek oluyor. Bir şehir hastanemiz daha hizmete alınıyor. Bugün, Sayın Cumhurbaşkanımızın teşrifleri ile Erzurum Şehir Hastanemizin açılışını gerçekleştiriyoruz. Erzurumumuza ve Erzurumlulara hayırlı uğurlu olsun. https://t.co/OUbNIZPmQk</t>
  </si>
  <si>
    <t>1416406061934907400</t>
  </si>
  <si>
    <t>RT @RTErdogan: Erzurum’da Yapımı Tamamlanan Projelerin Açılış Töreni
https://t.co/fSGw1yDrJh</t>
  </si>
  <si>
    <t>1416395716155609095</t>
  </si>
  <si>
    <t>Sayın Cumhurbaşkanımızın teşrifleriyle, Erzurum Şehir Hastanemizin açılışını gerçekleştiriyoruz. https://t.co/oqoKjJVfjD</t>
  </si>
  <si>
    <t>1416393589333102592</t>
  </si>
  <si>
    <t>Sağlıkçıların sayısalı iyi olur.
Bayrama 3 gün kala, 1 milyon 132 bin 517 doz daha!</t>
  </si>
  <si>
    <t>1416142070704656392</t>
  </si>
  <si>
    <t>Aşı Yaptıran: Nurhan Gönül (46)
Aşıyı Yapan Hemşire: Zübeyde Küçük
Aşıdan Sorumlu Hekim: Nihat Bayrak
Aşının Yapılma Zamanı: 19.46
Yer: Çekirge Devlet Hastanesi
1 MİLYONUNCU DOZ aşının, 999.999’uncu doz aşıdan birden çok farkı var. Biri heyecan! https://t.co/6T9DArjIip</t>
  </si>
  <si>
    <t>1416132829298233344</t>
  </si>
  <si>
    <t>DÜN 510 KİŞİYE AŞI YAPTI.
Afyonkarahisar Devlet Hastanesinde görevli hemşire Nihal Gök, dün 510 kişiye aşı yaptı. Fotoğrafa dikkat edin. Sıra bekleyen varsa daha da yaparım diyor. Elleriniz dert görmesin Nihal Hanım. https://t.co/Kx40U9f6BX</t>
  </si>
  <si>
    <t>1416116568380133379</t>
  </si>
  <si>
    <t>18 yaş ve üstü nüfusun üçte birine yakını, yani 20 Milyon kişi, iki doz aşısını da yaptırmış durumda. ARTIK ÜÇTE BİRİMİZ ÇİFT DOZ AŞILIYIZ! https://t.co/rYdx7kfvha</t>
  </si>
  <si>
    <t>1416114120148070405</t>
  </si>
  <si>
    <t>Balıkesir bayramı bayram gibi kutlamayı hak etti. Balıkesir artık mavi kategoride. Bayramdan önce en az bir doz aşımızı olarak mücadelede yerimizi alalım. https://t.co/RVlhe7786O https://t.co/L8Ln88L9cn</t>
  </si>
  <si>
    <t>1416082502679138313</t>
  </si>
  <si>
    <t>1 MİLYON DOZU GEÇTİK. Üstüne konacak her yeni doz çok kıymetli. Salgına karşı kalıcı zaferi bize aşı sağlayacak.</t>
  </si>
  <si>
    <t>1416077654030274560</t>
  </si>
  <si>
    <t>Memlekete mi gidiyoruz?
Gitmeden aile hekimine bir uğrayalım.
Hem bayramlaşalım hem aşımızı olalım.</t>
  </si>
  <si>
    <t>1416063034355851267</t>
  </si>
  <si>
    <t>Toplam doz sayımız 62 Milyonun üstüne çıktı.</t>
  </si>
  <si>
    <t>1416059737989337090</t>
  </si>
  <si>
    <t>Turkovac-Coronovac 3. doz klinik çalışması Ankara Şehir Hastanesinde başladı. Çalışmaya 2 doz Sinovac aşısı yapılıp 2. dozun üzerinden 90 gün geçen 18-59 yaş arası gönüllüler katılıyor. YERLİ AŞININ SONUÇLANMASINA DESTEK İÇİN zemin kat aşı birimine bekliyoruz. Tel: 0312 552 60 19</t>
  </si>
  <si>
    <t>1415940605843329025</t>
  </si>
  <si>
    <t>İKİ DOZ SINOVAC %83,5 ETKİLİ. Türkiye’de Faz-3 çalışmaları tamamlanan Çin menşeli Sinovac aşısının (CoronaVac) iki doz etkinliğinin %83,5 olduğu belirlendi. 10 Bin 218 kişiyle yapılan araştırmanın sonuçları tıp dünyasının ünlü dergilerinden The Lancet’te yayımlandı. https://t.co/VUHtQ59CUg</t>
  </si>
  <si>
    <t>1415714609244352517</t>
  </si>
  <si>
    <t>Gaziantep ve Konya kırmızı kategoriden çıktı. Sıra Kahramanmaraş, Aksaray ve Adıyaman'da. Bayrama kadar aşımızı olarak güvenle bayramı karşılayalım. https://t.co/RVlhe7786O https://t.co/UmfdQnGpt2</t>
  </si>
  <si>
    <t>1415710528664702984</t>
  </si>
  <si>
    <t>Rize’de dün 19.22’de yaşanan sel felaketine karşı ilk ambulansımız olay yerine 19.40’ta ulaştı. 14’ü 112 ambulans, 6’sı UMKE timi; toplam 64 sağlık personeli görevlendirildi. Afette 6 kişi can verdi. 13 kişi etkilendi. 2 kişi için arama çalışması sürüyor. 1 kişi tedavi altında.</t>
  </si>
  <si>
    <t>1415647878664568832</t>
  </si>
  <si>
    <t>Biz milletiz. Sokaktaki insan, meydandaki halkız. Biz ekmeğini ve istikbalini, bayrağını kutsal bilenleriz. Bizim bir yüzümüz var. O gece, ikiyüzlülerin gerçek yüzüyle açtığı savaşın üstesinden geldik. 15 Temmuz şehitlerimizi rahmetle anıyoruz. Gazilerimizi saygıyla selamlıyoruz. https://t.co/37xWTzuQ2E</t>
  </si>
  <si>
    <t>1415565778489954306</t>
  </si>
  <si>
    <t>Saat 24.00’a kadar 1 Milyon 34 Bin 135 doz aşı daha yapıldı. Milyon dozlar, milyon dozlara eklendikçe hayat hepimiz için daha da iyi olacak.</t>
  </si>
  <si>
    <t>1415436084406890498</t>
  </si>
  <si>
    <t>Aşı yaptıran: Evren Durcan. Aşıyı yapan: Dr. Muhammet Gülle. Saat: 18.13. Bugün 1 Milyonuncu doz aşı İstanbul Bağcılar meydanındaki çadırımızda yapıldı. Geç saatte arkadaşlarımıza bu haberi verdiğimizde evlerine yeni dönmüşlerdi. Günün hatırası bir fotoğraf istedik. Gönderdiler. https://t.co/r6XrGwE5XF</t>
  </si>
  <si>
    <t>1415426988135886848</t>
  </si>
  <si>
    <t>Aşı programımızın başarısına rağmen vaka sayılarında artış eğilimi var. Bu salgının henüz bitmediğinin göstergesidir. Elbette yeniden kısıtlamalara ihtiyaç olacak bir gündemde değiliz. Ancak, tedbirlere uymaz ve aşımızı olmazsak telafisi güç günlerle karşılaşabiliriz. https://t.co/zG8czOCXbc</t>
  </si>
  <si>
    <t>1415391690114977798</t>
  </si>
  <si>
    <t>Elde edilen yeni bilgi ve tecrübelere göre 1. doz aşısı tamamlanan vatandaşlarımız için Sinovac aşısını olanlar 2. doz aşılarını 4 hafta sonra, Biontech aşısı olanlar ise 2. doz aşılarını ilk dozdan 3 hafta sonra olabilirler. https://t.co/0x9bjDLxC7</t>
  </si>
  <si>
    <t>1415389046155751425</t>
  </si>
  <si>
    <t>Bu bayram tedbirlere uyar ve aşımızı olursak el öpüp birbirimize sarılmadan geçireceğimiz son bayram olacak. Son kez bu bayram birbirimizle temastan uzak duralım. https://t.co/ttErZbJSAK</t>
  </si>
  <si>
    <t>1415385945378074624</t>
  </si>
  <si>
    <t>Hakkari kırmızı kategoriden turuncu kategoriye geçti. Bu örnek hızla kırmızı kategorideki illerimize yayılmalı. https://t.co/RVlhe7786O https://t.co/nTOPU4Cs8C</t>
  </si>
  <si>
    <t>1415384217387769865</t>
  </si>
  <si>
    <t>Maalesef vaka sayısı artan illerimizle aşılanma oranı arasında benzerlik var. Birkaç istisna dışında aşı olma oranı düşük olan illerimizde vaka sayıları bir önceki haftaya oranla birkaç kat yükseliyor. https://t.co/moSMZLlONQ</t>
  </si>
  <si>
    <t>1415381512531349507</t>
  </si>
  <si>
    <t>Başından beri bayramdan önce tüm 18 yaş ve üzeri vatandaşlarımızın en az 1 doz aşısını uygulamak istediğimizi ve Bayrama böyle ulaşmayı hedef olarak belirledik. https://t.co/IfimVZzQV0</t>
  </si>
  <si>
    <t>1415377845317210114</t>
  </si>
  <si>
    <t>CANLI: Bilim Kurulu Toplantımızın ardından Basın Açıklamamız:
https://t.co/tHuBs27NKP</t>
  </si>
  <si>
    <t>1415366262016909313</t>
  </si>
  <si>
    <t>60 Milyon dozu geçtik. 
Milyon doz sayısı arttıkça bağışıklığa çok daha yakınız.</t>
  </si>
  <si>
    <t>1415288249493426182</t>
  </si>
  <si>
    <t>Rahmetli Cem Karaca’nın seslendirdiği “Bu Son Olsun” şarkısını yeni sözlerle yeniden yorumlayarak aşı kampanyamızın sesi olan Sertab Erener’e teşekkür ederim. https://t.co/PEtpSDLMid</t>
  </si>
  <si>
    <t>1415010587118026758</t>
  </si>
  <si>
    <t>Vaka sayısının geçen haftaya göre en çok arttığı ilk 5 ilimiz, Siirt, Ağrı, Hakkari, Antalya ve Van. Zaman kaybetmeden aşımızı olalım. https://t.co/RVlhe7786O https://t.co/UyHMdeWyy1</t>
  </si>
  <si>
    <t>1414988688166162439</t>
  </si>
  <si>
    <t>Son bir haftada vaka sayısı en çok azalan illerimiz; Kars, Erzurum, Isparta, Kütahya ve Çorum. Aşı ile umudumuz artıyor. Henüz olmadıysanız aşınızı bir an evvel olun. https://t.co/SX1TSlBgCX</t>
  </si>
  <si>
    <t>1414981452710699014</t>
  </si>
  <si>
    <t>Bugün bir yiğidimiz şehit düştü. Uğradığı menfur saldırıda şehit düşen Hakkari İl Emniyet Müdür Yardımcımız Hasan Cevher'e Allah'tan rahmet, milletimize başsağlığı dilerim. https://t.co/e7V2BKqUkY</t>
  </si>
  <si>
    <t>1414974838503059461</t>
  </si>
  <si>
    <t>İllerimizde 100.000 nüfusa karşılık gelen bir haftalık toplam vaka sayısını gösteren insidans haritasının güncel halini ekte görebilirsiniz. Aşı ile umudumuz artıyor. Henüz olmadıysanız aşınızı bir an evvel olun. https://t.co/UoyZN8UGbH</t>
  </si>
  <si>
    <t>1414972734241656840</t>
  </si>
  <si>
    <t>59 Milyon dozu geçtik.
Milyon doz sayısı arttıkça bağışıklığa çok daha yakınız.</t>
  </si>
  <si>
    <t>1414889337234378752</t>
  </si>
  <si>
    <t>Balıkesir sonuca yakın: Ya gök mavisi ya deniz mavisi.</t>
  </si>
  <si>
    <t>1414683893454802944</t>
  </si>
  <si>
    <t>Sonuca bir il daha yaklaştık.
Edirne Mavi oldu.</t>
  </si>
  <si>
    <t>1414681538894209028</t>
  </si>
  <si>
    <t>Kardeşimiz Seyfullah Duran’la filyasyon çalışmaları sırasında tanışmıştık. 23 yaşında. Down sendromu var. Daha önce Covid-19 geçiren Seyfullah’ın birinci doz aşısı bugün Ordu Korgan Devlet Hastanesinde yapıldı. Aşısını, filyasyonunu da yapan Hemşire Kader Menteş’le uyguladı. https://t.co/u6fr4QcGZK</t>
  </si>
  <si>
    <t>1414667944009814017</t>
  </si>
  <si>
    <t>İlber Ortaylı: İnsanlık tarih boyu çeşitli salgın hastalıklarla mücadele etti. Bu salgın hastalıkların zulmünden ancak bazı hekimlerin bulduğu aşı sistemiyle kurtulabildi. Şu anda da bunların belki en korkuncu ve dayanıklısıyla savaşıyoruz. Koronavirüs’e karşı mutlaka aşılanalım. https://t.co/0T3l7R5MiD</t>
  </si>
  <si>
    <t>1414637622668972033</t>
  </si>
  <si>
    <t>Hoş geldin Edirne. Hedef nüfusun %75'inden fazlası aşı olan 4. Şehrimiz Edirne oldu. Tüm illerimizin en kısa sürede mavi renge dönmesi için aşınızı olun. https://t.co/RVlhe7786O https://t.co/mgNOLlo218</t>
  </si>
  <si>
    <t>1414632921554722822</t>
  </si>
  <si>
    <t>RT @RTErdogan: Kabine Toplantısı Sonrası Millete Sesleniş https://t.co/daljrZb4fH</t>
  </si>
  <si>
    <t>1414619744976654340</t>
  </si>
  <si>
    <t>Kırmızı kategorideki illerimizde vaka sayılarının düşüş eğilimini kontrol altında tutmak güçleşiyor. Mücadelede yerinizi almak için biran evvel aşınızı olun. https://t.co/RVlhe7786O https://t.co/ChfkZwdptt</t>
  </si>
  <si>
    <t>1414274901477838851</t>
  </si>
  <si>
    <t>Çevre ve Şehircilik Bakan Yardımcısı değerli hocamız. Marmara denizi aslına döndü, sizleri kutluyoruz. Haritamızda da yeri tertemiz beyaz. Aşılar yakında tamamlanınca Marmara’da karayla deniz aynı renge bürünecek. Masmavi haritayı hazırlıyoruz. https://t.co/ViY7d80pAo</t>
  </si>
  <si>
    <t>1414193792131940354</t>
  </si>
  <si>
    <t>1995 Srebrenitsa Soykırımının yıl dönümündeyiz. Soykırımda şehit olan kardeşlerimize Allah’tan rahmet, İzzetbegoviç’in “Unutulan soykırım tekrarlar.” dediği Bosna halkına başsağlığı diliyoruz. Simgeleşen bu çiçeğin bir adı da Hafıza Çiçeği. Toplu mezarların üzerinde belirmişti. https://t.co/vtKo6SPj7H</t>
  </si>
  <si>
    <t>1414184368147423232</t>
  </si>
  <si>
    <t>“Hürmet benliğimizden taşarak âleme yayılınca merhameti doğurur.” Düsturu ahlak, mesuliyet, şahsiyet ve hareket olan düşünür Nurettin Topçu aramızdan bir 10 Temmuz günü ayrılmıştı. Kendisini yâd etmemiz maalesef bugüne kaldı. Her yeni kuşak onun davasını daha iyi anlayacak. https://t.co/X1oUT4DaD5</t>
  </si>
  <si>
    <t>1414177354595938304</t>
  </si>
  <si>
    <t>Bugün mavi kategoriye eklenen ilimiz olmadı. Tüm illerimizde aşılanma oranını artırmadan toplumsal bağışıklık elde edemeyiz. Biran evvel aşınızı olun. https://t.co/RVlhe7786O https://t.co/4cL3l0NsG6</t>
  </si>
  <si>
    <t>1413922587076440065</t>
  </si>
  <si>
    <t>Hemşire Şule Tınas, Aydın Kadın Doğum ve Çocuk Hastalıkları Hastanesi aşı biriminde görev yapıyor. Kızı Sıla da Aydın Atatürk Devlet Hastanesinde radyoloji teknisyeni. Çocukluk çağı aşılarından bugüne Sıla’nın aşılarını annesi yaptı. Covid-19 aşısını da. https://t.co/hokpyWnsJv</t>
  </si>
  <si>
    <t>1413861205437988866</t>
  </si>
  <si>
    <t>Ahmet Özhan: Sorumluluk sahibi olan, insanları seven, kendinin ve toplumun sağlığını önemseyen herkes aşı olacaktır. Bundan hiç şüphem yok. https://t.co/OrEpDCJ30c</t>
  </si>
  <si>
    <t>1413823722490839041</t>
  </si>
  <si>
    <t>Acun Ilıcalı: Aşı olmamız lazım. Tonlarca sebebi var. Ama en önemlisi toplumca bağışıklık kazanmak. Haydi, hedefe ulaşmak için birlikte hareket edelim ve bir an önce aşımızı olalım. https://t.co/MIWD3eW9us</t>
  </si>
  <si>
    <t>1413820836860080129</t>
  </si>
  <si>
    <t>Tebrikler Kırklareli. 
Yüksek aşı oranıyla rengin artık hep Mavi!</t>
  </si>
  <si>
    <t>1413606461503119366</t>
  </si>
  <si>
    <t>Tebrikler Çanakkale. 
Yüksek aşı oranıyla rengin artık hep Mavi!</t>
  </si>
  <si>
    <t>1413606239494414343</t>
  </si>
  <si>
    <t>57 Milyon dozu geçtik. İlk doz aşısını yaptıranların oranı ise %60’ın üzerine çıktı. Randevu alın, bir an evvel siz de aşınızı yaptırın.</t>
  </si>
  <si>
    <t>1413592451953176583</t>
  </si>
  <si>
    <t>Sevginin, iyi davranışın hayvanlardan esirgenmesini anlamak mümkün değil. Azdır da. Her can sevgiyi hak eder. Sevgi ise bizim en insanca özelliğimiz. Hayvanları Koruma Kanununun Yüce Meclis’ten geçmiş olmasından çok mutlu oldum. Katkısı olanları kutlarım. https://t.co/wtmHpDYHW2</t>
  </si>
  <si>
    <t>1413552831391584265</t>
  </si>
  <si>
    <t>Aşı olma oranının düşük olduğu illerde vaka sayıları artmaya başladı. Hayat ilelebet sıkı tedbirle, hastalık bana bulaştı bulaşacak endişesiyle sürmez. Randevu alıp aşımızı olalım.</t>
  </si>
  <si>
    <t>1413548735255257092</t>
  </si>
  <si>
    <t>Bugün iki ilimiz daha maviye döndü. Yeni örnek iller Kırklareli ve Çanakkale. Birlikte mücadelenin yeni sahası aşı olmaktır. Biran evvel aşınızı olun. https://t.co/RVlhe7786O https://t.co/xYKuCg99Q2</t>
  </si>
  <si>
    <t>1413544864105570315</t>
  </si>
  <si>
    <t>RT @RTErdogan: Diyarbakır’da Yapımı Tamamlanan Projelerin Toplu Açılış Töreni https://t.co/IbHlTBWEst</t>
  </si>
  <si>
    <t>1413501151484563456</t>
  </si>
  <si>
    <t>Sayın Cumhurbaşkanımızın teşrifleriyle; Diyarbakır Toplu Açılış Törenindeyiz. https://t.co/bFbPoL7DDG</t>
  </si>
  <si>
    <t>1413498337139953670</t>
  </si>
  <si>
    <t>37 MİLYON 250 BİN KİŞİ en az bir doz aşısını oldu. Böylece 18 yaş ve üstü nüfusta ilk doz aşısı yapılanların oranı %60’A ULAŞTI. Birinci, ikinci, üçüncü dozların toplam sayısıysa 56 Milyonun üzerinde. Randevu alın, bir an evvel siz de aşınızı yaptırın.</t>
  </si>
  <si>
    <t>1413401449212661760</t>
  </si>
  <si>
    <t>Mavi olmaya yaklaşan illerimizin sayısı artıyor. Aşı ile tam bağışıklık sağlanabilmesi için biran evvel aşınızı olun. https://t.co/QzUJWGU64A</t>
  </si>
  <si>
    <t>1413188024347807756</t>
  </si>
  <si>
    <t>Aşı olmak, düşmanı bize saldırmadan tanımaktır. Ertelemesi riskli. Randevu alıp, Covid-19 aşımızı yaptıralım.</t>
  </si>
  <si>
    <t>1413102522982703107</t>
  </si>
  <si>
    <t>İlk doz aşısını son 10 gün içinde yaptıranların, yani AŞI OLMAYA KARAR VERİP randevu alanların sayısı 4 MİLYON 330 BİNİ geçti. Hızlı hareket etmek hepimize güç verir, zaman kaybetmek riske karşı korunmasız düşürür. Hem sizi hem çevrenizde aşı olmayan diğer kişileri.</t>
  </si>
  <si>
    <t>1413063090883776513</t>
  </si>
  <si>
    <t>Son 10 günde yapılan aşı sayısı 8 milyon dozu geçti.</t>
  </si>
  <si>
    <t>1413056772655484932</t>
  </si>
  <si>
    <t>Engin Altan Düzyatan: Sağlığımızın önemini biliyorduk… Ama toplumsal sağlığın ne kadar değerli olduğunu pandeminin acı deneyimleriyle öğrendik. Neyse ki, artık çok güçlü bir çözümümüz var. Toplumsal bağışıklığımızı bir an önce kazanmamız için lütfen aşı olun. https://t.co/OoBDFcArMo</t>
  </si>
  <si>
    <t>1413045799727112194</t>
  </si>
  <si>
    <t>Zeynep Bastık: Birbirimize kavuşmayı, birlikte gülüp eğlenmeyi o kadar özlemiştik ki... Aşıyla birlikte hayatlarımız tekrar normale dönmeye başladı. Ama tehlike hâlâ geçmiş değil. Lütfen aşılarımızı olalım, aynı sıkıntıları bir daha yaşamayalım. https://t.co/4FDjbOLkRI</t>
  </si>
  <si>
    <t>1413038061328478208</t>
  </si>
  <si>
    <t>Didim’deki Devlet Hastanemizin Covid-19 servisi ve aşılama biriminde çalışan Hemşire Yeter Alaçam, annesiyle yeğenini bir hafta arayla kaybetmesine rağmen, izin almadan, kısa süre sonra görevine devam etti. Salgını en iyi bilen, sağlıkçılar. Aşı olmanın, aşı yapmanın önemini de! https://t.co/By1Ko7TT0U</t>
  </si>
  <si>
    <t>1412869225618755588</t>
  </si>
  <si>
    <t>Aşı ile toplumsal bağışıklık sağlanana kadar kişisel tedbirlerimizden taviz vermeyelim. Bir an evvel aşımızı olalım. https://t.co/x70fN3y1DZ</t>
  </si>
  <si>
    <t>1412860331328745481</t>
  </si>
  <si>
    <t>Vatandaşlarımız hastalığı geçirmiş olsalar da iki doz aşı yaptırarak da aşı sertifikasını oluşturabilirler. https://t.co/r1wDLSmfVR</t>
  </si>
  <si>
    <t>1412855311979982851</t>
  </si>
  <si>
    <t>Üçüncü doz aşı konusunda ise inaktif aşı olan 50 yaşından büyük vatandaşlarımız ve Sağlık çalışanlarımız 3. Doz aşılarını istedikleri aşı türü ile olabilirler. https://t.co/3tQwvVEfeE</t>
  </si>
  <si>
    <t>1412852441465430021</t>
  </si>
  <si>
    <t>Hastalığı geçirmiş ve üzerinden 3 aydan uzun süre geçmiş vatandaşlarımız aşılarını olabilirler. Hastalığı zaten geçirmiş olan kişilerde hatırlatma aşısının yeterli olacağı Bilim Kurulumuzca değerlendirilmiştir. https://t.co/wWzWqCyHpJ</t>
  </si>
  <si>
    <t>1412849421553963012</t>
  </si>
  <si>
    <t>Başarılı bir aşı programı salgından kurtulmuş kutlu bir Türkiye demektir. https://t.co/mmK5l6qMyh</t>
  </si>
  <si>
    <t>1412841199094972422</t>
  </si>
  <si>
    <t>Harita kırmızıdan maviye dönecek. Aşı programının başarıya ulaşma hızı salgını gündemden çıkarma süremizi belirleyecek. Aşınızı olarak mücadeleye katılın. https://t.co/0Z7XEOAKcj</t>
  </si>
  <si>
    <t>1412833602421862405</t>
  </si>
  <si>
    <t>CANLI: Bilim Kurulu Toplantımızın ardından Basın Açıklamamız:
https://t.co/gwBAsEb10I</t>
  </si>
  <si>
    <t>1412826747213647872</t>
  </si>
  <si>
    <t>Bugün 863 Bin 433 doz aşı yapıldı. Yarın randevu alın, Covid-19’a karşı şartları siz de lehinize çevirin!</t>
  </si>
  <si>
    <t>1412523517556498441</t>
  </si>
  <si>
    <t>Salgının seyri değişiyor. Aşı ile toplumsal bağışıklık sağlanana kadar mücadele devam edecek. Yarını bugünden güvence altına alalım. Henüz aşınızı olmadıysanız lütfen acele edin. https://t.co/RVlhe7786O https://t.co/uspcG0WCQB</t>
  </si>
  <si>
    <t>1412450526206304257</t>
  </si>
  <si>
    <t>ANNE KIZ AŞIDA. 26 yıllık hemşire Ülkü Arslan, Aydın Devlet Hastanesinde görevli. Covid-19’a yakalandığında hastalığı kızına da bulaştırdı. Sağlığına kavuşunca kızının aşısını kendi elleriyle yaptı. Çalıştığı poliklinikte günde ortalama 2.400 kişiye aşı uygulanıyor. https://t.co/tH0BVfBBpp</t>
  </si>
  <si>
    <t>1412394893587140608</t>
  </si>
  <si>
    <t>Son bir haftada vaka sayısı en çok azalan illerimiz; Gümüşhane, Eskişehir, Artvin, Denizli ve Bartın. Salgının sonu aşı ile geliyor. Yarına bugünden daha güvenli bakabilmek için aşınızı olun. https://t.co/IvwPgEz03V</t>
  </si>
  <si>
    <t>1412335938399870978</t>
  </si>
  <si>
    <t>İllerimizde 100.000 nüfusa karşılık gelen bir haftalık toplam vaka sayısını gösteren insidans haritasının güncel halini ekte görebilirsiniz. Salgının sonu aşı ile geliyor. Yarına bugünden daha güvenli bakabilmek için aşınızı olun. https://t.co/Zq768qVpYb</t>
  </si>
  <si>
    <t>1412334518917337089</t>
  </si>
  <si>
    <t>-"Sen bu dağ başına nasıl gelmişsin, ne için gelmişsin? Onu söyle."
-"Senin için geldik amca, aşını yapacağız." https://t.co/OMNdVngae6</t>
  </si>
  <si>
    <t>1412312371645779969</t>
  </si>
  <si>
    <t>Bugün 1 milyon 81 Bin 352 doz aşı uygulandı.
Yarın sabah yeni randevularla bu sayıyı aşalım.</t>
  </si>
  <si>
    <t>1412163880588042245</t>
  </si>
  <si>
    <t>Kütahya'da otogarda görevli bir sağlık personelimiz mizahi bir tavırla vatandaşlarımızı aşıya davet ediyordu. Hizmetlerimiz her yerde ancak aşı ciddi bir konudur. Personelimizin soruşturulmasını gerektiren bir durum yok. Ancak aşıyı hepimiz ciddiye almak zorundayız.</t>
  </si>
  <si>
    <t>1412130010060705799</t>
  </si>
  <si>
    <t>BUGÜNKÜ 1 MİLYONUNCU DOZ 
Aşı Yaptıran: Seçil Hoşnut, 29 Yaşında 
Aşıyı Yapan Hemşire: Şadiye Gamze İnceoğlu 
Aşıdan Sorumlu Hekim: Ferah Arslan
Aşının Uygulanma Zamanı: 19:21
Yer: Nazilli Devlet Hastanesi https://t.co/DNOIT2sJmy</t>
  </si>
  <si>
    <t>1412122508166377480</t>
  </si>
  <si>
    <t>Aşı programının lideri Muğla ilimiz. Tüm illerimiz maviye dönene kadar gayret edeceğiz. Salgın gündemimizden çıkıyor. https://t.co/RVlhe7786O https://t.co/pAxEQQCeMF</t>
  </si>
  <si>
    <t>1412119328598659073</t>
  </si>
  <si>
    <t>Hemşire Saliha Aybastı Ordu’da Toplum Sağlığı Merkezinde görevli. Eşi diş hekimi. Salgının zor günlerinde tedavi olamayan hastalarına yetişmekte zorlanınca aşıyı ertelemiş. Sonuç: Ekibiyle sahada olan hemşire hanım “yerinde aşı” yaptı. (Not: Bazı mesleklerde aşı çok daha önemli!) https://t.co/veObo0Qktn</t>
  </si>
  <si>
    <t>1412114794732212229</t>
  </si>
  <si>
    <t>İLK VAKA görüldüğünde tüm ülke endişeye kapıldı. Şu an, bulaşıcı hastalıktan kişisel olarak korunmak ve toplumsal bağışıklığı sağlamak için 36 Milyon kişi aşısının en az 1 dozunu yaptırmış durumda. 1 vaka tehlike demekti. 36 MİLYON güvendir. Bu güveni büyütelim.</t>
  </si>
  <si>
    <t>1412107351184793606</t>
  </si>
  <si>
    <t>RT @RTErdogan: Kabine Toplantısı Sonrası Millete Sesleniş
https://t.co/KFZOek4yHz</t>
  </si>
  <si>
    <t>1412088844720168962</t>
  </si>
  <si>
    <t>Henüz 24 saat dolmadan, 1 MİLYON KİŞİNİN DAHA ilk veya yeni doz aşısı yapıldı. Türkiye, bulaşıcı Covid-19 hastalığına karşı bağışıklık kazanma konusunda kararlı.</t>
  </si>
  <si>
    <t>1412086904259026944</t>
  </si>
  <si>
    <t>Artık vaka sayılarını ve aşı programının seyrini yeni bir ekrandan izleyeceğiz. Daha önce paylaştığımız tüm detayları ise haftalık raporlar halinde yayınlamaya devam edeceğiz. İller aşı olmada yarışacak. https://t.co/RVlhe7786O https://t.co/l3q5lXvMvV</t>
  </si>
  <si>
    <t>1411771996459913218</t>
  </si>
  <si>
    <t>HAVALİMANLARI VE SINIR KAPILARIMIZDA AŞI. 48 havalimanından 38’inde yurt dışından gelen vatandaşlarımıza 1. veya 2. doz aşı hizmeti sunuyoruz. 4 ilimizdeki kara sınır kapılarında şu an aşı hizmeti var. İki sınır kapımız ve 2 havalimanında aşı pazartesi başlıyor. Sayılar artacak.</t>
  </si>
  <si>
    <t>1411658529648398347</t>
  </si>
  <si>
    <t>Doğum Tarihi: 3.07.2021
Doğum Yeri: Ambulans
Afyonkarahisar'ın Sandıklı ilçesinde bu sabah bir bebek dünyaya beklenenden erken geldi. Anneyi hastaneye götüren sağlık görevlileri, doğumu ambulansta yaptırmak zorunda kaldı. Aileyi, acil sağlık ekibimizi kutluyorum. Gözünüz aydın. https://t.co/1GH2qBe0Hh</t>
  </si>
  <si>
    <t>1411439024015921157</t>
  </si>
  <si>
    <t>SERPİL HEMŞİRE ÇOĞUMUZDAN İYİ BİLİR. Aşı niçin bu denli önemli? Geçen yılın Kasım ayında annesi, babası, oğlu, kendisi Covid-19’a yakalandı. Şu an Kocaeli Devlet Hastanesi Aşı Polikliniğinde çalışıyor. Ve ne kadar çok aşı yapabiliyorsa o kadar mutlu! https://t.co/Hpl7VUdsu9</t>
  </si>
  <si>
    <t>1411424692557262852</t>
  </si>
  <si>
    <t>Keşke bugünlerde aramızda olsaydın. 
21 yıl önce bugün, 56 yaşında vefat eden Kemal Sunal’ı rahmetle anıyoruz. https://t.co/cNwWGQd18E</t>
  </si>
  <si>
    <t>1411234010630660099</t>
  </si>
  <si>
    <t>Covid-19, Covid-Sıfıra nasıl iner?
Sonuca yakın tek çözüm, aşı!</t>
  </si>
  <si>
    <t>1411083581028540417</t>
  </si>
  <si>
    <t>Saat 24’e kadar 1 Milyon 171 Bin 305 doz aşı uygulandı.
Sağlıklı, endişesiz günlere bir gün daha yaklaştık!</t>
  </si>
  <si>
    <t>1411077989081702401</t>
  </si>
  <si>
    <t>Koronavirüs salgınına karşı yurt çapında sürdürdüğümüz aşı seferberliği büyük destek görüyor. Yeni örneklerden birini Batman’da yaşadık. Gercüş’ün Kırkat köyüne giden İl Sağlık Müdürlüğü aşı ekiplerimize, köy imamı, köy halkına yaptığı anonsla destek verdi. https://t.co/s9I0SRgsNT</t>
  </si>
  <si>
    <t>1411069977042505737</t>
  </si>
  <si>
    <t>Açılışı Sayın Cumhurbaşkanımızın teşrifleriyle yapılan Sakarya Kadın Doğum ve Çocuk Hastanesi ek binasında 27 Kadın Doğum, 26 Çocuk Polikliniği ve 5 ameliyathane bulunuyor. Toplam yatak kapasitesi 370. Sağlığa yatırım hizmet ve güven demek. İyi olmak için sebepler artıyor. https://t.co/7GXxdKr8I3</t>
  </si>
  <si>
    <t>1411024381141209096</t>
  </si>
  <si>
    <t>Bugünkü 1 Milyonuncu doz aşı, Kuşadası Devlet Hastanesinde yapıldı. Makbule Handan Hanımın aşısını sorumlu hekim Yusuf Kuyucu’nun gözetiminde, sağlık personelimiz Utku Karaçay uyguladı. Aşı olmakla en iyisini yaptınız Makbule Hanım. Çevrenizden aşı olmayan varsa bekliyoruz. https://t.co/l2Uaubg8cM</t>
  </si>
  <si>
    <t>1410992987350487041</t>
  </si>
  <si>
    <t>Kartal Tibet hayata veda etti. İzleyici onu jön olarak tanıdığı Yeşilçam efsaneleri kadar, yönettiği filmler, dizilerle de sevmişti. Bir röportajında, “rol” yerine doğallık taraftarı olduğunu söylüyor. Ve hayatın kötülük yapmak için kısa, insanın fani olduğunu. Nur içinde yatsın. https://t.co/MOOW9O90r7</t>
  </si>
  <si>
    <t>1410973329037709315</t>
  </si>
  <si>
    <t>RT @RTErdogan: Sakarya'da Yapımı Tamamlanan Projelerin Resmî Açılış Töreni https://t.co/XtYcDNHjLE</t>
  </si>
  <si>
    <t>1410943444516753410</t>
  </si>
  <si>
    <t>Sayın Cumhurbaşkanımızın teşrifleriyle; Sakarya Kadın Doğum ve Çocuk Hastanesi Açılış Programı’nı gerçekleştiriyoruz.
📍SAKARYA https://t.co/di4Y5IbOPy</t>
  </si>
  <si>
    <t>1410940195583758342</t>
  </si>
  <si>
    <t>AİLE HEKİMLİKLERİMİZ, pandemiye karşı baştan beri büyük bir mücadele veriyor. Aşı uygulamasında da ön sıralardalar. Hedefimiz, hizmet verdikleri ailelerde aşısız kimsenin kalmaması. Bakanlığımız, aile hekimliklerimizin başarılarını, toplumumuz adına karşılıksız bırakmayacak.</t>
  </si>
  <si>
    <t>1410893751891935234</t>
  </si>
  <si>
    <t>Sabah randevu, gün içinde aşı? 
Yanlış okumadınız. Bugün bekliyoruz.</t>
  </si>
  <si>
    <t>1410823437258563587</t>
  </si>
  <si>
    <t>Bugün 50 Milyon doz aşıyı geçtik. En az bir doz aşısı yapılan kişi sayısı 35 Milyondan fazla: 18 yaş ve üzeri nüfusumuzun %57 kadarı aşılanmış durumda. Bayrama kadar hedefimiz %70. Aşı ihmale gelmez. Aşımızı yaptırmaya öncelik tanıyalım.</t>
  </si>
  <si>
    <t>1410692761926373389</t>
  </si>
  <si>
    <t>Ordu Üniversitesi Eğitim Araştırma Hastanesinde 75.000’inci doz aşının yapılış anı. Hemşire Çiğdem Aydın; eşi, oğlu, anne ve babasıyla birlikte Covid-19 geçirmişti. Şimdi aşılama biriminde gönüllü çalışıyor. Şahsınızda aşı biriminin tüm çalışanlarını kutluyoruz Çiğdem Hanım. https://t.co/099ERFGHLI</t>
  </si>
  <si>
    <t>1410667066550542336</t>
  </si>
  <si>
    <t>RT @RTErdogan: Koronavirüs salgınıyla mücadelede en etkili silahımız olan aşıda, hamdolsun, 50 MİLYON dozu aştık. Hayırlı uğurlu olsun. htt…</t>
  </si>
  <si>
    <t>1410524610139938816</t>
  </si>
  <si>
    <t>Doktor olmak isteyen kızının ilk doz aşısını hemşire annesi yaptı. Esma 18 yaşında. Annesi Meral Hanım, Batman 112 Acilde çalışıyor. Anne kızı buluşturan, yerinde aşı uygulamasında bir AVM idi. Esma, sağlık çalışanları olarak seni aramıza bekliyoruz. Hiç yabancılık çekmeyeceksin! https://t.co/eaKueFiv5F</t>
  </si>
  <si>
    <t>1410501742190641152</t>
  </si>
  <si>
    <t>İzmir Kâtip Çelebi Üniversitesi Atatürk Eğitim ve Araştırma Hastanesi Aşı Ünitesinde çalışan Hemşire Betül Dağ dün 300 Covid-19 aşısı yaptı. Eşi hemşire Özgür Dağ, Covid Acilde çalışıyor. Dün ilgilendiği hasta sayısı 250. Bu özveriye karşılık tek beklentileri aşıya daha çok ilgi. https://t.co/62NQTInuMx</t>
  </si>
  <si>
    <t>1410329459941588999</t>
  </si>
  <si>
    <t>Bugün, bilimler tarihi alanında yaptığı çalışmalarla geriye eşsiz bir miras bırakan, İslam âlimlerinin mühendislik harikası buluş ve eserlerini bu çağda gün ışığına çıkaran Prof. Dr. Fuat Sezgin hocamızın vefatının 3. yıl dönümü. Nur içinde yatsın. Eserleri hep göz önünde olsun. https://t.co/rLfcbEU1Tg</t>
  </si>
  <si>
    <t>1410319455327068164</t>
  </si>
  <si>
    <t>Bilmenizi isterim ki zor günlerde büyük işlerin üstesinden birlikte geldik. Birlikte sabrettik, birlikte mücadele ettik ve zafere birlikte yürüyoruz. Salgına son darbeyi vuracak olan, aşı ile toplumsal bağışıklığı elde etmektir. https://t.co/Miax2Fqe1g</t>
  </si>
  <si>
    <t>1410317527817859083</t>
  </si>
  <si>
    <t>Çocukluk çağı aşılarında ülkemiz %98 gibi bir aşılama oranına sahiptir. Böyle bir ortamda aşı karşıtlığından bahsetmek sadece küçük bir zümreyi cesaretlendirmeye yarar. https://t.co/MriQRxieXb</t>
  </si>
  <si>
    <t>1410308403130474497</t>
  </si>
  <si>
    <t>9 aydır aşıya en doğru koşullarda ulaşmak için gayret eden bu devletin kurumlarıdır. Bu devlet gücünü ispata muhtaç olmayacak kadar büyük ve güçlüdür. Bu güce güvenin derken bu özgüvenle sesleniyoruz. https://t.co/pSurczWr6A</t>
  </si>
  <si>
    <t>1410304557662584836</t>
  </si>
  <si>
    <t>Elde edilen yeni veriler ışığında Biontech aşısının ilk dozunu olan vatandaşlarımız ikinci dozlarını 4 hafta sonra olabilecek şekilde randevu abilirler. https://t.co/ErpSU2wdSI</t>
  </si>
  <si>
    <t>1410302509491568653</t>
  </si>
  <si>
    <t>Hastalığı geçirmiş olan vatandaşlarımız hatırlatma dozu olarak aşıyı hastalığın üzerinden 3 ay geçtikten sonra olabileceklerdir. https://t.co/EpoE5OOGOy</t>
  </si>
  <si>
    <t>1410300889068343303</t>
  </si>
  <si>
    <t>İki doz aşı olmuş 50 yaş ve üzeri vatandaşlarımız ile sağlık çalışanlarımız yarından itibaren istedikleri aşı ile 3. Doz aşılarını olmak üzere randevu alabileceklerdir. https://t.co/AdrpDrABCn</t>
  </si>
  <si>
    <t>1410298804323164167</t>
  </si>
  <si>
    <t>CANLI: Bilim Kurulu Toplantımızın ardından Basın Açıklamamız: https://t.co/4ECqhpps5Y</t>
  </si>
  <si>
    <t>1410284913195114496</t>
  </si>
  <si>
    <t>Yurtdışından Türkiye'ye girişlerde aşı kartı, PCR negatif test sonucu ve/veya hızlı antijen negatif test sonucu ibrazı zorunludur. Bunun dışında bir serbestlik uygulamamız yoktur. https://t.co/i51G8mNupC</t>
  </si>
  <si>
    <t>1409991344215543808</t>
  </si>
  <si>
    <t>Türkiye iddia edildiği gibi başka ülkelerin almadığı aşıları değil biontech firmasının Türkiye için ürettiği aşıları temin ediyor. Aşıları Türkiye ve Almanya'ya Biontech, diğer ülkelere pfizer teslim ediyor. Biz bize üretilen aşıları teslim alıyoruz. 9 ay boyunca buna çabaladık. https://t.co/w7pDHNpElV</t>
  </si>
  <si>
    <t>1409985460101865472</t>
  </si>
  <si>
    <t>Şehir hastanelerimiz kamunun malıdır. Satılması da devredilmesi de söz konusu değildir. İznimiz olmadan işletmeci değişikliği de mümkün değildir. https://t.co/hiYK6FIHkf</t>
  </si>
  <si>
    <t>1409979139143110659</t>
  </si>
  <si>
    <t>HER 4 KİŞİDEN BİRİNİN AŞISI TAMAMLANDI. Çift doz aşısı yapılanların sayısı bugün öğle saatlerinde 15 Milyona ulaştı. 18 yaş ve üstü nüfusumuzun %25’i artık aşılı. Salgına karşı gücümüzün artması oranın yükselmesine bağlı. Aşımızı yaptıralım.</t>
  </si>
  <si>
    <t>1409879808427888645</t>
  </si>
  <si>
    <t>Tren ve otobüs garlarında oluşturduğumuz merkezlerde aşı hizmeti  başladı. İlk uygulama Ankara’da. Aşı olmak isteyenlerin kolunu sıyırması yeterli.</t>
  </si>
  <si>
    <t>1409830103668998148</t>
  </si>
  <si>
    <t>Bartın’daki gezici aşı ekibimiz, 18 yaşındaki Furkan’la yolda karşılaştı. Aşı olmak isteyip istemediğini sordular. Aşısı hemen orada yapıldı. Elinde dondurma olduğu için maskesini indirmişti. Tekrar takmayı unutmuş. Böylesi bir anda bu kadarı olur. (Ekip, aşıya devam!) https://t.co/QkX6J8962M</t>
  </si>
  <si>
    <t>1409817730065354754</t>
  </si>
  <si>
    <t>1 Milyon 44 Bin 263 kişi bugün aşı yaptırdı.
Randevunuzu alın, siz de aşınızı yaptırın.</t>
  </si>
  <si>
    <t>1409619684048179202</t>
  </si>
  <si>
    <t>Başkalarının yaptırdığı aşı sizin sağlığınızı korumaz. Lütfen aşınızı yaptırın.</t>
  </si>
  <si>
    <t>1409609008525283332</t>
  </si>
  <si>
    <t>BUGÜN 1 MİLYONUNCU DOZ AŞI, 21.04’te Ankara Gülhane Eğitim ve Araştırma Hastanesinde yapıldı. Aşıyı uygulayan arkadaşımız Hemşire Esma Alay, tüm çalışma arkadaşlarımız gibi herkesi aşıya bekliyoruz diyor. “Bütün ülke aşılanırsa, bu virüsten kurtuluruz.” https://t.co/QzkA5KRign</t>
  </si>
  <si>
    <t>1409606428617232387</t>
  </si>
  <si>
    <t>Yağmur hemşire Covid-19 servisinde görevli. Hastalarıyla ilgilenirken kendi babasının yanında olamamış. Eşi hekim. Dün görevli olmadığı halde 9 saat aşılamada Yağmur hanıma yardım etmiş. Bu fedakârlıkların ardında acı tecrübeler var. Yağmur hanım, aşınızı olun derken çok haklı. https://t.co/EN5V76rB9T</t>
  </si>
  <si>
    <t>1409563389626572800</t>
  </si>
  <si>
    <t>Meliha bebeğe 13.20 civarında Sivas Koyulhisar Devlet Hastanesinde aspirasyon pnömonisi ön tanısı kondu. Hava ambulans Sivas’tan 13.40’ta kalktı, 14.08’de Koyulhisar’a ulaştı. Meliha 14.47’de Sivas Numune Hastanesi Pediatri Acilde tedavi altına alındı. Bu ekipten mutlusu var mı? https://t.co/7mpbFMtbeX</t>
  </si>
  <si>
    <t>1409550147017654280</t>
  </si>
  <si>
    <t>Son bir haftada vaka sayısı en çok azalan illerimiz; Bolu, Kastamonu, Muş, Yozgat ve Tokat. Vaka sayılarının azalması normalleşme cesaretimizi artırıyor. Aşı ile endişeden kurtulacağız. Aşımızı yaptıralım. https://t.co/HtVJlZv5lD</t>
  </si>
  <si>
    <t>1409539360496758791</t>
  </si>
  <si>
    <t>İnsidans haritamızın güncel şekli, illerimizde 100.000 nüfusa karşılık gelen haftalık toplam vaka sayısını gösteriyor. Vaka sayılarının düşüş hızı azalsa da bu durum normalleşmeye engel değil. Aşı, endişesiz günlere dönüşün olmazsa olmazıdır. Aşımızı yaptıralım. https://t.co/V5RE5lUGRc</t>
  </si>
  <si>
    <t>1409537614781161481</t>
  </si>
  <si>
    <t>Gün gelir herkes aşı olduğu günü unutur. Ama bazı aşı hikâyeleri unutulmaz. İşte Egemen’in hikâyesi: https://t.co/xuc58orI4Z</t>
  </si>
  <si>
    <t>1409212959621013513</t>
  </si>
  <si>
    <t>4.883 vaka sayısı, aşısını yaptıranların gurur tablosu sayılmalı.</t>
  </si>
  <si>
    <t>1409193201727070214</t>
  </si>
  <si>
    <t>Saat 18.10’da bugüne kadar yapılan toplam aşı sayısı 47 milyon dozu geçti. 18 yaş üstü nüfusumuzun %54’ü en az bir doz aşı yaptırmış durumda.</t>
  </si>
  <si>
    <t>1409185266800152578</t>
  </si>
  <si>
    <t>Hemşire arkadaşımız Uğur Demirel, Gaziantep-Şahinbey’de aşıların bir an önce tamamlanması için çalışıyor. Covid-19 yoğun bakım biriminde görevli meslektaşı Sare Hanımla nişanlı, Temmuza düğün tarihi aldılar: Düğünden önce, aşı salgına karşı üstünlük kazanmalı. https://t.co/3XvAh9Hrtx</t>
  </si>
  <si>
    <t>1409164554626605059</t>
  </si>
  <si>
    <t>Kıvanç Tatlıtuğ: Bence dünyada asıl hayran olunması gereken insanlar, bilim insanları ve sağlık çalışanları. Onların fedakârlıkları sayesinde hayata tutunduk, umutlarımızı koruduk. Şimdi sıra bizde. Aşı olalım. https://t.co/ISxIhvHkQY</t>
  </si>
  <si>
    <t>1409135532987371522</t>
  </si>
  <si>
    <t>Cedi Osman: Siz sahada olmayı özlediniz, biz ise seyirci desteğini yanımızda hissetmeyi… Güzel günler için siz de aşınızı olun, Koronavirüs’e karşı kazanan taraf biz olalım. https://t.co/RlcQcTpJjQ</t>
  </si>
  <si>
    <t>1409117692267839490</t>
  </si>
  <si>
    <t>Aşı, normal hayatın olmazsa olmazıdır. Ertelemişsek aşımızı hemen yaptıralım.</t>
  </si>
  <si>
    <t>1409087477864976387</t>
  </si>
  <si>
    <t>Ebru Ulu, 13 yıllık hemşire. Kasımda Covid-19’a yakalandı. Aynı hastalık sebebiyle babasını kaybetti. Halen Balıkesir Atatürk Şehir Hastanesinde görevli. Çalıştığı Covid-19 aşı polikliniğinde günde 2.000 doz aşı yapılıyor. Yerinde olsanız, siz de canla başla çalışmaz mıydınız? https://t.co/zGpp9dIBPO</t>
  </si>
  <si>
    <t>1408786258160201731</t>
  </si>
  <si>
    <t>Aşı yaptırmak üzere, dün saat 24’e kadar sağlık kurumlarımıza 997 BİN kişi geldi, 997 bin doz aşı yapıldı. Zaman kaybetmeden aşı olmanın önemini bilseler, şu an aşılarını erteleyenler, aşı yaptıranlara teşekkür eder. Bekleyip risk almayalım. Randevumuzu alıp, aşımızı olalım.</t>
  </si>
  <si>
    <t>1408685282497548288</t>
  </si>
  <si>
    <t>Sınava giren gençler, hepinize başarılar diliyorum. Unutmayın, doğrulara doğru diyen daima kazanır.</t>
  </si>
  <si>
    <t>1408634702399946757</t>
  </si>
  <si>
    <t>Bingöl’ün Kiğı ilçesinde, çevre illerimizde de hissedilen 5,2 büyüklüğünde bir deprem yaşandı. Şükürler olsun, can kaybımız, yaralımız yok. Bölge halkımıza geçmiş olsun dileklerimi sunuyorum. İhtiyaç anında bir çağrınızla yanınızdayız. Allah hepimizi afetlerden korusun.</t>
  </si>
  <si>
    <t>1408518184098009093</t>
  </si>
  <si>
    <t>Elazığ Fethi Sekin Şehir Hastanesi. Eda hemşire tedavisi halen devam eden bir rahatsızlığı olduğu halde görevinin başında. Covid-19’u da iyi biliyor, bizzat yaşadı. Yaptığı on binlerce aşıyla mücadelemizde yer aldı. Arkadaşlarımızın fedakârlıkları aşı için en anlamlı çağrıdır. https://t.co/ntlcOAawd8</t>
  </si>
  <si>
    <t>1408469560987197440</t>
  </si>
  <si>
    <t>Okan Bayülgen: Ben de yerli yabancı aşı karşıtı yazıları okudum, videoları izledim. Biliyorum birçok kişinin aklı çeliniyor. Sonra doktor arkadaşlarıma sordum. Covid-19’un ölümcül etkilerine karşı aşı olmaktan başka çaremiz yok. Ben doktorlara inanıyorum. https://t.co/hSUVYfm8eN</t>
  </si>
  <si>
    <t>1408448933081366531</t>
  </si>
  <si>
    <t>Yaz döneminde 18 yaş üstü herkes aşılanabilir dediğimizde, yaz bitiminde nasıl olsa yüzü kızarmayacak diyenler, umarız bugünlerde sık sık güneşe çıkıyorlar.</t>
  </si>
  <si>
    <t>1408439558140792837</t>
  </si>
  <si>
    <t>Genç normale hazırlık başladı. Arkadaşlar heyecanlı. https://t.co/6IqGZlPkqI</t>
  </si>
  <si>
    <t>1408433610479357954</t>
  </si>
  <si>
    <t>Aşı sırası gelip, en az 1 doz aşı yaptıranların oranı yükseliyor. Salgın hastalıkları kontrol altına alabilmenin en etkili yolu dün olduğu gibi bugün de aşıdır. Sağlığınız için siz de kolları sıvayın. https://t.co/VPJpemFLIX</t>
  </si>
  <si>
    <t>1408329468381388800</t>
  </si>
  <si>
    <t>Candan Erçetin: Müziğin kaldığı yerden devam etmesi ve çocuklarımızın yüz yüze eğitime kavuşması bir an evvel aşı olmamıza bağlı. İhmal etmeyin, ertelemeyin ki yine birlikte şarkılar söyleyelim. https://t.co/kqKQkIk1PU</t>
  </si>
  <si>
    <t>1408113859265765383</t>
  </si>
  <si>
    <t>Gençler, aşılanıp hayata karışalım. Randevularda yaş sınırı 18’e indi. İlk gün yarın!</t>
  </si>
  <si>
    <t>1408079814662275075</t>
  </si>
  <si>
    <t>Herkes kendi kişisel güvenlik çemberini oluşturarak bir süre daha dikkatli olmalı ve vakit geçirmeden aşısını olmalı. https://t.co/SKchwOMsgt</t>
  </si>
  <si>
    <t>1408002580941266945</t>
  </si>
  <si>
    <t>Bugün küresel ölçekte en az 3,9 milyon insan covid-19 sebebiyle hayatını kaybetti ancak, doğrulanmamış vakalar ve sağlık hizmetine erişimin kısıtlanması gibi dolaylı nedenlerle, 10 milyonun üzerinde ölümde covid-19 ve onun yıkıcı etkisi olduğu değerlendiriliyor. https://t.co/lLaPjqsuvk</t>
  </si>
  <si>
    <t>1407994243642236931</t>
  </si>
  <si>
    <t>Aşı ile salgından tamamen kurtulmanın eşiğindeyiz. https://t.co/R9Li6Oi9dA</t>
  </si>
  <si>
    <t>1407986469227184133</t>
  </si>
  <si>
    <t>Bildiğiniz gibi dünyanın en hızlı aşılama programlarından birini yürütüyoruz. https://t.co/CT3zsPJVkE</t>
  </si>
  <si>
    <t>1407978760910131200</t>
  </si>
  <si>
    <t>Cuma gününden itibaren; 18 yaşından gün almış olan herkes randevu alabilir olacak. https://t.co/GMPcEOB9No</t>
  </si>
  <si>
    <t>1407973122674937859</t>
  </si>
  <si>
    <t>Bilim Kurulu Toplantımızın ardından Koronavirüs ile ilgili son gelişmelere ilişkin basın açıklamamız.
📍Sağlık Bakanlığı
https://t.co/IDwAOlOSaq</t>
  </si>
  <si>
    <t>1407733705121189894</t>
  </si>
  <si>
    <t>Cem Yılmaz: “Sağlıklı günlerimize geri dönebilmek için lütfen aşılarımızı olalım.” Salgın hastalıkları kontrol altına alabilmenin en etkili yolu dün olduğu gibi bugün de aşıdır. SAĞLIĞIMIZ İÇİN KOLLARI SIVAYALIM. https://t.co/z8gF2NnrlG</t>
  </si>
  <si>
    <t>1407694675750883328</t>
  </si>
  <si>
    <t>Dr. Mehmet Öz: “Pandeminin sonunu getirmek ve geleceğe sağlıklı bakmak için mutlaka aşı olalım.” Salgın hastalıkları kontrol altına alabilmenin en etkili yolu dün olduğu gibi bugün de aşıdır. SAĞLIĞIMIZ İÇİN KOLLARI SIVAYALIM. https://t.co/KucvTEJOTX</t>
  </si>
  <si>
    <t>1407608735871258625</t>
  </si>
  <si>
    <t>Haluk Bilginer: “Aşıyla pandemi son bulacak, perdelerimiz yine açılacak. Bugün alkışlar bize değil, hepimizin sağlığını koruyarak aşı olanlara…” Salgın hastalıkları kontrol altına alabilmenin en etkili yolu dün olduğu gibi bugün de aşıdır. SAĞLIĞIMIZ İÇİN KOLLARI SIVAYALIM. https://t.co/cTY9loLylO</t>
  </si>
  <si>
    <t>1407604564900171778</t>
  </si>
  <si>
    <t>Aşı olanların birbirine güveni artar. Aşımızı hemen yaptıralım.</t>
  </si>
  <si>
    <t>1407600921987764225</t>
  </si>
  <si>
    <t>Aşı olanların kendine güveni artar. Aşımızı hemen yaptıralım.</t>
  </si>
  <si>
    <t>1407594570884464640</t>
  </si>
  <si>
    <t>Ezgi Mola: “Bu kadarı ancak filmlerde olur dediğimiz pek çok şey yaşadık. Aşımızı olalım, hayatımıza kaldığımız yerden sağlıkla devam edelim.” Salgın hastalıkları kontrol altına alabilmenin en etkili yolu dün olduğu gibi bugün de aşıdır. SAĞLIĞIMIZ İÇİN KOLLARI SIVAYALIM. https://t.co/LPkqWCIBbh</t>
  </si>
  <si>
    <t>1407405152374509572</t>
  </si>
  <si>
    <t>Şener Şen: “Sinemalarda, konserlerde, tiyatrolarda yeniden buluşmamız için… Ve normal hayatımıza geri dönmemiz için siz de mutlaka aşınızı yaptırın.” Salgın hastalıkları kontrol altına alabilmenin en etkili yolu dün olduğu gibi bugün de aşıdır. SAĞLIĞIMIZ İÇİN KOLLARI SIVAYALIM. https://t.co/RDl4wjDEzh</t>
  </si>
  <si>
    <t>1407395100884451340</t>
  </si>
  <si>
    <t>Son bir haftada vaka sayısı en çok azalan illerimiz; Kars, Gümüşhane, Bartın, Balıkesir ve Kırklareli. Vaka sayılarında düşüş devam edecek aşı ile bağışıklık kazanacağız. Normalleşmeye devam edeceğiz. Aşı ile bitecek. https://t.co/SQKyIbvYyI</t>
  </si>
  <si>
    <t>1407383712854069254</t>
  </si>
  <si>
    <t>İllerimizde 100.000 nüfusa karşılık gelen bir haftalık toplam vaka sayısını gösteren insidans haritasının güncel halini ekte görebilirsiniz. Vaka sayılarının düşüş hızı azalsa da normalleşmeye engel değil. Aşı ile bitecek. https://t.co/xBYWcpfxQo</t>
  </si>
  <si>
    <t>1407380130796867584</t>
  </si>
  <si>
    <t>Turkovac’ın 3. faz çalışmalarında ilk doz uygulandı. 40 Bin 800 gönüllünün yardımına ihtiyaç duyulduğu halde, E-Nabız üzerinden kısa sürede 846 Bin 451 başvuru oldu. Sonuca inancımız tam. Yakında kendi aşısını üreten ve aşısı dünyada kullanılan sayılı ülkelerden biri olacağız. https://t.co/V6Kz9JAZSh</t>
  </si>
  <si>
    <t>1407374782920790020</t>
  </si>
  <si>
    <t>RT @tcbestepe: Cumhurbaşkanı @RTErdogan: "Türkiye'nin yerli Kovid-19 aşısının adı TURKOVAC."</t>
  </si>
  <si>
    <t>1407322004064190467</t>
  </si>
  <si>
    <t>RT @tcbestepe: Cumhurbaşkanı @RTErdogan, yerli aşının üçüncü fazının ilk doz uygulamasına video konferans yöntemiyle katıldı https://t.co/4…</t>
  </si>
  <si>
    <t>1407319835609083917</t>
  </si>
  <si>
    <t>Gençlik salgına karşı harekete geçsin. Aşı randevularında yaş sınırı 25’e indi. İlk randevular yarın.</t>
  </si>
  <si>
    <t>1407243783000006659</t>
  </si>
  <si>
    <t>AŞI RANDEVULARINDA YAŞ SINIRI 25’E İNDİ. Randevu alan gençler, aşı olmayı ertelemiş büyükleri varsa konuşup, randevu için yardımcı olsun. İlk randevular yarın. Gençlik salgına karşı harekete geçsin.</t>
  </si>
  <si>
    <t>1407240298669948928</t>
  </si>
  <si>
    <t>Normal hayata geçiş için 1 milyon 195 bin 426 doz aşı daha yapıldı. (21 Haziran Pazartesi Aşı Raporu)</t>
  </si>
  <si>
    <t>1407092497822662659</t>
  </si>
  <si>
    <t>BUGÜN 1 MİLYONUNCU AŞI, saat 18.56’da Kütahya Evliya Çelebi Eğitim ve Araştırma Hastanesi’nde yapıldı. Sağlık personelimizden günün sembol ismi, Emine Altuner. Aşıdan sorumlu hekim arkadaşımız, Ömer Çankaya. Aşısını yaptıran Halime Hanım, salgınla mücadele için aramıza katıldı. https://t.co/GDjJS9qwFP</t>
  </si>
  <si>
    <t>1407086450294857729</t>
  </si>
  <si>
    <t>Antalya’nın Aksu ilçesinde görevli 28 yıllık ebe arkadaşımız Serpil Minaz, tüm gün Antalya Havalimanı'ndaydı. Daha önce de Bingöl, Maraş ve İslahiye’de kendi isteğiyle sorumluluk aldı. Aşı olmak isteyen milyonlar bu fedakârlıkları hak ediyor. Serpil Hanımsa binlerce teşekkürü! https://t.co/jZ4dEPaCrI</t>
  </si>
  <si>
    <t>1407071468417077252</t>
  </si>
  <si>
    <t>AŞILAMA HIZINDA EN İYİ PERFORMANS TÜRKİYE’NİN. 14-20 Haziran arasında, Türkiye, Çin ve Almanya’yı geride bırakarak, aşılama hızında en yüksek performansı gösteren ülke oldu. Her gün, aşı programındaki her 100 kişiden ortalama 1,45’inin aşısı yapıldı. (Kaynak: Our World in Data) https://t.co/vl5DmvciWg</t>
  </si>
  <si>
    <t>1407044395615068161</t>
  </si>
  <si>
    <t>RT @RTErdogan: Kabine Toplantısı Sonrası Millete Sesleniş https://t.co/zWauCZEPR9</t>
  </si>
  <si>
    <t>1407007428491743235</t>
  </si>
  <si>
    <t>Geçen Haftanın Aşı Raporu: 14 Haziran saat 00.00’dan 20 Haziran 23.59’a kadar 7 milyon 776 bin 326 doz aşı yapıldı.</t>
  </si>
  <si>
    <t>1406995320563802117</t>
  </si>
  <si>
    <t>Aşı temininde düzenlilik sağlandı. Aşı yapan sağlık personeli sayısından yana da sorunumuz yok. Günde 1,5 Milyon dozu aşıyoruz. Aşınızı randevu alarak yaptırın.</t>
  </si>
  <si>
    <t>1406598693818601475</t>
  </si>
  <si>
    <t>Babalarla evlatlarının Babalar Günü kutlu olsun. https://t.co/RJqBEWGzpT</t>
  </si>
  <si>
    <t>1406564526548467717</t>
  </si>
  <si>
    <t>Randevusuz aşı başvuruları bizi biraz yavaşlatıyor. Yine de günde 1,5 Milyon dozu aşıyoruz. Randevu alarak işi hızlandıralım.</t>
  </si>
  <si>
    <t>1406297464639045632</t>
  </si>
  <si>
    <t>Aşı randevularında yaş sınırı 30’a indi. (Aşıyı erteleyen büyükler de gençlerin arasına karışabilirler.)</t>
  </si>
  <si>
    <t>1406251058356232193</t>
  </si>
  <si>
    <t>AŞI RANDEVULARINDA YAŞ SINIRI 30’A İNDİ. 30 yaş üstü her yaştan gençler yarından itibaren randevu alabilirler.</t>
  </si>
  <si>
    <t>1406247052527517698</t>
  </si>
  <si>
    <t>SAAT 00.00’A KADAR yapılan aşı sayısı: 1 milyon 538 bin 144 doz. Aşı ekibimiz 24 saat boyunca yine en çok şu kelimeyi kullandı: Sıradaki? (Az kelimeyle bu kadar çok şey daha iyi anlatılabilir mi?)</t>
  </si>
  <si>
    <t>1406001981177708550</t>
  </si>
  <si>
    <t>1,5 MİLYONUNCU DOZ KADROSU. Aşı yaptıran: TAHİR ASLAN. Aşıyı yapan sağlık çalışanı: ALİCAN KIŞ. Aşıdan sorumlu hekim: HİLAL KÜNKÜL. Yer: Başakşehir Çam ve Sakura Şehir Hastanesi. Saat: 22.15. Bu hızla Covid-19 yenilmeye mahkûm. https://t.co/jXls5UnlsY</t>
  </si>
  <si>
    <t>1405991812104396801</t>
  </si>
  <si>
    <t>MERSİN’DE BUGÜN en çok aşıyı hemşire MERYEM MAVİ yaptı. 323 aşı yapan hemşire arkadaşımız Mersin Şehir Hastanesi’nde görevli. Meryem Hanım ve doktor olan eşi salgının zor günlerinde Covid-19’a yakalanmışlardı. https://t.co/B7CUfZ1QGo</t>
  </si>
  <si>
    <t>1405977829276278784</t>
  </si>
  <si>
    <t>Yer: İstanbul Bayrampaşa Devlet Hastanesi. Saat: 15.45. Dr. Gülşah Hanım çok mutlu. 40 Milyonuncu aşıyı o yaptı. Yani, yapmıştı. Çünkü şu an 40 Milyon 300 bini aştık. https://t.co/xzrjCpolou</t>
  </si>
  <si>
    <t>1405956699505238020</t>
  </si>
  <si>
    <t>40 MİLYONUNCU DOZA ULAŞTIK. 206 ülke arasında, doz olarak en yüksek sayıda aşıyı yapan 9. ÜLKEYİZ. Sağlık personelimiz gün oluyor dakikada 6.000 kişiye aşı hizmeti veriyor. İmkânlarımız büyük, dayanışmamız yüksek. Sonuçlar sürpriz değil.</t>
  </si>
  <si>
    <t>1405873039464620034</t>
  </si>
  <si>
    <t>Aşı programında yer alan 18 YAŞ ÜSTÜ NÜFUSUN %50’SİNİN tam doz veya ilk doz aşısı tamamlanmış durumda. Program, kısa sürede, beklediğiniz başarıya ulaşacak. Aşısı henüz yapılmayanların sayısında geri sayım başladı</t>
  </si>
  <si>
    <t>1405843323521273858</t>
  </si>
  <si>
    <t>Bugün 1,5 Milyonuncu doz aşı, saat 21.43’te uygulandı. Aşı ordumuz, 2 saat 17 dakika içinde 82 Bin 232 doz aşı daha yaptı. Böylece son 24 saat içinde 1 Milyon 582 Bin 232 doza ulaştık. 24.00 itibariyle yeni günün mesaisi başladı. İçiniz rahat uyuyun. Hayırlı geceler.</t>
  </si>
  <si>
    <t>1405633428834377728</t>
  </si>
  <si>
    <t>1,5 MİLYONUNCU DOZ AŞI, 24 saatin dolmasına 2 saat 17 dakika kala yapıldı. Yer, Tekirdağ Dr. İsmail Fehmi Cumalıoğlu Şehir Hastanesi. Sağlık personeli, Dilek Coşkun. Aşıdan sorumlu hekim, Beraat Özdemir. Dünkü toplam sayı 1 Milyon 416 Bin 795’ti. Bu hız bu işi erkenden bitirecek. https://t.co/XGKURVqTQR</t>
  </si>
  <si>
    <t>1405613172850057224</t>
  </si>
  <si>
    <t>DÜNKÜ EN İYİ PERFORMANS, TÜRKİYE’NİN. Dün, her 1 Milyon kişide günlük aşılama sayısına göre, dünyadaki en yüksek aşılama sayısına ulaştık. 47 bin kişilik aşı ordumuzdan bugün daha da iyi bir sonuç bekleyin.</t>
  </si>
  <si>
    <t>1405585133546115078</t>
  </si>
  <si>
    <t>BUGÜN 1 MİLYONUNCU AŞI, saat 15.20’de, Balıkesir Altı Eylül 14 No’lu Aile Hekimliği Birimi ekibi tarafından yapıldı. Bu kez aşıyı yapan, sorumlu hekim arkadaşımız Süheyla Camcı Diri idi. Aşı kampanyamızda doktorlarımız da kolları sıvamış durumda. Sağ olun. https://t.co/4umtRecNhU</t>
  </si>
  <si>
    <t>1405543681101160453</t>
  </si>
  <si>
    <t>Son bir haftada vaka sayısı en çok azalan illerimiz; Bilecik, Karaman, Malatya, Kastamonu ve Isparta. Vaka sayılarında düşüş devam edecek aşı ile bağışıklık kazanacağız. Aşı ile bitecek. https://t.co/270I82paN4</t>
  </si>
  <si>
    <t>1405541006104166401</t>
  </si>
  <si>
    <t>İllerimizde 100.000 nüfusa karşılık gelen bir haftalık toplam vaka sayısını gösteren insidans haritasının güncel halini ekte görebilirsiniz. Vaka sayılarının düşüş hızı azalsa da düşme eğilimi devam ediyor. Aşı ile bitecek. https://t.co/tyXHSVcOPv</t>
  </si>
  <si>
    <t>1405539184400474123</t>
  </si>
  <si>
    <t>Saat 24 itibariyle, 18.584 merkezde 47.314 sağlık çalışanımız 1 Milyon 416 Bin 795 doz aşı yaptı. Elleriniz dert görmesin arkadaşlar.</t>
  </si>
  <si>
    <t>1405269598778261506</t>
  </si>
  <si>
    <t>Dünü unutarak yarını inşa edemeyiz. https://t.co/ZDjHOScDry</t>
  </si>
  <si>
    <t>1405221145612369927</t>
  </si>
  <si>
    <t>Unutmamalıyız ki zafere en yakın zaman riskin de en yüksek olduğu zamandır. https://t.co/lDA61aYYWG</t>
  </si>
  <si>
    <t>1405216368367181825</t>
  </si>
  <si>
    <t>Hepimiz sevdiklerimizle aramızdaki mesafeden kurtulacağız. https://t.co/QKK4t8oBNW</t>
  </si>
  <si>
    <t>1405214110103523344</t>
  </si>
  <si>
    <t>Bu güce güvenin demiştik. https://t.co/86gxy2gWYi</t>
  </si>
  <si>
    <t>1405212219521093635</t>
  </si>
  <si>
    <t>Yarın itibariyle 35 yaş üzerindeki tüm vatandaşlarımız için de aşı randevularını açıyoruz. https://t.co/91A09X4dLh</t>
  </si>
  <si>
    <t>1405210476410179584</t>
  </si>
  <si>
    <t>CANLI: Bilim Kurulu Toplantımızın ardından Basın Açıklamamız:
https://t.co/11Gp4XPw7b</t>
  </si>
  <si>
    <t>1405190500995502083</t>
  </si>
  <si>
    <t>1 Milyonuncu doz aşının yapılış anı. Yer: Kocaeli Darıca, Farabi Eğitim ve Araştırma Hastanesi. Saat 16:53. Aşıyı yapan sağlık personeli: Enis Akdeniz. Sorumlu hekim: Ömer Faruk Aşcı. Geçmiş olsun Kıymet Bey. Omuzunuzdaki bandı çıkarmayı unutmadınız, değil mi? https://t.co/VJ4gxOixuN</t>
  </si>
  <si>
    <t>1405189681730437124</t>
  </si>
  <si>
    <t>“Bu kız bugün 224 kişiye aşı yaptı.” Aşı ekibinden bir arkadaşımız dün böyle bir tweet atmış. Ardından, şu duygusunu paylaşmış: “Son günlerde o kadar çok aşı yaptım ki, dışarı çıkınca herkesin yüzü tanıdık geliyor.” Aşı yapan ellerinize sağlık. Bu fedakârlıklar unutulmayacak. https://t.co/fh9cHpEvfk</t>
  </si>
  <si>
    <t>1405113223020482560</t>
  </si>
  <si>
    <t>BUGÜN RANDEVU İSTESEM AŞIM NE ZAMAN YAPILIR? “Gün içinde randevu, gün içinde aşı” uygulamasını başlattık. Randevu alın, aşınızı vakit kaybetmeden yapalım.</t>
  </si>
  <si>
    <t>1405073192348176389</t>
  </si>
  <si>
    <t>1 MİLYON 240 BİN 311. SİZCE NEDİR? 24 saat içinde bu kadar doz aşı, randevu alıp aşı olan bu kadar insan. Önümüzdeki günler için güven. Sağlık çalışanlarımız için tatlı bir yorgunluk.</t>
  </si>
  <si>
    <t>1404907276717133825</t>
  </si>
  <si>
    <t>1 MİLYON DOZ aşı hedefine az önce ulaştık. Bir milyonuncu aşının yeri Ankara, aşı olan arkadaşımız 48 yaşında. Hatice kardeşim, günün kahramanı olduğunun farkında mısın?</t>
  </si>
  <si>
    <t>1404848852038000651</t>
  </si>
  <si>
    <t>Üretimin devamlılığı ve güvenliği için organize sanayi bölgelerinde mobil ekiplerimizle yerinde aşı uygulamasına başlıyoruz. Çarklar dönmeye devam edecek. Bu güce güvenin.</t>
  </si>
  <si>
    <t>1404765214797672449</t>
  </si>
  <si>
    <t>An itibariyle 35 Milyon doz aşıya ulaştık. 35 Milyonuncu doz aşı az önce Çanakkale Bayramiç’te yapıldı.</t>
  </si>
  <si>
    <t>1404737089758019593</t>
  </si>
  <si>
    <t>14 Haziran Pazartesi toplam aşı dozu raporu: 842.494
Hedeflediğimizden 92.494 doz daha fazla aşı yaptık.</t>
  </si>
  <si>
    <t>1404545384244985857</t>
  </si>
  <si>
    <t>Kayseri’nin Develi ilçesinde görevli bir hekim arkadaşımız silahlı saldırıya uğradı. Çok sayıda sabıkası olan saldırgan yakalandı, arkadaşımız ambulansla hastaneye kaldırıldı. Az önce kendisiyle görüştüm. Yasalar ve toplum olarak şiddetin karşısında asla aciz kalmayacağız.</t>
  </si>
  <si>
    <t>1404514279982776326</t>
  </si>
  <si>
    <t>İŞÇİ VE MEMURLARIN TAMAMI için yarın yeni bir gün başlıyor. SGK kayıtlı tüm çalışanlar… YARIN İLK İŞİMİZ aşı randevusu almak olsun!</t>
  </si>
  <si>
    <t>1404506539931623426</t>
  </si>
  <si>
    <t>Az önce 750.001’inci doz aşıyı yaptık.</t>
  </si>
  <si>
    <t>1404498069467578372</t>
  </si>
  <si>
    <t>Şu ana kadarki en yüksek günlük doza ulaşıyoruz: Bir günde 750.000 doz. Kısa süreliğine geçerli bir ilk!</t>
  </si>
  <si>
    <t>1404351621392437249</t>
  </si>
  <si>
    <t>750.000 kişi bugün, 11 Mart 2020’den sonraki hayatlarının belki de en mutlu anlarını yaşayacak.</t>
  </si>
  <si>
    <t>1404318323207143426</t>
  </si>
  <si>
    <t>Verdiğim sayı “hatalı” çıktı. Bugün 448 bin değil, 456 bin doz aşı yaptık. Aşı var, zaman var. Randevusu yok diye 8 bin kişiyi geri çeviremezdik. https://t.co/gCdbqWY745</t>
  </si>
  <si>
    <t>1404192131317706756</t>
  </si>
  <si>
    <t>Bugün vefat sayımız 53. Çok can yakıcı sayılardan bugünlere geldik. Vaka sayımız 5.012. Bir kez daha gördük: Zaferi, yolu kararlı yürüyenler kazanır. Salgın iyice geriledi, yenileceği gün çok yakın.</t>
  </si>
  <si>
    <t>1404182932143718401</t>
  </si>
  <si>
    <t>13 Haziran 1987’de aramızdan ayrılan Cemil Meriç’i rahmet ve hürmetle anıyoruz. Fikir hayatımızda hakiki olanla sahte olanı birbirinden ayıran bu büyük zekâ medeniyetimizin yeniden inşasında bize nesiller boyu yol göstermeye devam edecek. Ruhu şad olsun. https://t.co/0Ai8FbXkYX</t>
  </si>
  <si>
    <t>1404073332908167171</t>
  </si>
  <si>
    <t>Bugün 448 bin kişi için aşı günü!</t>
  </si>
  <si>
    <t>1403978387341910018</t>
  </si>
  <si>
    <t>AŞIDA 40 YAŞA KADAR İNDİK. Yaşınız 40 veya üstüyse bu sabahtan itibaren randevu alabilirsiniz. Yüzde yüz katılım bekliyoruz.</t>
  </si>
  <si>
    <t>1403956359339593728</t>
  </si>
  <si>
    <t>12 Haziran Cumartesi toplam 449.684 aşı yapıldı. Aşı yaptırmak üzere randevu alanların %99,485’i gelip aşılarını yaptırdı. Normal hayata bir adım daha yaklaştık. Sağ olun.</t>
  </si>
  <si>
    <t>1403835987793518596</t>
  </si>
  <si>
    <t>İtalyan RAI Televizyonundan TG3 ekibinin Mardin’de yaptığı çekimlerde aşıya karşı önyargıların nasıl kolayca değiştiğini görüyoruz. Teşekkürler Halise teyze. Sağ ol arkadaşımız Azize. Sağ olun sözüyle çevresine güven veren genç hanımlar. https://t.co/KD5VBnfjlE</t>
  </si>
  <si>
    <t>1403731868093227008</t>
  </si>
  <si>
    <t>3 saat önce 33 Milyonuncu doz aşıyı yaptık. Sırası gelenleri kararlaştırdığımız saatte bekliyoruz.</t>
  </si>
  <si>
    <t>1403695440621621258</t>
  </si>
  <si>
    <t>Yerli aşımız son aşamada. FAZ 3 insan çalışmasında gönüllü olun, sonuca birlikte ulaşalım.  
https://t.co/E8uh4tlN81 https://t.co/Pg4xo7Yrsz</t>
  </si>
  <si>
    <t>1403623472681652224</t>
  </si>
  <si>
    <t>Randevusunda dakik olanlara, aşı sırası bekleyen milyonlar adına teşekkür ederim.</t>
  </si>
  <si>
    <t>1403615915762196481</t>
  </si>
  <si>
    <t>Bugün en az 450.000 kişinin önemli bir randevusu var.</t>
  </si>
  <si>
    <t>1403589664833949697</t>
  </si>
  <si>
    <t>Saat 23.59. Son 24 saat içinde toplam 597.647 doz aşı yapıldı. Bu vakte kadar çalışan arkadaşlarımıza, aşı randevusunu aksatmayan vatandaşlarımıza binlerce teşekkür! Aşı, fedakârlık, planlama: Hepsi var, sorun yok!</t>
  </si>
  <si>
    <t>1403457773279514628</t>
  </si>
  <si>
    <t>Gözümüz, kulağımız Türkiye-İtalya maçında. Avrupa Futbol Turnuvasının açılış maçı olan bu maçı tüm dünya izleyecek. Futbol nedir, dünya görsün arkadaşlar!</t>
  </si>
  <si>
    <t>1403422684734701571</t>
  </si>
  <si>
    <t>500 BİNİNCİ DOZ aşı az önce yapıldı! GÜNLÜK doz sayısında ileriki saatlerde yeni bir rekora ulaşacağız. Çalışanlarımız iş başında. Günlük kapasitemiz bu dozun 3 katından fazla. Hadi bakalım: Bugünkü aşı toplam kaç doza ulaşacak? Öte taraftan maçın sonucu ne olacak?</t>
  </si>
  <si>
    <t>1403406254928769029</t>
  </si>
  <si>
    <t>TÜRK KIZILAY 153 YAŞINDA. 1868’deki ilk kurucuları, tıpkı bugün görevli hekimleri, personeli, gönüllüleri gibi fedakârlık timsali şahsiyetlerdi. Kızılay’ın Hilal’i nerde bir yardım çağrısı varsa orada yeniden doğar. Kızılay, bizim dünyadaki iyilik bayrağımızdır. https://t.co/5yuOdZ266q</t>
  </si>
  <si>
    <t>1403390150894305285</t>
  </si>
  <si>
    <t>Kargo çalışanlarıyla kuryelerin aşılarına da yarın başlıyoruz. Artık iyice hızlandık.</t>
  </si>
  <si>
    <t>1403329093706342407</t>
  </si>
  <si>
    <t>Şehir içi ve şehirlerarası ulaşım faaliyetlerinde çalışanlar ile taksi ve dolmuş esnafı da aşı programımıza dahil oluyor. Yarından itibaren aşılarını olabilirler.</t>
  </si>
  <si>
    <t>1403261128512315395</t>
  </si>
  <si>
    <t>Her BIONTECH aşı flakonunda 6 KİŞİLİK, yani 6 doz aşı bulunuyor. Flakon açılıp sulandırıldıktan sonra bu 6 doz aşı 6 saat içinde kullanılmalıdır. 6 SAAT içinde kullanılmayan dozlar daha sonra kullanılamaz, israf olur. Aşı kıymetli, temini kolay değil. Randevunuzu aksatmayın.</t>
  </si>
  <si>
    <t>1403250186550484996</t>
  </si>
  <si>
    <t>Yaş kısıtlaması olmadan tüm avukatlar aşı programına dahil oluyor. Yarından itibaren tüm avukatlarımız aşı olabilirler. Bu güce güvenin.</t>
  </si>
  <si>
    <t>1403042203396624386</t>
  </si>
  <si>
    <t>Aşı programı kapsamında berber ve kuaförler de aşılanmaya başlıyor. Randevularınızı yarından itibaren alabilirsiniz. Bu güce güvenin.</t>
  </si>
  <si>
    <t>1403037585878945794</t>
  </si>
  <si>
    <t>Aşı programımızda meslek gruplarımızın tanımlanmasına devam ediliyor. Yarından itibaren Gıda üretim ve dağıtım sektörü ile kafe, lokanta ve restoran çalışanları da programa dahil ediliyor. Bu güce güvenin.</t>
  </si>
  <si>
    <t>1403033016784535557</t>
  </si>
  <si>
    <t>Çok yakında salgın haberlerinden kurtulacağız. Gün gibi aydınlık, sağlıklı ve mutlu günler yakındır. Büyük Türkiye güçlü bir devlettir. Bu güce güvenin. https://t.co/feWZMBfNRb</t>
  </si>
  <si>
    <t>1402690211226734597</t>
  </si>
  <si>
    <t>Aşıların belirli süre ile bağışıklık sağladığı ve iki doz aşı olan kişilerin üçüncü doz aşı olması gerekliliği konusunda bilimsel çalışmalar devam etmektedir. https://t.co/LgvuCZ2gmj</t>
  </si>
  <si>
    <t>1402687076827533314</t>
  </si>
  <si>
    <t>Türk aşısı son aşamaya geldi. Salgın kontrolünün sürekliliği ve aşıda dışa bağımlılığı bitirecek bu önemli gelişmeyi hep birlikte yaşayacağız. https://t.co/KEKIAia3ln</t>
  </si>
  <si>
    <t>1402683606129070083</t>
  </si>
  <si>
    <t>Aşılama ile toplumsal bağışıklığı elde edene kadar kişisel tedbirlerimize tavizsiz uymaya devam edelim. https://t.co/mweIxx44TI</t>
  </si>
  <si>
    <t>1402678503326334980</t>
  </si>
  <si>
    <t>İster yaş ister meslek grubu sebebiyle sıranız gelmiş olsun, lütfen zaman kaybetmeden aşınızı olun. https://t.co/eTOxKHJa9k</t>
  </si>
  <si>
    <t>1402675710574182406</t>
  </si>
  <si>
    <t>Büyüklerimizin ellerini doya doya öpeceğimiz, sevdiklerimizle kucaklaşacağımız, çekinmeden tokalaşacağımız günler yakın. https://t.co/FpSfzIhyPH</t>
  </si>
  <si>
    <t>1402672455383191558</t>
  </si>
  <si>
    <t>CANLI: Bilim Kurulu Toplantımızın ardından Basın Açıklamamızı aşağıdaki YouTube linkimizden takip edebilirsiniz.
Video: https://t.co/jV1AjfoRWb</t>
  </si>
  <si>
    <t>1402660707439611907</t>
  </si>
  <si>
    <t>Bilim Kurulu Toplantımızın ardından Basın Açıklamamızı, Saat: 19.00'da aşağıdaki YouTube kanalımızdan takip edebilirsiniz.
YouTube: https://t.co/LZZbTwLqKJ</t>
  </si>
  <si>
    <t>1402647049129054215</t>
  </si>
  <si>
    <t>RT @RTErdogan: AK Parti TBMM Grup Toplantısı https://t.co/YYLj8yfhtm</t>
  </si>
  <si>
    <t>1402552601770610688</t>
  </si>
  <si>
    <t>Behzat Bey, sizin sıranız gelmişti zaten yaş grubunuz sebebiyle :) Ama merak etmeyin, tiyatrocularımız zaten ilan ettiğimiz kapsama dahil. https://t.co/xZ3kh2LtUm</t>
  </si>
  <si>
    <t>1402362892712878092</t>
  </si>
  <si>
    <t>Cem Bey, merak etmeyin 13 Eylülden önce üniversite öğrencilerimiz de aşılarını olacak. Artık salgın ülkemizin gündeminden çıkacak. Siz de destek olun. https://t.co/2zvUXvW1xN</t>
  </si>
  <si>
    <t>1402353983742791681</t>
  </si>
  <si>
    <t>Bir meslek grubu daha aşı programında yerini alıyor. Üniversitelerimizin Eylül'de yüz yüze eğitime başlayabilmesi için öğretim üyelerimizin ve üniversite personellerinin aşılanmasına da yarın başlıyoruz. Bu güce güvenin.</t>
  </si>
  <si>
    <t>1402309982356377602</t>
  </si>
  <si>
    <t>Aşı programımızda bir grubun daha aşılanmasına başlıyoruz. Müzisyen, film ve dizi prodüksiyon ekipleri yarından itibaren aşı olmaya başlayabilecekler. Her geçen gün yeni meslek ve yaş grupları eklenerek ülkemizi en kısa sürede salgın gündeminden çıkaracağız. Bu güce güvenin.</t>
  </si>
  <si>
    <t>1402293432366899208</t>
  </si>
  <si>
    <t>Son bir haftada vaka sayısı en çok azalan illerimiz Gümüşhane, Bilecik, Bayburt, Kocaeli ve Kırklareli. Vaka sayılarında düşüş devam edecek aşı ile bağışıklık kazanacağız. Bu güce güvenin. https://t.co/iT0JPGv8JI</t>
  </si>
  <si>
    <t>1402264533360693255</t>
  </si>
  <si>
    <t>İllerimizde 100.000 nüfusa karşılık gelen bir haftalık toplam vaka sayısını gösteren insidans haritasının güncel halini ekte görebilirsiniz. Vaka sayılarının düşüş hızı azalsa da düşme eğilimi devam ediyor. Bu güce güvenin. https://t.co/Tdew0cuZqS</t>
  </si>
  <si>
    <t>1402259927280852998</t>
  </si>
  <si>
    <t>Aşıya erişimde yeni kolaylıklar var. Biontech aşısı için artık kamu ve özel hastanelerle birlikte Aile hekimlerimiz de devrede. Bugünden itibaren e-nabız ve MHRS üzerinden randevu alabilirsiniz. Bu güce güvenin.</t>
  </si>
  <si>
    <t>1402173928743870465</t>
  </si>
  <si>
    <t>CAHİT ZARİFOĞLU, Yedi Güzel Adam demişti ve onlardan biriydi. Şiirleriyle, yetiştirdiği gençlerle bize muştu verdi: “Beyaz haberlerim var kardeşlerim”. ABDURRAHİM KARAKOÇ, Mihriban şiiriyle insanımızın gönül teline dokundu. Bu iki şairi vefat yıl dönümlerinde rahmetle anıyorum.</t>
  </si>
  <si>
    <t>1401889837310005248</t>
  </si>
  <si>
    <t>Pençe Yıldırım harekat bölgesinde el yapımı patlayıcı sebebiyle şehit düşen kahraman askerimiz Samet Şeker'e Allah'tan rahmet, yakınlarına ve milletimize başsağlığı diliyorum. https://t.co/t44Q9yZZFn</t>
  </si>
  <si>
    <t>1401623360056999937</t>
  </si>
  <si>
    <t>Değerli diyetisyenler, Dünya Diyetisyenler Günü’nüzü kutluyorum. Eski normallerine dönmek isteyenlere desteğiniz önemli. Eski normallere, bize göre de, sağlıklı beslenme ve normal kilolar dâhil.</t>
  </si>
  <si>
    <t>1401561325298401285</t>
  </si>
  <si>
    <t>Büyüklerimizin küçüklerimize kavuşması için #kollarısıvıyoruz https://t.co/hYwonCzOnf</t>
  </si>
  <si>
    <t>1401271743642226691</t>
  </si>
  <si>
    <t>Bugün Dünya Çevre Günü. Bugünden uyarayım. Yakında maskeleri çıkarıp atacağız. Ama yere değil!</t>
  </si>
  <si>
    <t>1401219663569244165</t>
  </si>
  <si>
    <t>AŞIDA TOPLAM 30 MİLYON DOZA ULAŞTIK. Bugün itibariyle ulaştığımız bu sayının sonuçlarını çok yakında, 84 Milyon birlikte göreceğiz. Sağlıklı günlere dönmek için yol doğru, kararlılıkla devam edelim.</t>
  </si>
  <si>
    <t>1400919347825156107</t>
  </si>
  <si>
    <t>VEFAT SAYIMIZ BUGÜN 100’ÜN ALTINA İNDİ. Gösterdiğiniz dikkat ve aşı, giderek her şeyi kontrol altına alıyor. Aramızdan ayrılan hastalarımıza Allah’tan rahmet, yakınlarına başsağlığı diliyorum. Sağlıklı günlere dönmek için yol doğru, kararlılıkla devam edelim.</t>
  </si>
  <si>
    <t>1400917964803747848</t>
  </si>
  <si>
    <t>Müziğin saklı hazinelerini derleyip kitlelerle buluşturan Hasan Saltık, bugün son yolculuğuna uğurlandı. Kalp krizi sebebiyle aramızdan ayrılan bu müzik insanı gönüllerde yaşayacak. Sayesinde yaygınlaşan Bu Dünya Bir Pencere adlı türküyü Ahmet Aslan ve Kemal Dinç seslendiriyor: https://t.co/EevDU2dkM5</t>
  </si>
  <si>
    <t>1400905009626288133</t>
  </si>
  <si>
    <t>Vatandaşlarımızın aşı olması için gerekli tüm şartları hazırlamaya gayret ediyoruz. Vatandaşlarımız neredeyse hizmetimiz orada olacak. Aşı olarak bağışıklık kazanacak ve salgını gündemimizden çıkaracağız. Bu güce güvenin. https://t.co/SmybxbeJJ4</t>
  </si>
  <si>
    <t>1400827651384881160</t>
  </si>
  <si>
    <t>Bugün itibariyle 30 milyon doz aşı yapıldı. Nüfusumuzun üçte birinden fazla doz aşı uygulanmış oldu. Nüfusumuzun üç katından fazla doz aşı için anlaşmamız bulunuyor. Yarın bugünden daha güzel olacak. Bu güce güvenin. https://t.co/h7AO82CTPi</t>
  </si>
  <si>
    <t>1400771360570458115</t>
  </si>
  <si>
    <t>Savaşı, yoksulluğu, hürriyet arayışını, insanın evrensel hikâyesini anlatan büyük şairimiz Nazım Hikmet’i ölüm yıl dönümünde saygıyla anıyorum. Türkçe’nin göğü altında yükselen çınar ağacı tüm dünyanın sevgisini kazanmış bir şairimiz. Kız Çocuğu şiirini kendi sesinden dinleyelim. https://t.co/yUjiMMptln</t>
  </si>
  <si>
    <t>1400434424425201674</t>
  </si>
  <si>
    <t>Önümüzdeki hafta aşılama programımız için yeni bir dönem daha başlıyor. 7 Haziran Pazartesi gününden itibaren yaş sınırı olmaksızın tüm öğretmenlerimiz aşı olabilecekler. Aşı ile bağışıklık kazanacak ve salgını gündemimizden çıkaracağız. Bu güce güvenin.</t>
  </si>
  <si>
    <t>1400127542519074824</t>
  </si>
  <si>
    <t>Bitlis-Tatvan’da girdikleri çatışmada şehit düşen Korucu Yücel Aki ve Jandarma Teğmen Baki Koçak’a Allah’tan rahmet; ailesi, sevenleri ve milletimize başsağlığı diliyorum. Aynı çatışmada yaralanan 4 kahraman askerimiz için de acil şifalar dilerim. https://t.co/bAcFp12pum</t>
  </si>
  <si>
    <t>1400124660231049220</t>
  </si>
  <si>
    <t>Eski normale giden yol, aşılamadan geçiyor. https://t.co/VVovVXkkDn</t>
  </si>
  <si>
    <t>1400122999022497800</t>
  </si>
  <si>
    <t>Sırası gelen vatandaşımız hangi aşı ile aşılanma imkanı varsa güvenle o aşıyı olmalı. https://t.co/V6TfcX8BcP</t>
  </si>
  <si>
    <t>1400120637369339904</t>
  </si>
  <si>
    <t>Maskelerin yüzümüzü terlettiği son yaz, bu yaz olacak. https://t.co/6DlKLYKo0F</t>
  </si>
  <si>
    <t>1400117692359716867</t>
  </si>
  <si>
    <t>CANLI: Bilim Kurulu Toplantımızın ardından Basın Açıklamamızı aşağıdaki YouTube linkimizden takip edebilirsiniz.
Video: https://t.co/s3tNyBEZKN</t>
  </si>
  <si>
    <t>1400111408461893633</t>
  </si>
  <si>
    <t>Bilim Kurulu Toplantımızın ardından Basın Açıklamamızı, Saat: 18.20'de aşağıdaki YouTube kanalımızdan takip edebilirsiniz.
YouTube: https://t.co/LZZbTwLqKJ</t>
  </si>
  <si>
    <t>1400107620049039363</t>
  </si>
  <si>
    <t>Diğerkâmlık ve fedakârlık karşısında gösterilmesi gereken saygı yerine şiddete yönelmek sadece ağır cezalar getiren ağır bir suç değil, vicdanları sarsan ağır bir utançtır da. #SağlıktaŞiddeteAfYok https://t.co/I5vpKF0LLV</t>
  </si>
  <si>
    <t>1400044200561889282</t>
  </si>
  <si>
    <t>Kendisine yapılan saldırı ile yaralanan meslektaşım Ertan İskender'i tedavi gördüğü hastanede ziyaret ettim. Durumu her gün iyiye gidiyor. Saldırıların son bulması için takibimiz sonuç alana kadar devam edecek. Sağlık çalışanlarını korumak hepimizin sorumluluğu. https://t.co/2hCmccZBtI</t>
  </si>
  <si>
    <t>1399812744703053828</t>
  </si>
  <si>
    <t>Son bir haftada vaka sayısı en çok azalan illerimiz Erzurum, Tunceli, Kastamonu, Samsun ve Kocaeli. Olumlu seyir sürüyor. Bu güce güvenin. https://t.co/SaqW0YJTJ6</t>
  </si>
  <si>
    <t>1399775743610077185</t>
  </si>
  <si>
    <t>İllerimizde 100.000 nüfusa karşılık gelen bir haftalık toplam vaka sayısını gösteren insidans haritasının güncel halini ekte görebilirsiniz. Vaka sayılarının düşüş eğilimi devam ediyor. https://t.co/XBwWbCKWmM</t>
  </si>
  <si>
    <t>1399773661066895363</t>
  </si>
  <si>
    <t>Ülkemizde yaygın olarak kullanılan Sinovac firmasının COVID-19 aşısı Coronovac; Dünya Sağlık Örgütü tarafından da onaylandı. Güvenirliği ve etkisi kanıtlanmış her aşıyı vatandaşımızla buluşturmaya devam edeceğiz. Bu güce güvenin.</t>
  </si>
  <si>
    <t>1399756151097602059</t>
  </si>
  <si>
    <t>50 yaş üzeri vatandaşlarımızın aşı programı bugün itibariyle başladı. Aşı ile salgının etkisini gündemimizden çıkaracağız. Bu güce güvenin.</t>
  </si>
  <si>
    <t>1399699962598985739</t>
  </si>
  <si>
    <t>Hayatın tüm güzelliklerini sevdiklerimizle paylaşmak için #kollarısıvıyoruz https://t.co/31AUc7eVZA</t>
  </si>
  <si>
    <t>1399440527796355081</t>
  </si>
  <si>
    <t>RT @RTErdogan: Kabine Toplantısı Sonrası Millete Sesleniş https://t.co/wg6tHhvEr0</t>
  </si>
  <si>
    <t>1399408725262323715</t>
  </si>
  <si>
    <t>Sigara, puro, pipo, nargile gibi tütün ürünlerinin dumanıyla, muhtemelen sizden uzak olan hastalıkların nedenlerini hazırlarsınız. Üstelik bile bile. Kısa bir “keyif” uğruna ağır hastalıklara yakalanmayı göze almayın. 31 Mayıs Dünya Tütünsüz Günü sağlık için karar günü olsun.</t>
  </si>
  <si>
    <t>1399336914763845634</t>
  </si>
  <si>
    <t>Anadolu Efes, Euroleague yarı finalinde Rus takımı CSKA'yı, finalde de İspanyol takımı Barcelona’yı yenerek şampiyon oldu. Başta oyuncularımız olmak üzere, bu başarıda payı olan herkesi kutluyorum. Potalar, Avrupa’nın en büyüğünü çok iyi tanıyor, çok!</t>
  </si>
  <si>
    <t>1399113778751545345</t>
  </si>
  <si>
    <t>İş hayatımızın normalleşmesi için #kollarısıvıyoruz https://t.co/lmMr7HKK97</t>
  </si>
  <si>
    <t>1399078927247806468</t>
  </si>
  <si>
    <t>Koronavirüs’e karşı birlikte zafere ulaşmak için #kollarısıvıyoruz https://t.co/cP8pKxS1nR</t>
  </si>
  <si>
    <t>1398708281179348993</t>
  </si>
  <si>
    <t>Seni ilk günün aşkıyla seviyoruz İstanbul. Fethinin 568. yıl dönümü kutlu, müjdelenmiş Fatih’inin ruhu şad olsun. https://t.co/RkqBrUiZyQ</t>
  </si>
  <si>
    <t>1398549839785385999</t>
  </si>
  <si>
    <t>Tünelin sonundaki ışığa birlikte ulaşmak için #kollarısıvıyoruz https://t.co/FtohJSTlaZ</t>
  </si>
  <si>
    <t>1398366847985139713</t>
  </si>
  <si>
    <t>Tam bağımlı orta düzey ve ağır engelli vatandaşlarımızın aşılanması başladı. Hizmete nerede ihtiyaç varsa sağlık çalışanlarımız orada. Bu güce güvenin. https://t.co/zaNWTVm07O</t>
  </si>
  <si>
    <t>1398358279378681856</t>
  </si>
  <si>
    <t>Saldırıya uğrayan meslektaşım Ertan İskender’in ameliyatı başarıyla tamamlandı. Kendisiyle konuştum, durumu iyi. Saldırgan adli işlemler için polis gözetiminde. Konunun sonuna kadar takipçisi olacağım. Canımızı emanet ettiğimiz hekimlerimizin hak ve emniyeti bize emanet.</t>
  </si>
  <si>
    <t>1398019644317970432</t>
  </si>
  <si>
    <t>Ankara Eğitim ve Araştırma Hastanesi’nde asistan hekimimiz Ertan İskender bir hastanın saldırısına uğrayarak elinden ve belinden yaralandı. Bıçaklı saldırıya uğrayan hekimimiz şu an ameliyatta. Durumu yakından takip ediyorum. Şifa veren eli kesmeye çalışmanın affı mümkün değil.</t>
  </si>
  <si>
    <t>1397998672927940608</t>
  </si>
  <si>
    <t>Hayatımızın yeniden normalleşmesi için #kollarısıvıyoruz https://t.co/iOKMdo3dhN</t>
  </si>
  <si>
    <t>1397976314422960131</t>
  </si>
  <si>
    <t>Üzerinden 61 yıl geçen 27 Mayıs ihtilalini demokrasi tarihimizde ilelebet nefret konusu bir hadise olarak; canlarına, masum oldukları bilindiği halde kıyılan demokrasi şehitlerimizi rahmetle anıyorum. Zulüm payidar olmaz. Tarih, yaşama hakkını kahramanlara tanır.</t>
  </si>
  <si>
    <t>1397913358766993416</t>
  </si>
  <si>
    <t>Aşı programımızda öncelikli bir grubu daha aşılamaya başlıyoruz. Bugünden itibaren tam bağımlı orta düzey ve ağır engelli vatandaşlarımızın aşılanması başlıyor. Bu güce güvenin.</t>
  </si>
  <si>
    <t>1397832751563292672</t>
  </si>
  <si>
    <t>Yerli aşımızla ilgili de son aşamaya gelmiş bulunuyoruz. Faz çalışmaları devam eden üç aşı adayımızdan biri Faz 3 aşamasına gelmiştir. En kısa sürede Faz 3 aşılamaları başlayacaktır. Kendi geliştirdiğimiz aşımızın kullanımının da yaklaştığı müjdesini vermek isterim. https://t.co/7Enohe4nH1</t>
  </si>
  <si>
    <t>1397825202587832325</t>
  </si>
  <si>
    <t>Aşı programında sırası gelen çiftçilerimizi bulundukları yerde aşılarını yapmak üzere ziyaret ettik. Aşı ile salgını durduracağız. Bu güce güvenin. https://t.co/G2o4NPw6Ga</t>
  </si>
  <si>
    <t>1397650136189308929</t>
  </si>
  <si>
    <t>Aşı tedariki yavaşladığında sizi ne kadar açık bilgilendirmişsek bugün de bu güzel haberleri aynı açıklıkta takdirlerinize sunuyorum. Her olumlu gelişmeyi eleştirmeye devam edenler elbette olacaktır ve bu saygı çerçevesinde kaldıkça haklarıdır da. https://t.co/8Aid1jgiLS</t>
  </si>
  <si>
    <t>1397631011136098311</t>
  </si>
  <si>
    <t>Bilim insanlarımız Uğur Şahin ve Özlem Türeci ile sürecin başından beri irtibat halindeyiz. Daha önce 27 Aralık 2020’de 30 milyon doz olarak imzaladığımız anlaşmayı 120 milyon doza çıkardık. Destek ve gayretleri için bir kez daha Uğur hocamıza ve ekibine teşekkür ediyorum. https://t.co/ZsqL0LmRs2</t>
  </si>
  <si>
    <t>1397626695620960257</t>
  </si>
  <si>
    <t>Aşı tedarikinin en sıkıntılı olduğu günlerde dünyanın en hızlı aşı kampanyalarından birini yürüttük. Çok yakında önemli bir miktar daha aşı ülkemize ulaşmış olacak. Buradan Çin makamlarına gösterdikleri destek ve anlayış için teşekkür ediyorum. https://t.co/cUefhD4o21</t>
  </si>
  <si>
    <t>1397624729557688324</t>
  </si>
  <si>
    <t>Normalleşme döneminde kısıtlamaların giderek azalacağı ancak bireysel tedbirlerin öne çıkacağı ve yaygın aşılama ile güçlendirilmiş bir uygulama hedefliyoruz. 1 Haziran’dan itibaren 50 yaş üzeri vatandaşlarımızın da aşılanmasına başlanacaktır. https://t.co/oC3llg77mP</t>
  </si>
  <si>
    <t>1397622635668938752</t>
  </si>
  <si>
    <t>CANLI: Bilim Kurulu Toplantımızın ardından Basın Açıklamamızı aşağıdaki YouTube linkimizden takip edebilirsiniz.
Video: https://t.co/SPFuPz0ni6</t>
  </si>
  <si>
    <t>1397589112375451648</t>
  </si>
  <si>
    <t>1397579524301336581</t>
  </si>
  <si>
    <t>RT @RTErdogan: AK Parti TBMM Grup Toplantısı https://t.co/qHtFks5JKZ</t>
  </si>
  <si>
    <t>1397482353946251266</t>
  </si>
  <si>
    <t>Son bir haftada vaka sayısı en çok azalan illerimiz Erzincan, İstanbul, Karabük, Ağrı ve Karaman. Olumlu seyir sürüyor. Birlikte mücadele ile başaracağız. https://t.co/hUTYlF6kzz</t>
  </si>
  <si>
    <t>1397242878838116355</t>
  </si>
  <si>
    <t>İllerimizde 100.000 nüfusa karşılık gelen bir haftalık toplam vaka sayısını gösteren insidans haritasının güncel halini ekte görebilirsiniz. Vaka sayılarının düşüş eğilimi devam ediyor. https://t.co/Lv2R51Epvz</t>
  </si>
  <si>
    <t>1397241282406330369</t>
  </si>
  <si>
    <t>Bugün, Necip Fazıl’ın vefat yıldönümü. O büyük şair ve mütefekkir olmaktan öte, her yönüyle bir üstattı. Eserleri, sadece kitapları değil, yol gösterdiği nesillerdir. Kendisini rahmetle anıyoruz. https://t.co/kUuJcqvYrZ</t>
  </si>
  <si>
    <t>1397174879271727105</t>
  </si>
  <si>
    <t>Aşı sırası gelen mevsimsel tarım işçisi vatandaşlarımızın aşılarını bulundukları yerde yapıyoruz. Bu güce güvenin. https://t.co/Eryj9AKriU</t>
  </si>
  <si>
    <t>1396208279542501379</t>
  </si>
  <si>
    <t>Yeterli aşıya erişim için var gücümüzle çalışmaya devam ediyoruz. Sırası gelen vatandaşlarımızın aşı olması halinde bu yaz salgının yıkıcı etkisi sona erecek. Sırası gelen vatandaşımız aşısını olmalı. Bu güce güvenin.</t>
  </si>
  <si>
    <t>1396149205496958978</t>
  </si>
  <si>
    <t>100 milyon doz Sinovac, 120 milyon doz BionTech ve 50 milyon doz Sputnik aşıları için anlaşmamız var. 270 milyon doz nüfusumuzun 3 katından fazla aşı. Bu güce güvenin.</t>
  </si>
  <si>
    <t>1396146717813354506</t>
  </si>
  <si>
    <t>Gösterdiğimiz sabır meyvesini vermeye devam ediyor. Bugün de 9.000 vaka sayısının altına indik. Düşüşü sürekli kılacak olan bizleriz. Bu güce güvenin.</t>
  </si>
  <si>
    <t>1396141415290261504</t>
  </si>
  <si>
    <t>Ambulans helikopterle Afyon’dan Eskişehir Şehir Hastanesi Yanık Tedavi Merkezine getirdiğimiz 15 aylık Beril bebeğin durumu iyi, tedavisi devam ediyor. Hasta bilhassa bir çocuksa kalbinin titreyişini daima gösteren sağlık personelimize ve ilginiz için sizlere teşekkür ederim. https://t.co/MrA47rBfAB</t>
  </si>
  <si>
    <t>1395778977717964807</t>
  </si>
  <si>
    <t>Değerli ses sanatçısı Hakan Taşıyan dün Ankara Şehir Hastanemizden taburcu oldu. Karaciğer ve böbrek nakli başarıyla tamamlanan Taşıyan’a ve sevenlerine geçmiş olsun dileklerimi sunuyorum. Tedavide emeği geçen hekimlerimizle tüm sağlık çalışanlarına teşekkür ediyorum. https://t.co/419FUijOlj</t>
  </si>
  <si>
    <t>1395774755010195464</t>
  </si>
  <si>
    <t>Bugün duyurusunu Prof. Dr. Uğur Şahin’le birlikte yaptığımız aşı tedariki anlaşmasıyla, Eylül ayı sonuna kadar toplam 120 Milyon doz BioNTech aşısı elimizde olacak! Bunun 6,1 Milyon dozluk kısmı teslim alınmış durumda. Salgının sonu görünüyor. #120MilyonDoz https://t.co/IUNiyNuAfE</t>
  </si>
  <si>
    <t>1395458769182724099</t>
  </si>
  <si>
    <t>Salgının sonu görünüyor. #120MilyonDoz</t>
  </si>
  <si>
    <t>1395448871459991559</t>
  </si>
  <si>
    <t>İlk COVID-19 aşısını geliştiren Prof. Dr. Uğur Şahin ve Dr. Özlem Türeci, Bilim Kurulu toplantısına online katıldı. Yaptığımız 120 Milyon dozluk BioNTech aşısı tedarik anlaşmasını ekranlardan Uğur Şahin hocamızla birlikte duyurduk. Gözün aydın Türkiye. #120MilyonDoz https://t.co/qSLhLrANs2</t>
  </si>
  <si>
    <t>1395444182995673093</t>
  </si>
  <si>
    <t>Bilim Kurulu Toplantımızın ardından Koronavirüs ile ilgili son gelişmelere ilişkin basın açıklamamız.
📍Sağlık Bakanlığı
https://t.co/b954PYXmIG</t>
  </si>
  <si>
    <t>1395413015521021955</t>
  </si>
  <si>
    <t>RT @RTErdogan: #KütüphaneSöyleşileri’nin İkincisinde, @CB_Kutuphane’de Gençlerimizle https://t.co/YM9QLywKLN</t>
  </si>
  <si>
    <t>1395077774105214978</t>
  </si>
  <si>
    <t>Dün Türkiye Büyük Millet Meclisi'nde Milletvekillerimizle bir araya gelerek bölgelerindeki sağlık konularını tek tek ele aldık. https://t.co/RpLgDIsatR</t>
  </si>
  <si>
    <t>1394933139802402817</t>
  </si>
  <si>
    <t>Tüm düşmanların artık bitti dediği zamanda bir milletin yeniden diriliş günüdür bugün. Vatan nedir, vatan müdafaası nedir, tüm dünyaya gösterilen gündür bugün. 19 Mayıs Atatürk'ü Anma, Gençlik ve Spor Bayramımız kutlu olsun. https://t.co/N5IKcrayG1</t>
  </si>
  <si>
    <t>1394926360406249472</t>
  </si>
  <si>
    <t>Son bir haftada vaka sayısı en çok azalan illerimiz Kastamonu, Tekirdağ, İstanbul, Bayburt ve Zonguldak. Bu güzel seyri kalıcı hale getirmek elimizde. Başardık yine başarabiliriz. https://t.co/PgIUVFvkTG</t>
  </si>
  <si>
    <t>1394686515888984064</t>
  </si>
  <si>
    <t>Bugün aşı kampanyasında yeni bir aşamaya geçiyoruz. Yaş sınırlaması olmaksızın tüm ilköğretim öğretmenlerimizi aşı programına almıştık. Şimdi ise 40 yaş üzerindeki tüm branş öğretmenlerimizi aşılamaya başlıyoruz.</t>
  </si>
  <si>
    <t>1394684222858739718</t>
  </si>
  <si>
    <t>İllerimizde 100.000 nüfusa karşılık gelen bir haftalık toplam vaka sayısını gösteren insidans haritasının güncel halini ekte görebilirsiniz. Düşüş hızı azalsa da vaka sayılarının düşüş eğilimi devam ediyor. https://t.co/tdbjWctGOK</t>
  </si>
  <si>
    <t>1394683145849610244</t>
  </si>
  <si>
    <t>RT @RTErdogan: Kabine Toplantısı Sonrası Millete Sesleniş https://t.co/EICwLqnyHf</t>
  </si>
  <si>
    <t>1394329639791771649</t>
  </si>
  <si>
    <t>ALİCAN, dün Erek Dağı kayalıklarında yayla muzu bitkisi toplamaya gitti. Dengesini kaybedip düşmüş. Yaralandığı bilgisini alan ekiplerimiz, 12 yaşındaki kardeşimize ambulans helikopterle ulaştı, ilk müdahaleyi UMKE yaptı. Şu an Van Eğitim Araştırma Hastanesi’nde. Durumu iyi. https://t.co/FC92o9Ywux</t>
  </si>
  <si>
    <t>1393839268884369410</t>
  </si>
  <si>
    <t>Süper Lig şampiyonu belli oldu. Beşiktaş’ı ve taraftarını kutluyoruz. An itibariyle, Beşiktaş camiasının salgınla mücadelenin sıkı taraftarı olmayı sürdüreceğine inanıyorum. Sevinçleri paylaşırken riskten uzak duralım.</t>
  </si>
  <si>
    <t>1393659963373936646</t>
  </si>
  <si>
    <t>Pandemide herkese ilaç oldunuz. 
Sağlık personelinden ilk kayıp içinizden biri oldu. Sayenizde biliyoruz ki insan sağlığına hizmet edenler; merhametin, iyiliğin ve diğer insani vasıfların görüldüğü mesleğin mensuplarıdır. Sizlere şükran duyuyoruz. 
Eczacılar Günü kutlu olsun. https://t.co/W9IPPEH4XT</t>
  </si>
  <si>
    <t>1393166453122215943</t>
  </si>
  <si>
    <t>Ağrı Doğubeyazıt'ta terör örgütü tarafından yapılan hain saldırıda şehit düşen kahraman Özel Harekat Polisimiz Veli Kabalay'a Allah'tan rahmet, milletimize başsağlığı diliyorum. Şehidimizin ruhu şad olsun. https://t.co/DefWMZYVr6</t>
  </si>
  <si>
    <t>1392959677605027840</t>
  </si>
  <si>
    <t>Filyasyon ve temaslı takibi bayram günü de devam ediyor. Bu fedakârlık unutulmayacak. https://t.co/vt8fiFinCd</t>
  </si>
  <si>
    <t>1392888278081314817</t>
  </si>
  <si>
    <t>Sağlık çalışanlarımızdan bir bayram tebriği var. Onların bu fedakâr cümlelerine kulak verelim. Bayramımız kutlu olsun. https://t.co/ufyZUvdgKp</t>
  </si>
  <si>
    <t>1392853424107053062</t>
  </si>
  <si>
    <t>Sevdiklerimizle candan ama mesafeli, el öpmeden idrak edeceğimiz üçüncü bayram. Büyük bölümünü evlerimizde geçirdiğimiz bir ayın sonunda kısıtlamaların kademeli olarak kalkacağı günlere ulaşıyoruz. Doyasıya kucaklaşacağımız bayramların hasretiyle Bayramınızı tebrik ediyorum. https://t.co/NO70CoZmZn</t>
  </si>
  <si>
    <t>1392822537508335618</t>
  </si>
  <si>
    <t>Aşı programında yeni bir kademeye geçiyoruz. Yarından itibaren sağlık çalışanlarımızın eşlerini aşılamaya başlıyoruz. Yarından itibaren randevu alabilecekler. Sağlık çalışanlarımıza bu zamana kadar gösterdikleri fedakarlık ve mücadele için bir kere daha teşekkür ederim.</t>
  </si>
  <si>
    <t>1392525039338201089</t>
  </si>
  <si>
    <t>Bizim değer dünyamızda hemşirelik kardeşlik makamıdır. 
Onlar unutulmayacak emeğin sahipleri, gurur duyduğumuz mesai arkadaşlarımız...
Yaşadığımız salgında o yüce gönüller adeta destanlaştılar. 
Onlara şükran duygularımızın ifadesi zordur. 
12 Mayıs Hemşireler Günü kutlu olsun. https://t.co/ZBBWSGixqg</t>
  </si>
  <si>
    <t>1392443034852380673</t>
  </si>
  <si>
    <t>İstanbul’da sağlık yöneticilerimizle  salgının seyrini değerlendirdik. Vaka sayısı ve poliklinik başvuruları %65 azaldı. Hastaneye yatışlarda %50, yoğun bakıma yatışlarda üçte bir oranında düşüş var. İstanbul gösterdiği sabrın meyvesini alıyor. Salgını durdurmak elimizde. https://t.co/9gA35otZKN</t>
  </si>
  <si>
    <t>1392143861183651846</t>
  </si>
  <si>
    <t>Son hafta vaka sayısı en çok azalan illerimiz Kırklareli, Çanakkale, Düzce, İstanbul ve Tekirdağ. Vaka sayılarındaki düşüş yaygın şekilde tüm illerimizde yaşanacak. https://t.co/6ocxHykynk</t>
  </si>
  <si>
    <t>1392102405089767430</t>
  </si>
  <si>
    <t>Mescid-i Aksa, kutsal mabeddir. Mabedde zulme sessiz kalınamaz. Zalimin zulmüne mani olmadıkça kimseye kurtuluş yoktur.</t>
  </si>
  <si>
    <t>1391865354041929733</t>
  </si>
  <si>
    <t>İllerimizde 100.000 nüfusa karşılık gelen haftalık vaka sayısını gösteren insidans haritasını aşağıda bulabilirsiniz. Kararlılığımız vaka sayılarını düşürmeye devam edecek. https://t.co/jj1bzaH5eV</t>
  </si>
  <si>
    <t>1391757002993512448</t>
  </si>
  <si>
    <t>Evlat sevgisi bir annenin yüreğinden başka bir yere sığdırılamazdı. Başta evlatlarını doya doya sevememe pahasına mücadele veren sağlık çalışanı annelerimiz olmak üzere, yürekleri sevgi dolu annelerimizin Anneler Günü’nü kutluyorum. ANA VARSA HER ŞEY VAR.</t>
  </si>
  <si>
    <t>1391372140897837061</t>
  </si>
  <si>
    <t>KADİR GECESİ: Yüceliş gecesi. Her insanın bir “acz” taşıdığını bilme gecesi. 
Hataları tekrarlamamaya söz verme, dünyaya gönüller yapmaya geldiğini bilme gecesi. 
GECENİZ KUTLU OLSUN.</t>
  </si>
  <si>
    <t>1391087163505315842</t>
  </si>
  <si>
    <t>Nerde o eski Ramazanlar sözü hiç bu kadar manidar olmamıştı. Ama iftarlar, sahurlar yine güzel, niyetler yine eskisi gibi mübarek. Gönlümüzle dost sofralarındayız.</t>
  </si>
  <si>
    <t>1390345337613824004</t>
  </si>
  <si>
    <t>5 Mayıs 2021 tarihinde paylaştığım grafikte il adları grafiklere yanlış olarak yerleştirilmiştir. Bu teknik hata Bakanlığımız kayıtlarındaki doğru hali yeniden düzenlenerek giderilmiştir. Grafiğin doğru halini ekte yeniden dikkatlerinize sunuyorum. https://t.co/EazSHOUICe</t>
  </si>
  <si>
    <t>1390300628123938820</t>
  </si>
  <si>
    <t>DÜNYA EBELER GÜNÜ. Sağlık hizmetleri doğumla başlar. Mesleğimizdeki yeri biricik olan ebelerimizin 5 Mayıs Dünya Ebeler Günü’nü kutluyor, ailelerimiz ve toplum adına her birine saygı ve sevgilerimi sunuyorum.</t>
  </si>
  <si>
    <t>1390046712765599757</t>
  </si>
  <si>
    <t>Türkçemizin ünlü kalemlerinden Emine Işınsu’yu 83 yaşında kaybettik. Romanlarıyla birkaç nesil üzerinde etkili olmuş yazarımıza Allah’tan rahmet, yakınlarına ve okuyucularına başsağlığı diliyorum. Mekânı cennet olsun.</t>
  </si>
  <si>
    <t>1390025312210194434</t>
  </si>
  <si>
    <t>Şu anda Türkiye; 100 milyon doz Sinovac ile, 90 milyon doz Biontech ve 50 milyon doz da Sputnik ile anlaşma imzalamış durumdadır. Yaklaşık nüfusumuzun 3 katı kadarlık doz aşı için anlaşmalar imzalanmıştır. https://t.co/scXfaMVWzL</t>
  </si>
  <si>
    <t>1390004000985174016</t>
  </si>
  <si>
    <t>Uygulanan tedbir ve kısıtlamalar ile birlikte, hastalığın genel seyri de dikkate alındığında, son 15 günde vaka sayısında önemli derecede düşüş yaşadık. https://t.co/chfsZaa4nz</t>
  </si>
  <si>
    <t>1390000186215260165</t>
  </si>
  <si>
    <t>CANLI: Bilim Kurulu Toplantımızın ardından Basın Açıklamamızı aşağıdaki YouTube linkimizden takip edebilirsiniz.
Video: https://t.co/7dHBb32PJL</t>
  </si>
  <si>
    <t>1389967419951796231</t>
  </si>
  <si>
    <t>Bilim Kurulu Toplantımızın ardından Basın Açıklamamızı, Saat: 18.15’te aşağıdaki YouTube kanalımızdan takip edebilirsiniz.
YouTube: https://t.co/JUHNIzmt3q</t>
  </si>
  <si>
    <t>1389953439937990660</t>
  </si>
  <si>
    <t>İllerimizde bir haftada 100.000 nüfusa karşılık gelen vaka sayısını gösteren insidans haritasının güncel halini ekte bulabilirsiniz. Tedbir ve kısıtlamalar bu haritayı her gecen gün daha iyi bir tabloya çevirecek. https://t.co/UKZ20FVX9R</t>
  </si>
  <si>
    <t>1389601715343790085</t>
  </si>
  <si>
    <t>Bu sürecin sonunda vaka sayılarının çok azaldığı gerçek bir bayramı yaşamak istiyoruz. Bayramı, bayram gibi yaşamak istiyoruz. https://t.co/JIPLs63kzy</t>
  </si>
  <si>
    <t>1389262151769104387</t>
  </si>
  <si>
    <t>Bu sıkıntılı dönemde milletçe büyük bir fedakârlık örneği gösteriyoruz. Bunun kazanımlarını yakında mutlaka göreceğimize inanıyorum.
Mücadele birlikte kazanılacaktır. https://t.co/IlMvb617KA</t>
  </si>
  <si>
    <t>1389259864334032901</t>
  </si>
  <si>
    <t>Edirne’de geçen haftaya göre vaka sayısında %50 düşüş yaşandı.
65 yaş üstü vatandaşlarımızın Edirne’de aşılanma oranı ise %88. https://t.co/r0eoNHceVi</t>
  </si>
  <si>
    <t>1389255342001897480</t>
  </si>
  <si>
    <t>Yeni sözleşmelerimiz ve aşı tedariki konusundaki iyileşmelerle mevcut kapasitemizi harekete geçirip daha hızlı bir aşılama programı yürüteceğiz. Biontech aşısı Haziran ayı sonuna kadar 30 milyon doz olarak ülkemize teslim edilmiş olacak. Toplam 90 milyon doza ulaşacak. https://t.co/nHmc9qzZ52</t>
  </si>
  <si>
    <t>1389249975322828804</t>
  </si>
  <si>
    <t>Vaka sayılarındaki düşüş ile test sayısı arasında ilişki kurarak test sayıları düşürülerek vaka sayılarının düştüğü yönünde asılsız ve iyi niyetli olmayan bazı değerlendirmeler görüyoruz. Özetle test sayılarının düşmesi vaka sayısının düşmesinin sebebi değil, sonucudur. https://t.co/kP5KS2sAbT</t>
  </si>
  <si>
    <t>1389246711466430465</t>
  </si>
  <si>
    <t>Salgınla mücadelede Edirne, Tekirdağ, Çanakkale, Kırklareli’nde son durum ve Türkiye değerlendirmesi: 
📍Edirne https://t.co/6tLBLmncgr</t>
  </si>
  <si>
    <t>1389215103350984710</t>
  </si>
  <si>
    <t>Edirne Sultan 1. Murat Devlet Hastanemizde tedavi gören  büyüklerimizle sohbet ettik. Onların sağlık durumları ve memnuniyetleri önceliğimiz. https://t.co/SAHRDhtJbn</t>
  </si>
  <si>
    <t>1389194407765762050</t>
  </si>
  <si>
    <t>EDİRNE’DEYİZ. Bölgedeki salgın sürecini değerlendirmek üzere Edirne, Tekirdağ, Çanakkale ve Kırklareli illerimizle toplantılar gerçekleştireceğiz. https://t.co/Tt5jh7dMh4</t>
  </si>
  <si>
    <t>1389163365214433284</t>
  </si>
  <si>
    <t>Karabük Üniversitesi Kurucu Rektörü ve 26. Dönem Karabük Milletvekili, kardeşimiz Burhanettin Uysal Beyefendi’yi koronavirüs sebebiyle bugün kaybettik. Burhanettin Uysal kardeşimize Allah’tan rahmet, sevenlerine ve yakınlarına başsağlığı diliyorum.</t>
  </si>
  <si>
    <t>1389141694696853504</t>
  </si>
  <si>
    <t>Bir vakıf üniversitesi hastanesinde tedavi görürken ölüm raporunda tüm bilgilerin eksiksiz verilmediği bir vatandaşımızın kayıtlarımızda durumu olması gerektiği gibi covid-19 olarak yer almıştır. Buradan bilgilerin güvenilirliğini şüpheli hale getirmenin kimseye faydası yoktur. https://t.co/e8r9NdAfgD https://t.co/cReQKINv8u</t>
  </si>
  <si>
    <t>1388983384228175874</t>
  </si>
  <si>
    <t>Başta fedakarca ve cansiperane çalışan sağlık çalışanlarımız olmak üzere tüm emekçi kardeşlerimin 1 Mayıs Emek ve Dayanışma Günü’nü kutluyorum. https://t.co/Wyv9VSMBJr</t>
  </si>
  <si>
    <t>1388451978737553410</t>
  </si>
  <si>
    <t>Antalya'da son bir haftada vaka sayıları %35 azaldı. https://t.co/xPUyf7H5jG</t>
  </si>
  <si>
    <t>1388185044259414024</t>
  </si>
  <si>
    <t>Aşılama programımız yeni aşılar ulaştıkça daha hızlı sürecek. Hedefimiz bir an evvel 40 yaş üzerini aşılamak. https://t.co/KuBimHxZoY</t>
  </si>
  <si>
    <t>1388180384588910598</t>
  </si>
  <si>
    <t>Sıkılaştırılmış kısıtlamaların ilk gününde uyum memnun edici seviyedeydi. Tüm vatandaşlarımıza hassasiyetleri sebebiyle teşekkür ederim. https://t.co/P3XictCcOm</t>
  </si>
  <si>
    <t>1388174433215463432</t>
  </si>
  <si>
    <t>Salgınla mücadelede Antalya, Isparta, Burdur’da son durum ve Türkiye değerlendirmesi: 
📍Antalya
https://t.co/itISDSUTIE</t>
  </si>
  <si>
    <t>1388150090100092929</t>
  </si>
  <si>
    <t>Kepez Devlet Hastanemizde tedavisi devam eden yavrularımızı ziyaret ettik. Durumları gayet iyi ve yakın zamanda taburcu olacaklar. Sağlık hizmetlerinden dolayı memnuniyetlerini dile getiren ailelerimiz adına, hastane personelimize teşekkür ediyorum. https://t.co/X5cubrSnDh</t>
  </si>
  <si>
    <t>1388141677228044289</t>
  </si>
  <si>
    <t>Türkiye İlaç ve Tıbbi Cihaz Kurumumuz yaptığı inceleme ve değerlendirmeler sonunda Sputnik V aşısının acil kullanımına onay vermiştir. İki ülke için hayırlı olmasını dilerim. Böylece üçüncü aşı olarak Sputnik V aşısı da ülkemizde kullanıma girecek.</t>
  </si>
  <si>
    <t>1388108376584953860</t>
  </si>
  <si>
    <t>ANTALYA’DAYIZ.
17 günlük kapanmanın ilk gününde, Antalya, Isparta ve Burdur illerimizle, salgın süreci üzerine durum değerlendirmesi yapacağız. https://t.co/70ZT7jne0o</t>
  </si>
  <si>
    <t>1388073607134339075</t>
  </si>
  <si>
    <t>17 günlük mücadelemiz başladı. 
Bayram, Bayram olsun. https://t.co/Tsc8wngKjb</t>
  </si>
  <si>
    <t>1387854497914003481</t>
  </si>
  <si>
    <t>Çalışma ve Sosyal Güvenlik Bakanımız Sayın Vedat Bilgin Beyefendi’ye hayırlı olsun ziyaretinde bulunduk. Nazik misafirperverlikleri için teşekkür ediyor, vazifesinde başarılar diliyorum. https://t.co/b17PwJEyOK</t>
  </si>
  <si>
    <t>1387803972342329347</t>
  </si>
  <si>
    <t>Aile ve Sosyal Hizmetler Bakanımız Sayın Derya Yanık Hanımefendi’yi ziyaret edip, görevinde başarılar diledik. Kendilerine muvaffakiyetler diliyorum. https://t.co/PY0gkmRA3Z</t>
  </si>
  <si>
    <t>1387799506549231617</t>
  </si>
  <si>
    <t>Ticaret Bakanımız Sayın Mehmet Muş Beyefendi’yi makamında ziyaret ederek hayırlı olsun dileklerimizi ilettik. Kardeşimize vazifesinde muvaffakiyetler diliyorum. https://t.co/bQOson5fOL</t>
  </si>
  <si>
    <t>1387794621472903173</t>
  </si>
  <si>
    <t>Sözün gücünün azaldığının farkındayım ama sizin gücünüzden hiç endişem yok. https://t.co/8i34OG3YEb</t>
  </si>
  <si>
    <t>1387458923234566153</t>
  </si>
  <si>
    <t>Aşı çalışmalarının etkinliğini de salgının seyrini de yakından ilgilendiren bir konu daha var: Mutasyonlar. https://t.co/21OuoHP9bi</t>
  </si>
  <si>
    <t>1387454845465112577</t>
  </si>
  <si>
    <t>Yerli gücümüz yerli aşılarımız sahaya çıkmaya hazırlanıyor. https://t.co/YHnhk2OHi9</t>
  </si>
  <si>
    <t>1387450519183138818</t>
  </si>
  <si>
    <t>Aşı tedariki önümüzdeki 2 ay için güçleşiyor ancak sonrasında aşı bolluğu yaşanması bekleniyor. https://t.co/91VyMYkuwa</t>
  </si>
  <si>
    <t>1387447590569103362</t>
  </si>
  <si>
    <t>Tüm Dünya ile birlikte salgın boyunca ağır bedeller ödedik. https://t.co/mFmDxJCOWo</t>
  </si>
  <si>
    <t>1387439794813382657</t>
  </si>
  <si>
    <t>CANLI: Bilim Kurulu Toplantımızın ardından Basın Açıklamamızı aşağıdaki YouTube linkimizden takip edebilirsiniz.
Video: https://t.co/Z0W7K9DDEa</t>
  </si>
  <si>
    <t>1387430448314437636</t>
  </si>
  <si>
    <t>Bilim Kurulu Toplantımızın ardından Basın Açıklamamızı, Saat: 18.00’de aşağıdaki YouTube kanalımızdan takip edebilirsiniz.
YouTube: https://t.co/JUHNIzmt3q</t>
  </si>
  <si>
    <t>1387410062088577029</t>
  </si>
  <si>
    <t>Geçen haftaya göre 100.000 nüfusa karşılık gelen haftalık vaka sayısı en çok artan illerimiz; Zonguldak, Gümüşhane, Kırşehir, Ağrı ve Giresun. En çok azalan illerimiz ise, Yalova, Kastamonu, Çanakkale, Samsun ve Yozgat. https://t.co/QRiOoILGgQ</t>
  </si>
  <si>
    <t>1387375174757011457</t>
  </si>
  <si>
    <t>Irak’ın kuzeyinde terör örgütüne karşı yürütülen harekatta şehit olan Piyade Teğmen Mehmet Kıvık ve Piyade Er Mustafa Çalım’a Allah’tan rahmet, sevenlerine ve milletimize başsağlığı diliyorum. https://t.co/V4dlpxG3nL</t>
  </si>
  <si>
    <t>1387042795811082245</t>
  </si>
  <si>
    <t>Evimiz en güvenli kalemiz. Bir süre mücadeleyi evimizden sürdüreceğiz. Bu fedakarlığın sonu bayram olsun.</t>
  </si>
  <si>
    <t>1386726145652047875</t>
  </si>
  <si>
    <t>İllerimizde 100.000 nüfusa karşılık gelen haftalık vaka sayısını gösteren insidans haritamızı aşağıda görebilirsiniz. Tedbir ve kısıtlamalar etkisini daha çok gösterecek. https://t.co/VMLOGvVXXy</t>
  </si>
  <si>
    <t>1386724579159257090</t>
  </si>
  <si>
    <t>RT @RTErdogan: Kabine Toplantısı Sonrası Millete Sesleniş https://t.co/ehz4KpSJ83</t>
  </si>
  <si>
    <t>1386711682634993666</t>
  </si>
  <si>
    <t>Sayın Bakanım; nazik ziyaret ve güzel mesajlarınız için teşekkür ederiz. Kadronuzun sürece desteği için ise minnettarız. https://t.co/woEDUcDrMx</t>
  </si>
  <si>
    <t>1386063901264072704</t>
  </si>
  <si>
    <t>Sayın Cumhurbaşkanımızın yüreklendirici bir teşekkürü var. https://t.co/TujZFnkeJ1</t>
  </si>
  <si>
    <t>1386059379905110022</t>
  </si>
  <si>
    <t>Bugün nöbetteki Sağlık çalışanlarımızın iftar sofrasına Sayın Cumhurbaşkanımız teşrif ettiler. Sağlık çalışanlarımıza moral verdiler. Teşekkür ederiz. https://t.co/F9rt6qleMT</t>
  </si>
  <si>
    <t>1386058333313015811</t>
  </si>
  <si>
    <t>Kuzey Kıbrıs Türk Cumhuriyeti Cumhurbaşkanı Sayın Ersin Tatar Beyefendi'nin babası Rüstem Tatar Beyefendi vefat etmiştir. Merhuma Allah'tan rahmet; yakınlarına, sevenlerine ve Sayın Cumhurbaşkanına sabırlar diliyorum.</t>
  </si>
  <si>
    <t>1385903590909358080</t>
  </si>
  <si>
    <t>Evet o evladımız. Mustafa Erkam Ordulu. Fatsa TOKİ İlkokulu’nda okuyor. Torunum değil ama bazen benim yerime açıklama yapıyor. https://t.co/UiGzXLpDrp</t>
  </si>
  <si>
    <t>1385659161141301256</t>
  </si>
  <si>
    <t>İl Sağlık Yöneticilerimizle salgın sürecini değerlendirdik. İstanbul'da vaka sayılarında yaklaşık %20 düşüş oldu. Polikliniklerde ve yatan hasta sayısında da düşüş var. Ancak yoğun bakım yükü devam ediyor. Kısıtlamalara uyum hissedilmeye başlandı. Birlikte başaracağız. https://t.co/dvP667bbmw</t>
  </si>
  <si>
    <t>1385638610691624963</t>
  </si>
  <si>
    <t>https://t.co/ZkBT2pfn7f</t>
  </si>
  <si>
    <t>1385583109400416261</t>
  </si>
  <si>
    <t>Saat 16.15’te bir açıklama yapacağım.</t>
  </si>
  <si>
    <t>1385580426715144197</t>
  </si>
  <si>
    <t>Salgın yönetiminde toplumu doğru bilgilendirmek ve bir arada tutarak birlikte mücadele etmek hepimizin sorumluluğudur. https://t.co/fSCJr5dWUd</t>
  </si>
  <si>
    <t>1385266744172896258</t>
  </si>
  <si>
    <t>Yerli aşı, yerli güç ve güven demektir. https://t.co/dAOPJf3CXg</t>
  </si>
  <si>
    <t>1385263992071991306</t>
  </si>
  <si>
    <t>Mevcut mutasyonlar dışında yeni bir tür daha ortaya çıktı. https://t.co/Yy4CfZZxyy</t>
  </si>
  <si>
    <t>1385262080744476674</t>
  </si>
  <si>
    <t>Vaka sayılarındaki artış hızı azaldı. Bundan sonra kısıtlama ve tedbirlere uyumla vaka sayısı düşecek. https://t.co/wu7aHh07ve</t>
  </si>
  <si>
    <t>1385260186089234434</t>
  </si>
  <si>
    <t>Bilim Kurulu Toplantımızın ardından Basın Açıklamamızı aşağıdaki YouTube linkimizden takip edebilirsiniz.
Video: https://t.co/YtXIwoUumX</t>
  </si>
  <si>
    <t>1385232869845573633</t>
  </si>
  <si>
    <t>Bilim Kurulu Toplantımızın ardından Basın Açıklamamızı, Saat: 17.00’de aşağıdaki YouTube kanalımızdan takip edebilirsiniz.
YouTube: https://t.co/JUHNIzmt3q https://t.co/B8mrnihjIj</t>
  </si>
  <si>
    <t>1385220004396863491</t>
  </si>
  <si>
    <t>Arnavutluk'ta Sayın Cumhurbaşkanımızın himayelerinde, Türkiye-Arnavutluk Fier Dostluk Hastanesi’nin açılışını gerçekleştirdik. Kardeşlerimize ve kardeşliğimize hayırlı olsun. https://t.co/EIVkBk6MPr</t>
  </si>
  <si>
    <t>1384981127409119235</t>
  </si>
  <si>
    <t>RT @RTErdogan: Türkiye-Arnavutluk Fier Dostluk Hastanesi Açılış Programı https://t.co/YFGUWT5oYO</t>
  </si>
  <si>
    <t>1384864673217097731</t>
  </si>
  <si>
    <t>Türkiye-Arnavutluk Fier Dostluk Hastanesi Açılış Töreni. 
📍Arnavutluk https://t.co/MqXhFOFHj6</t>
  </si>
  <si>
    <t>1384857869028413443</t>
  </si>
  <si>
    <t>Yeni kabinede Çalışma ve Sosyal Güvenlik Bakanlığı’na atanan Vedat Bilgin Beyefendi’ye, Aile ve Sosyal Hizmetler Bakanlığı’na atanan Derya Yanık Hanımefendi’ye, Ticaret Bakanlığı’na atanan Mehmet Muş Beyefendi’ye hayırlı olsun dileklerimi iletiyorum. Millete hizmet bizi bekler.</t>
  </si>
  <si>
    <t>1384653147449307139</t>
  </si>
  <si>
    <t>Kabinede birlikte görev yaptığımız Aile, Çalışma ve Sosyal Hizmetler eski Bakanımız Zehra Zümrüt Selçuk Hanımefendi’ye ve Ticaret eski Bakanımız Ruhsar Pekcan Hanımefendi’ye hizmetleri ve dostlukları için çok teşekkür ederim.</t>
  </si>
  <si>
    <t>1384652785581441025</t>
  </si>
  <si>
    <t>Değerli kardeşim Şamil Tayyar Beyefendi’nin muhterem babası Hüseyin Tayyar Beyefendi Hakkın rahmetine kavuştu. Merhuma Allah'tan rahmet, yakınlarına başsağlığı diliyorum.</t>
  </si>
  <si>
    <t>1384619070331498497</t>
  </si>
  <si>
    <t>100.000 nüfusa karşılık gelen haftalık vaka sayısı en çok artan illerimiz Düzce, Çanakkale, Zonguldak, Yozgat ve Yalova. Azalan illerimiz ise Kırklareli, Kilis, Samsun, Osmaniye ve Adıyaman. Vaka sayısı artış hızı azaldı. Vaka sayıları da tedbirlerle birlikte azalacak. https://t.co/mMsHMT3JEi</t>
  </si>
  <si>
    <t>1384467526281842688</t>
  </si>
  <si>
    <t>Bu araç Iğdır'da bir hastanın filyasyonunu tamamladıktan sonra dönüş yolundaki sağlık çalışanlarımızı taşıyordu. Doktor, hemşire ve şoförümüzün durumları iyi. Sağlık çalışanları yılı sağlıkçıların emekleri ile anılacak. Geçmiş olsun. https://t.co/rOyWHsPdTi</t>
  </si>
  <si>
    <t>1384254247085035522</t>
  </si>
  <si>
    <t>İstanbul’da yoğun bakım yataklarımızda doluluk %71,4. Çanakkale’de %67,1. Tekirdağ’da %73,5. Kırklareli’nde %69. Yalova’da %55,4. Vaka sayılarının artışı, sağlık çalışanlarımızın yükünü de oransal olarak artırıyor.</t>
  </si>
  <si>
    <t>1384222348539174918</t>
  </si>
  <si>
    <t>Vaka artışımızın en yüksek olduğu İstanbul, Çanakkale, Tekirdağ, Kırklareli, Yalova illerimizin Sağlık Müdürleri ve Valileriyle online toplantı yaparak, bu illerimizdeki salgın sürecini ve alınan tedbirleri değerlendirdik. https://t.co/hBeL1zlvLI</t>
  </si>
  <si>
    <t>1384222157408931854</t>
  </si>
  <si>
    <t>Bugün itibariyle aşılama programında yeni bir safhaya geçiyoruz. Aşılamada sıra 55 yaşından büyüklere geldi. Sırası gelen vatandaşlarımızı aşı olmaya davet ediyorum. Aşı programımız tedarik koşullarına bağlı olarak kararlılıkla sürecek.</t>
  </si>
  <si>
    <t>1384142531282100235</t>
  </si>
  <si>
    <t>Bugün itibariyle 20 milyondan fazla doz aşı yaptık. Büyüklerimizi ve kronik hastalığı olan vatandaşlarımızı öncelikle korumaya almaya çalıştık. Aşı programımız tüm güçlüklere rağmen kararlılıkla sürecek. https://t.co/osI4yYriqp</t>
  </si>
  <si>
    <t>1384052492481163269</t>
  </si>
  <si>
    <t>İllerimizde bir haftada 100.000 nüfusa karşılık gelen vaka sayısını gösteren insidans haritasının güncel halini bulabilirsiniz. Kısıtlama ve tedbirler artış hızını düşürmeye başladı. Bu düşüşü hızlı ve kalıcı hale getirmek için birlik olalım. https://t.co/AhqWBTmVd0</t>
  </si>
  <si>
    <t>1383812178700947462</t>
  </si>
  <si>
    <t>2021 World Para Swimming Series yarışlarında 50 metre sırt üstünde Olimpiyat ve Avrupa Şampiyonası’nda birinci de ikinci de bizim kızlarımız. Tebrikler Sümeyye Boyacı. Tebrikler Sevilay Öztürk. https://t.co/aWOocOeluA</t>
  </si>
  <si>
    <t>1383521026428964871</t>
  </si>
  <si>
    <t>Daha özgür ve müreffeh bir Türkiye ideali ile ömrünü milletimize hizmetle geçiren 8. Cumhurbaşkanımız Turgut Özal'ı rahmetle anıyorum. https://t.co/iuwPk2aZga</t>
  </si>
  <si>
    <t>1383405716564705291</t>
  </si>
  <si>
    <t>Öncesinde sizin de katkınız az değil. Annenizin aşı olmayı kabul etmesinden hepimiz mutluyuz. https://t.co/aCI4rQveXw</t>
  </si>
  <si>
    <t>1382952233566883840</t>
  </si>
  <si>
    <t>Son iki günde, açılan aşı kapasitesinin çok az bir bölümüne randevu alındı. Hastanelerimizde gece saat 24’e kadar aşı randevusu verilmektedir. Gündüz vakit bulamayanlar için iftardan sonra aşı olma imkanı var. En  önemli silahımız aşı. Sıranız gelmişse vakit geçirmeden aşı olun.</t>
  </si>
  <si>
    <t>1382733374469648392</t>
  </si>
  <si>
    <t>Aşılama programında kullandığımız aşılar uygun saklama koşullarını haiz merkezlerde uygulanmaktadır. Aşının çöpe gittiği iddiaları gerçekle bağdaşmamaktadır. Her bir doz aşının kıymetini biliyor ve ona göre planlama yapıyoruz. Aşının israfı söz konusu değildir.</t>
  </si>
  <si>
    <t>1382605120521781248</t>
  </si>
  <si>
    <t>Gökhan Bey, tekrar merhaba. 
Hep birlikte elimizden geleni yapmaya çalıştıkça zorluklar kolaylaşacak. Aşı konusunda gerçek, algılanandan kat kat iyi, daha da iyi olacak. Mesajınız için teşekkürler. https://t.co/WhgFRZOIlu</t>
  </si>
  <si>
    <t>1382459098793443331</t>
  </si>
  <si>
    <t>Başika üs bölgesine yapılan hain saldırıda şehit olan askerimize Allah'tan rahmet, milletimize başsağlığı diliyorum. https://t.co/4xqzwQuFKC</t>
  </si>
  <si>
    <t>1382445678924865541</t>
  </si>
  <si>
    <t>Gökhan Bey kardeşim, sorumluluk suçlamak manasına gelmez. Artan vaka sayısında suçumuz yok sorumluluğumuz var. 84 milyon beraber artırmadık vaka sayılarını ama birlikte mücadele etme sorumluluğumuz var. Destek olacağınızdan şüphem yok. https://t.co/mnaKqhBaiu</t>
  </si>
  <si>
    <t>1382428543381037060</t>
  </si>
  <si>
    <t>Bu fotoğraf salgında sağlık hizmeti veren bir hastanemizden. Sağlık çalışanlarımıza saldırarak bu manzaraya sebep olan şahıslar göz altına alındı. İçlerinden iki kişi tutuklandı. Sağlık çalışanlarına sözde değil eylemde sahip çıkmak hepimizin sorumluluğu. https://t.co/vpPuOkBr1E</t>
  </si>
  <si>
    <t>1382398917803970560</t>
  </si>
  <si>
    <t>Dr. Kemal Gökhan Günel ile bir kez daha telefonda görüştüm. Kendisinin nezdinde tüm hekimlerimizin haklarına sahip çıktığımızın bilinmesini isterim. Ayrıca yargı teşkilatımıza da hassasiyetleri sebebiyle teşekkür ederim.</t>
  </si>
  <si>
    <t>1382398788426432517</t>
  </si>
  <si>
    <t>Eski Başbakanlarımızdan Yıldırım Akbulut Beyefendi’yi kaybettik. İyi bir insan ve milletimizin hizmetinde bir devlet adamıydı. Kendisine Allah'tan rahmet, yakınlarına ve sevenlerine başsağlığı dilerim. Mekânı cennet olsun.</t>
  </si>
  <si>
    <t>1382342841599463424</t>
  </si>
  <si>
    <t>Bütün işi aşıya bırakmayalım. Aşıya kadar vakaları azaltalım. Kısmi kapanma fırsattır.</t>
  </si>
  <si>
    <t>1382330307270033410</t>
  </si>
  <si>
    <t>100.000 nüfusa karşılık gelen haftalık vaka sayısında en çok artış Kırklareli, Çanakkale, Bayburt, İstanbul ve Tekirdağ'da oldu. Samsun ve Ardahan'da ise azalış gerçekleşti. Yeni kararlara tam uyumla vaka sayılarını azaltmak elimizde. https://t.co/7e5hwYpiov</t>
  </si>
  <si>
    <t>1382305280663371777</t>
  </si>
  <si>
    <t>Ulaştırma ve Altyapı Bakanımız Adil Karaismailoğlu Beyefendi’nin ablası Nermin Öztürk Hanım hayatını kaybetti. Nermin Hanım’a Allah’tan rahmet; Sayın Bakanımıza, kederli ailesine ve merhumenin tüm yakınlarıyla sevenlerine sabır diliyorum. Mekânı cennet olsun.</t>
  </si>
  <si>
    <t>1382132655966277635</t>
  </si>
  <si>
    <t>https://t.co/MOvzPARvQs</t>
  </si>
  <si>
    <t>1382091785925705730</t>
  </si>
  <si>
    <t>https://t.co/XnnO2neYdv</t>
  </si>
  <si>
    <t>1382091705554513922</t>
  </si>
  <si>
    <t>https://t.co/9PCD7DnGUE</t>
  </si>
  <si>
    <t>1382091628576378885</t>
  </si>
  <si>
    <t>https://t.co/h9zwxCvy7v</t>
  </si>
  <si>
    <t>1382091493490442245</t>
  </si>
  <si>
    <t>https://t.co/1olZiwiXtH</t>
  </si>
  <si>
    <t>1382091439639789572</t>
  </si>
  <si>
    <t>100.000 nüfusa karşılık gelen haftalık vaka sayısını gösteren insidans haritamızın güncel hali ektedir. Mutasyonlu virüs aynı yolla ancak daha hızlı yayılıyor. Kısıtlamalar zaruri hale geldi. Birlikte mücadele edip kazanacağız. https://t.co/srNinJxtrp</t>
  </si>
  <si>
    <t>1382000411167580160</t>
  </si>
  <si>
    <t>RT @RTErdogan: Kabine Toplantısı Sonrası Millete Sesleniş https://t.co/t72XUQGtqp</t>
  </si>
  <si>
    <t>1381991474234073088</t>
  </si>
  <si>
    <t>Esenlik ayı Ramazan’a girdik. Günlük isteklerimize karşı, kendi kararımızla irade sınavı vereceğiz. Ve bu aydan daha iyi, daha güçlü insanlar olarak çıkacağız. Ramazanımız, orucumuz mübarek olsun.</t>
  </si>
  <si>
    <t>1381729483753930752</t>
  </si>
  <si>
    <t>Bilmenizi istiyorum: Bu iş bitene dek bir gün bile yalnız kalmayacaksınız. Bizi bir gün bile kararsız ya da yılgın görmeyeceksiniz. Sizden isteğim moralinizi yüksek tutmanızdır. https://t.co/62qiodJCev</t>
  </si>
  <si>
    <t>1381711134651219971</t>
  </si>
  <si>
    <t>Şu ana dek 18 Milyon dozdan fazla aşı yapılmıştır. İster “Türkiye aşıda başarılıdır.” diyelim, ister başarısızdır diyelim, şurası tartışma götürmez bir gerçektir: Türkiye dünyada en çok aşı yapan 6. ülkedir! https://t.co/NnaSPJwoyW</t>
  </si>
  <si>
    <t>1381708843483283460</t>
  </si>
  <si>
    <t>Yeni vakaların %85’i İngiltere mutasyonu kaynaklıdır. Virüsün bu şekli ilk Koronavirüse göre daha hızlı yayılmaktadır. Virüsün dünyada yaygın olan tipi budur. DSÖ’nün yüksek bulaştırıcılığı nedeniyle sıkı takibini tavsiye ettiği E484K mutasyonuna bizde 4.820 vakada rastlanmıştır. https://t.co/PyCw6c995V</t>
  </si>
  <si>
    <t>1381705898331148292</t>
  </si>
  <si>
    <t>Varyant, ortaya çıktığı ilk şekle göre farklılık göstermiş virüs demektir. Farklı ülkelerden bilim insanları Covid-19’un eskisinden hızlı yayılım göstermesini virüsün yeni varyantlarına bağlamaktadır. Türkiye’nin tecrübesi bunu doğrulamıştır. https://t.co/KfsgZ9ForU</t>
  </si>
  <si>
    <t>1381702715823247368</t>
  </si>
  <si>
    <t>Şu anda iki olumsuz faktör güçlerini bize karşı birleştirmiş, daha hızlı yol almamızı zorlaştırmaktadır. Faktörlerden biri zamanla yorulmuş olmamızdır. Daha önemli diğer faktör virüsün yeni varyantlarıdır. https://t.co/bxRjZglCJR</t>
  </si>
  <si>
    <t>1381697817308229639</t>
  </si>
  <si>
    <t>Bilim Kurulu Toplantımızın ardından Koronavirüs ile ilgili son gelişmelere ilişkin basın açıklamamız.
📍Sağlık Bakanlığı
https://t.co/rjSMm4TLVw</t>
  </si>
  <si>
    <t>1381672726943965191</t>
  </si>
  <si>
    <t>Can ve mal güvenliğimizin, toplumumuzun huzurunun teminatı Polis Teşkilatımızın 176. kuruluş yıl dönümünü ve Polis Haftası’nı kutluyorum.</t>
  </si>
  <si>
    <t>1380898834163900416</t>
  </si>
  <si>
    <t>Kıymetli kardeşim, bakan arkadaşım Abdülhamit Gül Beyefendi’nin muhterem anneleri Saliha Hanımefendi tedavi gördüğü hastanede rahmet-i rahmana kavuştu. Mekanı cennet, makamı âli olsun.</t>
  </si>
  <si>
    <t>1380579374404079619</t>
  </si>
  <si>
    <t>Tespit edilen vakaların %85’ini çeşitli varyantlar oluşturuyor. Bütün veriler bulaşmanın daha hızlı olduğunu gösteriyor. Bulaşma hızını azaltmak için tedbirler belli. Aşı ise en büyük silahımız. Sırası gelen vatandaşlarımız randevularını alarak aşılarını olmaktan çekinmemeli.</t>
  </si>
  <si>
    <t>1380576746592948226</t>
  </si>
  <si>
    <t>İl sağlık yöneticilerimizle salgın sürecini değerlendirdik. İstanbul’da Mart başına göre vaka sayıları yaklaşık 10 kat arttı. Ülkemizde vakaların yaklaşık %40’ı İstabul’da. İstanbul’un durumu ülkemizin durumunu belirliyor. İstanbul’u koruyabilirsek ülkemizi de koruyabileceğiz. https://t.co/rHievbIYXM</t>
  </si>
  <si>
    <t>1380576438835949570</t>
  </si>
  <si>
    <t>Yaşlanan nüfusumuz artıyor. Engelli ve yaşlı bakımı ile rehabilitasyona her geçen gün daha çok ihtiyacımız var. Bu hizmet yükünü taşıyan kıymetli meslektaşlarımız var. Türkiye Fizyoterapistler Günü’nü kutluyor, kendilerine hizmetleri için teşekkür ediyorum.</t>
  </si>
  <si>
    <t>1380246639403794432</t>
  </si>
  <si>
    <t>Zeytin Dalı Harekatı bölgesindeki hain terör saldırısında şehit düşen kahraman askerlerimize Allah'tan rahmet milletimize başsağlığı diliyorum. https://t.co/ZHfmWXFE58</t>
  </si>
  <si>
    <t>1379899374726168579</t>
  </si>
  <si>
    <t>Sayın Cumhurbaşkanımıza gösterdikleri hassasiyet ve teveccüh için tüm sağlık çalışanları ve bilim insanlarımız adına teşekkür ederim. Küresel salgın ile mücadele siyaset üstü bir konudur. https://t.co/6bgqueNSnI</t>
  </si>
  <si>
    <t>1379760476536647681</t>
  </si>
  <si>
    <t>Undoubtedly, achieving universal health coverage will continue to be our ultimate goal. In the light of this guiding principle, we will strive towards a healthier and a fairer world. #UHC, #worldhealthday2021, @DrTedros, @hans_kluge, #COVID19, @WHO</t>
  </si>
  <si>
    <t>1379719411511140355</t>
  </si>
  <si>
    <t>Şüphesiz ki, evrensel sağlık kapsayıcılığı nihai hedefimiz olmaya devam edecektir. Bu yol gösterici ilkenin ışığında, daha sağlıklı ve daha adil bir dünya için tüm gayretimizle çalışmaya devam edeceğiz. #UHC, #worldhealthday2021, @DrTedros, @hans_kluge, #covid19, @WHO</t>
  </si>
  <si>
    <t>1379718976700301313</t>
  </si>
  <si>
    <t>Haber alma özgürlüğünü kesintisiz yaşamamızı sağlayan bir asırlık bir ajansımız var. Hizmetinin 101. yılında Anadolu Ajansı’nın kuruluş yıl dönümünü tebrik ederim.</t>
  </si>
  <si>
    <t>1379456101033385987</t>
  </si>
  <si>
    <t>Başından beri salgınla mücadeleyi siyasetten ayırdık. Bilim Kurulumuzun salgın boyunca verdiği emeği görmezden gelerek saldırgan bir üslupla bilim insanlarımıza hakaret edilmesini asla kabul etmeyiz. Bilim Kurulu siyasi rant malzemesi değildir. Saygılı olun.</t>
  </si>
  <si>
    <t>1379449679356829702</t>
  </si>
  <si>
    <t>RT @RTErdogan: Değerlendirme Toplantısı Sonrası Basın Açıklaması https://t.co/3sScLNwOGU</t>
  </si>
  <si>
    <t>1379090331732484104</t>
  </si>
  <si>
    <t>Eğer yola sabırla devam edersek, aşı sıramız geldikçe, hayatta sözü bile edilmez, bizi nihayet güvende hissettirecek küçük bir acı yaşayacağız. Aşı devam ederken büyük acılarımızın sayısı azalacak. Dünkü vefat sayısının 186 olmasında sebep çok. Risk almayalım. https://t.co/M0FAsr71q7</t>
  </si>
  <si>
    <t>1378716764507402252</t>
  </si>
  <si>
    <t>Aşı, maske ve mesafeden daha fazla korur. Biraz daha sabır.</t>
  </si>
  <si>
    <t>1378715017948884992</t>
  </si>
  <si>
    <t>65 yaş üstü büyüklerimizin son bir ayda toplam vakalar içindeki oranı %14,39’dan 11,3’e düştü. Gençlerin aktif vakalar içindeki oranı ise artıyor. Gençlerimizi de koruyacağız.</t>
  </si>
  <si>
    <t>1378636283539554311</t>
  </si>
  <si>
    <t>Darbe ve vesayet heveslilerinin hevesleri daima boşa çıkmıştır. Milletimiz bu geride kalmış zihniyete cevabını en son 15 Temmuz'da vermiştir.</t>
  </si>
  <si>
    <t>1378631132347043841</t>
  </si>
  <si>
    <t>Türkiye, kendi aşısını henüz üretmemiş ülkeler içinde en çok aşı yapan ülkedir. Toplam doz sayısı bu mesajın yayına konduğu an itibariyle 16.668.844’tür. https://t.co/EzDMnM0AaP</t>
  </si>
  <si>
    <t>1378430397726478338</t>
  </si>
  <si>
    <t>En çok aşı yapan ülkeler arasında 6. sıradayız. Bizden daha fazla aşı yapan ülkeler ABD, Çin, Hindistan, İngiltere ve Brezilya’dır. https://t.co/k7DWgMqzXn</t>
  </si>
  <si>
    <t>1378429045768138761</t>
  </si>
  <si>
    <t>İllerimizde 100.000 nüfusa karşılık gelen haftalık vaka sayısını gösteren insidans haritamızın güncel hali. Durumu lehimize çevirmek elimizde. https://t.co/gQBktuyaJJ</t>
  </si>
  <si>
    <t>1378405075182366726</t>
  </si>
  <si>
    <t>Tüm dünyadaki değerli sağlık çalışanlarına şu mesajı vermek isterim: 
Sizler, tüm insanlığın, aynı anda, aynı sebeple şükran duyduğu insanlarsınız. İnsanlık, bu duygusunu ifade etmenin en güzel yolunu bulacaktır. https://t.co/4izw3AU4kY</t>
  </si>
  <si>
    <t>1378065590728937478</t>
  </si>
  <si>
    <t>OTİZM FARKINDALIK GÜNÜ
En büyük güç nedir?
En büyük güç, hiçbir koşula bağlanmamış insan sevgisidir.
-
Bu güç hepimizde bulunuyor. https://t.co/TLgbLF6O7d</t>
  </si>
  <si>
    <t>1378061497767755781</t>
  </si>
  <si>
    <t>OTİZM FARKINDALIK GÜNÜ. Zihinsel özel gereksinimli ve otistik bireylerle, ailelerine yönelik ödevlerimize son 1 yılda da aynı bağlılıkla sarıldık. Bu ödevler şartların üstündedir. Çalışmalarımızın özeti, Otizm Sempozyumunda yaptığımız konuşmada. 
 Video: https://t.co/JgHfO32L7v</t>
  </si>
  <si>
    <t>1378024560809938945</t>
  </si>
  <si>
    <t>DSÖ Genel Direktörü Tedros Ghebreyesus’la dün gerçekleştirdiğimiz, önerimizle ilan edilen, 2021 Uluslararası Sağlık Çalışanları Yılı konulu medya brifinginde yaptığımız konuşmadan: https://t.co/aTa0C5n2fz</t>
  </si>
  <si>
    <t>1378021057190367238</t>
  </si>
  <si>
    <t>DSÖ Genel Direktörü Tedros Ghebreyesus’la gerçekleştirdiğimiz medya brifinginde Türkiye’nin önerisiyle Uluslararası SAĞLIK ÇALIŞANLARI YILI ilan edilen 2021’i ve dünyanın sağlık çalışanına yeni bakışını ele aldık. Konuşmamız YouTube kanalımızda. 
Video: https://t.co/bFRTo7cmPQ</t>
  </si>
  <si>
    <t>1377703190079143947</t>
  </si>
  <si>
    <t>Prof. Cemil Taşçıoğlu hocamızı geçen yıl bugün, salgının oldukça zor döneminde kaybettik. Umutla karanlık iç içeyken. Büyük özverisiyle hepimize örnekti. Kendisini ve onun şahsında sağlık çalışanı bütün kayıplarımızı saygı ve rahmetle anıyoruz. Acımız büyük, yolumuzsa kısaldı. https://t.co/DLtJgyDySZ</t>
  </si>
  <si>
    <t>1377663340529516545</t>
  </si>
  <si>
    <t>HEDEFİMİZ: YAYGIN AŞI İLE TOPLUM BAĞIŞIKLIĞI. Artık yükün geri kalan kısmı, bizim, bilim insanlarımızın, sağlık çalışanlarımızın üzerindedir. Bu büyük sorumluluk duygusu, size tedbirlere uyma isteği vermelidir. Yapmanız gereken, kendinizi korumak ve aşı sıranızı beklemektir.</t>
  </si>
  <si>
    <t>1377356856775991296</t>
  </si>
  <si>
    <t>İntranazal yani burun spreyi şeklinde uygulanacak aşının Faz 1 çalışmaları başlamak üzere. Bu aşı, gönüllüler üzerindeki sonuçları beklediğimiz gibi olursa, dünyada örneği bulunmayan bir COVID aşısı olacaktır. (BİLİM KURULU TOPLANTISI, 31 Mart Çarşamba)</t>
  </si>
  <si>
    <t>1377356260643762176</t>
  </si>
  <si>
    <t>Mutasyona uğrayan virüslerin yayılım hızını artırdığı konusu tüm dünyada ciddiyetle ele alınmaktadır. Testi pozitif çıkan kişilerde ülkemizde yapılan araştırmalarda da bu varyantlara çok sık rastlanmaktadır. (BİLİM KURULU TOPLANTISI, 31 Mart Çarşamba)</t>
  </si>
  <si>
    <t>1377355614095990787</t>
  </si>
  <si>
    <t>Artan vaka sayıları, virüsün gücünü korumaya devam ettiğinin kanıtıdır. Toplum, kesinlik arz eden bu durumu henüz gündemine almamış görünmektedir. (BİLİM KURULU TOPLANTISI, 31 Mart Çarşamba)</t>
  </si>
  <si>
    <t>1377354990788829184</t>
  </si>
  <si>
    <t>Bilim Kurulu’nun bugünkü toplantısında virüsün yeni varyantları, aşı konusundaki son gelişmeler ve Aşıyla Bağışıklama hedefiyle birlikte, bazı illerimizde artan risk düzeyini ele aldık. Aşıyla bağışıklama hedefini, virüsünse gücünü koruduğu gerçeğini hatırlatma gereği duyuyoruz. https://t.co/2jFnWIhpoI</t>
  </si>
  <si>
    <t>1377337354499682304</t>
  </si>
  <si>
    <t>3-3 bir eşitlik değildir. Aramızdaki farkı daha büyük destekle gösterelim.</t>
  </si>
  <si>
    <t>1377036527147040771</t>
  </si>
  <si>
    <t>DÜN BİR GÖREVİMİZ DAHA VARDI. Meclis Nöbetindeydik. Genel Kurulun çalıştığı Salı, Çarşamba ve Perşembe günleri gerçekleşen bu uygulama bizleri vekillerimiz aracılığıyla da buluşturuyor. Nöbetimizde taleplerinizi iletmek üzere bizimle görüşen bütün vekillerimize teşekkür ediyorum. https://t.co/15NFkN6i1T</t>
  </si>
  <si>
    <t>1377024986506989568</t>
  </si>
  <si>
    <t>İllerimizin risk durumunu gösteren son haritamız. Virüs gücünü kaybetmiş değil. Bu haritayı maviye çevirmek elimizde. Aşı programı toplum bağışıklığını sağlayana kadar mücadele etmeliyiz. Zor olanı aştık kolay olanı kaybetmeyelim. https://t.co/jBnZGPNbwq</t>
  </si>
  <si>
    <t>1376581936236351504</t>
  </si>
  <si>
    <t>RT @RTErdogan: Kabine Toplantısı Sonrası Millete Sesleniş https://t.co/VCaXODXB1B</t>
  </si>
  <si>
    <t>1376575876779929601</t>
  </si>
  <si>
    <t>İçişleri Bakanımız Sayın Süleyman Soylu Beyefendi’nin kıymetli dayısı Selami Reis Hakk’ın rahmetine kavuştu. Merhuma Allah’tan rahmet, kardeşim Süleyman Bey ve ailesine sabırlar diliyorum.</t>
  </si>
  <si>
    <t>1376144816363483140</t>
  </si>
  <si>
    <t>Daha büyük maçları da alacağız. Biz de doyasıya sarılacağız. 
A Milli Futbol Takımımıza galibiyeti için teşekkür ediyoruz. https://t.co/FcbA0sp40g</t>
  </si>
  <si>
    <t>1375909629293641735</t>
  </si>
  <si>
    <t>Bu gece Berat Kandili. “Beraat” ruhu içinde, bağışlanmak için çevremize karşı daima bağışlayıcı, ilahi iyiliğe nail olmak için de iyilik dolu olalım. Birimizin diğerimize mesajı erdem ve dostluk olsun. Ve düşünelim, bütün kandil mesajlarının ötesinde BU GECENİN BİZE MESAJI NE?</t>
  </si>
  <si>
    <t>1375878912287326212</t>
  </si>
  <si>
    <t>Risk grubunda olan morbid obez, malign tümörü olan kanser ve diyaliz hastaları, Down sendromu olan vatandaşlarımız ve immuno supresif tedavi alanlar öncelikli aşı olmak için sisteme tanımlandı. En kısa sürede en çok riskli vatandaşımızı korumak istiyoruz.</t>
  </si>
  <si>
    <t>1375845413174050816</t>
  </si>
  <si>
    <t>Aşı programında yeni gruba geçiyoruz. Aşısı sisteme tanımlanmış olan vatandaşlarımız 60 yaş üzeri vatandaşlarımız eşleri ile birlikte randevu alarak aşılarını olabilecekler. Ayrıca bazı risk grupları da programa dahil edildi.</t>
  </si>
  <si>
    <t>1375845271914090505</t>
  </si>
  <si>
    <t>CEVABINI BEKLEDİĞİNİZ BİR SORU VAR: Bu ne kadar sürecek? Salgın ne zaman kontrol altına alınacak? Bu çok açık: Aşılama bittiğinde bu çile son bulacak. Planlarımıza göre, 100 Milyon doz aşının hepsi Mayıs sonuna kadar elimizde olacak. Ve 50 Milyon kişinin aşısı tamamlanacak. https://t.co/7MLP6Sdq4k</t>
  </si>
  <si>
    <t>1375194965844852739</t>
  </si>
  <si>
    <t>Aşının uzun vadeli bir ihtiyaç olacağı çok açıktır. Başka ülkelerin ürettiği aşılara bel bağlamak yanlıştır. Tedarikte zorlanmanın ötesinde bunun ekonomik bedelleri de ağır olur. Kendi aşımız, kendi silahımızdır. Yerli aşı çalışmalarımız sonuca doğru önemli gelişmeler kat ediyor. https://t.co/HlvISFROVF</t>
  </si>
  <si>
    <t>1375188191511072770</t>
  </si>
  <si>
    <t>AŞI ALIMINDA SEÇENEKLERİMİZ ARTIYOR. Aşılama sürecini hızlandırmak için, Sinovac, Biontech gibi aşıların yanında yeni tedarik kaynaklarımız var. Farklı üreticilerle görüşmelerimiz sürüyor. Bunlardan sadece biriyle yapılan tedarik planlamasında 40 Milyon doz söz konusu. https://t.co/YFfxz5HCLo</t>
  </si>
  <si>
    <t>1375177288212418562</t>
  </si>
  <si>
    <t>BIONTECH AŞISI. Aşılamayı hızlandırmak için Alman menşeli Biontech aşısını sürece dâhil ettik. 1,4 Milyon doz aşı bugün itibariyle elimizde. Nisan başında bu, 4,5 Milyon doza ulaşacak. 30 Milyon dozluk opsiyonlu bir anlaşma da yaptık. Üretim arttıkça daha çok aşı alacağız. https://t.co/Ftb6iRUiGw</t>
  </si>
  <si>
    <t>1375171865342308353</t>
  </si>
  <si>
    <t>“BULK” HALDE AŞI ifadesinden ne anlamalıyız? Bulk halde aşı, aşının şişelenmemiş şeklidir. Taşımadaki kolaylık sebebiyle bu yol tercih edilmektedir. Elimize bugün ulaşan, önceki 18 Milyon doza ilave olacak 10 Milyon dozluk aşı bu şekildedir. Şişeleme işlemine başlanmıştır.</t>
  </si>
  <si>
    <t>1375170868092006401</t>
  </si>
  <si>
    <t>MAYIS ayı sonuna kadar 100 MİLYON DOZ AŞI gelecek! Bunun şu ana kadar gelen kısmı 18 Milyon dozun üzerinde. Aşının 14 Milyon dozu uygulandı. 10 Milyon doza tekabül eden, “bulk” haldeki aşı ise elimize bugün ulaştı. 100 Milyon dozla, 50 MİLYON KİŞİNİN aşısını yapmış olacağız. https://t.co/FsmroIoott</t>
  </si>
  <si>
    <t>1375168106226712582</t>
  </si>
  <si>
    <t>Bilim Kurulu Toplantımız sonrası basın açıklamamızı YouTube kanalımızdan izleyebilirsiniz.
Video: https://t.co/u3E5IeoquX https://t.co/xAkmwEJR0y</t>
  </si>
  <si>
    <t>1375153741867970564</t>
  </si>
  <si>
    <t>Duruşunuz, üslubunuz unutulmadı, hatta örnek sayıldı. Ülkenin zor zamanlarında gösterdiğiniz kale gibi tavır için milletimiz hâlâ müteşekkir. Siyasete, Anadolu’nun duygusunu getirdiniz. Bu toprağın insanı sizi bunun için de sevdi. Ruhunuz şad olsun Muhsin Başkan. https://t.co/3mTZ31fcoU</t>
  </si>
  <si>
    <t>1375126470973124615</t>
  </si>
  <si>
    <t>Bugün ayrıca 700 bin dozdan fazla Biontech aşısı daha ülkemize ulaştı. Böylece yaklaşık 1.4 milyon doz kullanıma hazır aşı ulaşmış oldu. Bu aşı ülkemizde ilk defa kullanılacak. Aşı ,saklama koşulları uygun olan her merkezimizde uygulanacak.</t>
  </si>
  <si>
    <t>1374773424720068611</t>
  </si>
  <si>
    <t>Biontech aşısı geçen hafta 5.800 doz test edilmek üzere ülkemize ulaştı. Dün ise yaklaşık 750 bin doz aşı teslim aldık. Testler ve klinik araştırma dışında ilk kez Biontech aşısı geldi. Güvenlik testleri yapılıyor ve önümüzdeki hafta sırası gelen vatandaşlarımıza uygulanacak. https://t.co/ENDMpAd9rt</t>
  </si>
  <si>
    <t>1374773095139930122</t>
  </si>
  <si>
    <t>Karanlıkları aydınlığa kavuşturacak olan sevgi, merhamet ve ilimdir. Bu ruhla kurulan Ak Parti 2023’te, 2053’te ve 2071’de de aynı vizyonla yoluna devam edecek. Kongremizde yeniden başkanlığa seçilen Cumhurbaşkanımız Sayın Recep Tayyip Erdoğan’ı yürekten tebrik ediyorum.</t>
  </si>
  <si>
    <t>1374732157449601026</t>
  </si>
  <si>
    <t>DİKKAT ETMELİYİZ. Bugün 26 Bin 182 yeni vaka tespit ettik. Yine bugün 138 can kaybımız var. Vaka ve kayıp sayıları hayatımızı, sağlımızı, çaba göstererek kazandığımız serbestliği tehdit ediyor. Geri dönüş yolumuz tedbirdir.</t>
  </si>
  <si>
    <t>1374406585351507968</t>
  </si>
  <si>
    <t>Son hafta 100.000 nüfusta vaka görünme oranı en çok artan illerimiz: Kastamonu, Çankırı, Yalova, İstanbul ve Erzincan. En çok azalan illerimiz: Sinop, Gümüşhane, Mersin, Kırıkkale ve Burdur. Riski ortadan kaldıracak olan tedbirdir. https://t.co/mhum3yKLHo</t>
  </si>
  <si>
    <t>1374305399558529025</t>
  </si>
  <si>
    <t>Vaka artışı devam ediyor. Geçtiğimiz hafta en çok vaka artışı yaşanan il yöneticilerimizle korordinasyon toplantısı gerçekleştirdik. Tecrübelerimiz bu artışı göğüslemeye yeterli. Yerinde karar, yerinde tedbir, etkili mücadele ile virüse fırsat vermeyeceğiz. https://t.co/R3Ro87Jivg</t>
  </si>
  <si>
    <t>1374124450015285250</t>
  </si>
  <si>
    <t>Hayat kurtarmak için zamanla yarışılan anlarda kritik görevler üstlenen Acil Tıp Teknisyenleri ve Teknikerlerimiz… Sizler, sağlık hizmetlerimizin birer kahramanı, hepimizin övüncüsünüz. 22 Mart Acil Tıp Teknisyenleri ve Teknikerleri Gününüz kutlu olsun. Türkiye sizi seviyor. https://t.co/uHU9hVtda7</t>
  </si>
  <si>
    <t>1374069278366912522</t>
  </si>
  <si>
    <t>DÜN atmayı bugüne bıraktığım tweet: 21 Mart Dünya Şiir Günü, dün, bugün, yarın kutlu olsun. Her türlü virüse karşı şiir bünyeyi güçlendirir, unutmayalım.</t>
  </si>
  <si>
    <t>1373915766995685377</t>
  </si>
  <si>
    <t>İş yerinde maskesini çıkaranlar olduğu bilgisini alıyoruz. Oysa risk, dışarıda olduğu gibi, iş ortamında da sürüyor. İşteyken, gözden uzak da değilsiniz: Aldığınız riskle 83 Milyonun gözü önündesiniz. Lütfen sorumlu davranın. Maskenizi çıkarmayın.</t>
  </si>
  <si>
    <t>1373900351208878084</t>
  </si>
  <si>
    <t>Bugün kutlanan, sadece baharın gelişi değil. Daha da fazlası. Örneğin, umutların yükselişi. Bahar, zorluklara karşı hepimize ilham versin. Nevruz’unuzu yürekten kutlarım.</t>
  </si>
  <si>
    <t>1373672206987898883</t>
  </si>
  <si>
    <t>Âşık Veysel, yaklaşık yarım asır önce bu dünyadan ayrıldı. Şiirleri, ezgileriyle adı aramızda. O bir halk ozanından öte, bir halk filozofu, ifade edilmesi zor soruları anlaşılır şekilde soran, cevap arayan bir bilgeydi. Yolların en incesinde bir yolcu. Rahmetle anıyoruz. https://t.co/dvp0Nh2Bey</t>
  </si>
  <si>
    <t>1373663655758344192</t>
  </si>
  <si>
    <t>Down Sendromu Farkındalık Günü vesilesiyle, down sendromlu çocuklarımıza, yetişkin bireylere ve ailelerine saygı ve sevgilerimi sunuyorum. Down sendromlular, algıları ve duygularıyla özel insanlardır. Onları anlamaya çalışalım. Biricik olan dünyalarına karşı hassas olalım.</t>
  </si>
  <si>
    <t>1373657195766804482</t>
  </si>
  <si>
    <t>Yarın bugünden tedbirli olalım.</t>
  </si>
  <si>
    <t>1373650858349633540</t>
  </si>
  <si>
    <t>Bilimin zaferi yakın olmasına yakın ama, bazı kayıplar da zafer çok yakınken verilir. Buna fırsat tanımayın.</t>
  </si>
  <si>
    <t>1373628125435813888</t>
  </si>
  <si>
    <t>Bugün, bazılarımız anlayışından, bazılarımız da ister istemez evde. Hafta içi riski her yerde düşürelim.</t>
  </si>
  <si>
    <t>1373617995340210179</t>
  </si>
  <si>
    <t>Virüsü yok sayamayız. Onun normal hayatımızı elimizden almasına da izin vermemeliyiz. Bunu tedbirlere uyarak başarabiliriz.</t>
  </si>
  <si>
    <t>1373346541260443652</t>
  </si>
  <si>
    <t>İllerimizde haftalık 100.000 nüfusa karşılık gelen toplam vaka sayısını gösteren insidans haritamızı ekte görebilirsiniz. Normale dönmek elimizde. Bu ancak tedbirle mümkün. https://t.co/MWa4RsIJDd</t>
  </si>
  <si>
    <t>1373345363537584133</t>
  </si>
  <si>
    <t>Kendilerine Alman devlet nişanı tevdi edilen bilim insanlarımız Dr. Özlem Türeci ile Prof. Dr. Uğur Şahin'i tebrik ediyorum. Dünyayı kurtaracak olan merhamet, zaferi getirecek olan bilimdir. https://t.co/Pch5BdsVfW</t>
  </si>
  <si>
    <t>1373009915762126850</t>
  </si>
  <si>
    <t>Büyüklerimizin gönlü yaşından çok büyük. Yaşlılar Haftası kutlu olsun. https://t.co/RsLSSTm2dx</t>
  </si>
  <si>
    <t>1373007071399059462</t>
  </si>
  <si>
    <t>Vaka sayılarının artış gösterdiği illerimizle koordinasyon toplantısı yaptık. İl yöneticileri ile tedbir ve uygulamaları istişare ettik. Kısıtlamaları bir daha gelmemek üzere kaldırabilecek olan bizleriz. Virüs yok olmadı, tedbirlere uymak zorundayız. https://t.co/B88jP7yAz9</t>
  </si>
  <si>
    <t>1372971412898652162</t>
  </si>
  <si>
    <t>İlimle tevazunun aynı bünyede nasıl yaşayabileceğini gösteren, ülkemizin en büyük iktisat tarihçisi Mehmet Genç, kuşaklar boyu faydalanabileceğimiz derin bilgiler bırakarak ebedi âleme göçtü. Ülkemizin başı sağ olsun. Kendisine sonsuz rahmet, yakınlarına sabır dilerim. https://t.co/mwE0oZ3Y3t</t>
  </si>
  <si>
    <t>1372923993968234498</t>
  </si>
  <si>
    <t>Devlete ancak milli bir şuurla ve kararlılıkla hizmet edilebilir. Bu milli ve kararlı duruşu her zaman sergileyen Sayın Devlet Bahçeli Beyefendi’yi partisinin 13. Olağan Genel Kurultayında yeniden genel başkanlığa seçilmesi vesilesi ile tebrik ediyorum.</t>
  </si>
  <si>
    <t>1372563873593761809</t>
  </si>
  <si>
    <t>Güçlü sanılanın zayıf sanılan karşısında çaresiz kaldığı yerdir Çanakkale. Bir milletin doğrulup ayağa kalktığı yerdir. Çanakkale Zaferimizin 106. yılında şehitlerimizi rahmet ve minnetle anıyorum.</t>
  </si>
  <si>
    <t>1372469921460916224</t>
  </si>
  <si>
    <t>Virüs, eski virüs değil, mutasyona uğradı diyerek, asla işi hafife almayın. Mutantı da olsa, Koronavirüs tehlikeli bir virüstür. Hepinize saygı ve selamlarımı sunuyorum. Yarın bugünden tedbirli olalım. https://t.co/E1SqJg5Hkz</t>
  </si>
  <si>
    <t>1372305975076589570</t>
  </si>
  <si>
    <t>COVID-19’un kitlesel bir sorun olmaktan çıkması için önümüzde yıllar yok, aylar var. İnsanlık, 2020’nin çaresizliğini aştı. 2021 yılı umut ve zafer yılıdır. https://t.co/POv7CUXQMz</t>
  </si>
  <si>
    <t>1372303476999471107</t>
  </si>
  <si>
    <t>Virüse sosyal hayatı ele geçirme fırsatı vermeyin! https://t.co/Fq0TLkcA0R</t>
  </si>
  <si>
    <t>1372300878678519813</t>
  </si>
  <si>
    <t>Bilim Kurulumuz bu hafta toplanarak, normalleşme sürecimizin 15 günlük yansımalarını ve aşı konusundaki gelişmeleri değerlendirdi: Son 15 günde, maalesef çoğu ilimizde, vaka artışı görüldü. Sonuçlar henüz hastanelere fazla yansımaya başlamadı.
Video: https://t.co/oxid95VjD1 https://t.co/djps20dk4S</t>
  </si>
  <si>
    <t>1372296553075990538</t>
  </si>
  <si>
    <t>Şehriye teyzem Allah sana uzun ömürler versin. Büyüklerimize hizmet etmek sorumluluğumuz. Dün biz size emanettik, bugün siz bize emanetsiniz. https://t.co/BkOYxfFHSU</t>
  </si>
  <si>
    <t>1371912260055076868</t>
  </si>
  <si>
    <t>Son hafta 100.000 nüfusta vaka görünme oranı en çok artan illerimiz: Samsun, Kilis, Balıkesir, İstanbul ve Yalova. En çok azalan illerimiz: Sakarya, Ordu, Amasya, Rize ve Burdur. Birlikte tedbirlere uyarak kontrollü normalleşmeye destek olalım. https://t.co/ymqzrUlEfV</t>
  </si>
  <si>
    <t>1371859182610186241</t>
  </si>
  <si>
    <t>İllerimizde 100 bin nüfusa karşılık gelen haftalık toplam vaka sayılarını harita üzerinde görebilirsiniz. Tedbirlere uyarak normalleşmek mümkün. https://t.co/8RYfnGSIJB</t>
  </si>
  <si>
    <t>1371575594014621697</t>
  </si>
  <si>
    <t>RT @RTErdogan: Kabine Toplantısı Sonrası Millete Sesleniş https://t.co/VugDFFBbt3</t>
  </si>
  <si>
    <t>1371498804776689666</t>
  </si>
  <si>
    <t>#DestanYazanlaraMektupYaz
Ben mektubumu yazıp sisteme yükledim. Siz de mektubunuzla Sağlık Personelimize düşüncelerinizi iletebilirsiniz. Yürekten bir teşekkürü hak ettiler.
https://t.co/3pXVhdChXP</t>
  </si>
  <si>
    <t>1371144870430183428</t>
  </si>
  <si>
    <t>İstisnasız herkes ama herkes kabul etti ki bize ihtiyaç varsa biz amasız, fakatsız, tereddütsüz ve en gözü kara halimizle oradayız. Bu şeref bize yeter. https://t.co/XAFgkt1NTR</t>
  </si>
  <si>
    <t>1371098792867602433</t>
  </si>
  <si>
    <t>Gece gündüz demeden çalışan, bu kutsal görevi büyük fedakarlıklarla yerine getiren, varlıkların en şereflisi olan insana hizmet onurunu göğsünde taşıyan meslektaşlarımın 14 Mart Tıp Bayramı'nı yürekten kutlarım. https://t.co/me9LpELavV</t>
  </si>
  <si>
    <t>1371094332187480064</t>
  </si>
  <si>
    <t>RT @tcbestepe: Cumhurbaşkanı Erdoğan’ın, #14MartTıpBayramı videomesajı https://t.co/McshiIcr5H</t>
  </si>
  <si>
    <t>1371078254472351744</t>
  </si>
  <si>
    <t>14 Mart Tıp Bayramı Programı
CANLI YAYIN: https://t.co/cZm1WpHFdo https://t.co/DCl3J3njoo</t>
  </si>
  <si>
    <t>1371068971840114688</t>
  </si>
  <si>
    <t>Sayın Cumhurbaşkanımızın teşrif edecekleri 14 Mart Tıp Bayramı töreni YouTube kanalımızdan canlı olarak takip edilebilecek.
YouTube: https://t.co/BxFZseFRun https://t.co/PjiMmEU2yi</t>
  </si>
  <si>
    <t>1370818863487672329</t>
  </si>
  <si>
    <t>İçişleri Bakanımız Sayın Süleyman Soylu Beyefendi’nin muhterem anneleri Hakkın rahmetine kavuştu. Merhumeye Allah'tan rahmet, Süleyman Bey kardeşimize ve ailesine sabırlar diliyorum.</t>
  </si>
  <si>
    <t>1370646551392096256</t>
  </si>
  <si>
    <t>Sağlık hizmetine erişim için hastamızın evine gitmemiz gerekiyorsa ekiplerimiz evine gidiyor. Bu yavrularımız bize, geleceğimiz ise yavrularımıza emanet. https://t.co/LgmWhHnSJQ</t>
  </si>
  <si>
    <t>1370465997740777477</t>
  </si>
  <si>
    <t>Hürriyet ve Bağımsızlığın kalpten dile düşen en güzel ifadesi olan İstiklâl Marşımızın kabulünün 100. yılını kutluyorum. Milli şairimiz Mehmet Akif Ersoy’u ve şanlı mücadelemizin kahramanlarını minnetle anıyorum.</t>
  </si>
  <si>
    <t>1370285092707446784</t>
  </si>
  <si>
    <t>Zor günler hepimizi çok yorsa da çok yakında geride kalacak. Bu illetten hep birlikte kurtulacağız. https://t.co/48zXfduyk0</t>
  </si>
  <si>
    <t>1370112347952574467</t>
  </si>
  <si>
    <t>COVID-19’dan, gripten bahsedermiş gibi bahsedeceğimiz günler de gelecek: “Üzerinize afiyet! Biraz Korona olmuşum.” O günlerle arayı açmayalım. Yolu birlikte kısaltalım.</t>
  </si>
  <si>
    <t>1370063095306067970</t>
  </si>
  <si>
    <t>İnanmalıyız ki, umut kadar büyük bir güç yok. Bilmeliyiz ki yolu kısaltan iyimserliktir. https://t.co/wxo1jiBb4z</t>
  </si>
  <si>
    <t>1370037573175947264</t>
  </si>
  <si>
    <t>Milletimin huzurunda milletim adına sağlık çalışanlarımıza bir kez daha minnettar olduğumuzu ifade ediyorum. https://t.co/9JD4T1AofD</t>
  </si>
  <si>
    <t>1370034522331504640</t>
  </si>
  <si>
    <t>Koronavirüs hayatımızdan çıkacak. 2020 yılına düşürdüğü karanlık gölge 2021’de olmayacak. https://t.co/tUqUGcNrT6</t>
  </si>
  <si>
    <t>1370031913671528448</t>
  </si>
  <si>
    <t>RT @RTErdogan: Sağlık ordumuzun fedakârlığıyla, sürekli yenilerini hizmete aldığımız, kapasitelerini arttırdığımız hastanelerimizle ve güçl…</t>
  </si>
  <si>
    <t>1370029098383282178</t>
  </si>
  <si>
    <t>Türkiye’de ilk vakanın üzerinden 1 yıl geçti.
https://t.co/P23wyf2mka</t>
  </si>
  <si>
    <t>1370015348766998530</t>
  </si>
  <si>
    <t>Kıymetli vatandaşlarım; 
Saat 17.00’da huzurlarınızda olacağım.
YouTube: https://t.co/BxFZseFRun</t>
  </si>
  <si>
    <t>1370006930425536514</t>
  </si>
  <si>
    <t>Aşı tedariki ve uygulama performansımız konusunda, küresel koşulların tüm engellerine rağmen, aşı üretme kapasitesi erken devreye girmiş ülkelerle rekabet eder durumdayız. 10 milyonun üzerinde aşılama gerçekleştirmiş durumdayız.</t>
  </si>
  <si>
    <t>1369725028485509123</t>
  </si>
  <si>
    <t>Mutant virüsler yayılım hızını artırmıştır. Her ne kadar bu artış hastanelere yatışları paralel şekilde etkilemese de çok vaka maalesef çok hasta potansiyelini barındırıyor.</t>
  </si>
  <si>
    <t>1369723276059152384</t>
  </si>
  <si>
    <t>Bugüne kadar 76 ilimizde toplam 41.488 B.1.1.7 (İngiltere) mutantı, 9 ilimizde toplam 61 B.1.351 (Güney Afrika) mutantı 1 ilimizde 2 B.1.427 (California-NewYork) mutantı ve 1 adet de P.1 (Brezilya) mutantı tespit edilmiştir.</t>
  </si>
  <si>
    <t>1369722498170884096</t>
  </si>
  <si>
    <t>Unutmayalım! İnanç, azim ve kararlılık olduğu sürece kırmızı maviye en yakın renktir. https://t.co/tJAaBlo2hy</t>
  </si>
  <si>
    <t>1369720188921331714</t>
  </si>
  <si>
    <t>Peygamberimizin Miracı, o kutlu yolculuk, insanın evrensel bir özleminin simgesi olmuştur. Çünkü insan ruhen yücelmek, biricik varlığını olgunluğa ulaştırmak ister. Miraç Kandilinizi kutluyor, insanlık serüvenimizde Miracın hepimize yol gösterici olmasını diliyorum.</t>
  </si>
  <si>
    <t>1369651639477473292</t>
  </si>
  <si>
    <t>Sınırlarımızı koruyalım. Virüsün ne zaman saldıracağı belli olmaz.</t>
  </si>
  <si>
    <t>1369268724738494468</t>
  </si>
  <si>
    <t>Dizi, tiyatro ve sinema oyuncusu Rasim Öztekin, geçirdiği kalp rahatsızlığından sonra, Dr. Siyami Ersek Göğüs Kalp ve Damar Cerrahisi Eğitim ve Araştırma Hastanemizde yapılan bütün müdahalelere rağmen hayatını kaybetti. Televizyon olan her evde aileden biriydi. Başımız sağ olsun. https://t.co/0SOZYIAg7e</t>
  </si>
  <si>
    <t>1368995155726962695</t>
  </si>
  <si>
    <t>Aşı programımız planlandığı gibi ilerliyor. Bugün itibariyle 10 milyon doz aşı yapıldı. Emek veren tüm personelimize teşekkür ederim. Milletimiz en iyisini hak ediyor. https://t.co/BZDPjOn1Id</t>
  </si>
  <si>
    <t>1368857801448169472</t>
  </si>
  <si>
    <t>Kadınlar bizi bağışlasın. Fedakârlıkları bugüne dek hak ettiği karşılığı görmedi. Sevgiyle yeşerttikleri, aynı özenle korunmadı. Sözleri daha fazla etki etse, hayat daha iyi olabilirdi. Çünkü güçle merhamet, kadınlarda birbirinden ayrılmaz. 8 Mart Dünya Kadınlar Günü kutlu olsun.</t>
  </si>
  <si>
    <t>1368802846951550978</t>
  </si>
  <si>
    <t>Ağrı Adıyaman’a, Batman Samsun’a, Bingöl Ordu’ya, Bitlis Balıkesir’e, Diyarbakır İstanbul’a, Mardin Trabzon’a, Van İzmir’e, Siirt Rize’ye, Hakkâri Sinop’a, Şanlıurfa Konya’ya, Şırnak Zonguldak’a, Uşak Tokat’a, Iğdır Giresun’a… örnek olsun! Riski tüm illerde düşürelim.</t>
  </si>
  <si>
    <t>1368592531978657792</t>
  </si>
  <si>
    <t>Son hafta 100.000 nüfusta vaka görünme oranı en çok artan illerimiz: Sinop, Kilis, Samsun, Amasya ve Edirne. En çok azalan illerimiz: Ordu, Bolu, Trabzon, Nevşehir ve Karaman. Birlikte tedbirlere uyarak tüm illerimizi mavi kategoriye sokalım. https://t.co/ghs0lohTRn</t>
  </si>
  <si>
    <t>1368575801881485312</t>
  </si>
  <si>
    <t>Bir kadının, sokakta, çocuğunun gözü önünde ağır şiddete maruz kaldığı haberi, tüm Türkiye’yi üzdü. Samsun’daki olayda 112 Acil Ekibimiz, 21.11’de gelen çağrı üzerine 21.16’da hastaya, 21.20’de hastaneye ulaştı. Şu an Eğitim Araştırma Hastanesinde olan hastanın hayati sorunu yok.</t>
  </si>
  <si>
    <t>1368353793214210048</t>
  </si>
  <si>
    <t>TÜRKİYE’NİN İKİ ORDUSU var. Biri ülkeyi, biri 83 milyonun sağlığını koruyor. İkisi de siyasi çıkar amaçlı ithamlarla yıpratılmaya gelmez. Bilhassa, salgınla savaşın silahı olan aşının tedariki boş sözlerle, maksatlı ifşaatla riske atılıyorsa! Söz sırası aşı bekleyenlere de gelir! https://t.co/Xvhns215n6</t>
  </si>
  <si>
    <t>1368234667099447303</t>
  </si>
  <si>
    <t>Bu hafta ne kadar tedbirli olursak şehirlerimizin rengi ona uygun olarak şekillenecek. Mevcut avantajlarımızı kaybetmemek için daha dikkatli ve temkinli hareket etmeliyiz.</t>
  </si>
  <si>
    <t>1368201362723508225</t>
  </si>
  <si>
    <t>Kontrollü normalleşme için illerimizin 100.000 nüfusa karşılık gelen haftalık vaka sayılarını içeren insidans haritasının güncel hali ektedir. Yüksek riskli illerimiz risklerini düşürmek için daha tedbirli olmalı. Normalleşme kontrollü gerçekleşmeli. https://t.co/wt7YsOJ7qQ</t>
  </si>
  <si>
    <t>1368196881495506946</t>
  </si>
  <si>
    <t>Tüm gün dışarıda kalma kısıtlaması yok:) Yavaş yavaş evin yolunu tutsak?</t>
  </si>
  <si>
    <t>1368185512780038150</t>
  </si>
  <si>
    <t>Mutlu Cumartesi! Hata yaparsak, bir hafta on gün sonra üzülürüz.</t>
  </si>
  <si>
    <t>1368154912970964994</t>
  </si>
  <si>
    <t>Zor günlere dönüş yolunu kapatalım: Dışarı çıkıyorsak, maske takalım.</t>
  </si>
  <si>
    <t>1368120976010002433</t>
  </si>
  <si>
    <t>Kısıtlamaların azalması, kurallara uymanın ödülüdür. Kurallara uyalım.</t>
  </si>
  <si>
    <t>1368113186986205190</t>
  </si>
  <si>
    <t>Beklediğimiz Cumartesilerin ilki! Devamı, kıymetini bilmemize bağlı.</t>
  </si>
  <si>
    <t>1368103931088433154</t>
  </si>
  <si>
    <t>İstanbul’da sağlık yöneticilerimizle bir araya gelerek salgının seyrini değerlendirdik. Polikliniklerimizde hasta artışı olduğu görülüyor. İstanbul normalleşmenin örnek şehri olmalı. Bunu başaracak kararlılıktayız. https://t.co/G9ua2i2Gpg</t>
  </si>
  <si>
    <t>1367870967301763075</t>
  </si>
  <si>
    <t>Yapımı tamamlanan 702 yataklı Seyrantepe Şehir Hastanemizin hazırlıklarını yerinde inceledik. Mart ayı içinde hasta kabulüne başlıyoruz. Yakında açılışını yapacağız. Güçlü Sağlık altyapımız en büyük güvencemiz. Bu güce güvenin. https://t.co/MKMBkX62qa</t>
  </si>
  <si>
    <t>1367868094098587656</t>
  </si>
  <si>
    <t>Emek veren tüm bakanlık personelimize teşekkür ederim. Emeklerinin kıymeti tescillenmiş oldu. https://t.co/RL1Jc91krC</t>
  </si>
  <si>
    <t>1367736290041552902</t>
  </si>
  <si>
    <t>Şartlar ne olursa olsun sağlık hizmetini ulaştırmak sorumluluğumuz. Ordu ilimizi çok yüksek riskli bölgeden düşük riskli bölge haline getirmek için birlikte gayret etmeliyiz. https://t.co/k3Kusng6Qk</t>
  </si>
  <si>
    <t>1367554082865614849</t>
  </si>
  <si>
    <t>Konya, Trabzon, Sakarya, Edirne, Adıyaman İl Sağlık Müdürlerimiz ve Valilerimizle çevrimiçi toplantı yaptık. Çok yüksek risk grubunda olan bu illerimizde yerinde alınabilecek önlemleri ve bu illerimizin düşük risk grubuna girebilmesi için yapılması gerekenleri istişare ettik. https://t.co/EZNf9wTVP8</t>
  </si>
  <si>
    <t>1367549425019736064</t>
  </si>
  <si>
    <t>Bingöl'den Tatvan'a giden ve askerlerimizi taşıyan helikopterin düşmesi sonucu; 9 vatan evladımız şehit olurken 4 askerimiz de yaralanmıştır. Şehitlerimize Allah'tan rahmet, yaralı askerlerimize acil şifa diliyorum. Milletimizin başı sağ olsun. https://t.co/UKlclQ0Qpu</t>
  </si>
  <si>
    <t>1367501514437238790</t>
  </si>
  <si>
    <t>FAZ III, SONUÇ II: Kullandığımız aşı, hastaneye yatış ihtiyacını %100 ortadan kaldırıyor. Aşı olan biri, yakalansa bile COVID-19’u hafif geçiriyor. Bu sonuç, Sinovac aşısının bugün açıklanan Türkiye Faz III araştırmasında ortaya kondu. Hayat yakında daha da normal olacak!</t>
  </si>
  <si>
    <t>1367214387996594176</t>
  </si>
  <si>
    <t>FAZ III, SONUÇ I: Kullandığımız aşı, her 100 kişiden 83,5’inde etkili. Bu sonuç, Sinovac aşısının bugün açıklanan Türkiye Faz III araştırmasında ortaya kondu. Hayat yakında daha da normal olacak!</t>
  </si>
  <si>
    <t>1367213760344174597</t>
  </si>
  <si>
    <t>7 günlük vaka görülme sıklığını il bazında yayınlamaya haftalık olarak devam edeceğiz, risk haritası da 15 günde bir yayınlanacak.</t>
  </si>
  <si>
    <t>1367189660636745728</t>
  </si>
  <si>
    <t>Umutla beklediğimiz günlere sosyal hareketliliğimiz içinde de virüsün yayılmasını engelleyerek ulaşacağız.</t>
  </si>
  <si>
    <t>1367189056090734593</t>
  </si>
  <si>
    <t>Kontrollü olarak normalleşme dönemi fiilen başladı. Bunun konforunu yaşarken tedbiri elden bırakmayalım. https://t.co/IxYUf78nHz</t>
  </si>
  <si>
    <t>1367187966515425281</t>
  </si>
  <si>
    <t>Bugün Sinovac aşısının Türkiye Faz III sonuçları açıklandı. Buna göre genel etkinlik %83,5 ve hastaneye yatışları %100 engelliyor. Klinik çalışma 10 binden fazla gönüllüde yapıldı. 9 milyon dozdan fazla aşı yapıldı. Bizim tecrübemiz de hastaneye yatışların engellendiği yönünde. https://t.co/AmTfnfa6Oa</t>
  </si>
  <si>
    <t>1367141241989783554</t>
  </si>
  <si>
    <t>Haritamızın tamamının mavi olması için çalışacağız. Bunu sağlayacak olan en önemli gayretimiz tedbirlere tam uyum. Sarı, turuncu ve kırmızı iller de mavi olana kadar tedbirli olmalıyız. Mavi illerimiz de durumlarını korumalı. https://t.co/5IjAnWzGcj</t>
  </si>
  <si>
    <t>1366827765048225794</t>
  </si>
  <si>
    <t>Her hafta açıkladığımız illerimizde 100.000 nüfusa düşen haftalık toplam vaka sayısının güncel haritasını ilan ettik. Kademeli ve kontrollü normalleşecegiz. https://t.co/RVlhe7786O https://t.co/IOSAAcuqB9</t>
  </si>
  <si>
    <t>1366502967373946886</t>
  </si>
  <si>
    <t>Bilim Kurulumuz, illerin risk kategorilerini belirlemede 100.000 nüfusa düşen haftalık vaka sayısı ile birlikte yapılan PCR testlerinin pozitiflik oranı, yoğun bakım doluluk oranı ve entübe hasta artışını dikkate aldı. Kademeli normalleşmek elimizde.</t>
  </si>
  <si>
    <t>1366490379130966022</t>
  </si>
  <si>
    <t>İllerimiz risk değerlendirme kriterlerine göre 4 kategoriye ayrıldı. Düşük riskli (mavi), orta riskli (sarı), yüksek riskli (turuncu) ve çok yüksek riskli (kırmızı) olarak kategoriler belirlendi. Buna göre normalleşme adımları uygulanacaktır. Tedbirli ve kademeli normalleşecegiz. https://t.co/ims9A3VE3e</t>
  </si>
  <si>
    <t>1366438618286424065</t>
  </si>
  <si>
    <t>RT @RTErdogan: Kabine Toplantısı Sonrası Millete Sesleniş https://t.co/sCDPjO3y2s</t>
  </si>
  <si>
    <t>1366433014297862148</t>
  </si>
  <si>
    <t>112 Acil Sağlık Hizmetine hiç ihtiyaç olmamasını temenni ederim. Varlığını bilmek ise büyük bir güvence. Sağlıkçılar milletimizin hizmetinde. https://t.co/toNQOUQ8HP</t>
  </si>
  <si>
    <t>1366093168299679745</t>
  </si>
  <si>
    <t>Darbe sadece meşru yönetimi ele geçirmek değil; sosyal, iktisadi ve kültürel hayatı bütünüyle esir almaktır. #28Şubat darbenin postmodern uygulama örneği olarak tarihteki yerini aldı. Darbenin her türlüsününün karşısında, Millet iradesinin yanındayız.</t>
  </si>
  <si>
    <t>1365983372280033285</t>
  </si>
  <si>
    <t>Mücadelemizi takdirle gündemine getiren yabancı devletler artıyor. Dünya takdir etsin diye mücadele vermedik. Mücadelemiz vatandaşımızın sağlığı ve afiyeti için. Dünyanın takdiri değerli ama milletimizin güveni daha değerli. https://t.co/kkwD7vMzwr</t>
  </si>
  <si>
    <t>1365674192579026947</t>
  </si>
  <si>
    <t>Malıyla, canıyla cihad eden bir Müslüman olarak anılmak istemişti. Sevenleri ona Mücahit Erbakan diye seslendi. Merhum Necmettin Erbakan Hocamızı vefatının 10. yılında rahmet ve minnetle anıyorum. https://t.co/6BQvZf5v5J</t>
  </si>
  <si>
    <t>1365607325160120332</t>
  </si>
  <si>
    <t>Geçen haftaya göre vaka sayısı 100.000 nüfusta en çok azalan illerimiz; Bayburt, Erzincan, Trabzon, Karabük ve Hatay. En çok artış olan illerimiz ise; Ordu, Giresun, Samsun, Tokat ve Bolu. Normalleşmek için daha çok emek vermek gerekiyor. https://t.co/8ea1X3xX0e</t>
  </si>
  <si>
    <t>1365379571646881792</t>
  </si>
  <si>
    <t>Sağlık hizmetine bulunduğu yerden ayrılmadan ihtiyaç duyan vatandaşlarımız var. Bu hizmeti onlara ulastirabilecek imkanımız da var. Daha çok hizmet etmek için çalışmaya devam edeceğiz. https://t.co/IHdinuAa6l</t>
  </si>
  <si>
    <t>1365364655607136256</t>
  </si>
  <si>
    <t>Hocalı Azerbaycan’dır. Canlarımızı katlettiler. Şehitlerimize rahmet ve minnetle... https://t.co/IootY05Jq2</t>
  </si>
  <si>
    <t>1365280422301749249</t>
  </si>
  <si>
    <t>Mazlumların umudu olan merhamet içindeki cevherin aynasıdır.
#İyikiDoğdunMilletinAdamı https://t.co/hIjl4KbfjI</t>
  </si>
  <si>
    <t>1365271052708941825</t>
  </si>
  <si>
    <t>AB Delegasyonu Başkanı Büyükelçi Sayın Nikolaus Meyer-Landrut’u Bakanlığımızda ağırlayarak, salgınla mücadeyi değerlendirdik. AB ile ortaklaşa yürüttüğümüz projeleri ve yeni iş birliği imkânlarını istişare ettik. Ziyareti için kendisine teşekkür ediyorum. @EUDelegationTur https://t.co/rPKcQI8ZVa</t>
  </si>
  <si>
    <t>1365236215482613766</t>
  </si>
  <si>
    <t>İletişim kanalları iyi niyetli her talep ve tenkite açık. Bilgi edinmek için siyasi kürsülere ihtiyaç yok. https://t.co/tP89Ki95LZ</t>
  </si>
  <si>
    <t>1365212857755910144</t>
  </si>
  <si>
    <t>4. Vatandaşa hizmet yolunu aramak yerine kafa karışıklığına sebep olmaya çalışılmıştır.
Tüm bunlar maalesef ahlaki değildir.
Milletimizin irfanı bu hakikatten uzak söylemleri idrak edecek seviyede ve hakkı teslim edecek durumdadır.(Belgelerin Türkçe ve İngilizcesi ektedir) https://t.co/NqRcvRiLe9</t>
  </si>
  <si>
    <t>1365046848780701700</t>
  </si>
  <si>
    <t>Durduğumuz yer siyasetin dışında herkesi kuşatacak bir noktadır.
1. Haksız ve asılsız iddialarla ithamda bulunulmuştur.
2. Aşı temini engellenmeye çalışılmıştır.
3. Salgın yönetimi siyasi malzeme haline getirilmeye çalışılmıştır. https://t.co/o5Byy3VmQQ</t>
  </si>
  <si>
    <t>1365046838542426114</t>
  </si>
  <si>
    <t>Aşı bir sağlık meselesidir. Sağlık siyasi alana çekilmemelidir. Hele hele böylesi kritik bir dönemde stratejik önemdeki bir ürünün tedarikini sekteye uğratabilecek girişimler asla kabul edilemez. https://t.co/yd6ubVAyF7</t>
  </si>
  <si>
    <t>1365033502782218241</t>
  </si>
  <si>
    <t>Risk sınıflamasına uygun olarak kademeli normalleşmeyi planlanladık. https://t.co/6gorNdTID5</t>
  </si>
  <si>
    <t>1365026601558245383</t>
  </si>
  <si>
    <t>İkinci Doz aşıyı olup üzerinden 14 gün geçtikten sonra aşılanmış oluyoruz. https://t.co/hZVu65nM8t</t>
  </si>
  <si>
    <t>1365023819195416586</t>
  </si>
  <si>
    <t>Aşıyı hazır temin eden ülkeler içinde en hızlı ve en çok aşılamayı başarmış durumdayız. https://t.co/Pke7MwcDds</t>
  </si>
  <si>
    <t>1365014670382428167</t>
  </si>
  <si>
    <t>Salgınla mücadelenin bir yılı yeni tecrübeler kazandırdı. Salgının sosyal etkisi şimdi eskisinden daha çok odakta. https://t.co/r0LzbfmNQl</t>
  </si>
  <si>
    <t>1365003800847736837</t>
  </si>
  <si>
    <t>Bilim Kurulu Toplantımızın ardından Koronavirüs ile ilgili son gelişmelere ilişkin basın açıklamamız.
📍Sağlık Bakanlığı
https://t.co/WxgcCWDIRB</t>
  </si>
  <si>
    <t>1364977922231173123</t>
  </si>
  <si>
    <t>Bugünü mecliste geçirerek vatandaşlarımızın sesi olan milletvekillerimizi dinledik. Yüce Meclisimize ulaştırılan konuları vekillerimizle istişare ettik. https://t.co/cqLBRQ6Yd3</t>
  </si>
  <si>
    <t>1364688329162317838</t>
  </si>
  <si>
    <t>Tüm dünya salgınla mücadele ediyor. Biz de millet olarak bir mücadele veriyoruz. Bunun siyasi malzeme yapılamayacak kadar önemli bir insanlık görevi olduğunu anlamak istemeyenler olsa da duruşumuz değişmeyecek. https://t.co/DqxUnpVw4c</t>
  </si>
  <si>
    <t>1364679653001203713</t>
  </si>
  <si>
    <t>Yüz yüze eğitimin başladığı köy okullarımızda görevli öğretmenlerimizin aşılanmasına başlandı. İlk aşıyı Bakan arkadaşım Sayın Ziya Selçuk oldu. Daha güvenli bir eğitim ortamı için birlikte gayret etmeye devam edeceğiz.</t>
  </si>
  <si>
    <t>1364587871835947009</t>
  </si>
  <si>
    <t>Haftalık 100.000 nüfusa karşılık gelen vaka sayısında bazı illerimizde belirgin artış var. Normalleşmeyi konuştuğumuz şu günlerde daha hızlı normal hayata dönebilmek için her birimiz tedbirlere daha çok uymalıyız.
https://t.co/RVlhe7786O https://t.co/KPgQ3g8c5N</t>
  </si>
  <si>
    <t>1363956564579745793</t>
  </si>
  <si>
    <t>Sağlık çalışanlarımız için bayrağımızın dalgalandığı hiçbir yer uzak, hiçbir saat geç değil. https://t.co/yT89x8Hggi</t>
  </si>
  <si>
    <t>1363106482934415361</t>
  </si>
  <si>
    <t>Normalleşme adımlarını titizlikle çalışıyoruz. Yerinde karar dönemi ile  kademeli normalleşecegiz. 1 Mart itibariyle süreç belirlenen kriterler çerçevesinde dört risk seviyesinde Valilerimizin başkanlığındaki il hıfzıssıha kurullarımızla başlayacak.</t>
  </si>
  <si>
    <t>1363059958900813824</t>
  </si>
  <si>
    <t>Memleketimize insan yetiştirme sevdasında bir ömür boyu çalışmış, YÖK Başkanımız Yekta Saraç Beyefendi’nin muhterem babası, İslam Alimi Muhammed Emin Saraç Hocamızı kaybettik. Alimin ölümü alemin ölümü gibidir. Milletimizin başı sağ olsun.</t>
  </si>
  <si>
    <t>1362843124888969217</t>
  </si>
  <si>
    <t>İnaktif aşının yan etki riski düşüklüğünün yanında mutasyonlardan da daha az etkileneceğini daha önce söylemiştik. Şimdi dünya bunu konuşmaya ve haberleştirmeye başladı. Ülkemizin güzide vatandaşlarına en iyiyi temin etmek için çalışmaya devam ediyoruz.
https://t.co/ObkjLT6pEN</t>
  </si>
  <si>
    <t>1362774837689802754</t>
  </si>
  <si>
    <t>Salgının kahramanları sevimli dostlarımızı da ihmal etmiyor. Ordu 112 Acil ekibinden Paramedik Mustafa Baran vaka dönüşü yolda gördüğü yaralı köpeğe duyarsız kalmadı. Dünyayı yaşanılabilir bir yer kılan merhamettir. https://t.co/OD5grMUlJf</t>
  </si>
  <si>
    <t>1362480334370181122</t>
  </si>
  <si>
    <t>Her kandil yeni bir umut ışığıdır. Aydınlık günler yakın. Regaib Kandilimiz mübarek olsun.</t>
  </si>
  <si>
    <t>1362428667595472901</t>
  </si>
  <si>
    <t>Geçen haftaya göre 1 haftada 100.000 nüfusta görülen vaka sayısı en çok artan 5 ilimiz: Bilecik, Erzincan, Kilis, Uşak ve Çanakkale. En çok azalan illerimiz ise Bitlis, Mardin, Kastamonu, Yalova ve Bingöl. Tedbir ve kısıtlamalara uyum aşı ile birlikte en büyük gücümüz. https://t.co/moxqbBdvV5</t>
  </si>
  <si>
    <t>1362373898298396673</t>
  </si>
  <si>
    <t>Ülkemizde aşı sadece Bilim Kurulunca belirlenen öncelik sırasına göre ve herkes için ücretsiz olarak yapılmaktadır. Vatandaşlarımıza ulaşarak aşıda öncelikli hale getireceğini iddia ederek para talep eden dolandırıcılar hakkında adli işlem başlatılacaktır. SABİM 184'e ihbar edin.</t>
  </si>
  <si>
    <t>1362137741568471040</t>
  </si>
  <si>
    <t>RT @RTErdogan: Kabine Toplantısı Sonrası Millete Sesleniş https://t.co/6cX5SqLztT</t>
  </si>
  <si>
    <t>1362075299731628041</t>
  </si>
  <si>
    <t>Aşınızı yapmak için Cumartesi, Pazar dâhil hizmetinizdeyiz. Mesajımızı aldıysanız ilk işiniz randevu almak olsun. COVID-19’a karşı zaman kaybetmeyin. https://t.co/bsNcLvnes0</t>
  </si>
  <si>
    <t>1362065073662013447</t>
  </si>
  <si>
    <t>Bugün yüksek öğretim ile ilgili değerlendirmeler yaptık. Yapılan değerlendirmede uygulamalı eğitimin mümkün olduğunca yüz yüze yapılması, teorik eğitimlere ise çevrimiçi olarak devam edilmesi konusundaki görüş birliği Yüksek Öğretim Kurumumuza iletilmiştir.</t>
  </si>
  <si>
    <t>1361755713215860740</t>
  </si>
  <si>
    <t>Bugün itibariyle 5 milyondan fazla aşı yaptık. Bilim Kurulumuzun oluşturduğu öncelikli grupların aşılanmasında 1. aşamayı tamamlamak üzereyiz.</t>
  </si>
  <si>
    <t>1361755312307503120</t>
  </si>
  <si>
    <t>Tedbirlerle ilgili artık vaka sayılarına göre "Yerinde karar" dönemine geçiyoruz. https://t.co/7ZVypczqfs</t>
  </si>
  <si>
    <t>1361750004973641732</t>
  </si>
  <si>
    <t>“Annen yok, kimsen yok.” Ünlü psikoloğumuz Doğan Cüceloğlu annesinin ölümünü anlatırken bu cümleyi kullanırdı. Bugün, hayatına dokunduğu insanları üzecek bir haber aldık: Hocamız aramızdan ayrıldı. Kendisine Allah’tan rahmet, sevenlerine başsağlığı diliyorum. https://t.co/OhtHczzxKo</t>
  </si>
  <si>
    <t>1361688435736645637</t>
  </si>
  <si>
    <t>Aylardır yaşadığımız korku, sonunda bir iğne ucu kadar küçülecek. Sıramız gelmişse aşımızı yaptıralım.</t>
  </si>
  <si>
    <t>1361591982745878529</t>
  </si>
  <si>
    <t>Alperen Bey, belki orada grafiği hazırlayan arkadaşın eski sevgilisi yok ama Anadolu’nun güzel insanları var. Orayı görünce Kahramanmaraş olduğunu herkes bilir :) https://t.co/07UYPPbzi1</t>
  </si>
  <si>
    <t>1361434194518413312</t>
  </si>
  <si>
    <t>Son basın toplantımızda illerimizdeki  vaka sayısını paylaşacağımızı belirtmiştim. Bundan sonra her hafta başında 7 günün vaka sayısını ilan edeceğiz. Yerinde karar dönemindeyiz. https://t.co/RVlhe7oIYm https://t.co/Uq4k2Tfmiz</t>
  </si>
  <si>
    <t>1361415163883098115</t>
  </si>
  <si>
    <t>Sayın Mustafa Destici'ye aşı programımıza verdikleri destek sebebiyle çok teşekkür ederim. Tüm vatandaşlarımız aşılanana kadar çalışmaya devam edeceğiz. https://t.co/pQllCDiKh5</t>
  </si>
  <si>
    <t>1361361876920258564</t>
  </si>
  <si>
    <t>Büyüklerimiz bizim kıymetlilerimiz. Onlara gözümüz gibi bakmak sorumluluğumuz. Nerede olurlarsa olsunlar bize emanetler. https://t.co/Bqphaj5p43</t>
  </si>
  <si>
    <t>1361321877646569477</t>
  </si>
  <si>
    <t>Bugün 500.000'den fazla aşı yapıyoruz. Aşı sayısı arttıkça hayatımızdaki soru işaretleri azalacak.</t>
  </si>
  <si>
    <t>1361249793914322945</t>
  </si>
  <si>
    <t>Sehitlerimizin ruhu şad olsun. Milletimizin başı sağ olsun. Hain her fırsatta ihanetin şiddetini artırma hevesindedir. Tüm hainlerin hevesi kursağında kalacak. Masum canlara kıyan teröristler inlerine gömülecek. https://t.co/5IyozESZHn</t>
  </si>
  <si>
    <t>1361016780957884422</t>
  </si>
  <si>
    <t>Bu ülkeyle gurur duymak için çok nedenimiz var. https://t.co/fT82j4l3iL</t>
  </si>
  <si>
    <t>1360637430882316289</t>
  </si>
  <si>
    <t>Bu memleket, bu vatan gönlü umman kadar geniş analarımızın duasıyla ilelebet var olacak. https://t.co/eipHlk59tV</t>
  </si>
  <si>
    <t>1360610273208459268</t>
  </si>
  <si>
    <t>Ölüm bir köprüdür, dostu dosta götürür. Ömrü millete hizmet ve insan yetiştirmekle, dost biriktirmekle geçen alçak gönüllü, fedakar Kadir abimiz bugün hakka yürüdü. Mekânı cennet, makamı âli olsun.</t>
  </si>
  <si>
    <t>1360585624122712064</t>
  </si>
  <si>
    <t>Allah’ım Receb ve Şaban aylarını bizlere mübarek kıl ve bizi Ramazan'a eriştir. Kutlu günler başladı. Mübarek olsun.</t>
  </si>
  <si>
    <t>1360531253171224580</t>
  </si>
  <si>
    <t>Evet #235SağlıkAtamasıKabulEdilemez
Çünkü 235 yeni atama sayısı değil geçen yıl açılan kadrolardan boş kalan kadro sayısıdır. Yeni atamalarla ilgisi yoktur. Yanlış bilginin doğrudan hızlı yayılması sağlıklı değil.</t>
  </si>
  <si>
    <t>1360321694724980738</t>
  </si>
  <si>
    <t>Acil sağlık hizmetine umarım hiçbir zaman ihtiyaç olmaz. Ancak ihtiyaç olması halinde can kurtaran, hızır gibi yetişen sağlık çalışanlarımız ve sağlık altyapımız var. https://t.co/5k00PDUPAP</t>
  </si>
  <si>
    <t>1360310351712124932</t>
  </si>
  <si>
    <t>Alimin ölümü âlemin ölümü gibidir. Ömrünü Allah yolunda hizmet etmeye vakfetmiş Elazığımızın kanaat önderi Hafız Abdullah Nazırlı Hocamız 107 yaşında rahmet-i Rahman'a kavuştu. Mekanı cennet, ruhu şâd olsun. https://t.co/d725spYHPu</t>
  </si>
  <si>
    <t>1360274265031983107</t>
  </si>
  <si>
    <t>Şu ana kadar aşısı yapılan yurttaşlarımızın sayısı 3.5 milyonun üzerinde. Bugün 65 yaş üstü büyüklerimiz de kolları sıvadı.</t>
  </si>
  <si>
    <t>1360215368187465728</t>
  </si>
  <si>
    <t>Sayın Kemal Kılıçdaroğlu'na aşı kampanyamıza verdiği destek için çok teşekkür ediyorum. Tüm vatandaşlarımız aşılanana kadar çalışacağız. https://t.co/min4nC37KL</t>
  </si>
  <si>
    <t>1360160599255224322</t>
  </si>
  <si>
    <t>Yarın sabah 65 yaş üzeri vatandaşlarımızın aşılanması başlıyor. 65 yaş üzeri vatandaşlarımızın 60 yaş üzeri eşleri de aşı olabilecekler. Randevularınızı web sayfamızdan ve mobil uygulamadan almanızı rica ederim. https://t.co/JGFZwJ4DUz</t>
  </si>
  <si>
    <t>1359896502383104002</t>
  </si>
  <si>
    <t>Sayın Devlet Bahçeli Beyefendi’ye, salgının başından beri verdiği destek ve aşı programımızda gösterdiği örnek duruş sebebiyle şükranlarımı sunuyorum. https://t.co/asrMm2kraV</t>
  </si>
  <si>
    <t>1359868637763555330</t>
  </si>
  <si>
    <t>28 gün önce Sayın Cumhurbaşkanımızın başlattığı aşı kampanyasında bugün kendileri 2. doz aşılarını oldular. Liderliğinde tüm vatandaşlarımız aşılanana kadar çalışacağız.</t>
  </si>
  <si>
    <t>1359864855835140101</t>
  </si>
  <si>
    <t>Irak’ın kuzeyinde teröristlerle girilen çatışmada şehit düşen kahramanlarımıza Allah’tan rahmet, yaralılarımıza acil şifa diliyorum. Başımız sağ olsun. https://t.co/niSjiSiuW8</t>
  </si>
  <si>
    <t>1359622298643419136</t>
  </si>
  <si>
    <t>Aşılama kapasitemizin büyüklüğünü daha önce ifade etmiştim. Yeterli aşı olduğunda yeterli alt yapımız var. https://t.co/w4Ou5nTiNu</t>
  </si>
  <si>
    <t>1359614758434050049</t>
  </si>
  <si>
    <t>Aşağıdaki mesaj tüm vatandaşlarımıza gelene kadar çalışacağız. https://t.co/YNJA3WIsKY</t>
  </si>
  <si>
    <t>1359610377630318594</t>
  </si>
  <si>
    <t>Farklı ülkelerin ürettiği COVID-19 aşıları arasında biz tercihimizi özellikle inaktif aşıdan yana kullandık. Bunun düşük riskli ve daha etkili olduğunu 24 Aralık’ta yaptığımız basın toplantısında açıklamıştım. https://t.co/tfWDAGuwXb https://t.co/nxu0BqVftz</t>
  </si>
  <si>
    <t>1359589783354368004</t>
  </si>
  <si>
    <t>Bizim milletimizin sağlığı ve huzurundan başka hiçbir gayemiz de gayretimiz de yoktur. https://t.co/aHFnT5hAHY</t>
  </si>
  <si>
    <t>1359584626189172749</t>
  </si>
  <si>
    <t>Öngörülebilir bir gelecek için aşı programını titizlikle ele alıyoruz. https://t.co/iLMFVgfkIo</t>
  </si>
  <si>
    <t>1359558707554754567</t>
  </si>
  <si>
    <t>28. gün ikinci doz aşımı oldum. https://t.co/hRUIKs5tPz</t>
  </si>
  <si>
    <t>1359551731147939841</t>
  </si>
  <si>
    <t>Bilim Kurulu Toplantımızın ardından Koronavirüs ile ilgili son gelişmelere ilişkin basın açıklamamız.
📍Sağlık Bakanlığı
https://t.co/AMEW1rhMBC</t>
  </si>
  <si>
    <t>1359542068654317570</t>
  </si>
  <si>
    <t>Bugün 9 Şubat Dünya Sigarayı Bırakma Günü. Bugün siz de geleceğiniz için sağlıklı bir karar verebilirsiniz. Sevdiklerinizin kokusunu uzun yıllar ciğerlerinize çekebilmek için... https://t.co/H9CvK8J0sE</t>
  </si>
  <si>
    <t>1359159296911630337</t>
  </si>
  <si>
    <t>Sağlık hizmeti vermek için dağları aşmak, karlı yolları geçip büyüklerimize ulaşmak en büyük bahtiyarlığımız. Sağlık çalışanlarımız uzak, zor demeden her yerdeler. https://t.co/PdKWJ4uDld</t>
  </si>
  <si>
    <t>1359094389801443331</t>
  </si>
  <si>
    <t>Bugün İtalya’nın Ankara Büyükelçisi Sn. Massimo Gaiani’yi ağırladık. Küresel salgın konusundaki iş birliğimizi ele aldık. İki ülkenin salgın yönetiminde iş birliği devam edecek. İtalya’nın G20 dönem başkanlığında yapılacak “Küresel Sağlık Zirvesi” planlarını değerlendirdik. https://t.co/IBgMIhojo9</t>
  </si>
  <si>
    <t>1358808456296353792</t>
  </si>
  <si>
    <t>Bugün Macaristan Dışişleri ve Dış Ticaret Bakanı Sn. Peter Szijjarto’yu ağırladık. Bakan bey küresel salgın sırasında gösterdiğimiz destek ve iş birliği için teşekkür ettiler. Macaristan ile iş birliğimiz devam edecek. https://t.co/IHGMiztRN5</t>
  </si>
  <si>
    <t>1358805213424087043</t>
  </si>
  <si>
    <t>Devletin kuvveti büyüklerin duasında. https://t.co/S2uvuleJTn</t>
  </si>
  <si>
    <t>1358127503399862274</t>
  </si>
  <si>
    <t>Birlik ve beraberlik için, milletimize hizmet etmek için, mazlumların sesi olmak için #ErdoğanınYanındayız</t>
  </si>
  <si>
    <t>1357804082371715076</t>
  </si>
  <si>
    <t>RT @drfahrettinkoca: “Olmaya devlet cihânda bir nefes sıhhat gibi.” Milletimizin Hizmetindeyiz. https://t.co/wVIAqrCT7V</t>
  </si>
  <si>
    <t>1357624544723406853</t>
  </si>
  <si>
    <t>“Olmaya devlet cihânda bir nefes sıhhat gibi.” Milletimizin Hizmetindeyiz. https://t.co/wVIAqrCT7V</t>
  </si>
  <si>
    <t>1357388614330699780</t>
  </si>
  <si>
    <t>Mücadelemizin merkezinde koronavirüs salgını olsa da tüm hastalıklar varlığını sürdürüyor. Kanser sevdiklerimizi elimizden almaya devam ediyor. Kanserle mücadelede erken tanı hayat kurtarır. https://t.co/mEZ8Hi4DHQ</t>
  </si>
  <si>
    <t>1357386538275995648</t>
  </si>
  <si>
    <t>Ayla Kırs, İzmir’in Seferihisar ilçesinde görevli hemşiremiz. Yaşanan sel felaketi sebebiyle evinden çıkamayan hastaya müdahale etmek için beline kadar suya girerek hastaya ulaştı ve gerekli müdahaleyi yaptı. Her koşulda milletimizin hizmetindeyiz. https://t.co/bnWgWjVOTp</t>
  </si>
  <si>
    <t>1357356087557689345</t>
  </si>
  <si>
    <t>Vatanı müdafaa görevini ifa ederken Elbab’da şehit düşen evladımız Süleyman Demirel’e Allah’tan rahmet, milletimize başsağlığı diliyorum. https://t.co/lCB6AXyY2P</t>
  </si>
  <si>
    <t>1357352967431667714</t>
  </si>
  <si>
    <t>Vaka sayısının yeniden artışa geçmesi daha fazla dikkatli davranmamızı gerektirmektedir. Hareketliliği artıracak, bir araya gelmeleri, toplanmaları sağlayacak her türlü ortamdan uzak duralım. Kapalı ve kalabalık yerlerden özellikle kaçınalım.</t>
  </si>
  <si>
    <t>1357033356039499778</t>
  </si>
  <si>
    <t>Riskli mutasyonlar sınır tanımadan yayılıyor. Ülkemizdeki İngiltere mutasyonu 196 oldu. İki Güney Afrika, bir de Brezilya varyantı ile karşılaşıldı. Yeni mutasyonların görüldüğü ve vakaların yeniden artışa geçtiği bugünlerde tedbirlerden taviz vermeden mücadelemizi sürdüreceğiz.</t>
  </si>
  <si>
    <t>1357031734127247362</t>
  </si>
  <si>
    <t>Bilim Kurulumuz bugün haftalık toplantısını yaparak aşılama çalışmalarını ve hastalığın seyrini gözden geçirdi. Mutasyonlar ve vakaların yeniden artış trendine karşı dikkat edilecek hususlar gündemdeydi. https://t.co/RvvRSrwAnL</t>
  </si>
  <si>
    <t>1357023468542447617</t>
  </si>
  <si>
    <t>UMKE gönüllüsü kızımız Edanur, arkadaşları Gökhan ve Mehmet ile birlikte halk otobüsünde doğum yapan bir annenin yardımına koştu. UMKE sağlık çalışanı gönüllülerimizden oluşan muazzam bir ekip. Depremde, yangında, salgında, doğumda her yerdeler. 
UMKE 
“Umut Gönüllüleri” https://t.co/lujOG05aWp</t>
  </si>
  <si>
    <t>1356359137135898632</t>
  </si>
  <si>
    <t>"İnsanı yaşat ki devlet yaşasın." 
Şeyh Edebali https://t.co/QASR0Pohpq</t>
  </si>
  <si>
    <t>1356308747233202182</t>
  </si>
  <si>
    <t>RT @RTErdogan: Kabine Toplantısı Sonrası Millete Sesleniş https://t.co/whNRzcgthr</t>
  </si>
  <si>
    <t>1356280554124140551</t>
  </si>
  <si>
    <t>Devletimiz var olsun. https://t.co/7s6tQFI0kl</t>
  </si>
  <si>
    <t>1355515641168613376</t>
  </si>
  <si>
    <t>Vaka sayılarını kontrol etmek elimizde. Kontrol elimizdeyken kıymetini bilerek temkinli hareket etmeli ve kalabalık ortamlardan uzak durmalıyız.</t>
  </si>
  <si>
    <t>1355206726044311553</t>
  </si>
  <si>
    <t>Virüsün mutasyona uğramış olması şimdilik aşı çalışmalarını etkilememektedir. Ancak yeni mutasyonlar aşı çalışmalarını da zorlayabilir. En büyük silahımız halen maske ve mesafe kuralına uymak.</t>
  </si>
  <si>
    <t>1355205290816397319</t>
  </si>
  <si>
    <t>Mutasyon tehdidine karşı dikkatli olmalıyız. Avrupa’daki vaka artışlarının arkasındaki etmenlerden biri virüsün mutasyonlu varyantı. Ülkemizde mutasyonlu virüs tespit edilen vatandaş sayısı 128’e yükselmiştir. 17 şehrimizde İngiltere varyantı görüldü.</t>
  </si>
  <si>
    <t>1355203980289310720</t>
  </si>
  <si>
    <t>İnşaatı tamamlanan 620 yataklı İstanbul Seyrantepe hastanemizdeki hazırlıkları gözden geçirdik. Güçlü sağlık alt yapımıza yeni bir hizmet alanı daha ekleniyor. Seyrantepe hastanemiz mart ayı içinde hasta kabulüne başlayacaktır. Milletimize yadigâr olacak eserler devam edecek. https://t.co/X3jyj5Nd7R</t>
  </si>
  <si>
    <t>1355201829357969412</t>
  </si>
  <si>
    <t>İnaktif aşıların 10 milyon dozluk 2. sevkiyatının birinci bölümü geçtiğimiz hafta sonu elimize ulaşmıştı. Bu sabah itibariyle ikinci bölümü ülkemize ulaşmış olacak. Tedarik programına uygun olarak aşı sevkiyatı devam edecek.</t>
  </si>
  <si>
    <t>1354900866264920068</t>
  </si>
  <si>
    <t>Bugün tespit edilen vaka sayısı 7.279 kişi. Durumun ciddiyetini görmezden gelemeyiz. Aşı programının selameti açısından da tedbirlere ve kısıtlamalara uymalıyız. Büyük emek ve zahmetlerle elde ettiğimiz kontrolü riske atmamalıyız.</t>
  </si>
  <si>
    <t>1354850775848153090</t>
  </si>
  <si>
    <t>Sağlık ordumuzun silahları hazırlandı. Girdikleri üstün mücadelede artık daha korunaklılar. Aşı programımızın ilk adımını sağlık çalışanlarını aşılayarak tamamladık.</t>
  </si>
  <si>
    <t>1354517904075743233</t>
  </si>
  <si>
    <t>Salgının tüm dünyaya bir kişiden yayıldığını aklımızdan çıkarmamalıyız. Salgın süresince zorlu bir mücadele verdik ve tüm milletimiz çok yoruldu. Bu emeklerin karşılığını almaya çok yaklaştığımız ortadadır.</t>
  </si>
  <si>
    <t>1354498866830311434</t>
  </si>
  <si>
    <t>Bilim Kurulumuzun önerisiyle yarından itibaren 75 yaş üzeri büyüklerimiz randevu alarak aşı olabilecekler. Büyüklerimizi daha iyi koruyabilecegiz.</t>
  </si>
  <si>
    <t>1354498739277361155</t>
  </si>
  <si>
    <t>Bilim Kurulumuzda aşı programını ve öncelikli grupların durumunu değerlendirdik. Mutasyonun salgının seyrine etkisi ve salgının ülkemizdeki seyri gündemimizdeydi. https://t.co/vQj0QK0d2u</t>
  </si>
  <si>
    <t>1354496716821639171</t>
  </si>
  <si>
    <t>Tedbir ve kısıtlamalara uyumla vaka sayılarını önemli ölçüde düşürdük. Ancak son günlerde 5.000-7.000 arasında seyreden vaka sayıları hâlâ tedirgin edici seviyede. Kapalı ortamlarda kalabalıktan uzak durmalı, maske ve mesafe kurallarına özen göstermeliyiz. https://t.co/RVlhe7786O</t>
  </si>
  <si>
    <t>1354101665377484803</t>
  </si>
  <si>
    <t>Sağlık çalışanlarımızın verdikleri emek ve özveri sonucu iyileşen her hastamız en büyük motivasyonumuz. Bizi mutlu eden sizin sağlığınıza kavuşmanız. Biz sağlık çalışanları olarak son hastamız iyileşene kadar çalışmaya devam edeceğiz. https://t.co/bFOKC447C0</t>
  </si>
  <si>
    <t>1353819765941350401</t>
  </si>
  <si>
    <t>Sayın Cumhurbaşkanımızın himayelerinde bugün, bundan bir yıl önce depremde evlerini kaybeden depremzedeler için yapılan yeni konutlar teslim edildi. Enkazdan UMKE ekiplerince kurtarılan Azize Hanım da evine kavuştu. https://t.co/olzUVOEA3A</t>
  </si>
  <si>
    <t>1353804603507281923</t>
  </si>
  <si>
    <t>RT @RTErdogan: Elâzığ’da vatandaşlarımızla birlikteyiz. https://t.co/oxIQ3z7XQA</t>
  </si>
  <si>
    <t>1353692032942944256</t>
  </si>
  <si>
    <t>Bilim Kurulumuzun önerisiyle hazırlanan program dâhilinde bugün itibariyle, 80 yaş üzeri vatandaşlarımızın da aşılanmasına başlıyoruz. 80 yaş üzeri vatandaşlarımız sağlık kuruluşlarımızda aşılanacaklar.</t>
  </si>
  <si>
    <t>1353633732457078784</t>
  </si>
  <si>
    <t>Tüm Türkiye’de aşı programının günlük gelişimini artık canlı olarak izleyebilirsiniz. Program ilerledikçe daha fazla bilgiyi paylaşabileceğiz. https://t.co/osI4yY9HyR</t>
  </si>
  <si>
    <t>1353626196572041218</t>
  </si>
  <si>
    <t>Bundan tam bir yıl önce Elazığ'da yaşanan deprem felaketi sebebiyle oradaydık. Allah bu aziz millete böyle felaketler yaşatmasın. https://t.co/H7GF3A1Y7X</t>
  </si>
  <si>
    <t>1353310522746298369</t>
  </si>
  <si>
    <t>Mesleğini vatan aşkı ile yapan, gönlüne bu milletin her bir ferdini sığdırabilmiş bir yiğit haince katledildi. Gaffar Okkan'ı vefatının 20. yıl dönümünde rahmet ve minnetle anıyorum. https://t.co/DA20cl7JC9</t>
  </si>
  <si>
    <t>1353300267584942085</t>
  </si>
  <si>
    <t>İnaktif aşıların 10 milyon doz olan 2. sevkiyatının ilk bölümü (6.5 milyon doz) aşılar pazartesi sabahı ülkemizde olacak. Tedarik planına uygun olarak teslimatlar aşı programı aksamadan devam edecek şekilde elimize ulaşacak.</t>
  </si>
  <si>
    <t>1353294936490340352</t>
  </si>
  <si>
    <t>1.200.000’den fazla kişi şu ana kadar aşı oldu. Türkiye’de iller bazında aşı dağılımını görebilirsiniz. Pazartesi gününden itibaren bunu canlı olarak takip edebileceksiniz. En çok sağlık çalışanımızın bulunduğu İstanbul’da 224.000’den fazla kişi aşı oldu. https://t.co/CzgHZJx4ep</t>
  </si>
  <si>
    <t>1353056278789017600</t>
  </si>
  <si>
    <t>Mutasyon sebebi ile İngiltere, Danimarka ve Güney Afrika'dan ülkemize olan uçuşlarda geçici durdurma kararı alınmıştı. Bu ülkelere bugün itibariyle artan mutasyonlu virüs kaynaklı vakalar sebebiyle Brezilya da eklenmiştir.</t>
  </si>
  <si>
    <t>1352658983505555462</t>
  </si>
  <si>
    <t>Salgının yıkıcı etkisini durdurmak için filyasyon ekibimiz çetin kış şartlarında da görev ve sorumluluklarını yerine getirmeye devam ediyorlar. Sağlık ordumuzun inanç ve azmi güven veriyor. https://t.co/uwbmodjGqf</t>
  </si>
  <si>
    <t>1352641663806615552</t>
  </si>
  <si>
    <t>Yazdığı eserlerle gençlere tarihi sevdiren ve iz bırakan bir düşünce adamını daha ebediyete uğurladık. Niyazi Birinci’ye (Yavuz Bahadıroğlu) Allah’tan rahmet, ailesine ve sevenlerine başsağlığı diliyorum.</t>
  </si>
  <si>
    <t>1352570153674960896</t>
  </si>
  <si>
    <t>85 yaş üzeri büyüklerimizin aşıları evde yapılıyor. Büyüklerimizin kıymetini bilerek onları korumak sorumluluğumuz. https://t.co/jhwKKCyDUz</t>
  </si>
  <si>
    <t>1352311310688677889</t>
  </si>
  <si>
    <t>Kıymetli arkadaşım Mehmet Muş kardeşimizin muhterem amcaları Yakup Muş Beyefendi’ye Allah'tan rahmet, yakınlarına sabırlar diliyorum.</t>
  </si>
  <si>
    <t>1352004495673352199</t>
  </si>
  <si>
    <t>Bilim Kurulumuzun yaptığı değerlendirme ile yarından itibaren 85 yaş üzerindeki vatandaşlarımızın da aşılanmasına başlanacaktır. 85 yaş üzerindeki vatandaşlarımız da evlerinde aşı olacaklar.</t>
  </si>
  <si>
    <t>1351988469187436550</t>
  </si>
  <si>
    <t>Şu ana kadar 1 milyondan fazla vatandaşımız aşılanmış bulunmaktadır. Aşı programının 1. aşaması bildiğiniz gibi sağlık çalışanlarımızla başladı ve şu ana kadar 980 binden fazla sağlık çalışanı aşı oldu. https://t.co/UVtUi7SpBY</t>
  </si>
  <si>
    <t>1351988104723386369</t>
  </si>
  <si>
    <t>Aşı programının 1. aşama 2. adımının bir diğer grubu 90 yaş üzeri büyüklerimiz; yetkin sağlık ekibi ve ekipmanları ile evlerinde aşı olmaya başladı. Huzurevleri, yaşlı bakım ve rehabilitasyon merkezlerinde de aşı programı başladı. https://t.co/a1u212UR5c</t>
  </si>
  <si>
    <t>1351594508174172163</t>
  </si>
  <si>
    <t>Çin Halk Cumhuriyeti Ankara Büyükelçisi Sayın Liu Shaobin’i bakanlığımızda misafir ettik. Aşı programımıza verdikleri destek ve üstlendikleri dostça rol sebebiyle kendilerine çok teşekkür ediyorum. İnsanlığın ortak faydası için birlikte çalışmaya devam edeceğiz. https://t.co/qC62FuWF0V</t>
  </si>
  <si>
    <t>1351562929078988800</t>
  </si>
  <si>
    <t>Bugün Rusya Federasyonu Ankara Büyükelçisi Sayın Aleksey Yerhov’u Bakanlığımızda misafir ettik. Kendileri ile Sputnik V aşısı başta olmak üzere sağlık alanındaki iş birliklerimizi değerlendirdik. İkili iş birliği konusunda gösterdikleri hassasiyete teşekkür ederim. https://t.co/1cqpbGl2FC</t>
  </si>
  <si>
    <t>1351556055835275266</t>
  </si>
  <si>
    <t>Bu toprakların önemli değerlerinden birini, Prof. Dr. Nur Vergin Hocamızı kaybettik. İlim ve fazilet sahibi bir insandı. Hakkıyla ilminden istifade edemedik. Eserlerinden yeni nesillerin istifade etmesi temennisiyle, hocamıza Allah'tan rahmet diliyorum.</t>
  </si>
  <si>
    <t>1351302634523795458</t>
  </si>
  <si>
    <t>Aşılama programının 1. aşamasının 2. adımına geçiyoruz. Yarından itibaren Huzurevleri ve Bakımevlerinde kalanlar ile bu vatandaşlarımızın bakımından sorumlu kişilerin aşılanmasına başlanacak. Aynı zamanda 90 yaş üzeri vatandaşlarımız için de program yarın başlıyor. https://t.co/A9NL22PEbL</t>
  </si>
  <si>
    <t>1351251697033740292</t>
  </si>
  <si>
    <t>81 ilimizin sağlık müdürleri ile aşı programımızı değerlendirdik. Sağlık çalışanlarımızdan 830 bin kişi aşının ilk dozunu oldu. Dünyadaki en hızlı uygulamalardan birini gerçekleştirdik. Program takvimine göre sağlık çalışanları çarşamba gününe kadar aşılanmaya devam edilecek. https://t.co/O6QONQOEKy</t>
  </si>
  <si>
    <t>1351246437930119169</t>
  </si>
  <si>
    <t>Demokrat Parti Genel Başkanı Sayın Gültekin Uysal Beyefendi, bugün Ankara Şehir Hastanemizde COVID-19 aşısı oldu. Aşı programımıza verdikleri destek için teşekkür ediyorum. Salgınla mücadeleyi birlikte kazanacağız.</t>
  </si>
  <si>
    <t>1351185562229735426</t>
  </si>
  <si>
    <t>Küresel salgının dünyada ilk göründüğü günden beri gece gündüz demeden çalışan, ailesinden sevdiklerinden ayrı kalan sağlık çalışanlarımıza minnettarız. Sağlık çalışanlarımızın hakkını ödemek mümkün değil. Onlara büyük bir teşekkür borçluyuz. 2021 sağlık çalışanları yılıdır.</t>
  </si>
  <si>
    <t>1350800211350843392</t>
  </si>
  <si>
    <t>Aşı uygulaması hakkında pratik bilgilere aşağıdaki videodan ulaşabilirsiniz. Salgınla mücadeleyi birlikte kazanacağız. https://t.co/osI4yY9HyR https://t.co/EviklBtrJD</t>
  </si>
  <si>
    <t>1350524969009229825</t>
  </si>
  <si>
    <t>Saadet Partisi Genel Başkanı Sayın Temel Karamollaoğlu'na, aşı programımıza verdikleri destek ve nezaketleri için teşekkür ediyorum. Gösterdikleri sorumluluk son derece değerlidir. Salgınla mücadeleyi birlikte kazanacağız. https://t.co/8Jtq6Dn1de</t>
  </si>
  <si>
    <t>1350155810232553475</t>
  </si>
  <si>
    <t>Türkiye İşçi Partisi Genel Başkanı Sayın Erkan Baş Beyefendi’yi arayarak aşı programında örnek olmak için aşı olmaya davet etmiştim. Kendisi sırasını bekleyerek örnek olmayı tercih etti. Destekleri için teşekkür ediyorum. Salgınla mücadeleyi birlikte kazanacağız.</t>
  </si>
  <si>
    <t>1350073597155549185</t>
  </si>
  <si>
    <t>HDP Genel Başkanı Mithat Sancar Beyefendi’yi arayarak kendilerini de aşı olarak örnek olmaya davet etmiştim. Parti olarak yaptıkları açıklama ile sıra bekleyerek örnek olmayı tercih ettiler. Destekleri için teşekkür ediyorum. Salgınla mücadeleyi birlikte kazanacağız.</t>
  </si>
  <si>
    <t>1350067665717649409</t>
  </si>
  <si>
    <t>Türkiye Büyük Millet Meclisi Başkanımız Sayın Prof. Dr. Mustafa Şentop'a aşı programımıza verdikleri destek için çok teşekkür ediyorum. Salgınla mücadeleyi birlikte kazanacağız.</t>
  </si>
  <si>
    <t>1350053579332214785</t>
  </si>
  <si>
    <t>Aşılama programımızın 2. gününde şu ana kadar 500.000’den fazla sağlık çalışanımız aşı oldu. Aşı programını ülke sathında uygulamakta tecrübeli bir ülkeyiz. Alt yapımız bu programı kontrollü şekilde yürütmek için fazlasıyla yeterli. Salgınla mücadeleyi birlikte kazanacağız. https://t.co/a3b04aq4h2</t>
  </si>
  <si>
    <t>1350044678243160065</t>
  </si>
  <si>
    <t>Sayın Kemal Kılıçdaroğlu’na aşı programına destek için yaptıkları açıklama ve aşı olacaklarını beyan etmeleri sebebiyle çok teşekkür ederim. Salgınla mücadeleyi birlikte kazanacağız.</t>
  </si>
  <si>
    <t>1350037091267309569</t>
  </si>
  <si>
    <t>Sayın Meral Akşener Hanımefendi’ye aşı davetimizi kabul ederek aşı olmaları vesilesi ile çok teşekkür ediyorum. Salgınla mücadeleyi birlikte kazanacağız. https://t.co/UVaGJJTcTb</t>
  </si>
  <si>
    <t>1350025720358195200</t>
  </si>
  <si>
    <t>Sayın Devlet Bahçeli’ye devlet politikaları söz konusu olduğunda gösterdiği hassasiyetin bir parçası olarak aşı programına olan destek ve katkıları sebebiyle çok teşekkür ederim. Salgınla mücadeleyi birlikte kazanacağız. https://t.co/OucRPMfxDi</t>
  </si>
  <si>
    <t>1350019220856307712</t>
  </si>
  <si>
    <t>Sayın Cumhurbaşkanımızın başlattığı aşı olmayı teşvik programı kapsamında mecliste temsil edilen tüm siyasi parti genel başkanlarını, Anayasa Mahkemesi Başkanımızı ve Meclis Başkanımızı arayarak aşı olmaya davet ettim. Kendilerine gösterdikleri nezaket için teşekkür ediyorum.</t>
  </si>
  <si>
    <t>1349815350561558530</t>
  </si>
  <si>
    <t>Bilim Kurulu Üyelerimizin önerisi ile Devlet büyüklerinin aşı kampanyasına katılımını Sayın Cumhurbaşkanımız kendisi ilk aşıyı olarak başlattı. Milletimize hayırlı uğurlu olsun. https://t.co/lnrj709S1r</t>
  </si>
  <si>
    <t>1349783735558877185</t>
  </si>
  <si>
    <t>RT @RTErdogan: Basın Açıklaması https://t.co/JySgSsxnRs</t>
  </si>
  <si>
    <t>1349745512237441024</t>
  </si>
  <si>
    <t>RT @RTErdogan: Başarıyla devam eden aşı programımız dahilinde şu ana kadar 254 bin sağlık çalışanımız ilk doz aşılarını oldu. Ben de onlara…</t>
  </si>
  <si>
    <t>1349745501512593409</t>
  </si>
  <si>
    <t>Şuan itibariyle 1. doz aşısını olan sağlık çalışanı sayısı 100.000'i geçti. Türkiye aşı programı uygulamakta güçlü bir alt yapıya sahiptir. Bu güce inanan, destek veren herkese teşekkür ederim. https://t.co/osI4yY9HyR https://t.co/sljpAzYnJD</t>
  </si>
  <si>
    <t>1349667600230395910</t>
  </si>
  <si>
    <t>Aşı programı adaletle ve bilimin gösterdiği yolla yürütülecektir. https://t.co/6vVLQgsuiT</t>
  </si>
  <si>
    <t>1349428418786586625</t>
  </si>
  <si>
    <t>Aşı programımız tüm vatandaşlarımız tarafından anlık olarak takip edilebilecektir. https://t.co/wTGaBYMdMQ</t>
  </si>
  <si>
    <t>1349423600202354688</t>
  </si>
  <si>
    <t>Bugün Bilim Kurulu Üyelerimizle birlikte, Koronavirüs aşısının Acil Kullanım Onayı sonrası ilk uygulanan sağlık çalışanları olduk. Tüm sağlık çalışanlarımız için süreç başladı. Hayırlı uğurlu olsun. https://t.co/K1cPxMt3SE</t>
  </si>
  <si>
    <t>1349408226450804740</t>
  </si>
  <si>
    <t>Sağlık Bakanlığımızdan bir mesaj aldım. https://t.co/eVGvJ00pa2</t>
  </si>
  <si>
    <t>1349401555380920321</t>
  </si>
  <si>
    <t>Bilim Kurulu Toplantımızın ardından Koronavirüs ile ilgili son gelişmelere ilişkin basın açıklamamız.
📍Sağlık Bakanlığı
https://t.co/M5VoaBdJjZ</t>
  </si>
  <si>
    <t>1349388483069153280</t>
  </si>
  <si>
    <t>"Seni kendi benliğinden, şanlı geçmişinden ayırmak isteyenlerin karşısında dik durmasını bil. Benliğine ve geçmişine sahip ol ki, yarınlara sahip çıkabilesin." Gençlere böyle hitap etmişti Rauf Denktaş. Rahmetle ve sevgiyle anıyorum. https://t.co/vTN108DBSs</t>
  </si>
  <si>
    <t>1349348565299113990</t>
  </si>
  <si>
    <t>Bugün tespit edilen 983 yeni hastamız var. Uzun bir aradan sonra günlük hasta sayımız 1.000’in altına indi. Ağır hasta sayımız da azalmaya devam ediyor. Kısıtlama ve tedbirlere uymaya devam ederek aşı uygulamasına geçeceğiz. Birlikte başaracağız. https://t.co/RVlhe7786O</t>
  </si>
  <si>
    <t>1349024800245747715</t>
  </si>
  <si>
    <t>Bugün tespit edilen 1.003 yeni hastamız var. Ağır hasta sayısındaki düşüş umut verici şekilde devam ediyor. Tedbir en büyük silahımız. Aşı programı başarıyla tamamlanana kadar kısıtlama ve tedbirlere tam uyum son derece önemli. Birlikte kazanacağız. https://t.co/RVlhe7786O</t>
  </si>
  <si>
    <t>1348679492135432194</t>
  </si>
  <si>
    <t>RT @RTErdogan: Kabine Toplantısı Sonrası Millete Sesleniş https://t.co/CbZxkC5i0J</t>
  </si>
  <si>
    <t>1348671646526275586</t>
  </si>
  <si>
    <t>Bu akşam Ankara’nın Kalecik ilçesinde yaşanan 4.5 büyüklüğündeki deprem sebebiyle herhangi bir can ya da mal kaybı olmamıştır. Geçmiş olsun Ankara.</t>
  </si>
  <si>
    <t>1348375191215341568</t>
  </si>
  <si>
    <t>Muhalefet etmekle millet iradesini kabullenememek birbirinden farklıdır. Milletin iradesinin tecellisi olarak Cumhurbaşkanlığı makamında bulunan Sayın Cumhurbaşkanımıza “sözde cumhurbaşkanı” demek millet iradesini yok saymaktır.</t>
  </si>
  <si>
    <t>1348366218013659142</t>
  </si>
  <si>
    <t>Bugün tespit edilen 1.017 yeni hasta var. Vaka sayısı azaldıkça filyasyon ihtiyacı da test talebi de kademeli olarak azalıyor. Ağır hasta sayısındaki düşüş kayıplarımızın da sayısını azaltacak. Netice aldığımız kısıtlama ve tedbirlere uymaya devam edelim. https://t.co/RVlhe7786O</t>
  </si>
  <si>
    <t>1348298673558597632</t>
  </si>
  <si>
    <t>Yaşadığımız pandemi sürecinde bilginin, alınan kararların ve uygulanan tedbirlerin hızlı ve doğru bir şekilde kamuoyuna aktarılmasında gösterdikleri çaba için gazetecilerimize teşekkür ediyor, 10 Ocak Çalışan Gazeteciler Günü’nü en kalbi duygularımla kutluyorum. https://t.co/e7FSYDZ8zp</t>
  </si>
  <si>
    <t>1348190548952231936</t>
  </si>
  <si>
    <t>Biz her şartta vatandaşımızın yanındayız. Tek beklediğimiz tedbirlere sıkıca uyulması. Birlikte güçlüyüz. https://t.co/kWdfvHTmo7</t>
  </si>
  <si>
    <t>1347969191165497344</t>
  </si>
  <si>
    <t>Bugün tespit edilen 1.103 yeni hasta var. Vaka sayıları düşmeye devam ediyor. Ağır hasta sayısı 3.000’in altına geriledi. Kısıtlama ve tedbirler netice veriyor. Birlikte mücadele etmeye ve ülkemizi küresel salgının yıkıcı ektisinden kurtarmaya kararlıyız. https://t.co/RVlhe7786O</t>
  </si>
  <si>
    <t>1347936509102587904</t>
  </si>
  <si>
    <t>Gen tedavisi konusunda tüm gelişmeleri yakından takip ediyoruz. Tedavinin bilimsel olarak somut etkisi görülmesi halinde uygun hastalarda devreye alınacaktır. SMA Hastalığının tedavisinde kullanılan Nusinersen tedavisinin uygulandığı merkez sayılarını da artıracağız.</t>
  </si>
  <si>
    <t>1347935075250405376</t>
  </si>
  <si>
    <t>SMA Hastası çocuklarımızın durumu ile ilgili SMA Bilim Kurulumuz önemli bir toplantı yaptı. Bilimin gösterdiği her yolu çocuklarımızın tedavisi için değerlendireceğimizden emin olunuz. Uygun hastada uygun tedavi kesinlikle devreye alınacaktır. https://t.co/FN9eINMz0C</t>
  </si>
  <si>
    <t>1347933535659827200</t>
  </si>
  <si>
    <t>Bugün tespit edilen 1.291 yeni hastamız var. Ağır hasta sayımız azalmaya devam ediyor. Hastane yükümüz umut verici şekilde azalıyor. Vaka sayılarındaki düşüşü kalıcı kılmak elimizde. Kısıtlama ve tedbirlere tam olarak uyalım. Birlik olup kazanacağız. https://t.co/RVlhe7786O</t>
  </si>
  <si>
    <t>1347574570308530177</t>
  </si>
  <si>
    <t>Aşı lojistik planlaması ile ilgili detayları ele alarak Acil Kullanım Onayı’nı takiben tüm adımları hızlıca hayata geçirmek için hazırlıklarımızı gözden geçirdik. Bu dönemi güçlü bir aşılama programı için fırsata dönüştürmeliyiz. Bundan sonra en önemli gündemimiz aşı.</t>
  </si>
  <si>
    <t>1347556559132520451</t>
  </si>
  <si>
    <t>İstanbul, Ankara, İzmir ve Bursa Valilerimiz ve il sağlık müdürlerimizle ayrı ayrı görüşüp salgın ile ilgili durum değerlendirmesi ve aşı hazırlıklarını ele aldık. Son iki hafta içinde İstanbul ve İzmir’de vaka sayısında %40, Ankara ve Bursa’da %60’a yakın düşüş oldu. https://t.co/FfnfsrREWn</t>
  </si>
  <si>
    <t>1347556557026947072</t>
  </si>
  <si>
    <t>Programa taraf olan ülkelerin önemli bir bölümü aşıya erken ulaşabilmek için birebir aşı şirketleri ile anlaşmaya çalışmaktadır. Bu programda yer almamamızın eski Hazine ve Maliye Bakanımız Sayın Berat Albayrak ile hiçbir ilgisi yoktur.</t>
  </si>
  <si>
    <t>1347290707833327617</t>
  </si>
  <si>
    <t>Covax oluşumu öncelikle aşıya ulaşım imkânı olmayan ülkeler için planlanmıştır. Hangi aşıyı teslim edeceği ise halen net değildir. Taraf ülkelerin nüfusunun en az %10’u kadar aşı vermek için planlanmıştır.</t>
  </si>
  <si>
    <t>1347290706180788224</t>
  </si>
  <si>
    <t>Acil kullanım onayını takiben büyüklerimiz ve kritik görevdeki kişilerden başlayarak 18 yaş üzerindeki tüm vatandaşlarımızı aşılamayı hedefliyoruz. Lojistik planlaması, başta Aile Sağlığı Merkezleri olmak üzere tüm hastanelerimizi de kapsayacak şekilde organizasyonu yapılmıştır.</t>
  </si>
  <si>
    <t>1347286589777600524</t>
  </si>
  <si>
    <t>Teslim aldığımız aşılar için güvenlik testleri devam etmektedir. Testler tamamlanır tamamlanmaz sonuçların uygun olması halinde Acil Kullanım Onayı verilecektir. Şu ana kadar 10.000’in üzerinde gönüllüye 17.700 doz aşı uygulanmış ve sonuçları takip edilmeye devam edilmektedir.</t>
  </si>
  <si>
    <t>1347286474111279105</t>
  </si>
  <si>
    <t>2021 yılının ilk Bilim Kurulu toplantısında Aşı planlamasını ele aldık. Planlarımız hazır. Küresel salgının yıkıcı etkisine son vermesini ümit ettiğimiz aşılama için var gücümüzü kullanacağımızdan emin olunuz. https://t.co/YIKU4cSusv</t>
  </si>
  <si>
    <t>1347284721244524546</t>
  </si>
  <si>
    <t>Dünya Sağlık Örgütü (DSÖ) Avrupa Bölge Direktörü Dr. Hans Kluge ile video konferans üzerinden bir görüşme gerçekleştirdik. Görüşmede Avrupa bölgesindeki vaka artışları, koronavirüsteki mutasyon, Türkiye’deki güncel durum ve aşı çalışmalarını ele aldık. https://t.co/ksBJMDpL4v</t>
  </si>
  <si>
    <t>1347247937764659201</t>
  </si>
  <si>
    <t>Bugün Sanayi ve Teknoloji Bakanımız Sayın Mustafa Varank ile bir araya gelerek yerli aşı projelerimizde insan deneyleri safhasına geçen aşı adaylarımızı değerlendirdik. Kurumlarımızın tüm imkânları en iyi aşıları ülkemize kazandırmak için devrede. https://t.co/dujshOVPyZ</t>
  </si>
  <si>
    <t>1347242448339275777</t>
  </si>
  <si>
    <t>Prof. Dr. Uğur Şahin ve ekibiyle Biontech aşısının ülkemize gelişi ile ilgili son planlamaları ele aldık. Toplantımızda ayrıca bize ayrılan aşı dozlarının sayısını nasıl artırabileceğimizi de görüştük. Yeni üretim imkânları devreye girdikçe Türkiye’ye ayrılan kapasite de artacak. https://t.co/dZZtTOUS0e</t>
  </si>
  <si>
    <t>1347224156430102541</t>
  </si>
  <si>
    <t>Bugün tespit edilen 1.370 yeni hastamız var. Ağır hasta sayımız her geçen gün azalıyor. Aktif vaka sayımızda sınırlı artış gözleniyor. Kısıtlama ve tedbirler netice vermeye devam ediyor. Kısıtlama ve tedbirlere uyarak mücadele edersek kazanacağız. https://t.co/RVlhe7786O</t>
  </si>
  <si>
    <t>1347217093813547010</t>
  </si>
  <si>
    <t>Cumhurbaşkanımız Recep Tayyip Erdoğan ve Arnavutluk Başbakanı Edi Rama öncülüğünde; iki ülke arasında Sağlık Alanında İşbirliği Anlaşmasını mevkidaşım Sağlık ve Sosyal Koruma Bakanı Ogerta Manastirliu ile birlikte imzaladık. Hayırlı olsun. https://t.co/aIzHDjd6LV</t>
  </si>
  <si>
    <t>1346951924919259136</t>
  </si>
  <si>
    <t>Bugün tespit edilen 1.458 yeni hastamız var. Aktif vaka sayımız durağan seyrediyor. Ağır hasta sayımız sevindirici şekilde azalmaya devam ediyor. Kayıplarımızın sayısında azalma eğilimi var. Birlikte tedbir ve birlikte mücadele ile kazanacağız. https://t.co/RVlhe7786O</t>
  </si>
  <si>
    <t>1346855810534662151</t>
  </si>
  <si>
    <t>RT @RTErdogan: Arnavutluk Başbakanı Edi Rama ile Ortak Basın Toplantısı
Deklarate per mediat se bashku me Kryeministrin e Shqiperise z. Ed…</t>
  </si>
  <si>
    <t>1346851860976717825</t>
  </si>
  <si>
    <t>SMA kampanyasının 'kirli' yönü bazı küresel şirketlerin insanımızın iyi niyetini suistimal etmesidir. Samimi duygularla hareket edenlerin tüm çabaları masumdur. SMA Bilim Kurulumuzun uygun gördüğü her tedavi, uygun görülen her hastaya uygulanmaktadır. Konu mali değil, insanidir.</t>
  </si>
  <si>
    <t>1346713784493211648</t>
  </si>
  <si>
    <t>Bir aşı adayımız Faz II safhasında, 6 aşı adayımız da Faz I çalışması aşamasına geldi. Tüm imkanlarımız bize en iyi aşıyı kazandırmak için seferber edilmiştir. Bilimden gelen güçle ve bilim insanlarımızın gayretiyle başaracağız.</t>
  </si>
  <si>
    <t>1346568066885423106</t>
  </si>
  <si>
    <t>Ülkemizde devam eden AŞI ÇALIŞMALARI ile ilgili bir toplantı daha yaptık. Ülkemizin bilimsel ve teknik alt yapısı, Bilim İnsanlarımızın azim ve gayretinin bize en iyi aşıları kazandıracağına inanıyorum. https://t.co/FobZEevnPQ</t>
  </si>
  <si>
    <t>1346561406255194119</t>
  </si>
  <si>
    <t>Vatan uğrunda canını feda etmek yüreği vatan için çarpan yüce gönüllere mahsustur. Salgında canını feda eden sağlık çalışanlarımız da terörle mücadelede yitirdiğimiz yiğitler de böyledir. Bizleri korumak için kendi canından vazgeçen Fethi Sekin’i rahmet ve minnetle yad ediyorum.</t>
  </si>
  <si>
    <t>1346539995276914689</t>
  </si>
  <si>
    <t>Bugün tespit edilen 1.477 yeni hastamız var. Ağır hasta sayımız azalmaya devam ediyor. Ağır hasta sayısındaki azalmaya bağlı olarak kayıplarımız da azalma eğiliminde. Sonuç almak için birlikte ve sürekli mücadele etmeliyiz. https://t.co/RVlhe7786O</t>
  </si>
  <si>
    <t>1346491799053987844</t>
  </si>
  <si>
    <t>Bugün tespit edilen 1.508 yeni hastamız var. Ağır hasta sayımız düşmeye devam ediyor. Kısıtlama ve tedbirlerle elde ettiğimiz kazanımları kalıcı hale getirmeliyiz. Birlikte hareket edersek güçlüyüz. https://t.co/RVlhe7786O</t>
  </si>
  <si>
    <t>1346130821879574528</t>
  </si>
  <si>
    <t>İlaç şirketlerinin baskısı ile çocuklarımızın kobay olarak kullanılmasına izin vermeyeceğiz. Ülkemizde SMA hastalığı görülmeyene, mevcut tüm hastalarımız tedavi edilene kadar mücadelemiz devam edecektir. https://t.co/qAO1xC6GHM</t>
  </si>
  <si>
    <t>1345812552404623363</t>
  </si>
  <si>
    <t>Bugün tespit edilen 1.515 yeni hastamız var. Uzun bir aradan sonra vaka sayısı 10.000’in altına indi. Kısıtlamalara ve test talebindeki düşüşe bağlı olarak vaka sayıları beklenenden fazla gerilese de bunu kalıcı hale getirmek elimizde. Birlikte güçlüyüz. https://t.co/RVlhe7786O</t>
  </si>
  <si>
    <t>1345764052153348100</t>
  </si>
  <si>
    <t>Zamanın akışını durduramayız. Hastalığın yayılımını ise yavaşlatabilir, durdurabiliriz. Kısıtlama ve tedbirlere sabırla uyan tüm vatandaşlarımıza teşekkür ederim. https://t.co/LqbNo8UXHr</t>
  </si>
  <si>
    <t>1345729794026172416</t>
  </si>
  <si>
    <t>Aldığımız her nefes çok kıymetli. Nefesimizi korumak için bugün eski normallerle aramıza mesafe koyalım. Tedbirlerden ödün vermeyelim. https://t.co/IaeFzenCd7</t>
  </si>
  <si>
    <t>1345431396395966465</t>
  </si>
  <si>
    <t>Hüzün kapımızı çalmadan tedbirimizi alalım. https://t.co/7rTxZVsVcH</t>
  </si>
  <si>
    <t>1345411426970710018</t>
  </si>
  <si>
    <t>Bugün tespit edilen 1.713 yeni hastamız var. Ağır hasta sayımızdaki düşüş devam ediyor. Kayıplarımızın daha da azalması en büyük beklentimiz. Aşılama programından başarıyla netice alana kadar tedbirlere ısrarla uymalıyız. Birlikte hareket edersek güçlüyüz. https://t.co/RVlhe7786O</t>
  </si>
  <si>
    <t>1345399769393463296</t>
  </si>
  <si>
    <t>Somali'de yaşanan terör saldırısında hayatını kaybeden vatandaşlarımızın sayısı 2’ye yükseldi. Yaralanan 3’ü Türk 14 kişinin tedavisine Mogadişu Recep Tayyip Erdoğan Hastanemizde devam ediyoruz. Yaralı vatandaşlarımızın hayati tehlikesi bulunmuyor. Saldırıyı şiddetle kınıyorum.</t>
  </si>
  <si>
    <t>1345347307265519616</t>
  </si>
  <si>
    <t>Prof. Dr. Murat Dilmener ve Prof. Dr. Feriha Öz Acil Durum Hastanelerimizin her birini 1008 odalı ve tek yataklı olarak teslim aldık. Bugüne kadar 235 bin hastamıza hizmet vermiştir. YATACAK YERİMİZ DE, VERECEK CEVABIMIZ DA VAR. Milletimizin hizmetindeyiz. https://t.co/9QZADPjwPj</t>
  </si>
  <si>
    <t>1345295639933038592</t>
  </si>
  <si>
    <t>Devlet eski Bakanı Teoman Rıza Güneri ağabeyimizin muhterem babası, milli görüş hareketinin sembol isimlerinden Ali Güneri beyefendinin rahmet-i rahman'a kavuştuğunu teessürle öğrenmiş bulunuyorum. Dava insanıydı, şahidiz.</t>
  </si>
  <si>
    <t>1345131984511754241</t>
  </si>
  <si>
    <t>İngiltere kaynaklı mutasyon sebebiyle yapılan incelemelerde bu ülkeden yurda giriş yapan 15 kişide mutasyonlu virüs tespit edilmiş ve kontrol altına alınmıştır. İngiltere’den yurda girişler geçici olarak tamamen durdurulmuştur. https://t.co/VlJXs784bg</t>
  </si>
  <si>
    <t>1345052710836596737</t>
  </si>
  <si>
    <t>Bugün tespit edilen 1.908 hastamız var. Aktif vaka sayısı, ağır hasta sayısı düşmeye devam ediyor. Kayıplarımızda düşme eğilimi başladı. Ağır hasta sayısındaki azalışa bağlı olarak kayıplarımız azalacak. Salgının yıkıcı etkisinin azalacağına inanıyorum. https://t.co/RVlhe7786O</t>
  </si>
  <si>
    <t>1345044510045331457</t>
  </si>
  <si>
    <t>Adı İsranur. Yeni yılda Çam ve Sakura Şehir Hastanemizde dünyaya geldi. Anne de kendisi de gayet sağlıklı. Ailenin sevincine görüntülü görüşme yöntemiyle ortak olduk. Evladımıza ve ailesine sağlıklı bir ömür diliyorum. https://t.co/rK7dPfQ55H</t>
  </si>
  <si>
    <t>1344794080988041216</t>
  </si>
  <si>
    <t>Yeni yılı İstanbul Avrupa Yakası Komuta Kontrol Merkezi’nde, görevleri başındaki çalışma arkadaşlarımızla karşıladık. Sağlık çalışanlarımızın gayreti, milletimizin desteğiyle 2021 salgını bitiren yıl olacaktır. “Sağlık Çalışanları Yılı” tarihe onların başarısı olarak geçecektir. https://t.co/NB0ERMsWpS</t>
  </si>
  <si>
    <t>1344773845165748226</t>
  </si>
  <si>
    <t>Koronavirüs hastalığına ismini 2019 yılı verdi. Ancak O, 2020 yılını sosyal ve iktisadi hayatımızdan kopardı. 2021 ise tüm dünyada bizim teklifimizle "Sağlık Çalışanları Yılı" kabul edildi.
Unutmayın! Her geceden sonra bir sabah, her darlıktan sonra bir genişlik vardır. https://t.co/r5paenjsnV</t>
  </si>
  <si>
    <t>1344709373134843905</t>
  </si>
  <si>
    <t>Bugün tespit edilen 2.219 yeni hastamız var. Kayıplarımızın sayısındaki düşüşün kalıcı ve sürekli olmasını bekliyoruz. Ağır hasta sayımız 4.000’in altında indi. Planlı ve tedbirli hareket ederek, kısıtlamalara tam uyarak başarılı olacağız. https://t.co/RVlhe7786O</t>
  </si>
  <si>
    <t>1344681118814130177</t>
  </si>
  <si>
    <t>Aşı risk yönetim stratejisine uygun olarak hakkaniyetle dağıtılacak, sonuçları anlık ve canlı olarak paylaşılacaktır. Bilim Kurulumuzun belirlediği stratejiye uygun olarak 28 gün ara ile iki doz halinde uygulanacaktır. https://t.co/USi5LqQELh</t>
  </si>
  <si>
    <t>1344346390584033283</t>
  </si>
  <si>
    <t>Bugün tespit edilen 2.612 yeni hastamız var. Ağır hasta ve yoğun bakımdaki hasta sayımız düşmeye devam ediyor. Bu durumun kayıplarımıza da yansımasını yakın gelecekte görmeyi ümit ediyorum. Birlikte mücadele virüsü yener. https://t.co/RVlhe7786O</t>
  </si>
  <si>
    <t>1344319691750318082</t>
  </si>
  <si>
    <t>Aşılarımızı getiren uçak Esenboğa Havalimanımıza ulaştı. 14 gün sürecek testleri hemen Türkiye İlaç ve Tıbbi Cihaz Kurumumuzda başlayacak. Testleri biter bitmez ise aşılama programımız Halk Sağlığı GM koordinasyonunda gerçekleşecek. Birlikte başaracağız.</t>
  </si>
  <si>
    <t>1344112215683698688</t>
  </si>
  <si>
    <t>Ümit ederim ki darlıkların bittiği genişliklerin başladığı gün bugündür. Aşılarımızı taşıyan Türk Hava Yolları’na ait uçağın bu sabah 05.30'da Esenboğa Havalimanımıza ulaşması beklenmektedir.</t>
  </si>
  <si>
    <t>1344057863107469312</t>
  </si>
  <si>
    <t>Aşı tedarikinde aracı firma kullanıldığına dair iddialar ile ilgili açıklamamız ektedir. Milletimiz irfan sahibidir. Hakikati görür ve ona sahip çıkar. https://t.co/oCz0erDGqC</t>
  </si>
  <si>
    <t>1344047902801408002</t>
  </si>
  <si>
    <t>İnaktif aşılarımızın ilk bölümünü getiren uçak Türkiye saati ile 19.50’de Pekin havalimanından havalandı. Yarın sabah burada olmasını bekliyoruz. Gelişmeleri bildirmeye devam edeceğiz.</t>
  </si>
  <si>
    <t>1343966659233656832</t>
  </si>
  <si>
    <t>Bugün tespit edilen 2.783 yeni hastamız var. Aktif vaka sayısında düşüş devam ediyor. Düşüş hızında yavaşlama olsa da ağır hasta sayımız da düşmeye devam ediyor. Kısıtlamalar sonuç veriyor. Aşıdan da sonuç alana kadar sabırla tedbirlere uymalıyız. https://t.co/RVlhe7786O</t>
  </si>
  <si>
    <t>1343952344355123201</t>
  </si>
  <si>
    <t>Sağlık çalışanlarımızın mücadelesine tedbirlere uyarak destek olalım. Tedbirlerin aynı zamanda sosyal hayatımızın güvencesi olduğunu unutmayalım. https://t.co/RSqXIziwre</t>
  </si>
  <si>
    <t>1343627000129445890</t>
  </si>
  <si>
    <t>Bugün tespit edilen 2.816 yeni hastamız var. Aktif vaka sayısı düşmeye devam ediyor. Elde ettiğimiz kazanımları muhafaza edebilmek ve salgınla mücadele edebilmek için tedbir ve kısıtlamalara tam uyum şart. Birlikte üstesinden geleceğiz. https://t.co/RVlhe7786O</t>
  </si>
  <si>
    <t>1343591853791342594</t>
  </si>
  <si>
    <t>RT @RTErdogan: Kabine Toplantısı Sonrası Millete Sesleniş https://t.co/TrVVBy82AT</t>
  </si>
  <si>
    <t>1343577634052206595</t>
  </si>
  <si>
    <t>Aşının zorunlu olmayacağını daha önce de söylemiştim. Aşılama programımız hazır. Vatandaşımızı zorlayıcı bir uygulama olmayacak. Aşının gerekliliğini bilim insanlarımızla toplumumuza anlatarak ikna etme çabası içinde olacağız. Bunun dışında bir uygulama söz konusu olmayacak. https://t.co/ie3F8wz5qb</t>
  </si>
  <si>
    <t>1343298898534821890</t>
  </si>
  <si>
    <t>Büyük Türk şairi, mütefekkir, dava insanı Mehmet Akif Ersoy'u ebediyete irtihalinin 84. yılında minnet, hürmet ve rahmetle anıyorum. https://t.co/AVhvE06VHL</t>
  </si>
  <si>
    <t>1343285274604957699</t>
  </si>
  <si>
    <t>Pekin’deki COVID-19 alarmı ve Pekin gümrüğünde görülen COVID-19 vakası sebebiyle gümrük hareketliliğine geçici olarak ara verilmiştir. Bu nedenle gümrük işlemlerinden sonra yola çıkması beklenen aşılarımızın gelişi bir iki gün ertelenmiştir. Gelişmeleri aktarmaya devam edeceğiz. https://t.co/G2GfEX1MXo</t>
  </si>
  <si>
    <t>1343250525022806016</t>
  </si>
  <si>
    <t>Bugün tespit edilen 2.806 hastamız var. Vaka ve hasta sayımız düşmeye devam ediyor. Temaslı sayısı ve test talebi de azalıyor. Tedbir ve kısıtlamaların etkisini yakında kayıplarımızda da görmeyi ümit ediyoruz. Mücadele sürekliliği başarıyı kalıcı kılacak. https://t.co/RVlhe7786O</t>
  </si>
  <si>
    <t>1343226481607143424</t>
  </si>
  <si>
    <t>Elazığ Merkez'de gerçekleşen 5.3 büyüklüğündeki depremde can kaybı yaşanmaması sevindiricidir. Durumu ciddi olan bir vatandaşımız bulunmamaktadır. Bu yıl büyük zorlukları göğüsleyen Elazığlı hemşehrilerimize tekrar geçmiş olsun.</t>
  </si>
  <si>
    <t>1343152963422924800</t>
  </si>
  <si>
    <t>Ne son dönemde yurda ilgili ülkelerden giriş yapan PCR pozitif vakalardan alınan numunelerde ne de yurdun çeşitli bölgelerinden toplanan örneklerde İNGİLTERE ‘NİN rapor ettiği GEN MUTASYONUNA  RASTLANMAMIŞTIR. Düzenli incelemelerimiz devam edecek.</t>
  </si>
  <si>
    <t>1342880377262768131</t>
  </si>
  <si>
    <t>MUTASYON tedbir uygulamaları kapsamında son dönemde İNGİLTERE’ DEN ülkemize gelen ve test sonucu pozitif çıkan kişilerin PCR örnekleri ile ülkemizin çeşitli bölgelerinden örnekler referans laboratuvarımızda TAM GEN SEKANSLAMA YÖNTEMİ ile incelenmiştir.</t>
  </si>
  <si>
    <t>1342880375706677250</t>
  </si>
  <si>
    <t>Virüste MUTASYON ve varyasyon değişikliklerinin izlenmesi için Halk Sağlığı referans laboratuvarlarımız düzenli olarak ülkemizin çeşitli bölgelerinden örnekleri incelemektedir. Bu incelemeler kapsamında belirlenen varyasyon ve MUTASYONLAR Dünya Sağlık Örgütü ile paylaşılmaktadır.</t>
  </si>
  <si>
    <t>1342880374268026880</t>
  </si>
  <si>
    <t>Bugün tespit edilen 3.002 yeni hasta var. Vaka sayısı, aktif vaka sayısı ve hasta sayısı düşmeye devam ediyor. Ağır hasta sayımızdaki düşüş de devam ediyor. Bu güzel haberleri sürekli hale getirecek olan aşılama programı etkisini gösterene kadar mücadele. https://t.co/RVlhe7786O</t>
  </si>
  <si>
    <t>1342865106238119937</t>
  </si>
  <si>
    <t>HATAY: Yatak doluluk oranı %54’e düşmesine rağmen yoğun bakım doluluk oranı halen %86.
ADANA: Yatak doluluk oranı %62’ye gerilemiş olmasına rağmen yoğun bakım doluluğu halen %78.</t>
  </si>
  <si>
    <t>1342574379960512513</t>
  </si>
  <si>
    <t>BURSA: Yatak doluluk oranı %52’ye, yoğun bakım doluluk oranı %70’e düştü.
ANKARA: Yatak doluluk oranı %52’ye, yoğun bakım doluluk oranı %65’e düştü.</t>
  </si>
  <si>
    <t>1342574378467340288</t>
  </si>
  <si>
    <t>BURSA, ANKARA, HATAY, ADANA Valilerimiz, İl Sağlık Müdürlerimiz ve Halk Sağlığı Başkanlarımızla bu illerimizde salgının seyrini değerlendirdik. Vaka sayılarında da hastane yüklerinde de düşüş olması sevindirici. Kısıtlamaların neticelerini alıyoruz. https://t.co/ZZwGy3bPh4</t>
  </si>
  <si>
    <t>1342574376517042177</t>
  </si>
  <si>
    <t>Aşı zorunlu olmayacak. Vatandaşımızı aşının etkisine ve güvenilirliğine ikna ederek aşılamak istiyoruz. İlk aşıyı olanlardan biri de sağlık çalışanlarımızla birlikte ben olacağım. https://t.co/rgHYpqDgfq</t>
  </si>
  <si>
    <t>1342567506775584772</t>
  </si>
  <si>
    <t>Her bir sağlık personelimiz iyi bir eğitimin eseridir. Nazik mesajları sebebiyle Bakan Arkadaşım Prof. Dr. Ziya Selçuk’un nezdinde tüm eğitim camiamıza teşekkür ederiz. #sağlıkçılarımızlayız https://t.co/UErc7E9Bk1</t>
  </si>
  <si>
    <t>1342545538739277824</t>
  </si>
  <si>
    <t>Bu anlaşmanın hayata geçmesinde engellerin ortadan kalkmasında PROF. DR. UĞUR ŞAHİN hocamızın büyük emekleri vardır. Türkiye için yaptığı ayrıcalık unutulmayacaktır. Kendisine milletimiz adına bir kez daha teşekkür ederim.</t>
  </si>
  <si>
    <t>1342533733497368577</t>
  </si>
  <si>
    <t>Gecikmenin nedeni üreticinin aşının üretiminden kaynaklanabilecek sorunlarla ilgili SORUMLULUK KABUL ETMEK İSTEMEMESİYDİ. Bu konuda üreticinin sorumluluğunun sözleşmenin mali büyüklüğü ile sınırlı tutulmasında anlaşıldı. Bu aşıyı kullanmak için vatandaşlarımızdan ONAM ALINACAK.</t>
  </si>
  <si>
    <t>1342533731995758594</t>
  </si>
  <si>
    <t>Bu miktarın Türkiye’ye yıl sonuna kadar ya da ocak ayı başında gelmesi beklenmektedir. Bununla birlikte MART ayı sonuna kadar 4.5 MİLYON doz aşı ülkemize teslim edilecektir. Anlaşmamıza göre tarafların mutabakatı ile 30 MİLYON doza kadar aynı şartlarda aşı temin edilebilecektir.</t>
  </si>
  <si>
    <t>1342533730607517700</t>
  </si>
  <si>
    <t>BIONTECH aşısı ile ilgili anlaşmanın imzalanmak üzere olduğunu dün sizlerle paylaşmıştım. Bu gece 04.30 itibariyle anlaşma imzalandı. Yapılan anlaşmaya göre bu yıl için ayrılan, depolarda hazır beklediğini PROF. DR. UĞUR ŞAHİN hocamızın açıkladığı doz miktarı 550.000 dozdur.</t>
  </si>
  <si>
    <t>1342533729261146117</t>
  </si>
  <si>
    <t>Yurtdışı tedbirleri artırıyoruz. 28 Aralıktan itibaren yurtdışından ülkemize hava yoluyla, 30 Aralıktan itibaren kara yoluyla gelen her yolcunun, SON 72 SAAT İçinde yapılmış NEGATIF PCR TEST SONUCU İBRAZ ETMESİ zorunlu olacak. Aksi durumda ülkeye girişlerine izin verilmeyecektir. https://t.co/NZGbnK7AWA</t>
  </si>
  <si>
    <t>1342521323642351616</t>
  </si>
  <si>
    <t>Bugün tespit edilen 3.199 yeni hastamız var. Hasta ve vaka sayılarındaki düşüş etkisini hastane yükümüzde de göstermeye başladı. Ümidimiz bu iyileşmenin yakın zamanda kayıplarımızın sayısına da yansıması. Aşı kampanyası sonuna kadar tedbirde ısrar edelim. https://t.co/RVlhe7786O</t>
  </si>
  <si>
    <t>1342504836747636738</t>
  </si>
  <si>
    <t>Sahada 1963 filyasyon ekibimiz temaslı taramasına devam ediyor. Sağlık kuruluşlarımız görevini aksatmadan yürütüyor. Gayretlerimiz sonuç veriyor. Duraksama, tereddüt, gevşeme yok. Hep birlikte kazanacağız.</t>
  </si>
  <si>
    <t>1342485456664080385</t>
  </si>
  <si>
    <t>İSTANBUL İl sağlık yöneticilerimiz ve Başhekimlerimizle haftalık değerlendirmemizi yaptık.
Son hafta içinde İstanbul’da vaka sayısında önemli oranda düşüş kaydedildi. Polikliniklerde %50’ye  varan azalma oldu; bu durum hastane yatışlarına %35, yoğun bakımlara %30 olarak yansıdı. https://t.co/JQHtIfV2ZM</t>
  </si>
  <si>
    <t>1342485452952100864</t>
  </si>
  <si>
    <t>İnancımız bize her darlıktan sonra bir genişlik olduğunu söylüyor. İnanıyorum ki bugün, Millet olarak, bu darlık zamanından genişlik günlerine geçişimizin habercisi olacak. https://t.co/W3AHKXFTPh</t>
  </si>
  <si>
    <t>1342186185221931010</t>
  </si>
  <si>
    <t>Acil Kullanım onayına temel teşkil edecek veriler, bağımsız değerlendirme komitesi tarafından değerlendirilerek Türkiye İlaç ve Tıbbi Cihaz Kurumu’na iletilmiştir. https://t.co/9Jle2bI2Ah</t>
  </si>
  <si>
    <t>1342182945189203974</t>
  </si>
  <si>
    <t>İnaktif aşı bilinen en kadim aşı yöntemidir. https://t.co/f9xTgg4pSd</t>
  </si>
  <si>
    <t>1342179980764188675</t>
  </si>
  <si>
    <t>Salgın her alanda bizi etkiledi. Dünyanın ahlakını yeniden tanzim etti. https://t.co/U4suJ5mfBW</t>
  </si>
  <si>
    <t>1342176542261194753</t>
  </si>
  <si>
    <t>Salgın boyunca, üzerimde çok ağır bir sorumluluk olsa da her durumda karşınıza çıkıp tüm gelişmeleri sizlere zamanında ve en açık şekilde iletmeye çalıştım. https://t.co/H3jsDL2oCt</t>
  </si>
  <si>
    <t>1342165612286644224</t>
  </si>
  <si>
    <t>Bugün tespit edilen 3.218 yeni hastamız var. Aktif vaka sayısındaki düşüş devam ediyor. Aşının etkili olacağı müjdesini aldık. Şimdi aşılanıp etkisini görene kadar kendimizi daha iyi koruma zamanı. Güzel günlere tedbirle hazırlanalım. https://t.co/RVlhe7786O</t>
  </si>
  <si>
    <t>1342157228904763393</t>
  </si>
  <si>
    <t>Bilim Kurulu Toplantımızın ardından COVID-19 ile ilgili son gelişmelere ilişkin basın açıklamamız.
📍Sağlık Bakanlığı
https://t.co/kPjn7sndFG</t>
  </si>
  <si>
    <t>1342143612935671808</t>
  </si>
  <si>
    <t>Ön saflarda kahramanca mücadele eden sağlık çalışanlarımıza tedbirlere uyarak destek olalım. Tedbirlerin aynı zamanda sosyal hayatımızın güvencesi olduğunu unutmayalım. https://t.co/GWlbzjN9Uq</t>
  </si>
  <si>
    <t>1341798352665665540</t>
  </si>
  <si>
    <t>Çevre duyarlılığı ve halk sağlığı alanındaki mücadelesiyle tanıdığımız Prof. Dr. Orhan Kural hocamızı kaybetmenin derin üzüntüsünü yaşıyoruz. Hocamıza Allah'tan rahmet, sevenlerine başsağlığı diliyorum.</t>
  </si>
  <si>
    <t>1341791262052106240</t>
  </si>
  <si>
    <t>Bugün tespit edilen 3.192 hastamız var. Aktif vaka sayısındaki düşüş sevindirici. Yeni vaka sayısını da kısıtlamalara ve tedbirlere uyumla azaltacağız. Bu dönemde ev içi bulaşmaları engellemek son derece önemli. Tehdit neredeyse tedbir oraya odaklanmalı. https://t.co/RVlhe7786O</t>
  </si>
  <si>
    <t>1341784261280542721</t>
  </si>
  <si>
    <t>Rubella virus is eliminated in Turkey. I would like to thank my friend @hans_kluge for congratulating us with this great news. Vaccines are the most important power in hand for preventing from infections. https://t.co/QeveZvVyva</t>
  </si>
  <si>
    <t>1341496582437543947</t>
  </si>
  <si>
    <t>Rubella virüsü (kızamıkçık) Türkiye’de sorun olmaktan çıktı. Bu güzel haberle bizi tebrik eden dostum @hans_kluge‘ye teşekkür ediyorum. Aşılar enfeksiyonların engellenmesi için elimizdeki en önemli güç. https://t.co/QeveZvVyva</t>
  </si>
  <si>
    <t>1341496517467750400</t>
  </si>
  <si>
    <t>SAMSUN’DA vaka sayısında %35 düşüş oldu. Yatak doluluğu %62, yoğun bakım doluluğu %80. HATAY’DA vaka sayısında %40 düşüş gerçekleşti. Yatak doluluğu %85, yoğun bakım doluluğu %77. SAMSUN ve HATAY’DA Ağır hasta yükü yüksek. Tedbirlere ısrarla uyalım.</t>
  </si>
  <si>
    <t>1341485561773780997</t>
  </si>
  <si>
    <t>İZMİR’DE günlük vaka sayısında son bir hafta içinde %30 azaldı. Yatak doluluk oranı %57, yoğun bakım doluluk oranı %77. TRABZON’DA vaka sayıları %25 düştü, yatak doluluğu %52, yoğun bakım doluluğu %72. İZMİR ve TRABZON’DA tedbirleri sürdürmeliyiz.</t>
  </si>
  <si>
    <t>1341485560419016709</t>
  </si>
  <si>
    <t>İZMİR, TRABZON, SAMSUN, HATAY Valilerimiz, İl Sağlık Müdürlerimiz ve Halk Sağlığı Başkanlarımızla illerimizin güncel durumunu ele aldık. Bu İllerimizde günlük yeni vaka sayılarında düşüş başladı. Ancak hastane ve yoğun bakım servislerimizin yükü hala yüksek seyrediyor. https://t.co/DxcI43WlVD</t>
  </si>
  <si>
    <t>1341485557122252802</t>
  </si>
  <si>
    <t>Kısıtlamalar ve tedbirlere uyum sayesinde vaka sayılarımız düşüyor. Buna rağmen virüsün bulaşma yolları değişmeye başladı. Ev içi bulaşma oranları %85'e kadar yükseldi. Tedbir, tehdit neredeyse oraya odaklanmalı. Ev içi bulaşmalara karşı tedbirli olalım.</t>
  </si>
  <si>
    <t>1341450917430906882</t>
  </si>
  <si>
    <t>Onlar, hilal uğruna batan güneşler, vatan için canını feda eden yiğitler. Sarıkamış şehitlerimizi rahmetle ve minnetle yâd ediyorum. https://t.co/LvT6CedFjy</t>
  </si>
  <si>
    <t>1341442267161255937</t>
  </si>
  <si>
    <t>Bugün tespit edilen 3.309 yeni hastamız var. Ağır hasta sayısı ve aktif vaka sayısı düşmeye devam ediyor. Vakaların azaldığı bu dönemde aile içi bulaşmalar artış gösteriyor. Her yerde tedbirlere uymalıyız. Birlikte mücadele güçlü netice verecek. https://t.co/RVlhe7786O</t>
  </si>
  <si>
    <t>1341423823200116736</t>
  </si>
  <si>
    <t>Hiç beklentisi olmadan hayatın her türlü zorlu şartlarına rağmen hepimizin yükünü sırtında taşıyan kahramanlar var. 22 Aralık #ParamediklerGünü kutlu olsun. https://t.co/bCA8iD5ePo</t>
  </si>
  <si>
    <t>1341411309804527621</t>
  </si>
  <si>
    <t>RT @EmineErdogan: Paramedikler Günü vesilesiyle, Cumhurbaşkanlığı sağlık ekibindeki paramediklerimiz ile buluştuk. Onların nezdinde, gece g…</t>
  </si>
  <si>
    <t>1341399686436032512</t>
  </si>
  <si>
    <t>RNA virüslerinde mutasyon beklenen bir durumdur. Halk Sağlığı Genel Müdürlüğümüz salgının başından beri ülkemizde görülen tüm virüs suşlarında gen mutasyonunu düzenli olarak taramaktadır. Eylül ayından beri ülkemizde görülen suşların incelenmesi kısa sürede neticelenecektir.</t>
  </si>
  <si>
    <t>1341326985071632385</t>
  </si>
  <si>
    <t>14 Aralık’tan itibaren İngiltere’den gelen tüm yolcuların tespiti yapılmıştır. 4.603 yolcunun bilgileri siteme aktarılarak ikametleri ve kaldığı otellerinde izolasyona alınmışlardır. Bu yolcularımızın Halk Sağlığı Genel Müdürlüğümüz koordinasyonunda PCR testleri yapılmaktadır.</t>
  </si>
  <si>
    <t>1341254035723186177</t>
  </si>
  <si>
    <t>Önceki gece bu ülkelerden ülkemize giriş yapan 335 yolcu sağlık kontrolünden geçirilmiş ve PCR testi yapılmıştır. Yolculara 1. ve 7. Günü PCR örnekleri alınmaktadır. Testleri negatif çıksa bile tüm yolcular izolasyona alınmıştır.</t>
  </si>
  <si>
    <t>1341254033894494209</t>
  </si>
  <si>
    <t>İngiltere’de tespit edilen koronavirüs mutasyonu üzerine 20 Aralık gecesi İngiltere, Hollanda, Danimarka ve Güney Afrika’dan ülkemize uçuşların askıya alındığını ve o an itibariyle havada olan yolcular için de tedbirlerimizi duyurmuştuk.</t>
  </si>
  <si>
    <t>1341254032657145857</t>
  </si>
  <si>
    <t>KAYSERİ: Vaka düşüşü %35, yatak doluluğu %58, yoğun bakım doluluğu %67. 
TEKİRDAĞ: Vaka düşüşü %60, yatak doluluğu %43, yoğun bakım doluluğu %59.</t>
  </si>
  <si>
    <t>1341142476082597888</t>
  </si>
  <si>
    <t>BURSA: Günlük vaka sayısında son bir hafta içinde %50 düşü oldu. Yatak doluluk oranı %55, yoğun bakım doluluk oranı %73. 
KONYA: Vaka düşüşü %50, yatak doluluğu %52, yoğun bakım doluluğu %66.</t>
  </si>
  <si>
    <t>1341142474669105160</t>
  </si>
  <si>
    <t>BURSA, KONYA, KAYSERİ, TEKİRDAĞ illerimizde salgının seyri ile ilgili tedbirleri ele aldık. Günlük Vaka sayıları  düşmeye devam ediyor. Kısıtlama ve tedbirlere uyum netice veriyor. Mücadeleye ısrarla devam edelim. https://t.co/YF3K6E2utk</t>
  </si>
  <si>
    <t>1341111378141130755</t>
  </si>
  <si>
    <t>Bugün tespit edilen 3.412 yeni hastamız var. Aktif vaka ve ağır hasta sayımız azalıyor. Yatak doluluk oranı, yoğun bakım doluluk oranı ve solunum cihazı doluluk oranları düşmeye devam ediyor. Kurallara birlikte uymanın neticesini almaya başladık.  https://t.co/RVlhe7786O</t>
  </si>
  <si>
    <t>1341053079085563905</t>
  </si>
  <si>
    <t>İngiltere kaynaklı mutasyon riski üzerine alınan tedbirler kapsamında halen yolda olan uçuşlar için tüm yolculara test yapılacak ve karantina kuralları uygulanacaktır. Tedbirler tam koordinasyonla yürütülmektedir.</t>
  </si>
  <si>
    <t>1340762399310290946</t>
  </si>
  <si>
    <t>Koronavirüsün mutasyonuyla İngiltere'de bulaş hızının arttığı bildirilmiştir. Cumhurbaşkanımızın talimatı, Ulaştırma ve Altyapı Bakanlığımızın koordinasyonu ile tedbiren; İngiltere, Danimarka, Hollanda ve Güney Afrika'dan ülkemize olan uçuşlarda geçici durdurma kararı alınmıştır.</t>
  </si>
  <si>
    <t>1340752471908638724</t>
  </si>
  <si>
    <t>Dünyanın en iyi hekimleri Türk hekimleridir. Hastasını ailesinin bir ferdi bilen, can kurtarmak için canını ortaya koyan Türk hekimlerinden, hemşirelerinden, hasta bakıcılarından başkaları değildir.</t>
  </si>
  <si>
    <t>1340751857195597830</t>
  </si>
  <si>
    <t>Sağlık alt yapımızın birçok Avrupa ülkesinden daha iyi olduğu ortadadır.Salgının ilk gününden beri vatandaşlarımızın mücadelemize gösterdiği teveccüh ve sağlık ordumuza duyulan güven basit iddialarla yıpratılmamalı.</t>
  </si>
  <si>
    <t>1340751855526301696</t>
  </si>
  <si>
    <t>Bizim vakaları tespit etmede, temaslıları takip etmede, hastaların takip ve tedavisinde daha başarılı olduğumuzdan şüphesi olanların sağlık çalışanlarımızın gözlerinin içine bakarak bu soruyu tekrar sormalarını isterim.</t>
  </si>
  <si>
    <t>1340751853613625348</t>
  </si>
  <si>
    <t>Üzülerek görüyorum ki, bazı siyasilerimiz, gazetecilerimiz, sivil toplum örgütlerinde görevli arkadaşlarımız eleştiri adı altında mücadelemizi sekteye uğratabilecek değerlendirmeler yapmaktadır.</t>
  </si>
  <si>
    <t>1340751851864649731</t>
  </si>
  <si>
    <t>Kimsenin toplumun umutlarını tüketecek ve karamsarlığa itecek yorumlar yapmaya hakkı yoktur. Biz hasta sayısını vaka sayısından bağımsız olarak açıklıyoruz. Oysaki birçok ülke açıklamıyor. Dolayısıyla hangi ülkenin hastası daha çok bilmiyoruz.</t>
  </si>
  <si>
    <t>1340751850040078345</t>
  </si>
  <si>
    <t>İlk günden beri salgın hastalıkla birlikte mücadele edilmesi gerektiğini, toplumun hiçbir ferdinin kendisini bu mücadelenin dışında tutmaması gerektiğini ifade ettik.</t>
  </si>
  <si>
    <t>1340751848375001089</t>
  </si>
  <si>
    <t>Salgınla mücadele ortak paydamızdır. Sağlık sistemimize olan güveni sarsacak mesnetsiz ithamlardan uzak durulmalı. Kendimizi eksik görmeyi bırakıp milletimizle ve onun evlatları ile gurur duyalım. https://t.co/k3ouRO8vV0</t>
  </si>
  <si>
    <t>1340723791035572225</t>
  </si>
  <si>
    <t>Bugün tespit edilen 3.546 yeni hastamız var. Ağır hasta ve aktif vaka sayımız düşmeye devam ediyor. Tedbir ve kısıtlamalar netice veriyor. Daha belirgin neticeler alacağımıza inanıyoruz. Bunu birlikte başarabiliriz. Birlikte mücadele virüsten daha güçlüdür https://t.co/RVlhe7786O</t>
  </si>
  <si>
    <t>1340691665934233605</t>
  </si>
  <si>
    <t>Gaziantep’te bir özel hastanemizde dün yaşanan elim hadise idari ve adli olarak incelenmektedir. Bu hadise ile Bakanlığımızın yetki ve sorumlulukları arasında gerçek dışı ilişkiler kurmanın kimseye faydası yoktur. https://t.co/xznEKKRTAK</t>
  </si>
  <si>
    <t>1340657554309984257</t>
  </si>
  <si>
    <t>RT @hans_kluge: Gaziantep’te yaşanan üzücü kaza sonucu hayatını kaybedenlere baş sağlığı, yaralılara acil şifalar diliyoruz.
We extend our…</t>
  </si>
  <si>
    <t>1340415628344238084</t>
  </si>
  <si>
    <t>Gaziantep’te meydana gelen üzücü olay nedeniyle bir hastamız daha nakledildiği hastanede yaşamını yitirdi. Can kaybımız 10’a yükseldi. Merhumeye Allah’tan rahmet, yakınlarına başsağlığı diliyorum.</t>
  </si>
  <si>
    <t>1340371649951088644</t>
  </si>
  <si>
    <t>Adalet Bakanımız, Bakan Yardımcılarımız, Milletvekillerimiz, GAZİANTEP Valimiz, Büyükşehir Belediye Başkanımız, İl Sağlık Müdürümüz ve Başhekimlerimizin katılımıyla; ilimizdeki salgın seyrini ve alınan tedbirleri değerlendirdik. https://t.co/pPC55uH9bl</t>
  </si>
  <si>
    <t>1340341349799895040</t>
  </si>
  <si>
    <t>Bugün tespit edilen 4.002 yeni hastamız var. Ağır hasta ve aktif vaka sayımız düşmeye devam ediyor. Tedbir ve kısıtlamaların etkisini görüyoruz. Önümüzdeki günlerde daha belirgin neticeler almayı bekliyoruz. Salgınla ancak birlikte mücadele edilebilir. https://t.co/RVlhe7786O</t>
  </si>
  <si>
    <t>1340332684841762817</t>
  </si>
  <si>
    <t>Gaziantep’te elim kazanın yaşandığı hastanede incelemelerde bulunup olay hakkında yetkililerden bilgi aldık. Olaya müdahale esnasında etkilenen sağlık çalışanı arkadaşlarımızı da ziyaret edip geçmiş olsun dileklerimizi ilettik. https://t.co/EzQXEDLuH8</t>
  </si>
  <si>
    <t>1340318092560392192</t>
  </si>
  <si>
    <t>Yaşanan üzücü olayı yerinde incelemek ve süreci yakından takip etmek üzere Gaziantep'teyiz. https://t.co/5wBRhUgeVj</t>
  </si>
  <si>
    <t>1340298886867464195</t>
  </si>
  <si>
    <t>Gaziantep’te yoğun bakım ünitesinde meydana gelen elim olay hepimizi üzmüştür. Vefat sayımız 9 oldu. Yangından etkilenen diğer hastalar 112 acil ekiplerimiz tarafından civar hastanelere nakledildi. Vefat edenlere Allah’tan rahmet diliyorum. Olayı yakından takip ediyoruz.</t>
  </si>
  <si>
    <t>1340221105789952000</t>
  </si>
  <si>
    <t>Bugün, yakın planda MERSİN, DİYARBAKIR, TRABZON, ANTALYA ve KOCAELİ illerimizin durumunu değerlendirdik. Birlikte mücadelemizin erken sonuçları alınmaya başlandı. Ara vermeden mücadeleye devam. https://t.co/RNFnzP0T9F</t>
  </si>
  <si>
    <t>1340024086089633793</t>
  </si>
  <si>
    <t>Bugün Resmi Gazete’de yayımlanan “Beşeri Tıbbi Ürünler Ruhsatlandırma Yönetmeliğinde Değişiklik Yapılmasına Dair Yönetmelik” hakkında asılsız bilgiler yayıldığı görülmüştür. Bu özellikle yerli aşı adaylarımız ve ülkemizde kullanılacak tüm aşılar için yapılmış bir düzenlemedir. https://t.co/Cvn837jVFB</t>
  </si>
  <si>
    <t>1340010547140571136</t>
  </si>
  <si>
    <t>Bugün tespit edilen 4.103 yeni hastamız var. Ağır hasta sayımız düşmeye devam ediyor. Aktif vaka sayımız da azalmaya başladı. Tedbirlerin bu hafta sonundan itibaren etkisini daha çok göstermesini bekliyoruz. Mücadeleye ara vermeden devam edelim. https://t.co/RVlhe7786O</t>
  </si>
  <si>
    <t>1339985230049005569</t>
  </si>
  <si>
    <t>Birlikte tedbirlere uyum ve mücadele sonuç vermeye başladı. Ancak günlük toplam vaka düşüşüne rağmen son günlerde evde bulaşma oranı yükseldi. Evde kalırken tedbirleri elden bırakmayalım. Mücadeleye birlikte ve ara vermeden devam edelim.</t>
  </si>
  <si>
    <t>1339972050073612289</t>
  </si>
  <si>
    <t>Polikliniklerde yaklaşık %30, hastaneye yatışlarda %15, yoğun bakımda ise yüzde %10 azalma oldu. Yatak doluluk oranı %55, yoğun bakım doluluk oranı %65. 658’den 1934’e çıkarılan filyasyon ekiplerimiz yaygın temaslı taraması yapıyor.</t>
  </si>
  <si>
    <t>1339972048358174720</t>
  </si>
  <si>
    <t>İl sağlık yöneticilerimiz ve hastane başhekimlerimizle İSTANBUL’DAKİ rutin değerlendirmemizi yaptık. Tedbirlerin etkisi görülmeye başlandı. Son hafta içinde pozitif vaka sayısındaki azalma %20’yi buldu. Hastanelerimizde bunun yansımasını gördük. https://t.co/LMl3NEbuGq</t>
  </si>
  <si>
    <t>1339972045942210561</t>
  </si>
  <si>
    <t>Samsun Bafra Devlet Hastanesi’nde bir doktor arkadaşımızı görevi başında bıçakla yaralamaya çalışan saldırgan tutuklandı. Bu uğurda canlarını hiçe sayan sağlık çalışanlarımıza saldırmanın izahı olamaz. Şiddetle mücadelemizi sürdüreceğiz.</t>
  </si>
  <si>
    <t>1339682191568211970</t>
  </si>
  <si>
    <t>Sevgi çağrısı Konya’dan dünyaya çağlar boyu bir rahmet sağanağı gibi yağan Hazret-i Mevlânâ‘yı vuslatının 747. yılında rahmetle anıyorum. https://t.co/DmA6a1RuqB</t>
  </si>
  <si>
    <t>1339667350237442049</t>
  </si>
  <si>
    <t>SPORTMEN GENÇ
Virüs genç yaşlı ayırmıyor, en küçük dikkatsizlikte bile bulaşabiliyor. Tedbirlere uyarak sağlığımızı ve sosyal hayatımızı koruyalım. https://t.co/xr4vtdXo3G</t>
  </si>
  <si>
    <t>1339632406630842368</t>
  </si>
  <si>
    <t>HATAY, ADANA, SAMSUN ve İZMİR yakın takibimizde. Çabalar sonuç veriyor. Birlikte kazanacağımız günler uzak değil. https://t.co/Izi7gz9VBb</t>
  </si>
  <si>
    <t>1339606503943262208</t>
  </si>
  <si>
    <t>Bugün tespit edilen 4.209 hastamız var. Ağır hasta sayımız uzun bir aradan sonra düştü. Aktif hasta sayısı da azalmaya devam ediyor. Tedbir ve kısıtlamalar netice vermeye başladı. Bunu sürekli hale getirecek olan bizleriz. Sonuç alana kadar mücadele edelim https://t.co/RVlhe7oIYm</t>
  </si>
  <si>
    <t>1339602697868124160</t>
  </si>
  <si>
    <t>Antalya Kumluca Devlet Hastanesi Başhekimi görevinden uzaklaştırıldı. Hakkında disiplin soruşturması başlatılan Başhekimin sözleşmesi feshedilerek görevine son verilmiştir. Böyle bir davranışı kabul etmemiz mümkün değildir. https://t.co/Q28Jfwq3q3</t>
  </si>
  <si>
    <t>1339563099100237824</t>
  </si>
  <si>
    <t>Kamu ve özel sağlık sektörümüz pandemi mücadelesinde başarılı bir sınav vermiştir. Gelişmiş ülkelerdeki hasta tercih etme tabloları ülkemizde yaşanmamıştır. Bugüne kadar fedakarlıktan kaçınmayan tüm kamu ve özel sağlık kuruluşlarımızın aşı konusunda da gerekeni yapacağına eminim. https://t.co/OnKlXn6MOG</t>
  </si>
  <si>
    <t>1339554931200712704</t>
  </si>
  <si>
    <t>COVID-19 aşı hazırlıklarının en yoğun olduğu bir dönemde DSÖ tarafından aşı ile önlenen hastalıklardan kızamıkçık hastalığının elimine edildiği ülke olma müjdesini aldık. Aynı başarıyı COVID-19 mücadelesinde de gösterme kararlılığındayız. https://t.co/37K5aoqCB7</t>
  </si>
  <si>
    <t>1339331771578654721</t>
  </si>
  <si>
    <t>Bugün tespit edilen 4.893 hastamız var. Bir süredir günlük hasta sayımız düşüşte. Bugün uzun bir aradan sonra ilk defa günlük iyileşen sayısı yeni vaka sayısını geçti. Aktif hasta sayımız uzun bir aradan sonra düşmüş oldu. Sevdiklerimizi tedbirle koruyalım https://t.co/RVlhe7786O</t>
  </si>
  <si>
    <t>1339247880629051393</t>
  </si>
  <si>
    <t>Bakanlığımız bünyesinde 12 bin sözleşmeli sağlık personeli alım sonuçları açıklandı. Sonuçlar ÖSYM'nin sitesinden yayımlandı. Yeni atamalar bize güç katacaktır. Hayırlı olsun.</t>
  </si>
  <si>
    <t>1338966135929233409</t>
  </si>
  <si>
    <t>Taziyeler gibi büyük kalabalıklar katılan herkesin sağlığı için büyük bir tehdittir. Tedbirlere uymak sağlığımızın ve sosyal hayatımızın güvencesidir. https://t.co/b1N4RgHWlH</t>
  </si>
  <si>
    <t>1338937077224890371</t>
  </si>
  <si>
    <t>Bugün tespit edilen 5.105 yeni hastamız var. Ağır hasta sayımız durağan seyrediyor. Kayıplarımızı azaltmak zorundayız. Kapalı ve kalabalık ortamlardan uzak durarak sevdiklerimizi koruyalım. https://t.co/RVlhe7786O</t>
  </si>
  <si>
    <t>1338893105089613825</t>
  </si>
  <si>
    <t>YAKIN ÇEVREMİZLE ilişkilerimizde tedbirleri aklımızdan çıkarmayalım. Salgın bizi yakınlarımızdan ayırmaya devam ediyor. https://t.co/KAPuzKR25P</t>
  </si>
  <si>
    <t>1338583531509993473</t>
  </si>
  <si>
    <t>Bugün tespit edilen 5.064 yeni hastamız var. Ağır hasta sayısı 6.000’e yaklaştı. Hastane yükümüz halen çok yüksek. Kalabalık ve kapalı ortamlardan uzak durarak sevdiklerimizi koruyalım. Kısıtlamaların etkisini yakında daha belirgin göreceğiz. https://t.co/RVlhe7786O</t>
  </si>
  <si>
    <t>1338536397905539073</t>
  </si>
  <si>
    <t>RT @RTErdogan: Kabine Toplantısı Sonrası Millete Sesleniş https://t.co/DRC2cbbFL5</t>
  </si>
  <si>
    <t>1338525861105037316</t>
  </si>
  <si>
    <t>Milletimizin Vekillerine milletimiz için yaptığımız hizmetleri anlatma fırsatı bulduk. Bu zor günleri mutlaka aşacağız. Ümitvarız. https://t.co/Zkydvc1Sdd</t>
  </si>
  <si>
    <t>1338242560255553537</t>
  </si>
  <si>
    <t>100 bin kişiye düşen yoğun bakım yatağı oranıyla (%40.3) dünyada 1. sıradayız. TÜRKİYE İLE GURUR DUYUN! https://t.co/0ANiSsvLPU</t>
  </si>
  <si>
    <t>1338200802784120839</t>
  </si>
  <si>
    <t>Doğu ve Güneydoğu Anadolu Bölgemizde, DİYARBAKIR, ŞANLIURFA ve MARDİN Şehir Hastaneleri dışında; Şehir Hastaneleri niteliğine sahip, BATMAN, BİNGÖL, KARS, MUŞ, SİİRT ve ŞIRNAK’TA 500 yataklı hastanelerimiz de 2023 yılına kadar tamamlanıp, bölge halkımızın hizmetine sunulacaktır. https://t.co/lDIfOjkau1</t>
  </si>
  <si>
    <t>1338192865827164160</t>
  </si>
  <si>
    <t>✔️SAMSUN, AYDIN, TRABZON Şehir Hastaneleri ihale süreçleri tamamlandı.
✔️1.750 yataklı ŞANLIURFA, her biri 1000’er yataklı ORDU, DENİZLİ, SAKARYA, DİYARBAKIR, ANTALYA, 
RİZE ve 750 yataklı MARDİN Şehir Hastaneleri’nin ihalelerini de yaparak 2023 yılından önce hizmete açacağız. https://t.co/t7azZm4iZs</t>
  </si>
  <si>
    <t>1338189176911646726</t>
  </si>
  <si>
    <t>Yerli aşımızın faz II safhası başlıyor. Hazır aşı tedariki ile ilgili anlaşmamızı da yaptık. https://t.co/xloUqAcPy2</t>
  </si>
  <si>
    <t>1338160614036942851</t>
  </si>
  <si>
    <t>Bugün tespit edilen 5.103 hastamız var. Ağır hasta sayısındaki artış hızı azalmaya devam ediyor. Hasta sayımızdaki artış hızı da azalıyor. Aşıdan etkin olarak fayda sağlayıncaya kadar kapalı ve kalabalık ortamlardan sevdiklerimiz için uzak duralım. https://t.co/RVlhe7786O</t>
  </si>
  <si>
    <t>1338155555442077696</t>
  </si>
  <si>
    <t>DSÖ sadece Türkiye‘nin pandemi dönemindeki başarısını raporlaştırmıştır, dünyada başka bir örneği yoktur. Ayrıca Avrupa İlerleme Raporu’nda sosyal güvencesine bakılmaksızın Türkiye’nin herkese bedelsiz test ve tedavi imkanı sağladığına vurgu yapılarak başarımızdan söz edildi. https://t.co/RfmEJofEYy</t>
  </si>
  <si>
    <t>1338148182354759680</t>
  </si>
  <si>
    <t>Gösterdiğiniz kahramanlığı, yaptığınız fedakarlığı milletçe unutmayacağız. #Minnettarız https://t.co/m1UtKjJgPS</t>
  </si>
  <si>
    <t>1338139166417227778</t>
  </si>
  <si>
    <t>Salgın döneminde vatandaşlarımızın sağlığı için canını feda eden sağlık şehitlerimizi kalbimize gömdük. #minnettarız</t>
  </si>
  <si>
    <t>1337858241045389313</t>
  </si>
  <si>
    <t>TBMM Genel Kurulu 2021 Bütçe Görüşmeleri sürüyor. Bakanlığımızın bütçesi için yüce meclisimizdeyiz. https://t.co/XV3TqzDlns</t>
  </si>
  <si>
    <t>1337829124870565888</t>
  </si>
  <si>
    <t>Bugün tespit edilen 5.203 hastamız var. Ağır hasta sayısındaki artış hızının durağan olması sevindirici. Kısıtlamalara tam uyum ve tedbirlere riayetle mücadelemizi sürdürelim. Aşının yaygın uygulaması ve etkisinin görülmesine kadar sevdiklerimizi koruyalım https://t.co/RVlhe7786O</t>
  </si>
  <si>
    <t>1337790189016641539</t>
  </si>
  <si>
    <t>Bakan arkadaşlarımla birlikte, 2021 yılı bütçe görüşmeleri için Yüce Meclis’teyiz. https://t.co/MA6AV93la4</t>
  </si>
  <si>
    <t>1337765471240806405</t>
  </si>
  <si>
    <t>Bugün Nobel ödüllü bilim insanımız Prof. Dr. Aziz Sancar ile görüştüm. Hocamıza bugün basında da yer alan Bakanlığımızın aşı konusundaki stratejisini destekleyen açıklamalarından dolayı teşekkürlerimi ilettim. Hocamızın cesaretlendirici sözlerine minnettarım. https://t.co/Fgg28Ce4xw</t>
  </si>
  <si>
    <t>1337503596615782404</t>
  </si>
  <si>
    <t>Tedbirlere sıkı uyup elbirliği ile gayret edince, sonuç almak daha kolay. Hepimiz sorumluluğumuzun bilincinde olalım. Ara vermeden mücadeleye devam; birlikte kazanacağız.</t>
  </si>
  <si>
    <t>1337502132866592768</t>
  </si>
  <si>
    <t>İSTANBUL, İZMİR ve KOCAELİ’DE  %30, ANKARA’DA ise %40 günlük vakada düşüş oldu. Ancak hastane ve yoğun bakımlarda hasta yükü devam ediyor. Yoğun bakım doluluk oranı İSTANBUL’DA  %67, İZMİR’DE %78, KOCAELİ ve ANKARA’DA %72.</t>
  </si>
  <si>
    <t>1337502086406266888</t>
  </si>
  <si>
    <t>İSTANBUL, ANKARA, İZMİR, KOCAELİ Valilerimiz, İl Sağlık Müdürlerimiz ve Halk Sağlığı Başkanlarımızla online görüşerek son durumu değerlendirdik. https://t.co/WEyZC346hi</t>
  </si>
  <si>
    <t>1337501986044993538</t>
  </si>
  <si>
    <t>Bugün tespit edilen 5.607 yeni hastamız var. Ağır hasta sayısının artış hızı durağana yaklaştı. Tedbirlere kararlılıkla uymak zorundayız. Aşı uygulanıp etkisini gösterene kadar ısrarla kendimizi ve sevdiklerimizi koruyalım. Bu hepimizin ortak sorumluluğu. https://t.co/RVlhe7786O</t>
  </si>
  <si>
    <t>1337436795458433026</t>
  </si>
  <si>
    <t>Hacettepe Üniversitesi tarafından düzenlenen Uluslararası Katılımlı Ortak Aşı Sempozyumu’nda; katılımcılarla aşıyla ilgili gelişmeleri ve çalışmalarımızı paylaştık. Türkiye gerek aşı tedariğinde gerekse kendi aşısını geliştirmekte erken yol almıştır. https://t.co/LY3wUcBcS3</t>
  </si>
  <si>
    <t>1337431680710307841</t>
  </si>
  <si>
    <t>Yerel ilave tedbirleri daha hızlı ve daha kararlı uygulandıkça, daha olumlu sonuç almamamız mümkün değil. Ara vermeden mücadeleye devam edelim; birlikte kazanacağız.</t>
  </si>
  <si>
    <t>1337143389641469968</t>
  </si>
  <si>
    <t>GAZİANTEP’TE günlük vaka sayısı %35, ŞANLIURFA’DA %30, TEKİRDAĞ’DA %20, DENİZLİ’DE %25 oranında düştü. Filyasyon ekiplerimiz sahada yoğun takip yapıyor. Hastane ve yoğun bakımlarda yükümüz henüz devam ediyor.</t>
  </si>
  <si>
    <t>1337143387846291457</t>
  </si>
  <si>
    <t>GAZİANTEP, ŞANLIURFA, TEKİRDAĞ, DENİZLİ Valilerimiz, İl Sağlık Müdürlerimiz ve Halk Sağlığı Başkanlarımızla online görüşerek durum değerlendirmesi yaptık. https://t.co/BxPkOP3y31</t>
  </si>
  <si>
    <t>1337143383786184706</t>
  </si>
  <si>
    <t>Resulayn’da uğradıkları saldırı sonucu şehit olan kahramanlarımıza Allah’tan rahmet, yaralılarımıza acil şifalar diliyorum. Milletimizin başı sağ olsun. https://t.co/PDVTXx81qM</t>
  </si>
  <si>
    <t>1337119733288759296</t>
  </si>
  <si>
    <t>Bugün tespit edilen 5918 hasta var. Alınan tedbirlerin etkisini hissetmeye başladık. Ağır hasta sayısı artış hızında azalma devam ediyor. Kısıtlamalarla elde edilen kazanımları, kişisel tedbirlerle destekleyerek başarılı olacağız. Birlikte mücadele edelim. https://t.co/RVlhe7786O</t>
  </si>
  <si>
    <t>1337077084666130433</t>
  </si>
  <si>
    <t>Salgının seyrini lehimize değiştirmek için birlikte hareket etmek zorundayız. https://t.co/hAFOpFzpCi</t>
  </si>
  <si>
    <t>1336991991582896129</t>
  </si>
  <si>
    <t>Salgınla mücadelede hepimizin aynı tarafta olduğunu unutmamalıyız. https://t.co/AKcbq1TXix</t>
  </si>
  <si>
    <t>1336985144780058624</t>
  </si>
  <si>
    <t>Aşıda tek önceliğimiz GÜVENİLİR ve ETKİLİ olmasıdır. Başka hastalıklar için yıllardır yapageldiğimiz gelenekselleşmiş inaktif aşıyı yakinen biliyoruz. https://t.co/G6MxytSIIj</t>
  </si>
  <si>
    <t>1336783517041168385</t>
  </si>
  <si>
    <t>Bu bir seferberlik anıdır. Birlik ve beraberlik içinde hepimiz üzerimize düşeni yapmak zorundayız. https://t.co/1ilaKXEZhy</t>
  </si>
  <si>
    <t>1336778358034665472</t>
  </si>
  <si>
    <t>Bilim Kurulu Toplantımızın ardından Koronavirüs ile ilgili son gelişmelere ilişkin basın açıklamamız.
📍Sağlık Bakanlığı
https://t.co/LFOuAJafV3</t>
  </si>
  <si>
    <t>1336709401856647168</t>
  </si>
  <si>
    <t>Sevdiklerimizden uzak kalmamak için eski normallerimizle aramıza mesafe koyalım.
Tedbirlere uyarak hem kendimizi hem de sevdiklerimizi koruyalım. https://t.co/lmdGLZX3rV</t>
  </si>
  <si>
    <t>1336568083260071936</t>
  </si>
  <si>
    <t>Sonucu ne olursa olsun bu onurlu duruşu sergilemek gerekir. Tebrikler asil duruşlu Başakşehir. #notoracism https://t.co/3s2bXyji3O</t>
  </si>
  <si>
    <t>1336424760641728521</t>
  </si>
  <si>
    <t>Canlı yayında rahatsızlanan Prof. Dr. Mehmet CEYHAN Hocamızla görüştüm. Genel durumu iyi. Yakından takip ediyoruz. Hocamıza geçmiş olsun.</t>
  </si>
  <si>
    <t>1336423262717435904</t>
  </si>
  <si>
    <t>Yerel ilave tedbirler hızlı ve zamanında devreye girince sonuç almak daha kolay. Sorumluluk hepimizin. Ara vermeden mücadeleye devam edelim; birlikte kazanacağız.</t>
  </si>
  <si>
    <t>1336358580321214464</t>
  </si>
  <si>
    <t>İZMİR’DE yatak doluluk oranı %59, yoğun bakım doluluk oranı %83. ADANA’DA yatak doluluk oranı %62, yoğun bakım doluluk oranı %81. Mersin’de yatak doluluk oranı %58, yoğun bakım doluluk oranı %84. HATAY’DA yatak doluluk oranı %64, yoğun bakım doluluk oranı %89.</t>
  </si>
  <si>
    <t>1336358578823827456</t>
  </si>
  <si>
    <t>İZMİR, ADANA, MERSİN, HATAY Valilerimiz, İl Sağlık Müdürlerimiz ve Halk Sağlığı Başkanlarımızla online görüşerek durumu tekrar gözden geçirdik. Bu illerimizde sabit vaka artışı var, ağır hasta yükü artıyor. Sırasıyla HATAY, MERSİN, ADANA ve İZMİR’DE risk devam ediyor. https://t.co/AHKB4xJE5u</t>
  </si>
  <si>
    <t>1336358575912914944</t>
  </si>
  <si>
    <t>Bugün tespit edilen 6.593 yeni hastamız var. Günlük test sayısında 200.000’e toplamda ise 20.000.000’a ulaştık. Ağır hasta sayımız artış hızı azalsa da 6.000’e yaklaştı. Kalabalıklardan uzak durmalı ve kendi kısıtlamalarımızı kendimiz uygulamalıyız. https://t.co/RVlhe7786O</t>
  </si>
  <si>
    <t>1336344304026054662</t>
  </si>
  <si>
    <t>SAMSUN, ANTALYA ve ORDU'DA yüksek risk devam ediyor. KONYA ve TRABZON'DA artış kısmen kontrol altında. Sağlık çalışanlarımız elinden geleni yapıyor. Kamu ve özel kurumlarımızla birlikte bütün hemşehrilerimizin duyarlılığı gücümüzü artırıyor. Ara vermeden mücadeleye devam edelim.</t>
  </si>
  <si>
    <t>1336028431734231043</t>
  </si>
  <si>
    <t>Yüksek vaka sayılarının devam ettiği KONYA, SAMSUN, ANTALYA, TRABZON, ORDU Valilerimiz, İl Sağlık Müdürlerimiz ve Halk Sağlığı Başkanlarımızla görüşmeye devam ediyoruz. Bu iller yakın takibimiz altında. Test kapasitemizi ve filyasyon ekiplerimizi artırdık. https://t.co/ACuyK3GuUQ</t>
  </si>
  <si>
    <t>1336028429557362690</t>
  </si>
  <si>
    <t>Bugün tespit edilen 6.420 hastamız var. Ağır hasta sayısındaki artış hızı azalıyor. Kısıtlamaların etkisi görülmeye başlandı. Yakında daha çok hissedeceğimizi ümit ediyoruz. Hepimizin görevi kendi kısıtlamalarımızı uygulayarak kalabalıklardan uzak durmak. https://t.co/RVlhe7786O</t>
  </si>
  <si>
    <t>1335986229582688262</t>
  </si>
  <si>
    <t>Sosyalleşmeye değil, kendimizi korumaya odaklanalım. 
Kalabalık, kapalı ve havalandırması yetersiz ortamlardan uzak duralım. https://t.co/Pwk799ftDr</t>
  </si>
  <si>
    <t>1335647726122524674</t>
  </si>
  <si>
    <t>Bugün tespit edilen 6.093 yeni hastamız var. Ağır hasta sayısındaki artış hızı azalma eğiliminde. Tedbirler ve kısıtlamaların etkisini görmeyi ümit ediyoruz. Tedbirlere uymak hepimiz için insani bir görevdir. Kısıtlama olmadan da kalabalıklardan uzak durun https://t.co/RVlhe7786O</t>
  </si>
  <si>
    <t>1335615120513314816</t>
  </si>
  <si>
    <t>Risk kapımızda. Alışkanlıklarımıza teslim olmayalım. Kısıtlamaları fırsata çevirelim. Tedbirlere daha sıkı uyarak sağlık çalışanlarımıza destek olalım. Mücadele birlikte kazanılır.</t>
  </si>
  <si>
    <t>1335282843304472581</t>
  </si>
  <si>
    <t>Son haftada ADANA'DA vaka artışı %50, yoğun bakım doluluk oranı %79. HATAY'DA artış %125, yoğun bakım doluluk oranı %86. MERSİN'DE artış %50, yoğun bakım doluluk oranı %74. SAMSUN'DA artış %35, yoğun bakım doluluk oranı %81. KASTAMONU'DA artış %50, yoğun bakım doluluk oranı %74.</t>
  </si>
  <si>
    <t>1335282841823944704</t>
  </si>
  <si>
    <t>ADANA, HATAY, MERSİN, SAMSUN ve KASTAMONU Valilerimiz, il Sağlık Müdürlerimiz ve Halk Sağlığı Başkanlarımızla il toplantılarımızı tekrarladık. Sırasıyla ADANA, HATAY, MERSİN ve SAMSUN yüksek risk altında. https://t.co/hjfP5b4Uz0</t>
  </si>
  <si>
    <t>1335282839533867008</t>
  </si>
  <si>
    <t>Her hafta olduğu gibi, İl Sağlık yöneticilerimiz ve Başhekimlerimizle İstanbul’u değerlendirdik. Son bir aydaki çabalar ve tedbirlerle bu hafta vaka sayısında %25 düşüş başladı. Ancak hastane ve yoğun bakım yükü devam ediyor. Ara vermeden mücadeleye devam edelim. https://t.co/hmbDQhVPps</t>
  </si>
  <si>
    <t>1335262817788817413</t>
  </si>
  <si>
    <t>Bugün tespit edilen 6.128 hastamız var. Sokağa çıkma kısıtlamalarının tek sebebi toplum sağlığını korumaktır. Hepimiz üzerimize düşeni yapmalı ve kendi kısıtlamalarımızı uygulamalıyız. Evimiz en güvenli yerdir. Kapalı ve kalabalık ortamlara ara verelim. https://t.co/RVlhe7786O</t>
  </si>
  <si>
    <t>1335254888297734144</t>
  </si>
  <si>
    <t>Cumhurbaşkanımız Sayın Recep Tayyip Erdoğan: “Aşı olma konusunda herhangi bir sıkıntım söz konusu değildir. Çünkü burada sağlık söz konusudur.” https://t.co/vvEY6fPvFx</t>
  </si>
  <si>
    <t>1334931968509833217</t>
  </si>
  <si>
    <t>Ara vermeden mücadeleye devam etmeliyiz. Tedbirlere daha sıkı uyarak sağlık çalışanlarımıza destek olalım. Sağlık çalışanlarının üzerindeki yükü azaltalım.</t>
  </si>
  <si>
    <t>1334923156839129088</t>
  </si>
  <si>
    <t>Son bir haftada ZONGULDAK’TA  vaka artışı %50, yoğun bakım doluluk oranı %77, ANKARA’DA sabit artış olmakla birlikte yoğun bakım doluluk oranı %74, SİVAS’TA artış %25, yoğun bakım doluluk oranı %66, MALATYA’DA artış  %35 yoğun bakım doluluk oranı %61.</t>
  </si>
  <si>
    <t>1334923154825867264</t>
  </si>
  <si>
    <t>ZONGULDAK, ANKARA, SİVAS, MALATYA valileri, il sağlık müdürleri ve halk sağlığı başkanlarıyla ayrı ayrı il değerlendirme toplantıları yaptık. 
Sırasıyla ZONGULDAK, ANKARA, SİVAS ve MALATYA’DA risk devam ediyor. https://t.co/w2jacob6tr</t>
  </si>
  <si>
    <t>1334923152707743747</t>
  </si>
  <si>
    <t>Bugün tespit edilen 6.903 yeni hasta var. Ağır hasta sayısı da aktif hasta sayısı da artmaya devam ediyor. Bugünlerde en büyük bulaşma ortamı kapalı ve kalabalık mekanlar. Kapalı ortamlarda kalabalık içinde bulunmayın. Kendinizi ve sevdiklerinizi koruyun. https://t.co/RVlhe7786O</t>
  </si>
  <si>
    <t>1334897895485689873</t>
  </si>
  <si>
    <t>Koronavirüs’ü daha çok kişiye taşımamak için toplu taşıma hizmetlerimizi kısıtlıyoruz. https://t.co/Ep12zP8Xp1</t>
  </si>
  <si>
    <t>1334895147616755722</t>
  </si>
  <si>
    <t>Bütün kurumlarımızla seferberlik zamanı. Sağlık çalışanlarının üzerindeki yükü azaltalım. Mücadele güç birliği ile kazanılır.</t>
  </si>
  <si>
    <t>1334610358628196354</t>
  </si>
  <si>
    <t>Son bir haftada HATAY’da vaka artışı %100, yoğun bakım doluluk oranı %70, ANTALYA ‘da vaka artışı %100,  yoğun bakım doluluk oranı %71, TRABZON’DA vaka artışı  %50, yoğun bakım doluluk oranı %75, DİYARBAKIR’DA sabit artış var; yoğun bakım doluluk oranı %70.</t>
  </si>
  <si>
    <t>1334610357332172804</t>
  </si>
  <si>
    <t>HATAY, ANTALYA, TRABZON ve DİYARBAKIR İl Sağlık Müdürleriyle ayrı ayrı yaptığımız online toplantılarda, bu illerin durumlarını değerlendirdik. Yüksek risk devam ediyor. https://t.co/KUnUz8AlyA</t>
  </si>
  <si>
    <t>1334610355075551232</t>
  </si>
  <si>
    <t>Sevdiklerimizle aramıza mesafeler girmesin diye cadde ve meydanlarda sayımızı azaltıyor, mesafeyi artırıyoruz. https://t.co/YfVAbojLWm</t>
  </si>
  <si>
    <t>1334599612955561986</t>
  </si>
  <si>
    <t>Salgının etkisini en kısa sürede azaltabilmek için evlerde buluşmaya bir süre ara veriyoruz. https://t.co/qpPY79SPLP</t>
  </si>
  <si>
    <t>1334598401888030725</t>
  </si>
  <si>
    <t>Bizi insan yapan, duyularımızdan öte duygularımızdır. Sabır, inanç, kararlılık gibi en asil duygularla hayatı engelsiz yaşayan vatandaşlarımızı Engelliler Günü münasebetiyle saygıyla selamlıyorum. https://t.co/V3jqSjKRtO</t>
  </si>
  <si>
    <t>1334542601475776517</t>
  </si>
  <si>
    <t>Bugün tespit edilen 6.511 yeni hastamız var. Hasta sayımızı azaltmak zorundayız. Kapalı ve kalabalık ortamlar virüsün en kolay bulaştığı ortamlardır. Kış aylarını kalabalık ve kapalı ortamlardan uzak durarak geçirmeliyiz. Mücadele evde kalarak da mümkün. https://t.co/RVlhe7786O</t>
  </si>
  <si>
    <t>1334535826756300802</t>
  </si>
  <si>
    <t>RT @RTErdogan: BM Genel Kurulu Kovid-19’la Mücadele Özel Oturumu https://t.co/9u2hMMoYTk</t>
  </si>
  <si>
    <t>1334506856321077248</t>
  </si>
  <si>
    <t>Beyaz tulumlarınızdan dolayı yüzlerinizi göremesek de o kocaman yüreklerinizi milletçe görüyor ve biliyoruz. Minnettarız... https://t.co/M1VIb252sy</t>
  </si>
  <si>
    <t>1334469829475098625</t>
  </si>
  <si>
    <t>Son iki haftada İZMİR ve KONYA’DA %50 vaka artışı, ADANA, SAMSUN ve ORDU’DA %100 vaka artışı var. Başta İZMİR, ADANA ve SAMSUN olmak üzere bu illerimizde hastanelerimiz ve sağlık personelimiz büyük bir yükün altında. Salgınla mücadelede fedakarlık sınavımız devam ediyor.</t>
  </si>
  <si>
    <t>1334267051188301825</t>
  </si>
  <si>
    <t>İZMİR, ADANA, SAMSUN, BURSA, ORDU, GAZİANTEP ve KONYA İl Sağlık Müdürlerimizle online görüşmemizi tekrarladık. Bu illerimizde salgının seyrini yakından takip ediyoruz. https://t.co/t6wn2jDIDI</t>
  </si>
  <si>
    <t>1334267048764051460</t>
  </si>
  <si>
    <t>Ülke olarak aşılama çalışmalarına önceden hazırlıklı olma gayretindeyiz. Bilim Kurulumuz aşılama stratejisi üzerinde çalışmalarını yürütüyor. Planlamalarımızı yaptık. https://t.co/K5FuFhDfQI</t>
  </si>
  <si>
    <t>1334230296099745794</t>
  </si>
  <si>
    <t>Salgınla aramıza mesafe koymak için pazar ve AVM’lerde kalabalığa karışmıyoruz. https://t.co/fXgRVqaRPv</t>
  </si>
  <si>
    <t>1334201940301975552</t>
  </si>
  <si>
    <t>Bugün tespit edilen 6.690 yeni hastamız var. Mevsim şartları nedeniyle kapalı ortamların kullanımı arttı. Artan aktif hasta sayısını azaltmak için kalabalık, kapalı ve yeterince havalandırılmayan ortamlardan uzak durmalıyız. https://t.co/RVlhe7786O</t>
  </si>
  <si>
    <t>1334170473563910146</t>
  </si>
  <si>
    <t>Duygularımızı rahatça paylaşabileceğimiz günler için cenaze ve nikâhlarda 30 kişiyi geçmiyoruz. https://t.co/rme4nw6deB</t>
  </si>
  <si>
    <t>1334147064586964996</t>
  </si>
  <si>
    <t>Salgının seyrini değiştirmesini ümit ettiğimiz aşı için sözleşme imzalandı. Hedefimiz Aralık ayında hızla aşılamaya başlamak. Önce sağlık çalışanlarımız aşılanacak. https://t.co/zdIKZ78Xyd</t>
  </si>
  <si>
    <t>1333889937633120256</t>
  </si>
  <si>
    <t>Amacımız hayatı değil, salgını kısıtlamak. https://t.co/UqVKQdDYBe</t>
  </si>
  <si>
    <t>1333885349534294019</t>
  </si>
  <si>
    <t>Salgının yayılımını azaltmak zorundayız. Bu yüzden zorunlu olmadıkça dışarı çıkmıyoruz. https://t.co/C6YKQbTiOn</t>
  </si>
  <si>
    <t>1333882857329221633</t>
  </si>
  <si>
    <t>Bugün TBMM’de milletvekillerimizle bir araya geldik. Memleketimizin sağlık politikaları ve yatırımlarımız üzerine istişarelerde bulunduk. Vatandaşlarımızın vekillerimiz aracılığıyla ilettiği talepleri değerlendirdik. https://t.co/cFXk3ff8HE</t>
  </si>
  <si>
    <t>1333860924785127460</t>
  </si>
  <si>
    <t>Bugün tespit edilen 6.101 yeni hastamız var. İyileşen hasta sayımız yeni hasta sayımızı geçmedikçe sağlık sisteminin yükü artmaya devam ediyor. İster zorunlu olsun isterse gönüllü tedbirlerin hayat kurtardığını unutmayalım. Tedbirlere uyalım. https://t.co/RVlhe7oIYm</t>
  </si>
  <si>
    <t>1333802905585926146</t>
  </si>
  <si>
    <t>Bilim Kurulumuzun tavsiyelerinin değerlendirildiği Kabine Toplantısı’nın ardından Sayın Cumhurbaşkanımız, Koronavirüs’le mücadelede yeni tedbirleri açıkladı. Bu tedbirlere milletçe uymak, hem zorunluluğumuz hem de sorumluluğumuzdur. Mücadeleyi ancak birlikte kazanabiliriz. https://t.co/gvGllYWMjN</t>
  </si>
  <si>
    <t>1333520234611957761</t>
  </si>
  <si>
    <t>Tez canlı davranır, işimize yetişme telaşıyla kalabalık demeden OTOBÜSE binersek, işimize bir daha ulaşamayacağımız bir yolculuğa çıkabiliriz. Anlık bir ihmalin nelere yol açtığını görelim. Tedbir kişisel sağlığımızın güvencesi olduğu kadar toplumsal sorumluluğumuz da. https://t.co/KsEso5fqbM</t>
  </si>
  <si>
    <t>1333492651803467778</t>
  </si>
  <si>
    <t>Salgınla mücadele silahlarımız belli: Temizlik, maske ve mesafe. Toplumun sağlığını korumak için bazı tedbirleri almak zorundayız. Tedbirlere birlikte uyarsak zorunlu kısıtlamalardan daha kısa sürede kurtuluruz. Kısıtlamalara tam uyum gösterelim.</t>
  </si>
  <si>
    <t>1333481025213767680</t>
  </si>
  <si>
    <t>Bugün tespit edilen 6.514 yeni hastamız var. Daha sıkı korunma ve daha sıkı tedbire ihtiyacımız var. Mücadeleyi birlikte sürdürmek zorundayız. Tedbirlere uyarak mücadeleye destek olun. https://t.co/RVlhe7786O</t>
  </si>
  <si>
    <t>1333465836204462083</t>
  </si>
  <si>
    <t>RT @RTErdogan: Kabine Toplantısı Sonrası Millete Sesleniş https://t.co/JLUJPTIz64</t>
  </si>
  <si>
    <t>1333455226687401986</t>
  </si>
  <si>
    <t>HAFİFE ALMA.
Bugün virüsü hafife alır ve eski normallerimizden vazgeçmezsek, yarın çok pişman olabiliriz. Tedbir hem sağlığımızın hem de sosyal hayatımızın güvencesidir. https://t.co/fkVMpJt45a</t>
  </si>
  <si>
    <t>1333288137699831809</t>
  </si>
  <si>
    <t>Bugün 6.439 yeni hastamız var. Ağır hasta sayısı artmaya devam ediyor. Bu yükü başarıyla göğüsleyen sağlık çalışanlarımıza destek olun. Tedbirlere daha sıkı uyarak mücadeleye güç katın. https://t.co/RVlhe7786O</t>
  </si>
  <si>
    <t>1333091828049059847</t>
  </si>
  <si>
    <t>COVID-19 aşısı ile ilgili ilk anlaşmaları yaptık. Alternatif üreticilerle de görüşmelerimiz devam ediyor. Daha önce de açıkladığım gibi BEDELSİZ olarak, sağlık çalışanlarımızdan başlayarak, kademeli bir şekilde aşı yapmayı planlıyoruz. Devletimiz vatandaşının yanındadır. https://t.co/mj5fTssPtU</t>
  </si>
  <si>
    <t>1332776645720231937</t>
  </si>
  <si>
    <t>Bugün eski normallerle aramıza mesafe koymazsak, yarın en sevdiklerimizle aramıza istemediğimiz mesafeler girebilir. Maske, mesafe ve temizlik tedbirleri sağlığımızın ve sosyal hayatımızın en büyük güvencesidir. https://t.co/PkmetQnV1S</t>
  </si>
  <si>
    <t>1332761253283057667</t>
  </si>
  <si>
    <t>İstanbul'da Sağlık yöneticilerimizle haftalık değerlendirme toplantımızı gerçekleştirdik. Pandemi yönetimi ve sağlık hizmetlerimizin durumunu gözden geçirdik. İSTANBUL'DA AĞIR HASTA ARTIŞI VAR; RİSK DEVAM EDİYOR. Kısıtlama olmayan zamanları da, mecbur olmadıkça evde geçirelim. https://t.co/7wLvxEdNNs</t>
  </si>
  <si>
    <t>1332752383357689858</t>
  </si>
  <si>
    <t>PROF. DR. FERİHA ÖZ ve PROF. DR. MURAT DİLMENER Acil Durum Hastanelerimizin üstlendiği yükü ve yatan hastalarımızın durumunu yerinde değerlendirdik. Artan ağır hastaların takibinde üstlendikleri sorumluluk, İstanbul’da pandemi kontrolünde büyük yer tutuyor. https://t.co/mDsJuzwTnK</t>
  </si>
  <si>
    <t>1332745782815039490</t>
  </si>
  <si>
    <t>Bugün tespit edilen 4.903 ağır hastamız var. Sağlık ordumuz ağır yük altında. Her birimiz tedbirlere uymakla mesulüz. Bu kişisel bir tercih değil, toplumsal bir zorunluluktur. https://t.co/RVlhe7786O</t>
  </si>
  <si>
    <t>1332720542084894720</t>
  </si>
  <si>
    <t>Hatırlı kahvelerin yerini acı hatıralar alabilir. Dostlarınıza açtığınız kapıdan GÖRÜNMEZ MİSAFİR girebilir. En güvenilir yer evinizdir. Riski evinize davet etmeyin ve ailenizi koruyun. https://t.co/nVWGEiR3Wx</t>
  </si>
  <si>
    <t>1332707904810590208</t>
  </si>
  <si>
    <t>Gen tedavisi uygulama prosedürünün bir parçası olarak en az 1 ay süreyle bağışıklık sisteminin baskılanması gerekmekte, özellikle kilosu yüksek olan bazı hastalarda bu süreç 1 yıla kadar uzayabilmektedir. SMA Bilim Kurulu, her ay toplanıyor, STK’lar ve aileler bilgilendiriliyor.</t>
  </si>
  <si>
    <t>1332665123643813890</t>
  </si>
  <si>
    <t>SMA Bilim Kurulu, hastalığın tedavisi olmadığı, 2 yaşına kadar gen tedavisi almazsa öleceği hakkındaki iddiaların asılsız olduğunu belirtti. Başvuru süreci tamamlanan SMA hastaları etkinliği ve yan etkileri bilinen, ülkemizde başarı ile uygulanan tedaviden halen faydalanmaktadır.</t>
  </si>
  <si>
    <t>1332665122112876545</t>
  </si>
  <si>
    <t>Bakanlığımızca düzenlenen SMA Hastalığında Güncel Tedaviler Çalıştayı’na SMA Bilim Kurulu üyeleri, Bakanlık yetkilileri, SMA dernekleri katıldı. SMA Bilim Kurulu, SMA ilaçlarıyla ve son dönemde gündeme gelen muhtemel gen tedavisiyle ilgili güncel bilimsel çalışmalara değindiler.</t>
  </si>
  <si>
    <t>1332665120615501824</t>
  </si>
  <si>
    <t>Kontrollü Sosyal Hayat'ın amacı kurallar dahilinde hayatın normal akışını devam ettirmektir. Ancak artan vaka sayıları bu hafta sonu da 20.00-10.00 saatleri arasında kısıtlama uygulamasını zorunlu kıldı. Mecbur değilsek kısıtlamaların olmadığı zamanları da evimizde geçirelim. https://t.co/aiNcB1FOsD</t>
  </si>
  <si>
    <t>1332434466309091329</t>
  </si>
  <si>
    <t>DÜĞÜNLER gibi büyük kalabalıklar, katılan herkesin sağlığı için büyük bir tehdittir. Her ihmal virüse bir davetiye çıkarmaktır. https://t.co/sbXrl9paAN</t>
  </si>
  <si>
    <t>1332386692452524032</t>
  </si>
  <si>
    <t>Bugün tespit edilen 6.592 yeni hastamız var. Ağır hasta sayımız 5.000’e yaklaştı. Kayıplarımız artıyor. Tedbirlere sıkı uyarsak kısıtlama olmadan da mücadele edebiliriz. Yoksa kısıtlamalar kaçınılmaz olur. En güvenli yer evimizdir. https://t.co/RVlhe7786O</t>
  </si>
  <si>
    <t>1332363477378355203</t>
  </si>
  <si>
    <t>Vakalar Tokat, Tekirdağ, Adana, Mersin ve Sakarya'da iki haftada %100, Erzurum'da ise %50 artış gösterdi. Tedbirlerden verdiğimiz her taviz, salgınla mücadeleyi zorlaştırıyor. Tedbirin olmadığı yerde tehdit devam ediyor.</t>
  </si>
  <si>
    <t>1332343639645843456</t>
  </si>
  <si>
    <t>Adana, Mersin, Sakarya, Tokat, Tekirdağ ve Erzurum Sağlık Müdürleri ile yaptığımız online toplantıda, salgının bu illerimizdeki seyri, temaslı takibi, hasta yükü ve vaka artışları üzerinde durduk. https://t.co/T1C3wrgn1i</t>
  </si>
  <si>
    <t>1332343637515100162</t>
  </si>
  <si>
    <t>Samsun, İzmir, Denizli, Balıkesir ve Çorum İl Sağlık Müdürleriyle online toplantıda salgın seyrini ele aldık. Samsun’da vaka artıyor. Samsun, Çorum ve İzmir’de ilaç kullanımı düşük. Vaka sayısına oranla hastaneye yatışlar gittikçe artıyor. Fedakarlık sınavımız devam ediyor. https://t.co/3ophGyWR52</t>
  </si>
  <si>
    <t>1332060380282155008</t>
  </si>
  <si>
    <t>Zorunlu karantina tedbirlerine uymamak, temas ettiğimiz herkesi riske atmak demektir. Tedbirlere harfiyen uymak ise kendimize, sevdiklerimize ve ülkemize karşı vicdani sorumluluğumuzdur. https://t.co/PKvulLcIoF</t>
  </si>
  <si>
    <t>1332031918242611202</t>
  </si>
  <si>
    <t>COVID-19’a karşı aşı geliştirme çalışmaları yarışında biz de varız.
TÜSEB desteği ile Erciyes Üniversitesi’nde geliştirilen COVID-19 aşı çalışmaları planlanan takvime uygun olarak devam ediyor. Milli aşı adayının gönüllülere ikinci doz uygulaması bugün başladı. Umutluyuz.</t>
  </si>
  <si>
    <t>1332015007987617792</t>
  </si>
  <si>
    <t>Hastaneye yatan, yoğun bakıma geçişi olan, cihaza bağlanan ve erken dönemde kaybetmek durumunda kaldığımız hastaların önemli kısmı, erken dönemde ilacını almayan kişiler olduğunu bilelim. https://t.co/89TstovqTL</t>
  </si>
  <si>
    <t>1332002148075397121</t>
  </si>
  <si>
    <t>Bugün tespit edilen 6.876 yeni hastamız var. Aktif hasta sayımız artıyor. Salgının seyri kadar bizim tedbirlere uyumumuz da kısıtlamalar konusunda belirleyici olacak. Tedbirlere uyarsak kısıtlamalara gerek kalmaz. Birlikte mücadele edersek başarabiliriz. https://t.co/RVlhe7786O</t>
  </si>
  <si>
    <t>1331994263287197696</t>
  </si>
  <si>
    <t>Dünyada tüm aşı platformalarında aşı geliştirmeye çalışan ender ülkelerden biriyiz. Aşı Değerlendirme Komisyonu'nun onayını alan tüm bilim insanlarımızı ayrım yapmaksızın destekliyoruz. Nisanda ilk yerli COVID-19 aşımıza kavuşmayı ümit ediyoruz. https://t.co/2IPVQcIoLx</t>
  </si>
  <si>
    <t>1331946958303481856</t>
  </si>
  <si>
    <t>Vakalarla ve temaslılarla ilgili her türlü bilgi sistemimizde kayıtlıdır. HES kodu sorgulaması ile, toplu nüfusla muhatap olan tüm kurumlarımız bu sisteme erişebilmektedir. https://t.co/8sS7vgtMO9</t>
  </si>
  <si>
    <t>1331943160818376704</t>
  </si>
  <si>
    <t>Salgın döneminde özellikle yöneticilerimizin yapacağı çok iş var. Salgınla mücadelede herkes üzerine düşeni yapmalı, icraate odaklanmalı. https://t.co/JRdgd1pTmK</t>
  </si>
  <si>
    <t>1331714745506947077</t>
  </si>
  <si>
    <t>Şiddet: İnsan olma hasletlerini reddetmektir. Kadına şiddet, bu acziyetin en belirgin göstergesidir. Her türlüsüyle mücadele etmeliyiz. https://t.co/7r1vdILAfJ</t>
  </si>
  <si>
    <t>1331704221733883904</t>
  </si>
  <si>
    <t>Hiç kimse kendini mücadele sorumluluğu taşımaktan uzak görmesin. https://t.co/7cGczzoK0k</t>
  </si>
  <si>
    <t>1331703242833743874</t>
  </si>
  <si>
    <t>Dönem birlikte mücadele etme dönemidir. Bu kadar ciddi bir durum varken, mazeret üretmeksizin sorumluluğumuzu bilmek, tedbirleri almak, üzerimize düşen görevleri hakkıyla yapmak zamanıdır. https://t.co/KpAY36U00h</t>
  </si>
  <si>
    <t>1331695744588378126</t>
  </si>
  <si>
    <t>Bilim Kurulu Toplantımızın ardından Koronavirüs ile ilgili son gelişmelere ilişkin basın açıklamamız.
📍Sağlık Bakanlığı
https://t.co/m3qlG4DEsH</t>
  </si>
  <si>
    <t>1331640994626940931</t>
  </si>
  <si>
    <t>Temmuz 2020’de ruhsat verdiğimiz, antijen üretimi dahil tamamen yerli Tetanos-Difteri aşısının ilk kısmı bugün Bakanlığımızca kullanıma alındı. Yerlileşme politikası çerçevesinde başlattığımız yerli aşı üretimine yönelik süreç yeni müjdelerle devam edecektir. https://t.co/TuaHWpRzQw</t>
  </si>
  <si>
    <t>1331520584539312128</t>
  </si>
  <si>
    <t>Bursa, Kocaeli ve Gaziantep'te belirgin artış var. Bu illerimizde daha gayretli, daha titiz bir çalışma gerekiyor. Desteğinizin önemi artmış durumda. Mücadelemize desteğinizle güç verin.</t>
  </si>
  <si>
    <t>1331373836185505792</t>
  </si>
  <si>
    <t>Bursa, Gaziantep, Kocaeli, Tekirdağ, Malatya ve Ordu İl Sağlık Müdürleriyle yaptığımız online toplantıda; salgın seyrini, hizmet kapasitemizi ve filyasyon ekiplerimizin performansını gözden geçirdik. Ek tedbirleri ele aldık. https://t.co/Li6j2ehd8t</t>
  </si>
  <si>
    <t>1331373833903878145</t>
  </si>
  <si>
    <t>Bugün eski normallerimize mesafe koymazsak yarın sevdiklerimizle aramıza hiç kapanmayacak mesafeler girebilir. Maske, mesafe ve temizlik kurallarına uymak kendimize, sevdiklerimize ve ülkemize karşı vicdani sorumluluğumuzdur. Sağlığımızın ve sosyal hayatımızın güvencesi budur. https://t.co/FQX9WqEkd3</t>
  </si>
  <si>
    <t>1331295453019856899</t>
  </si>
  <si>
    <t>Bugün tespit edilen 7.381 yeni hastamız var. Ağır hasta sayımız 4.543’e ulaştı. Salgının seyrini değiştirmek elimizde. Aldığımız tedbir ve kısıtlamaların daha iyi ve hızlı netice vermesi için desteğiniz şart. Zorunlu olmadıkça kalabalıklardan uzak durun. https://t.co/RVlhe7786O</t>
  </si>
  <si>
    <t>1331277086913392640</t>
  </si>
  <si>
    <t>Ne zorluk bildiniz ne mesafe tanıdınız, zorlu pandemi sürecinde bile bilimin meşalesini gururla taşıdınız. Siz değerli öğretmenlerimizin Öğretmenler Günü’nü bütün kalbimle kutluyorum. https://t.co/zWeyyXHIMr</t>
  </si>
  <si>
    <t>1331226089658724353</t>
  </si>
  <si>
    <t>Bakanlığımız; 7.000’i hemşire, 1.700’ü ebe ve 2.864’ü sağlık teknikeri/teknisyeni, 14 branşta 12 bin sağlık personeli alacak. Tercih Kılavuzunun yayınlanmasını müteakip mülakatsız atama yapılacak. Pandemi mücadelemizin bu zor günlerinde, atamalar bize güç katacaktır. https://t.co/po5ISU7BBk</t>
  </si>
  <si>
    <t>1331108580452421634</t>
  </si>
  <si>
    <t>Şanlıurfa, Ankara, Adana, Konya, Manisa, Kayseri, Sakarya, Samsun, Antalya, Diyarbakır sağlık müdürlerimizle yaptığımız video konferans toplantılarında, salgınla mücadelede bulunduğumuz noktayı, sağlık çalışanlarımızın ihtiyaçlarını ele aldık. Desteğinizin önemi artmış durumda. https://t.co/yqUPVQh6fc</t>
  </si>
  <si>
    <t>1330955392751431687</t>
  </si>
  <si>
    <t>Bugün eski normallerimize mesafe koymazsak yarın sevdiklerimizle aramıza hiç kapanmayacak mesafeler girebilir. Maske, mesafe ve temizlik kurallarına uymak kendimize, sevdiklerimize ve ülkemize karşı vicdani sorumluluğumuzdur. Sağlığımızın ve sosyal hayatımızın güvencesi budur. https://t.co/UKDu9gRknK</t>
  </si>
  <si>
    <t>1330944847897833475</t>
  </si>
  <si>
    <t>Salgınla mücadelede toplum olarak bir fedakârlık sınavındayız. Sadece bugünkü yeni hasta sayımız 6.713. Dışarı çıkmak için mecburiyetiniz yoksa evde kalın. Sizin evde geçirdiğiniz zaman arttıkça bizim mücadele gücümüz artacak. Yayılımı durdurmak için en iyi tedbir evinizdir. https://t.co/Z5nsu04HMd</t>
  </si>
  <si>
    <t>1330927910325252097</t>
  </si>
  <si>
    <t>Bugün tespit edilen 6.713 yeni hastamız var. Aşı kullanıma girene kadar, salgının yayılma hızını kontrol altında tutmaya devam edebilmek için destek verin. Tedbirlere uyun. Maske takın. Temizliğe dikkat edin. Zorunlu olmadıkça kalabalık ortamlara girmeyin. https://t.co/RVlhe7786O</t>
  </si>
  <si>
    <t>1330919266221248518</t>
  </si>
  <si>
    <t>TÜSEB desteğiyle Erciyes Üniversitesi’nde geliştirilen COVID-19 aşısının Faz-I çalışmasında 44 gönüllüye aşı uygulandı. Şu ana kadar ciddi bir yan etki görülmedi. İkinci doz aşılama 26 Kasım-14 Aralık tarihleri arasında yapılacak. Güzel haberlerini vereceğim 15 aşı adayı daha var</t>
  </si>
  <si>
    <t>1330902182250614785</t>
  </si>
  <si>
    <t>Salgınla mücadelede toplum olarak bir fedakârlık sınavındayız. Sadece dünkü yeni hasta sayımız 6.017. Dışarı çıkmak için mecburiyetiniz yoksa evde kalın. Sizin evde geçirdiğiniz zaman arttıkça bizim mücadele gücümüz artacak. Yayılımı durdurmak için en iyi tedbir evinizdir. https://t.co/leZpJE7rtW</t>
  </si>
  <si>
    <t>1330862767352532999</t>
  </si>
  <si>
    <t>Bir fedakârlık sınavındayız. Mecburiyet yoksa evden çıkmayın.</t>
  </si>
  <si>
    <t>1330830898145726466</t>
  </si>
  <si>
    <t>Fatih Altaylı ve topluma her zaman ışık tutan değerli bilim insanlarımıza, maske takarak ve mesafeye dikkat ederek programa katıldıkları için teşekkür ediyorum. https://t.co/U1yKRWvDQq</t>
  </si>
  <si>
    <t>1330610943542390791</t>
  </si>
  <si>
    <t>Salgınla mücadelede bir fedakârlık sınavındayız. Sadece bugünkü yeni hasta sayımız 6.000’in üzerinde. Kısıt olmayan zamanlarda da, mecburiyetiniz yoksa evde kalın. Evde geçen zaman arttıkça mücadele gücümüz artacak. En iyi tedbir evimizdir. #bizevdeyiz https://t.co/UyCLRVck2R</t>
  </si>
  <si>
    <t>1330578806512508928</t>
  </si>
  <si>
    <t>Salgınla mücadelede bir fedakârlık sınavındayız. Sadece bugünkü yeni hasta sayımız 6.000’in üzerinde. Kısıt olmayan zamanlarda da, mecburiyetiniz yoksa evde kalın. Evde geçen zaman arttıkça mücadele gücümüz artacak. En iyi tedbir evimizdir. #bizevdeyiz https://t.co/pZ33019W0k</t>
  </si>
  <si>
    <t>1330572256657944577</t>
  </si>
  <si>
    <t>Bugün tespit edilen 6.017 hastamız var. Tedbirler ve kısıtlamaların yakın zamanda netice vermesi için kurallara sıkı sıkıya uymalıyız. Salgınla mücadelenin yöntemi asırlardır değişmedi: el Temizliği, Maske ve Mesafe. Sevdiklerimiz için tedbirlere uyalım. https://t.co/RVlhe7786O</t>
  </si>
  <si>
    <t>1330553537475059712</t>
  </si>
  <si>
    <t>22 Kasım, Dünya Diş Hekimleri Günü. İçinde bulunduğumuz haftaysa Ağız Diş Sağlığı Haftası. Salgın döneminde risk alma pahasına hastalarıyla yakından ilgilenmeye devam eden, birçoğu yanımızda olan diş hekimlerimizi kutluyoruz. Fedakârlıkları için de kendilerine şükran borçluyuz.</t>
  </si>
  <si>
    <t>1330515734250786816</t>
  </si>
  <si>
    <t>Bugün Pazar. Yakınlarımızla, aile büyüklerimizle görüşmek için mümkünse teknolojiden yararlanalım. Büyüklerimizi ziyaret etmek yerine, görüntülü konuşalım. Sevdiklerimizle ekran başında bir araya gelelim. Sizin evde geçirdiğiniz zaman arttıkça bizim mücadele gücümüz artacak. https://t.co/fRtvybBAwM</t>
  </si>
  <si>
    <t>1330476212578381827</t>
  </si>
  <si>
    <t>Sizin evde geçirdiğiniz zaman arttıkça bizim mücadele gücümüz artacak.</t>
  </si>
  <si>
    <t>1330468582598316033</t>
  </si>
  <si>
    <t>En iyi tedbir evimizdir.</t>
  </si>
  <si>
    <t>1330451368486854659</t>
  </si>
  <si>
    <t>Bugün eski normallerimize mesafe koymazsak yarın sevdiklerimizle aramıza hiç kapanmayacak mesafeler girebilir. Maske, mesafe ve temizlik kurallarına uymak kendimize, sevdiklerimize ve ülkemize karşı vicdani sorumluluğumuzdur. Sağlığımızın ve sosyal hayatımızın güvencesi budur. https://t.co/Chqdrc3bGl</t>
  </si>
  <si>
    <t>1330241500781932549</t>
  </si>
  <si>
    <t>Salgınla mücadelede bir fedakârlık sınavındayız. Sadece bir gündeki yeni hasta sayımız 5.000’in üzerinde. Kısıt olmayan zamanlarda da, mecburiyetiniz yoksa, evde kalın. Evde geçen zaman arttıkça mücadele gücümüz de artacak. En iyi tedbir evimizdir. https://t.co/M3Fq8N9sZw</t>
  </si>
  <si>
    <t>1330224845427257346</t>
  </si>
  <si>
    <t>Salgınla mücadelede bir fedakârlık sınavındayız. Sadece bir gündeki yeni hasta sayımız 5.000’in üzerinde. Kısıt olmayan zamanlarda da, mecburiyetiniz yoksa, evde kalın. Evde geçen zaman arttıkça mücadele gücümüz de artacak. En iyi tedbir evimizdir. https://t.co/oNqfOHcnjH</t>
  </si>
  <si>
    <t>1330220211212083200</t>
  </si>
  <si>
    <t>İSTANBUL sağlık yöneticileriyle yaptığımız değerlendirmede, çabalarımızın sonuç vermeye başladığını gördük. Artan test sayıları, filyasyon hızı, sağlık çalışanlarının yoğun emeği ve tedbirlere gösterilen uyumla daha iyi bir noktadayız. Artış kontrol altında. Süreç hepimize bağlı. https://t.co/niiBueGeVf</t>
  </si>
  <si>
    <t>1330201666679877639</t>
  </si>
  <si>
    <t>En iyi tedbir evimizdir. Evde geçen zaman arttıkça salgınla mücadele gücümüz de artacak. Ben işimin başında olmak zorundayım. Sizden evde olduğunuzu gösteren fotoğraf ve videoları bekliyoruz. #bizevdeyiz https://t.co/ZNapMn4r22</t>
  </si>
  <si>
    <t>1330193834681249796</t>
  </si>
  <si>
    <t>Bugün tespit edilen 5.532 yeni hasta var. Ağır hasta sayımız da kayıplarımız da can yakıyor. Kayıplarımızı azaltacak olan kurallara ve tedbirlere canla başla uymaktır. Mücadelenin gücü birlik olmak. Güç verin. https://t.co/RVlhe7786O</t>
  </si>
  <si>
    <t>1330186573003055104</t>
  </si>
  <si>
    <t>AKŞAM 20.00’DE EVDE OLALIM. Kısıtlama başlıyor. Evde olmak, ailece zaman geçirmek için fırsat, salgınla mücadele eden sağlık çalışanlarımıza karşı ise bir sorumluluk. Sizin evde geçirdiğiniz zaman arttıkça bizim mücadele gücümüz artacak.</t>
  </si>
  <si>
    <t>1330172396523950085</t>
  </si>
  <si>
    <t>Ağır hasta sayısı 4 ayda 8 kat arttı. Bir gündeki yeni hasta sayımız, 5.000’in üzerinde. Dünkü can kaybımız, 141. Mücadeleden daha az yara, daha az acıyla çıkmak için, zorunlu tedbirlere kendi tercihimizi eklemeliyiz. EN İYİ TEDBİR EVİMİZDİR. Mecburiyet yoksa dışarı çıkmayın.</t>
  </si>
  <si>
    <t>1330122916739080192</t>
  </si>
  <si>
    <t>SEVGİLİ GENÇLER. 13.00-16.00 arası evde kalmak yerine, çıkmayı tercih etmişseniz, kurallara eskisiyle kıyaslanmayacak kadar çok dikkat edin. Dışarıda 3 saat yerine, daha az zaman geçirirseniz bu hepimiz için daha iyi. (Gençler mesajı aldı. Biz yine de telefon edip, hatırlatalım.)</t>
  </si>
  <si>
    <t>1330114097208307712</t>
  </si>
  <si>
    <t>DEĞERLİ BÜYÜKLERİMİZ. 10.00-13.00 arası evde olmak yerine, dışarıda olmayı tercih etmişseniz, kurallara eskisiyle kıyaslanmayacak kadar çok dikkat edin. Dışarıda 3 saat yerine, daha az zaman geçirirseniz bu sizin için daha iyi. (Büyüklerimize telefon edelim, MESAJ YERİNİ BULSUN.)</t>
  </si>
  <si>
    <t>1330066788722368514</t>
  </si>
  <si>
    <t>Sağlık çalışanlarımız, COVID-19’a karşı gerçek bir savaş veriyor. Hiç aralıksız! Sadece dün 5.103 yeni hastamız vardı. Doktordan hemşireye, laboranttan ambulans şoförüne, hepimizin yükü fazlasıyla ağırlaştı. Kısıtlamalara lütfen uyun. Salgını geriletmek için, bize fırsat tanıyın. https://t.co/f7qm68DekA</t>
  </si>
  <si>
    <t>1329900011023429632</t>
  </si>
  <si>
    <t>Prof. Dr. Asım Cenani’yi kaybettik. Cerrahpaşa Tıp Fakültesi’nde, Çocuk Hastalıkları uzmanlık eğitimim sırasında öğrencilerinden biri olma onuruna kavuşmuştum. Genetik ve Tıbbi Biyoloji alanında öncü kabul ediliyordu. Kendisine Allah’tan rahmet, yakınlarına başsağlığı diliyorum.</t>
  </si>
  <si>
    <t>1329895876236554241</t>
  </si>
  <si>
    <t>Ülkemizde Faz-3 çalışmalarına 15 Eylülde başlanan, Çin’de geliştirilmiş COVID-19 AŞISI, ilkin gönüllü sağlık çalışanlarına uygulanmıştı. Çalışmaların devamı için bu sabah sizlerden gönüllü aradığımızı duyurduk. Gün bitmeden 20 BİN başvuru aldık. 83 MİLYON ADINA BİNLERCE TEŞEKKÜR.</t>
  </si>
  <si>
    <t>1329878240002011137</t>
  </si>
  <si>
    <t>İZMİR, BURSA, KOCAELİ, GAZİANTEP, KAHRAMANMARAŞ, DENİZLİ, SİVAS il sağlık müdürleriyle yaptığımız video konferans görüşmelerinde, salgının son durumunu, yeni kısıtlamalardan beklenen sonuçları, ek tedbirleri ele aldık. Hasta yükümüzü ve filyasyon çalışmalarımızı gözden geçirdik. https://t.co/O4tQvxrmBs</t>
  </si>
  <si>
    <t>1329840079712514049</t>
  </si>
  <si>
    <t>Bugün eski normallerimize mesafe koymazsak yarın sevdiklerimizle aramıza hiç kapanmayacak mesafeler girebilir. Maske, mesafe ve temizlik kurallarına uymak kendimize, sevdiklerimize ve ülkemize karşı vicdani sorumluluğumuzdur. Sağlığımızın ve sosyal hayatımızın güvencesi budur. https://t.co/2oP8dVIqi1</t>
  </si>
  <si>
    <t>1329832498403143681</t>
  </si>
  <si>
    <t>Bugün tespit edilen 5.103 yeni hastamız var. Ağır hasta sayımız 4.000’e yaklaştı. Salgınla mücadelede yeniden kısıtlamalar uygulamak zorunda kaldık. Birlikte tedbirlere uyarsak kendi kısıtlamalarımızı kendimiz koyarsak mücadele daha kolay olacak. Güç verin https://t.co/RVlhe7786O</t>
  </si>
  <si>
    <t>1329821505568567296</t>
  </si>
  <si>
    <t>HAFTA SONU sokağa çıkma sınırlaması yarın başlıyor. Cumartesi saat 20.00'den Pazar sabah 10.00'a kadar. Pazar günü ise akşam 20.00'den Pazartesi sabah 05.00’e kadar. Zorunlu tedbirlere gönüllü tedbirlerle destek olmanızı bekliyoruz. Kendinize ek kısıtlar koyarsanız, seviniriz.</t>
  </si>
  <si>
    <t>1329802035504570368</t>
  </si>
  <si>
    <t>NEDEN BÜYÜKLER? 65 yaş ve üstü büyükler, bir süreliğine, sadece 10.00-13.00 saatleri arasında sokağa çıkabilecek. “Neden herkes değil de, büyükler?” İleri yaşlarda, hastalığa karşı vücut direncimiz azalıyor. Kısıtlama size karşı değil, virüse karşı. Sizi korumamıza yardımcı olun.</t>
  </si>
  <si>
    <t>1329750165901746176</t>
  </si>
  <si>
    <t>DEĞERLİ BÜYÜKLERİMİZ. Bugünlerde sağlığımızı korumamız zorlaştı. COVID-19, biz bir araya geldikçe yayılıyor. Sosyal hareketliliği azaltmak zorundayız. Kısıtlamalar saat 20.00’de başlayacak. 65 yaş ve üzeri, SADECE 10.00-13.00 arası sokağa çıkabilecek. Daha az olursa, seviniriz.</t>
  </si>
  <si>
    <t>1329744421844373504</t>
  </si>
  <si>
    <t>NEDEN GENÇLER? Gençler, bir süreliğine, sadece 13.00-16.00 saatleri arasında sokağa çıkabilecek. “Neden herkes değil de, biz gençler?” Siz fark etmeseniz de, virüsün gençler üzerinden bulaşma ve yayılma potansiyeli çok yüksek. Buna karşı da, fedakârlığınıza çok ihtiyacımız var.</t>
  </si>
  <si>
    <t>1329715421931577347</t>
  </si>
  <si>
    <t>SEVGİLİ GENÇLER. Bugünlerde gençliğini yaşamak da zor. COVID-19, hareketlilik arttıkça yayılıyor. Sosyal hareketliliği azaltmak zorundayız. Kısıtlamalar saat 20.00’de başlayacak. 2001 ve sonrası doğumlular, SADECE 13.00-16.00 arası sokağa çıkabilecek. Daha az olursa, seviniriz.</t>
  </si>
  <si>
    <t>1329708042292760576</t>
  </si>
  <si>
    <t>Bakan arkadaşım Ruhsar Pekcan Hanımefendi’nin kıymetli annesi vefat etti. Başakşehir Çam ve Sakura Şehir Hastanesi’nde durumunu yakından takip ediyorduk. Merhumeye Allah’tan rahmet, Ruhsar Hanımefendi’ye, yakınlarına ve sevenlerine başsağlığı diliyorum. Mekanı cennet olsun.</t>
  </si>
  <si>
    <t>1329541913444298753</t>
  </si>
  <si>
    <t>Bugün eski normallerimize mesafe koymazsak yarın sevdiklerimizle aramıza hiç kapanmayacak mesafeler girebilir. Maske, mesafe ve temizlik kurallarına uymak kendimize, sevdiklerimize ve ülkemize karşı vicdani sorumluluğumuzdur. Sağlığımızın ve sosyal hayatımızın güvencesi budur. https://t.co/M2C6tfFaJi</t>
  </si>
  <si>
    <t>1329491600389644288</t>
  </si>
  <si>
    <t>Bugün tespit edilen 4.542 hastamız var. Ağır hasta sayımız 3.850’ye ulaştı. Tedbirleri kendimiz alırsak, zorunlu kısıtlamalara mecbur kalmayız. Salgının seyrini lehimize çeviremezsek hayatımızın her alanında zorunlu tedbirler olabilir. Mücadeleye katılın. https://t.co/RVlhe7786O</t>
  </si>
  <si>
    <t>1329459210611003393</t>
  </si>
  <si>
    <t>Zorunlu tedbirlere gönüllü tedbirleri ekleyelim. Evde daha fazla zaman geçirelim.</t>
  </si>
  <si>
    <t>1329439079398858752</t>
  </si>
  <si>
    <t>https://t.co/2TXWyHb67h</t>
  </si>
  <si>
    <t>1329424487171887107</t>
  </si>
  <si>
    <t>Salgına karşı zorunlu tedbirler tekrar hayatımızda. Zorunlu tedbirlerin amacı hareketliliği, dolayısıyla hastalığın yayılmasını ve hastanelerin yükünü azaltmaktır. Tedbirlerin amacına gönüllü olarak da destek verelim. Hareketliliği azaltalım. Mümkün olduğu kadar evimizde kalalım.</t>
  </si>
  <si>
    <t>1329363722415054849</t>
  </si>
  <si>
    <t>Salgınla mücadele tedbirleri kapsamında, kalabalık cadde ve sokaklarda sigara içilmesi yasaklandı. Yasağa uyulacağına inanıyoruz. Sigara, sayısız hastalığa yol açıyor. Dışarıda içilmesi, virüsün bulaşmasını kolaylaştırdığı için ayrıca sakıncalı. Maskenizi sigara için çıkarmayın. https://t.co/Ic2X4ChbA8</t>
  </si>
  <si>
    <t>1329164281821220865</t>
  </si>
  <si>
    <t>Bugün tespit edilen 4.215 hasta var. Ağır hasta sayısındaki artış devam ediyor. Virüsün yayılımı bizi zorunlu tedbirler almaya mecbur bırakıyor. Hastalığın yayılımını durdurmak için birlikte hareket etmeliyiz. Tedbirlere birlikte uyarak mücadele güç verin. https://t.co/RVlhe7oIYm</t>
  </si>
  <si>
    <t>1329092382604685315</t>
  </si>
  <si>
    <t>BİR TEK MASKENİN hasta sayılarını ne kadar azalttığı hesaplanabilseydi, maske takmayan kalmazdı. Maskeyle hem kendimizi hem karşımızdakini koruyoruz.</t>
  </si>
  <si>
    <t>1329077421849468930</t>
  </si>
  <si>
    <t>https://t.co/UriHdxLrNT</t>
  </si>
  <si>
    <t>1329062778502586370</t>
  </si>
  <si>
    <t>https://t.co/guYZK0aPum</t>
  </si>
  <si>
    <t>1329062717643173890</t>
  </si>
  <si>
    <t>https://t.co/7MJj9UlN0B</t>
  </si>
  <si>
    <t>1329062664614637574</t>
  </si>
  <si>
    <t>2021 YILI TBMM PLAN VE BÜTÇE KOMİSYONU Bütçe Sunum Toplantısında ekibimle bir sunum yapıyoruz. Sunum toplantısına, hayata geçirilmiş, çalışmaları devam eden ve planlanan yatırımlarla ilgili bilgileri, komisyon üyeleriyle paylaşarak başladık. https://t.co/SiiUyXtZJz</t>
  </si>
  <si>
    <t>1329004038743056384</t>
  </si>
  <si>
    <t>Bugün tespit edilen 3.819 hastamız var. Mücadelenin kritik aktörleri sağlık çalışanlarımız. En kritik savaşçılarımızı güçlü tutmak zorundayız. Tedbirlere uymak hepimiz için bir zorunluluk. Sağlık ordumuzun yanında olduğunuzu gösterin. Mücadeleye güç verin. https://t.co/RVlhe7786O</t>
  </si>
  <si>
    <t>1328751688283541507</t>
  </si>
  <si>
    <t>RT @RTErdogan: Kabine Toplantısı Sonrası Millete Sesleniş https://t.co/3OBRcbL3zS</t>
  </si>
  <si>
    <t>1328737969365250050</t>
  </si>
  <si>
    <t>Bugün tespit edilen 3.316 yeni hastamız var. Ağır hasta sayımız 3.610’a yükseldi. Tedbirlere uymak, birlikte hareket etmek bu mücadelenin en önemli silahıdır. Tedbirlere uyma sorumluluğu hepimize ait. Tedbirlere birlikte uyarak mücadeleye güç verin. https://t.co/RVlhe7786O</t>
  </si>
  <si>
    <t>1328367340224978949</t>
  </si>
  <si>
    <t>Tedbirlere uyarak şartları kolaylaştıralım. Tedbir kısıtlamadan iyidir. Eğer uyarsak!</t>
  </si>
  <si>
    <t>1328356798601027584</t>
  </si>
  <si>
    <t>Virüsün bulaşma yollarını tamamen kapatalım.</t>
  </si>
  <si>
    <t>1328349207661604869</t>
  </si>
  <si>
    <t>Arkadaşlarınızla görüşmek için teknolojiden destek alın. Aynı ortamda bulunarak, risk almayın. Yüz yüze görüşmeleri telefonla da, bilgisayarla da yapmak mümkün. Unutmayın: COVID-19 genç, yaşlı ayırmıyor. https://t.co/6jQ7qc89eL</t>
  </si>
  <si>
    <t>1328326163291365377</t>
  </si>
  <si>
    <t>Maskenin koruyuculuğu, ağzı ve burnu tamamen kapatmasına bağlıdır. Havayla doğrudan temas önlenmelidir. Örneğin, burun açıkta bırakılırsa virüse yoğun şekilde maruz kalmanız mümkün. Virüs yükü arttıkça da hastalık ağırlaşır. Maskenizden tam yararlanın. Hastalığın önünü kesin. https://t.co/6YoohMLU75</t>
  </si>
  <si>
    <t>1328306867081244675</t>
  </si>
  <si>
    <t>Toplantılarınız için mümkünse teknolojiden yararlanın. Yakın günlerde risk alıp almadığını, virüs taşıyıp taşımadığını bilemeyeceğiniz insanlarla zorunluluk dışında aynı ortamı paylaşmayın. Unutmayın: COVID-19 yayılmak için her fırsatı kullanıyor. https://t.co/K4huWEY164</t>
  </si>
  <si>
    <t>1328292200577429511</t>
  </si>
  <si>
    <t>Maskenin koruyuculuğu, ağzı ve burnu tamamen kapatmasına bağlıdır. Havayla doğrudan temas önlenmelidir. Örneğin, burun açıkta bırakılırsa virüse yoğun şekilde maruz kalmanız mümkün. Virüs yükü arttıkça da hastalık ağırlaşır. Maskenizden tam yararlanın. Hastalığın önünü kesin. https://t.co/zIIHGLDjPW</t>
  </si>
  <si>
    <t>1328277739179274240</t>
  </si>
  <si>
    <t>Burnun altına indirilmiş maskenin, yarısı kesilmiş maskeden bir farkı yok. Maskenizi burnu açıkta bırakacak şekilde takarsanız, bir yarısını kullanmış olursunuz. Koronavirüs ağızdan daha çok burun yoluyla, nefes alıp verirken bulaşıyor. Maskenizi sizi koruyacak şekilde kullanın. https://t.co/3JnP5qi72P</t>
  </si>
  <si>
    <t>1328246665543880704</t>
  </si>
  <si>
    <t>Hizmete açılan Lefkoşa Acil Durum Hastanesi 100 yatak kapasitesine, 6 ameliyathaneye, 6 görüntüleme odasına, 64 tek yataklı odaya, 24 yoğun bakım ve 12 acil yatağına sahip. KKTC’nin 37. kuruluş yıl dönümünde Kıbrıs Türklerine hayırlı olsun. https://t.co/AwvJa7a4BI</t>
  </si>
  <si>
    <t>1328092351697461249</t>
  </si>
  <si>
    <t>RT @RTErdogan: Bugün Kuzey Kıbrıs Türk Cumhuriyeti’nde resmî açılışını gerçekleştirdiğimiz Lefkoşa Acil Durum Hastanesi'nin Kıbrıs Türk hal…</t>
  </si>
  <si>
    <t>1328059181312724996</t>
  </si>
  <si>
    <t>Lefkoşa Acil Durum Hastanemiz, Cumhurbaşkanımız Sn. Recep Tayyip Erdoğan ile Kuzey Kıbrıs Türk Cumhuriyeti Cumhurbaşkanı Sn. Ersin Tatar’ın katıldıkları törenle Kuzey Kıbrıs Türk Cumhuriyeti’nin kuruluşunun 37. yıl dönümünde, bugün hizmete açıldı. Kıbrıs Türklerine hayırlı olsun. https://t.co/NcG8NEQMaU</t>
  </si>
  <si>
    <t>1328043897898082306</t>
  </si>
  <si>
    <t>RT @RTErdogan: KKTC Lefkoşa Acil Durum Hastanesi Açılış Töreni https://t.co/IfobhFp4jm</t>
  </si>
  <si>
    <t>1328027778097303564</t>
  </si>
  <si>
    <t>T.C. Sağlık Bakanlığı KKTC Lefkoşa Acil Durum Hastanemizi Kıbrıslı kardeşlerimizin hizmetine açıyoruz. https://t.co/98RZmKDI0m</t>
  </si>
  <si>
    <t>1328024393541324800</t>
  </si>
  <si>
    <t>Sayın Cumhurbaşkanımız ve bakan arkadaşlarımla, Kuzey Kıbrıs Türk Cumhuriyeti’nin kuruluşunun 37. yıl dönümü kutlama programına ve 15 Kasım Cumhuriyet Bayramı için düzenlenen törenlere katıldık. 1571 Osmanlı fethinden itibaren bütün Kıbrıs şehitlerimizi rahmetle anıyorum. https://t.co/QiPToIPVD5</t>
  </si>
  <si>
    <t>1328023702043320328</t>
  </si>
  <si>
    <t>Bugün tespit edilen 3.223 yeni hastamız var. Kayıplarımız günlük 100'e yakın. Sağlık çalışanlarımızın gücünün de sağlık alt yapılarının da kapasitesinin bir sınırı var. Tedbirlere uyarak mücadeleye güç verin. https://t.co/RVlhe7786O</t>
  </si>
  <si>
    <t>1328007811771625473</t>
  </si>
  <si>
    <t>Normalde çözüm bu: Maske + Sosyal Mesafe. Sizce, kurallara uymak ve hayatın düzenini normaline yakın tutmak mı daha iyi, HAYATA SINIR KOYMAK mı? Tercihimizi gözden geçirelim. https://t.co/KYxqI9lNUx</t>
  </si>
  <si>
    <t>1327946611239104513</t>
  </si>
  <si>
    <t>Sevdiklerimizi riskten korumak için teknolojiden yardım alalım. Yüz yüze görüşme telefonla da mümkün. Büyüklerimizi ziyaret etmek yerine, sık sık arayalım. Bir görüşme değilse bile, belki ikisi, bir ziyaret yerine geçer. Unutmayın: Büyükler, kurallara uyanları daima takdir eder. https://t.co/Bc3aJb9CxW</t>
  </si>
  <si>
    <t>1327929892319727616</t>
  </si>
  <si>
    <t>Bugün Pazar. Evinizde, ailenizle zaman geçirin. Başkalarıyla paylaşacağınız mekânlarda risk almayın. Bir mecburiyetiniz yoksa en güzeli bu! Giderek artan COVID-19 riskine karşı, kuralların geçersiz olduğu tek yer eviniz. Özgür bir Pazarımız diyenlere çok teşekkür ederiz. https://t.co/uA14XQTkXS</t>
  </si>
  <si>
    <t>1327911252526510081</t>
  </si>
  <si>
    <t>Maskenin koruyuculuğu, ağzı ve burnu tamamen kapatmasına bağlıdır. Havayla doğrudan temas önlenmelidir. Örneğin, burun açıkta bırakılırsa virüse yoğun şekilde maruz kalmanız mümkün. Virüs yükü arttıkça da hastalık ağırlaşır. Maskenizden tam yararlanın. Hastalığın önünü kesin. https://t.co/tcEoAGD3Jo</t>
  </si>
  <si>
    <t>1327889444972732416</t>
  </si>
  <si>
    <t>Burnun altına indirilmiş maskenin, yarısı kesilmiş maskeden bir farkı yok. Maskenizi burnu açıkta bırakacak şekilde takarsanız, bir yarısını kullanmış olursunuz. Koronavirüs ağızdan daha çok burun yoluyla, nefes alıp verirken bulaşıyor. Maskenizi sizi koruyacak şekilde kullanın. https://t.co/wqlVDFJOLr</t>
  </si>
  <si>
    <t>1327886596344078339</t>
  </si>
  <si>
    <t>Sevdiklerimizi riskten korumak için teknolojiden yardım alalım. Yüz yüze görüşme telefonla da mümkün. Büyüklerimizi ziyaret etmek yerine, sık sık arayalım. Bir görüşme değilse bile, belki ikisi, bir ziyaret yerine geçer. Unutmayın: Büyükler, kurallara uyanları daima takdir eder. https://t.co/cOKNP6hDMj</t>
  </si>
  <si>
    <t>1327692217159446530</t>
  </si>
  <si>
    <t>Sevdiklerimizi riskten korumak için teknolojiden yardım alalım. Yüz yüze görüşme telefonla da mümkün. Büyüklerimizi ziyaret etmek yerine, sık sık arayalım. Bir görüşme değilse bile, belki ikisi, bir ziyaret yerine geçer. Unutmayın: Büyükler, kurallara uyanları daima takdir eder. https://t.co/eQHMcMRh5N</t>
  </si>
  <si>
    <t>1327692011554676740</t>
  </si>
  <si>
    <t>Yarın Pazar. Evinizde, ailenizle zaman geçirin. Başkalarıyla paylaşacağınız mekânlarda risk almayın. Bir mecburiyetiniz yoksa en güzeli bu! Giderek artan COVID-19 riskine karşı, kuralların geçersiz olduğu tek yer eviniz. Günü evde geçireceklere bu akşamdan çok teşekkür ederiz. https://t.co/rN5AMENI5F</t>
  </si>
  <si>
    <t>1327684612991102977</t>
  </si>
  <si>
    <t>Sağlık çalışanlarına yönelik şiddetin bir yenisi Ankara Üniversitesi Tıp Fakültesi Cebeci Hastanesinde dün gece yaşandı. Saldırganlar Çocuk Yoğun Bakım Servisine kaldırılan bir hastanın yakınlarıydı. Mahkemede hesap verecekler. Ama çocuklarına verebilecekleri bir cevap olmayacak.</t>
  </si>
  <si>
    <t>1327677213081276416</t>
  </si>
  <si>
    <t>İSTANBUL’DA SON DURUM TOPLANTISI: Başakşehir Çam ve Sakura Şehir Hastanesinde bakan yardımcılarım, il sağlık müdürü ve başhekimlerin katılımıyla gerçekleşen toplantıda, artan hasta yükümüzü, temaslı takibini, kaçınılmaz görünen tedbirleri ve yeni mücadele stratejisini ele aldık. https://t.co/OSbt95ktsP</t>
  </si>
  <si>
    <t>1327660840867287046</t>
  </si>
  <si>
    <t>Bugün tespit edilen 3.116 yeni hastamız var. Ağır hasta sayımız artıyor. Hastane yükümüz ve sağlık çalışanlarımızın omuzundaki yük artıyor. Mevcut hasta yükünü taşınabilir seviyede tutmak için tedbirlere uymak zorundayız. Birlik olup mücadeleye güç verin. https://t.co/RVlhe7786O</t>
  </si>
  <si>
    <t>1327644920761479168</t>
  </si>
  <si>
    <t>Maskenin koruyuculuğu, ağzı ve burnu tamamen kapatmasına bağlıdır. Havayla doğrudan temas önlenmelidir. Örneğin, burun açıkta bırakılırsa virüse yoğun şekilde maruz kalmanız mümkün. Virüs yükü arttıkça da hastalık ağırlaşır. Maskenizden tam yaralanın. Hastalığın önünü kesin. https://t.co/E3F5tLJzAs</t>
  </si>
  <si>
    <t>1327623980040286208</t>
  </si>
  <si>
    <t>Maskenin koruyuculuğu, ağzı ve burnu tamamen kapatmasına bağlıdır. Havayla doğrudan temas önlenmelidir. Örneğin, burun açıkta bırakılırsa virüse yoğun şekilde maruz kalmanız mümkün. Virüs yükü arttıkça da hastalık ağırlaşır. Maskenizden tam yaralanın. Hastalığın önünü kesin. https://t.co/JvuDMf8cYC</t>
  </si>
  <si>
    <t>1327623805141999617</t>
  </si>
  <si>
    <t>Burnun altına indirilmiş maskenin, yarısı kesilmiş maskeden bir farkı yok. Maskenizi burnu açıkta bırakacak şekilde takarsanız, bir yarısını kullanmış olursunuz. Koronavirüs ağızdan daha çok burun yoluyla, nefes alıp verirken bulaşıyor. Maskenizi sizi koruyacak şekilde kullanın. https://t.co/143ht7wMG7</t>
  </si>
  <si>
    <t>1327538848155504646</t>
  </si>
  <si>
    <t>TEKİRDAĞ, 12 KASIMDAKİ TEKİRDAĞ DEĞİL! Dr. İsmail Fehmi Cumalıoğlu Şehir Hastanesi, 13 Kasımda hizmete açıldı. Yüksek yatak ve yoğun bakım kapasitesine sahip hastanemiz, Tekirdağ ve çevre iller için sağlık hizmetlerinde bir dönüm noktası olacak. Bir kez daha hayırlı olsun. https://t.co/sMyApMs95S</t>
  </si>
  <si>
    <t>1327532087755362304</t>
  </si>
  <si>
    <t>Bugün eski normallerimize mesafe koymazsak yarın sevdiklerimizle aramıza hiç kapanmayacak mesafeler girebilir. Maske, mesafe ve temizlik kurallarına uymak kendimize, sevdiklerimize ve ülkemize karşı vicdani sorumluluğumuzdur. Sağlığımızın ve sosyal hayatımızın güvencesi budur. https://t.co/PghYHmDsrZ</t>
  </si>
  <si>
    <t>1327340330321063936</t>
  </si>
  <si>
    <t>Bugün eski normallerimize mesafe koymazsak yarın sevdiklerimizle aramıza hiç kapanmayacak mesafeler girebilir. Maske, mesafe ve temizlik kurallarına uymak kendimize, sevdiklerimize ve ülkemize karşı vicdani sorumluluğumuzdur. Sağlığımızın ve sosyal hayatımızın güvencesi budur. https://t.co/QlS9SEuxVY</t>
  </si>
  <si>
    <t>1327324945727229952</t>
  </si>
  <si>
    <t>Bugün tespit edilen yeni hasta sayısı 3.000'den fazla. Ağır hasta sayımız da kayıplarımız da artıyor. Virüs yükünü düşüren en önemli araç maske. Tedbirlere uyarak mücadeleye güç verin. https://t.co/RVlhe7786O</t>
  </si>
  <si>
    <t>1327287714169970688</t>
  </si>
  <si>
    <t>TEKİRDAĞ DR. İSMAİL FEHMİ CUMALIOĞLU ŞEHİR HASTANESİ AÇILDI. Yüksek yatak ve yoğun bakım kapasitesine sahip hastane, deprem riskine karşı sismik izolatörlerle güçlendirildi. Nitelikli insan kaynağı ve modern alt yapısıyla Tekirdağ ile birlikte çevre illerimize de hizmet verecek. https://t.co/NCuucdij4v</t>
  </si>
  <si>
    <t>1327253913318395909</t>
  </si>
  <si>
    <t>RT @RTErdogan: Trakya bölgesine hizmet verecek dev bir sağlık tesisi olan Tekirdağ İsmail Fehmi Cumalıoğlu Şehir Hastanemizin açılışını ger…</t>
  </si>
  <si>
    <t>1327247660810702850</t>
  </si>
  <si>
    <t>ÖZGÜRCE NEFES ALACAĞIMIZ günleri özledik. Maske, yakın zamanda hayatımızdan çıkmış olacak. COVID-19 aşı çalışmalarında büyük ilerlemeler var. Sonucu bekleyelim. Evimizin dışında, başkalarıyla olduğumuz her yerde maskemizi kuralına uygun şekilde takalım. Sabrınız için: Sağ olun. https://t.co/g7aOQBpqHZ</t>
  </si>
  <si>
    <t>1327175763918016512</t>
  </si>
  <si>
    <t>ÖZGÜRCE NEFES ALACAĞIMIZ günleri özledik. Maske, yakın zamanda hayatımızdan çıkmış olacak. COVID-19 aşı çalışmalarında büyük ilerlemeler var. Sonucu bekleyelim. Evimizin dışında, başkalarıyla olduğumuz her yerde maskemizi kuralına uygun şekilde takalım. Sabrınız için: Sağ olun. https://t.co/WBZuyj8eNc</t>
  </si>
  <si>
    <t>1327145430812151810</t>
  </si>
  <si>
    <t>Bugün eski normallerimize mesafe koymazsak yarın sevdiklerimizle aramıza hiç kapanmayacak mesafeler girebilir. Maske, mesafe ve temizlik kurallarına uymak kendimize, sevdiklerimize ve ülkemize karşı vicdani sorumluluğumuzdur. Sağlığımızın ve sosyal hayatımızın güvencesi budur. https://t.co/7w3YObTPjE</t>
  </si>
  <si>
    <t>1326977609406746625</t>
  </si>
  <si>
    <t>Bugün eski normallerimize mesafe koymazsak yarın sevdiklerimizle aramıza hiç kapanmayacak mesafeler girebilir. Maske, mesafe ve temizlik kurallarına uymak kendimize, sevdiklerimize ve ülkemize karşı vicdani sorumluluğumuzdur. Sağlığımızın ve sosyal hayatımızın güvencesi budur. https://t.co/D5ss18NDuo</t>
  </si>
  <si>
    <t>1326960093024444417</t>
  </si>
  <si>
    <t>ZATÜRRE akciğerdeki hava keseciklerinin iltihaplı sıvıyla dolmasıdır. Koronavirüs dâhil, virüs, bakteri, nadiren mantar kökenli enfeksiyonların akciğerlere ulaşması sonucu oluşur. Zatürre bulaşıcıdır, ölüme yol açabilir. Özgürce nefes almanın ve sağlıklı yaşamın değerini bilin. https://t.co/EjnQE2iYUa</t>
  </si>
  <si>
    <t>1326949728970559492</t>
  </si>
  <si>
    <t>TEKİRDAĞ ŞEHİR HASTANESİ YARIN AÇILIYOR. Açılış, Sn. Cumhurbaşkanımızın katılımıyla gerçekleşecek. Yüksek yatak ve yoğun bakım kapasitesine sahip hastanemiz, deprem riskine karşı sismik izolatörlerle güçlendirildi. İkinci fazıyla 158.000 m²’lik dev bir sağlık kampüsüne dönüşecek. https://t.co/HKnCmZCUhs</t>
  </si>
  <si>
    <t>1326941426270285826</t>
  </si>
  <si>
    <t>Bugün tespit edilen 2.841 yeni hastamız var. Ağır hasta sayısındaki artış devam ediyor. Artan hasta sayısını düşürecek olan hareketliliği ve teması azaltarak tedbirlere beraberce uymaktır. Maske ile virüs yükünü düşürelim. https://t.co/RVlhe7786O</t>
  </si>
  <si>
    <t>1326926014430240768</t>
  </si>
  <si>
    <t>PROF. DR. UĞUR ŞAHİN’LE bir telefon görüşmesi yaptım. Prof. Şahin, Özlem Türeci ile Almanya’da, kendi şirketleri olan BioNTech’te COVID-19’a karşı bilim çevrelerinde ilgi uyandıran bir aşı geliştirdi. Görüşmede bu gelişmeyi ele aldık. Bakanlık olarak süreçte iletişim halindeydik. https://t.co/FoBsnZFDNB</t>
  </si>
  <si>
    <t>1326899107584225286</t>
  </si>
  <si>
    <t>HIMSS 20 Eurasia Sağlık Bilişimi ve Teknolojileri Konferansının açılışına video konferans yöntemiyle katıldık. Konuşmamızda, dünyanın birlikte mücadele ettiği virüse karşı en büyük avantajımızın eriştiğimiz tıbbi teknolojiyle bilişim ve iletişim altyapısı olduğu üzerinde durduk. https://t.co/vrpSYRlC8p</t>
  </si>
  <si>
    <t>1326601707867017217</t>
  </si>
  <si>
    <t>2021’İN ULUSLARARASI SAĞLIK ÇALIŞANLARI YILI ilan edilmesine yönelik teklifimiz, Dünya Sağlık Örgütü tarafından kabul edildi. Önerimiz, 73. Dünya Sağlık Asamblesi Genel Kurulunda tüm üye ülkeler tarafından desteklendi. Salgın döneminde dünya, sağlık çalışanlarına çok şey borçlu. https://t.co/mgH5gYaA7e</t>
  </si>
  <si>
    <t>1326584378001125376</t>
  </si>
  <si>
    <t>Bugün tespit edilen 2.693 yeni hastamız var. Salgın hastalıkla mücadele hem bireysel hem de toplum halinde yürütülebilir. Sağlık çalışanlarımız hastane yükümüzü yönetilebilir seviyede tutmak için var gücüyle çalışıyor. Virüsü ancak birlikte yenebiliriz. https://t.co/RVlhe7786O</t>
  </si>
  <si>
    <t>1326566623277412353</t>
  </si>
  <si>
    <t>SİZDEN, SADECE, ELİNİZDEN GELENİ YAPMANIZI İSTİYORUM. Daha fazlasını değil. Kendinizi maskeyle korumaya alın. Mesafe kuralına uyabilmek için çaba gösterin. Virüs, burun yoluyla daha kolay bulaşıyor. Maske koruma sağlayacak şekilde takılırsa risk çok azalır.</t>
  </si>
  <si>
    <t>1326510216649846784</t>
  </si>
  <si>
    <t>SALGINDA HAYAT ZOR. İşyerleri, ulaşım, pazaryerleri, günlük hayat, ileride bir gün salgın olacağı düşünülerek planlanmadı. Mücadeleyi tüm zorluklara rağmen vereceğiz. Elimizden gelenin en iyisini yaparak. Kurallarla kayıpları en aza indirelim.</t>
  </si>
  <si>
    <t>1326502954636095488</t>
  </si>
  <si>
    <t>RT @RTErdogan: AK Parti Grup Toplantısı https://t.co/BohLOkgFH5</t>
  </si>
  <si>
    <t>1326483671289835521</t>
  </si>
  <si>
    <t>Şu anda, taşıyıcı olan pek çok kişi, kurallara uymadığı için, virüsü başkalarına bulaştırıyor.</t>
  </si>
  <si>
    <t>1326472494157586433</t>
  </si>
  <si>
    <t>Şu anda, pek çok kişi, kurallara uymadığı için, birkaç gün içinde COVID-19 hastası olacak.</t>
  </si>
  <si>
    <t>1326467022071492609</t>
  </si>
  <si>
    <t>Rusya Federasyonu Sağlık Bakanı Sayın Mikhail Murashko ile bir telefon görüşmesi yaptık. COVID-19 aşı çalışmaları başta olmak üzere, sağlık alanında iş birliği içinde olduğumuz konular ve yer aldığımız uluslararası faaliyetler üzerinde fikir alışverişinde bulunduk.</t>
  </si>
  <si>
    <t>1326242339350786049</t>
  </si>
  <si>
    <t>Bugün tespit edilen 2.529 yeni hastamız var. Ağır hasta sayımız 3.000’i geçti. Kayıplarımızı azaltmak için hasta ve ağır hasta sayısını azaltmak zorundayız. Buna ancak birlik ve beraberlik içinde mücadele ederek, tedbirlere uyarak ulaşabiliriz. Maske takın https://t.co/RVlhe7786O</t>
  </si>
  <si>
    <t>1326198009936433153</t>
  </si>
  <si>
    <t>Birlik, beraberlik, yakınlık, sosyal mesafe: Ortaklaşa mücadele! Bugün değilse ne zaman?</t>
  </si>
  <si>
    <t>1326162897911865346</t>
  </si>
  <si>
    <t>Gazi Mustafa Kemal Atatürk’ü 82 yıl önce bugün kaybettik. Cumhuriyetimizin her kuşağı, onun öncülük ettiği Milli Mücadeleden ilham aldı. Dayanışma ve beraberlik ruhuna ihtiyaç duyduğumuz bugünlerde onu saygıyla anıyoruz. https://t.co/qiwS01sOFI</t>
  </si>
  <si>
    <t>1326081105674588160</t>
  </si>
  <si>
    <t>Gazi Mustafa Kemal Atatürk’ü 82 yıl önce bugün kaybettik. Cumhuriyetimizin her kuşağı, onun öncülük ettiği Milli Mücadeleden ilham aldı. Dayanışma ve beraberlik ruhuna ihtiyaç duyduğumuz bugünlerde onu saygıyla anıyoruz. https://t.co/2ec4TS0h2a</t>
  </si>
  <si>
    <t>1326043288588197889</t>
  </si>
  <si>
    <t>Hazine ve Maliye Bakanlığı görevine getirilen Sayın Lütfi Elvan’ı kutluyorum. Çok uzun yıllara dayanan deneyiminin, içinde bulunduğumuz dönemde daha da zorlaşan bir görevi kolaylaştıracağına inanıyoruz. Başarısına hepimizin ihtiyacı var. Çalışma arkadaşımız olmasından mutluyuz.</t>
  </si>
  <si>
    <t>1326026638409289729</t>
  </si>
  <si>
    <t>Sorumluluk aldığı konularda, Türkiye’nin kendine her yönden yeterli olması idealiyle çalışan Sayın Berat Albayrak, görevinden, isteği üzerine affedildi. Değerli çalışma arkadaşımın, birikimiyle milletimize yararlı olmaya devam edeceğinden kuşkumuz yok.</t>
  </si>
  <si>
    <t>1325926853236944902</t>
  </si>
  <si>
    <t>ESKİŞEHİR, BURSA, ISPARTA, KOCAELİ, DENİZLİ il sağlık müdürleriyle bu akşam ayrı ayrı toplantılar yaparak, bu illerde salgınla mücadelede gelinen noktayı değerlendirdik. İhtiyaçları, ek tedbirleri, mevcut hasta yükümüzü ve olası gelişmelere karşı kapasite konusunu ele aldık. https://t.co/wxtwqBlKjq</t>
  </si>
  <si>
    <t>1325884474744336384</t>
  </si>
  <si>
    <t>Bir arada bulunduğunuz ortamlarda, SOLUDUĞUNUZ HAVA, ihtiyacımız olan Oksijenin yanı sıra, sağlıklı bir insanı ağır hasta etmeye yetecek miktarda Koronavirüs içeriyor olabilir. Risk almayın. Maskenizi, solunum yolunu tamamen örtecek şekilde kullanın. COVID-19 yayılıyor.</t>
  </si>
  <si>
    <t>1325853400492339201</t>
  </si>
  <si>
    <t>Bugün tespit edilen 2.576 yeni hastamız var. Ağır hasta sayımız dünden 127 fazla. Salgının yayılma hızının arttığı bu dönemde en etkili silahımız düzgün şekilde ağız ve burnunu kapayacak şekilde maske takmaktır. Maskenizi doğru takarak virüs yükünü azaltın https://t.co/RVlhe7786O</t>
  </si>
  <si>
    <t>1325838520573976578</t>
  </si>
  <si>
    <t>Ağzınızı örter, maskeyi burnunuzun altına indirirseniz, kendinizi çok az korumuş olursunuz. Genellikle burundan nefes aldığımız için, ortamda bulunan virüs yüklü damlacıklarla hastalık size kolay bulaşır. Aldığınız virüs miktarı fazla olacağı için, hastalığı daha ağır yaşarsınız. https://t.co/5Q0gcw6Hv0</t>
  </si>
  <si>
    <t>1325821412351893506</t>
  </si>
  <si>
    <t>Ağzınızı örtmekle yetinip, maskeyi burnunuzun altına indirirseniz kendinizi çok az korumuş olursunuz. Genellikle burundan nefes aldığımız için, ortamda bulunan virüs yüklü damlacıklar size kolayca bulaşır. Aldığınız virüs miktarı da fazla olur. Hastalığı çok daha ağır yaşarsınız. https://t.co/fNEGUNPzhl</t>
  </si>
  <si>
    <t>1325813561231355906</t>
  </si>
  <si>
    <t>Ağzınızı örtmekle yetinip, maskeyi burnunuzun altına indirirseniz kendinizi çok az korumuş olursunuz. Genellikle burundan nefes aldığımız için, ortamda bulunan virüs yüklü damlacıklar size kolayca bulaşır. Aldığınız virüs miktarı da fazla olur. Hastalığı çok daha ağır yaşarsınız. https://t.co/SZW7QnfRQf</t>
  </si>
  <si>
    <t>1325811929827467264</t>
  </si>
  <si>
    <t>Bugün tespit edilen 2.516 yeni hastamız var. Ağır hasta sayımız 2.740’a ulaştı. Bugün taburcu olan 2.000’den fazla iyileşen hastamız oldu. Zorunlu olmadıkça kalabalık ortamlardan uzak durun. Hijyene dikkat edin. Maske kullanın. https://t.co/RVlhe7786O</t>
  </si>
  <si>
    <t>1325471359665844226</t>
  </si>
  <si>
    <t>COVID-19’u hafife alanlar var. Hasta olan, bu fikrini “kolay” değiştiriyor. Değiştirmemek mümkün değil.</t>
  </si>
  <si>
    <t>1325423223861862401</t>
  </si>
  <si>
    <t>https://t.co/Ga4YX99Hlh</t>
  </si>
  <si>
    <t>1325409504582922240</t>
  </si>
  <si>
    <t>https://t.co/Er4nSJURuL</t>
  </si>
  <si>
    <t>1325408225311780865</t>
  </si>
  <si>
    <t>HAVALAR SOĞUDU. Maskeyi kuralına göre, ağzı ve burnu bütünüyle kapatacak şekilde takmak, sizi hem COVID-19’a yakalanma riskinden hem de mevsimsel gripten korur. Görünürde maske takıp, burnunuzu açıkta bırakmayın. Koronavirüsün daha ziyade burun yoluyla bulaştığı netlik kazandı. https://t.co/8DmZ3w9Uwo</t>
  </si>
  <si>
    <t>1325377804825923585</t>
  </si>
  <si>
    <t>HAVALAR SOĞUDU. Maskeyi kuralına göre, ağzı ve burnu bütünüyle kapatacak şekilde takmak, sizi hem COVID-19’a yakalanma riskinden hem de mevsimsel gripten korur. Görünürde maske takıp, burnunuzu açıkta bırakmayın. Koronavirüsün daha ziyade burun yoluyla bulaştığı netlik kazandı. https://t.co/XvN3G1I6iy</t>
  </si>
  <si>
    <t>1325370216541466626</t>
  </si>
  <si>
    <t>HAVALAR SOĞUDU. Maskeyi kuralına göre, ağzı ve burnu bütünüyle kapatacak şekilde takmak, sizi hem COVID-19’a yakalanma riskinden hem de mevsimsel gripten korur. Görünürde maske takıp, burnunuzu açıkta bırakmayın. Koronavirüsün daha ziyade burun yoluyla bulaştığı netlik kazandı. https://t.co/ibmkywNUK5</t>
  </si>
  <si>
    <t>1325363203375820800</t>
  </si>
  <si>
    <t>İSTANBUL GAZİOSMANPAŞA Eğitim ve Araştırma Hastanesinde Toplantı: Yöneticilerle hasta yükümüzü, salgın hastalığa karşı tedavi yöntemlerimizi, ŞU ANKİ KAPASİTENİN ARTIRILMASINA YÖNELİK çözümleri değerlendirdik. https://t.co/9lO0xVItCg</t>
  </si>
  <si>
    <t>1325116279049613323</t>
  </si>
  <si>
    <t>Bugün tespit edilen 2.483 yeni hastamız var. Hasta sayımız da ağır hasta sayımız da artıyor. Güvenli aşı uygulamasına kadar hep birlikte tedbirlere uymak zorundayız. Zorunlu olmadıkça kalabalık ortamlardan uzak durun. Maske takın. Virüs yükünü azaltın. https://t.co/RVlhe7786O</t>
  </si>
  <si>
    <t>1325106708033773570</t>
  </si>
  <si>
    <t>İSTANBUL BAHÇELİEVLER Devlet Hastanesinde Toplantı: Yöneticilerimizle hastanenin mevcut koşullarını değerlendirdik. ŞU ANKİ KAPASİTENİN ARTIRILMASINA YÖNELİK çözümleri ve çevre ilçelerle koordinasyonu ele aldık. Hasta yükünün dağılımına yönelik çalışmalar yaptık. https://t.co/Nlea2hY0pR</t>
  </si>
  <si>
    <t>1325099823394152449</t>
  </si>
  <si>
    <t>SAMATYA İstanbul Eğitim ve Araştırma Hastanesinde Toplantı: Hastanemiz; pandeminin ilk anından itibaren, mücadelenin en yoğun verildiği merkezlerden biri. Yöneticilerle, ŞU ANKİ KAPASİTENİN ARTIRILMASINA YÖNELİK çözüm yollarını değerlendirdik, tedavi yöntemlerini ele aldık. https://t.co/hQSCMoByWG</t>
  </si>
  <si>
    <t>1325092172711010307</t>
  </si>
  <si>
    <t>https://t.co/4zP3urNZwg</t>
  </si>
  <si>
    <t>1325086623302823938</t>
  </si>
  <si>
    <t>COVID-19 yayılıyor. Günlük hayattaki hareketliliğinizi azaltmadıkça, mesafe kuralına uymayı zorlaştıran her tür kalabalıktan uzak kalmadıkça kendinizi virüsten yeterince koruyamazsınız. Riski azaltın. Hastalığın zorluklarını yaşamamak için lütfen kendinizi koruyun. https://t.co/fZ4lWaKDD2</t>
  </si>
  <si>
    <t>1325085110518091776</t>
  </si>
  <si>
    <t>Bu video, İzmir depremi sırasında bir hastanenin ameliyathane kamera kaydıdır. https://t.co/yPwn1NFbjv</t>
  </si>
  <si>
    <t>1324801387654426626</t>
  </si>
  <si>
    <t>COVID-19 yayılıyor. Ertelenmesi mümkün seyahatleri erteleyin. Gün içinde hareketliliğinizi sınırlandırın. Unutmayın: Vaka artışlarının başlıca nedeni, hayatı salgın öncesindeymiş gibi yaşamaktır. https://t.co/jvaoy5ZQqq</t>
  </si>
  <si>
    <t>1324795604430630913</t>
  </si>
  <si>
    <t>https://t.co/ACx7jWi4qj</t>
  </si>
  <si>
    <t>1324789902685384705</t>
  </si>
  <si>
    <t>İSTANBUL SALGINLA MÜCADELE TOPLANTISI: Başakşehir Çam ve Sakura Şehir Hastanesinde yapılan toplantıya bakan yardımcılarımız, genel müdürlerimiz, il sağlık müdürümüz ve saha koordinatörlerimiz katıldı. Salgının seyri, artan risk ve yeni hasta yüküne karşı yapılacaklar ele alındı. https://t.co/e3Abll0CuV</t>
  </si>
  <si>
    <t>1324783825793261569</t>
  </si>
  <si>
    <t>İSTANBUL BEYLİKDÜZÜ, ESENYURT, BÜYÜKÇEKMECE DEVLET HASTANELERİ ZİYARETİ: Bu üç hastane, hasta sayılarımızın arttığı İstanbul’da salgına karşı verilen savaşın önemli merkezlerinden. Yaptığımız toplantılarda, yatak kapasitelerini, hasta yüküne karşı yapılması gerekenleri ele aldık. https://t.co/TM5y13Z0lX</t>
  </si>
  <si>
    <t>1324767854881812481</t>
  </si>
  <si>
    <t>Bugün tespit edilen 2.436 hastamız var. Ağır hasta sayımız artıyor. Sağlık hizmetinde bir güçlük yaşamamak için sağlık çalışanlarımıza dinlenecek zaman tanımalıyız. Bu ancak tedbirlere birlikte uymakla mümkün. Maske takın. Mesafenizi koruyun. https://t.co/RVlhe7786O</t>
  </si>
  <si>
    <t>1324743585607143425</t>
  </si>
  <si>
    <t>https://t.co/3p4fcUvLGv</t>
  </si>
  <si>
    <t>1324681931926241282</t>
  </si>
  <si>
    <t>https://t.co/tfsJcl03zP</t>
  </si>
  <si>
    <t>1324666974643884032</t>
  </si>
  <si>
    <t>İzmir depreminde enkaz altından çıkarılan, durumunu sizlerin de yakından takip ettiği hastalarımızı ziyaret ettik. Daha iyiler. Yakında sağlıklarına kavuşacaklar. https://t.co/9UJWthE1sI</t>
  </si>
  <si>
    <t>1324424571743776770</t>
  </si>
  <si>
    <t>Çevre ve Şehircilik Bakanımız, İzmir valisi, İzmir milletvekilleri, İzmir Büyükşehir Belediye Başkanı ve İlçe Belediye Başkanlarının katılımıyla AFAD’da deprem, şehircilik ve sağlık hizmetlerini ele aldığımız bir toplantı gerçekleştirdik. Afete ve salgına karşı birlikteyiz. https://t.co/xfAVHkXhR3</t>
  </si>
  <si>
    <t>1324415671225229313</t>
  </si>
  <si>
    <t>İZMİR İL SAĞLIK TOPLANTISI KARARLARI: Çadır kentlerde COVID-19’a karşı yoğun önlem. Maske ve dezenfektan dağıtımı. Depremzedelerin, ekiplerimizce, belirti yönünden yakından takibi. Semptomsuz olsalar bile, temaslılara test yapılması. Taramalarla, salgının yayılmasının önlenmesi. https://t.co/C1lpbAKi9R</t>
  </si>
  <si>
    <t>1324407689363992579</t>
  </si>
  <si>
    <t>Bakan arkadaşım Süleyman Soylu taburcu oldu. COVID-19 tedavisi, bir süre evde dinlenerek tamamlanacak. Çalışmalarına eski enerjisiyle devam edeceği için mutluyuz. Kendisine ve ailesine tekrar geçmiş olsun dileklerimizi sunuyorum.</t>
  </si>
  <si>
    <t>1324399991637610496</t>
  </si>
  <si>
    <t>YERLİ AŞI ÇALIŞMASINDA, İNSAN ÜZERİNDE İLK UYGULAMA BUGÜN BAŞLADI. Çalışma Erciyes Üniversitesinde yürütülüyor. Bu süreçte, yani Faz-1 safhasında aşı 44 kişiye uygulanacak. Tahminen 5-6 haftalık zaman diliminde Faz-1 aşaması bitmiş olacak. (Bir soru üzerine yapılan açıklama) https://t.co/4Zpp9ir52U</t>
  </si>
  <si>
    <t>1324391035020189696</t>
  </si>
  <si>
    <t>İzmir deprem bölgesinde, başta COVID-19 olmak üzere, genel sağlık hizmetlerinin önemi büyük. Halkımızı ve depremzedelere hizmet vermeye devam eden UMKE polikliniği ziyaret ederek, ihtiyaçları gözden geçirdik. Isınmadan psikolojik desteğe, devletimiz İzmir halkının yanında. https://t.co/M10QxSSEHV</t>
  </si>
  <si>
    <t>1324386506044297220</t>
  </si>
  <si>
    <t>Bugün tespit edilen 2.311 yeni hastamız var. Ağır hasta sayımız dünden 100 fazla. Bu artışa engel olmak zorundayız. Hastalığa yakalanmayı göze alacak kadar mecbur olmadıkça temas ve hareketlilikten uzak durun. Hijyene önem verin. Maske kullanın. https://t.co/RVlhe7786O</t>
  </si>
  <si>
    <t>1324381290183929857</t>
  </si>
  <si>
    <t>İzmir’de, Bakanlığımızın gönüllülerinden oluşan acil müdahale ekibi UMKE’yi de ziyaret ettik. Genç, yaşlı onlarca insana göçük altında, kurtarılma anlarında ilk tıbbi müdahaleyi yaptılar. Fedakârlıklarından dolayı her birine İzmir halkı adına ve şahsen tekrar teşekkür ediyorum. https://t.co/pnkncYme2I</t>
  </si>
  <si>
    <t>1324378231655587842</t>
  </si>
  <si>
    <t>Sağlık durumu hepimizce merak edilen Elif’i, ablaları Elzem ve Ezel’i ziyaret ettik, anneleri ile görüştük. Tedavileri devam ediyor. İyiler. 3 yaşındaki Ayda’nın da sağlık durumu iyi. Yarın normal servise alınacak. Genç arkadaşımız Günay’la Ahmet amcadan da iyi haberlerimiz var.</t>
  </si>
  <si>
    <t>1324355834655264771</t>
  </si>
  <si>
    <t>İZMİR’DEYİZ. Depremde yaralanan ve tedavileri devam eden hastalarımızı ziyaret edip durumları hakkında bilgi aldık. https://t.co/CprZ9PzeLi</t>
  </si>
  <si>
    <t>1324297995668525056</t>
  </si>
  <si>
    <t>HERHANGİ BİR YERİN ACIYOR MU AYDA? Soruyu soran Acil Tıp Uzmanı bir UMKE gönüllüsüydü. Göçük altından çıkarılıp, ambulansa alınan 3 yaşındaki bir çocuğa hayata dönüş anında soru acaba nasıl sorulmalıydı?</t>
  </si>
  <si>
    <t>1324141791084511233</t>
  </si>
  <si>
    <t>Ulusal Medikal Kurtarma Ekibi UMKE, bakanlığımızın gönüllülerden oluşan acil müdahale ekibi. Üyeleri, 1.100.000’i aşkın sağlık ordumuzun üyesi. Onları son depremde bir kez daha gördünüz. Yıkıntıların arasından çıkıp işlerine dönen birer gizli kahramanlar. Onlara şükran borçluyuz. https://t.co/XyoL3nOKlE</t>
  </si>
  <si>
    <t>1324097639340802051</t>
  </si>
  <si>
    <t>https://t.co/bw8d2mckK7</t>
  </si>
  <si>
    <t>1324052427029516288</t>
  </si>
  <si>
    <t>COVID-19 tüm dünyada yayılıyor. İstanbul’da, Türkiye genelinde virüse yakalananların sayısında artış var. Tanı konmamış taşıyıcılarla kalabalıkta, herhangi bir ortamda bir araya gelebilirsiniz. Vaka artışlarının başlıca nedenlerinden biri hayatı salgın öncesindeymiş gibi yaşamak. https://t.co/xVZz1OuFZp</t>
  </si>
  <si>
    <t>1324038953054461953</t>
  </si>
  <si>
    <t>Bugün tespit edilen 2.391 hastamız var. Ağır hasta sayımız 2.464’e ulaştı. Salgının kontrol altında tutulması teması azaltmadan mümkün değil. Sağlık personelimiz yorgun düşmemeli. Onlara destek olmak için teması azaltın. Hijyene önem verin. Maske kullanın. https://t.co/RVlhe7786O</t>
  </si>
  <si>
    <t>1324019626477559809</t>
  </si>
  <si>
    <t>Aynı ortamı paylaştığınız, görüştüğünüz birinin COVID-19 testi pozitif çıkmışsa, şu an SİZDE BELİRTİ OLMASA BİLE aile bireylerini riskten koruyun. Büyüklerinize yakın durmamaya dikkat edin, bir aradayken maske kullanın. Aile hekiminiz sizi takip edecek. KURALLAR, EVDE DE GEÇERLİ. https://t.co/Sv7VbiLzGe</t>
  </si>
  <si>
    <t>1323720656274546690</t>
  </si>
  <si>
    <t>TEMASLI OLDUĞUNUZ BİRİNİN TESTİ POZİTİF ÇIKTIYSA kendinizi COVID-19 belirtileri açısından takibe alın. Belirti göstermeseniz bile izole olmaya çalışın. Temaslı listesinde adınız söylenmemiş olabilir. Size 1 gün içinde ulaşılmamışsa aile hekiminizi arayın. https://t.co/0J8pI1yMRq</t>
  </si>
  <si>
    <t>1323718242272239619</t>
  </si>
  <si>
    <t>COVID-19 TESTİNİZ POZİTİF ÇIKTIYSA, belirtilerin başlangıcından 2 gün öncesine dek kimlerle temasınız olduysa onlara bilgi verin. Kendilerini takip etsinler. Filyasyon ekiplerimize temaslı listesi verirken kimseyi atlamayın. Ne kadar dikkatli olursanız yayılımı o kadar azaltırız. https://t.co/nhtZPMei33</t>
  </si>
  <si>
    <t>1323715700163313664</t>
  </si>
  <si>
    <t>Bugün tespit edilen 2.343 yeni hastamız var. Ağır hasta sayımız artmaya devam ediyor. Salgının seyrini değiştirebilecek en önemli gücümüz tedbirlere uymak. Birlikte tedbirlere uyarsak virüsün yayılmasına fırsat vermemiş oluruz. Mücadeleye güç verin. https://t.co/RVlhe7786O</t>
  </si>
  <si>
    <t>1323673450481963008</t>
  </si>
  <si>
    <t>RT @RTErdogan: Kabine Toplantısı Sonrası Millete Sesleniş https://t.co/cBycwT7pOk</t>
  </si>
  <si>
    <t>1323664160937357312</t>
  </si>
  <si>
    <t>RT @RTErdogan: Mucizenin adı Ayda... 91 saat sonra senin o gülen gözlerinle birlikte hepimize yeni umutlar bahşeden Allah’a şükürler olsun.…</t>
  </si>
  <si>
    <t>1323557026484637696</t>
  </si>
  <si>
    <t>Ayda’nın acıyan bir yeri yok. Köfte ve ayran istiyor. https://t.co/nhMV2SPlnw</t>
  </si>
  <si>
    <t>1323544964693897216</t>
  </si>
  <si>
    <t>Ayda Gezgin. 3 yaşında. Ve 91 saat sonra tekrar aramızda! https://t.co/SCDCsEZ6YS</t>
  </si>
  <si>
    <t>1323538309738598406</t>
  </si>
  <si>
    <t>İZMİR DEPREMİNDE, arama ve kurtarma çalışmaları sonuçlarına göre, can kaybımız 95’e yükseldi. Tedavisi halen devam eden hasta sayımız, 147. Şu an 12 hastamız yoğun bakımda, 5’inin durumu ağır. Bu akşam itibariyle, tedavileri tamamlanarak taburcu edilen hasta sayısı ise 847.</t>
  </si>
  <si>
    <t>1323380988756578305</t>
  </si>
  <si>
    <t>İSTANBUL’A DÖNEN BÜYÜKLERİNİZİ BİR SÜRE ZİYARET ETMEYİN. Kışı daha rahat şartlarda geçirmek için şehre gelen, çoğunluğu ileri yaşlardaki nüfusu, bazı riskler bekliyor. Vakaların %40’ı burada. Yüz yüze ziyaret sakıncalı. Lütfen büyüklerinizin ihtiyaçlarını telefonla öğrenin.</t>
  </si>
  <si>
    <t>1323349715686215681</t>
  </si>
  <si>
    <t>İSTANBUL’DAYSANIZ, AYRILMAYIN. Türkiye’deki vakaların %40’ı yaşadığınız şehirde. Semptomsuz bir taşıyıcı, tespit edilmemiş bir temaslı olabilirsiniz. Seyahatiniz çok gerekli değilse erteleyin.</t>
  </si>
  <si>
    <t>1323347351533162502</t>
  </si>
  <si>
    <t>YOLCULUK İSTANBUL’A MI? Yola çıkmadan, sağlık durumunuzu 7 gün izleyin. Ateş, kuru öksürük, yorgunluk, boğaz ağrısı, tat veya koku duyusu kaybı, solunum güçlüğü vb. şikâyetiniz varsa, seyahati erteleyin. Bir sağlık kuruluşuna müracaat edin.</t>
  </si>
  <si>
    <t>1323344804072329218</t>
  </si>
  <si>
    <t>İSTANBUL’DA, salgınla mücadeleye odaklanmış hastanelerimizden biri olan Prof. Dr. Feriha Öz Acil Durum Hastanesini ziyaret ederek, yeni vaka artışlarına karşı durumu tekrar gözden geçirdik. Gelinen noktada, BİZLERİN HAZIRLIKLI, SİZLERİNSE FAZLASIYLA DİKKATLİ olması gerekiyor. https://t.co/qPpjivBRro</t>
  </si>
  <si>
    <t>1323339854244184064</t>
  </si>
  <si>
    <t>İSTANBUL’DA SALGINLA MÜCADELEYE ODAKLANMIŞ hastanelerimizden Sultangazi Haseki Eğitim ve Araştırma Hastanesi ile Yeşilköy Prof. Dr. Murat Dilmener Acil Durum Hastanesini ziyaret ederek, durumu tekrar gözden geçirdik. Vaka artışlarına karşı birlikte çok dikkatli olmamız gerekiyor. https://t.co/v6fqLYrcFP</t>
  </si>
  <si>
    <t>1323319613074165760</t>
  </si>
  <si>
    <t>İZMİR’DE ŞU ANKİ ŞARTLAR COVID-19’UN yayılmasına çok elverişli. Zor günlerin daha da zorlaşmasına izin vermeyelim. Vakaların azalması, kontrolümüze bağlı. COVID-19 sebebiyle yeni kayıplar vermeyelim.</t>
  </si>
  <si>
    <t>1323309027686785024</t>
  </si>
  <si>
    <t>Bugün tespit edilen 2.302 hastamız var. Ağır hasta sayımız bugün düne göre 164 artarak 2.341’e ulaştı. Salgınla mücadelede sadece sağlık çalışanlarının fedakârlığı ile başarılı olamayız. Hep birlikte mücadeleye katılmalı ve tedbirlerden taviz vermemeliyiz. https://t.co/RVlhe7786O</t>
  </si>
  <si>
    <t>1323293792309514240</t>
  </si>
  <si>
    <t>65 saat sonra kurtarılan Elif’in sağlık durumu bilgilerini 2 saat kadar önce paylaşmıştım. Kendisini merak edenlere şimdi bizzat mesajı var. https://t.co/6A5Y9fsMfc</t>
  </si>
  <si>
    <t>1323264486791385088</t>
  </si>
  <si>
    <t>CAN KAYBIMIZ, enkaz altından yeni çıkarılanlarla 91’e yükseldi. 155 kişi halen tedavi altında. 10 hastamız yoğun bakımda, 3’ünün durumu ağır. Şu ana kadar hastaneye kaldırılanlardan 8’i tüm müdahalelere rağmen kurtarılamadı. Tedavileri tamamlanıp, taburcu edilen kişi sayısı 839.</t>
  </si>
  <si>
    <t>1323253099130179586</t>
  </si>
  <si>
    <t>30 EKİM İZMİR DEPREMİNDE, ŞU ANA KADAR 85 can kaybımız var. 220 kişinin tedavisi halen devam ediyor. 3’ü ağır olmak üzere, 10 hastamız yoğun bakımda. 774 kişi, tedavileri tamamlanarak taburcu edildi.</t>
  </si>
  <si>
    <t>1323230083948154896</t>
  </si>
  <si>
    <t>İDİL ŞİRİN. 55 saat sonra kurtarıldı. 14 yaşında. SAĞLIK DURUMU: Bilinci açık, hayati fonksiyonları yerinde, böbrek fonksiyonları normal. Enkaz altında uzun süre hareketsiz kaldığı ve sıkıştığı için yoğun bakımda takip ediliyor. Tetkikinde omurgasında kırık görülmedi.</t>
  </si>
  <si>
    <t>1323226520090038272</t>
  </si>
  <si>
    <t>ELİF PERİNÇEK. 65 saat sonra kurtarıldı. 3 yaşında. SAĞLIK DURUMU: Bilinci açık, ciddi bir kas ezilmesi ya da kırığı yok. Enkaz altında uzun süre hareketsiz kaldığı ve sıkıştığı için yoğun bakımda takip ediliyor. İki ablasının da durumu iyi.</t>
  </si>
  <si>
    <t>1323223470608625664</t>
  </si>
  <si>
    <t>65 saat sonra! 
Elif’e ve kurtarma ekiplerimize teşekkür ediyoruz. https://t.co/gmxo5pNaYF</t>
  </si>
  <si>
    <t>1323205207744983040</t>
  </si>
  <si>
    <t>HAYAT BİR KEZ DAHA KAZANDI.
İdil kızımızın ardından, 65 saat sonra aramıza dönen 3 yaşındaki Elif kızımız da hayata yeniden merhaba dedi. Yaşamdan yana olan umut ve mücadelemize güç kattınız. Ekiplerimize minnettarız. https://t.co/ukl6kqv2Wg</t>
  </si>
  <si>
    <t>1323148345586688001</t>
  </si>
  <si>
    <t>Bugün tespit edilen 2.106 hastamız var. Ağır hasta sayısındaki yükseliş bugün de devam etti. Ağır hasta sayısını düşürmek zorundayız. Sağlık personelimiz her olağan üstü durumda olağan üstü fedakârlıkla çalışıyor. Onlara destek olmak için tedbirlere uyun. https://t.co/RVlhe7786O</t>
  </si>
  <si>
    <t>1322931378917429257</t>
  </si>
  <si>
    <t>8 binanın enkazında çalışmalar devam ediyor. AFAD, UMKE ve diğer görevli ekiplerimiz, şu ana kadar 104 insanın hayatını kurtardı. Henüz ulaşılamayan kişiler, belki de kurtarılması hâlâ mümkün hayatlar var. Arkadaşlarımızdan bilgi aldık. Umudumuz hayattan yana. https://t.co/fa5K9fxskx</t>
  </si>
  <si>
    <t>1322909871570849792</t>
  </si>
  <si>
    <t>Kayıplarımız, tedavisi devam eden hastalarımız ve taburcu edilenler hakkında, son bilgilerle yaptığımız açıklama: https://t.co/dX4VUsscUC</t>
  </si>
  <si>
    <t>1322879226035527681</t>
  </si>
  <si>
    <t>Dün gece 01.00 sularında, depremin üzerinden 34 saat geçmişken kurtarılan Ahmet Çitim amcamızı ziyaret ettik. Olay yerinde yapılan ilk tıbbi müdahale sırasında yanındaydık. Genel durumu iyi. Kısa bir sürede daha da iyi olacak. https://t.co/8uVD5gYFK8</t>
  </si>
  <si>
    <t>1322866361169793024</t>
  </si>
  <si>
    <t>Bakan arkadaşım Süleyman Soylu’nun COVID-19 testi pozitif çıktı. Pandemi boyunca çok desteğini gördük. Sahadan uzak kalmak, mücadeleci ruhuna pek uygun olmasa da bir süre dinlenecek. Virüsle mücadele onun için kolay bir mücadele. Geçmiş olsun değerli kardeşim.</t>
  </si>
  <si>
    <t>1322863927965978624</t>
  </si>
  <si>
    <t>Depremde İzmir Buca Seyfi Demirsoy Hastane binası da kısmen zarar gördü. Bu bölümü hemen tahliye ettik. Hastaneyle aynı yerde çözüm üretmek ve hizmetlerimizi aynı şekilde sürdürmek üzere alternatif eylem planları üzerinde duruyoruz. Aksama olmayacak. https://t.co/uIicjGRMHE</t>
  </si>
  <si>
    <t>1322853678022348802</t>
  </si>
  <si>
    <t>Depremde hayatını kaybeden 12 yaşındaki evladımız Halil Berk Öztürk’ün cenaze törenine katıldık. Ailesine tekrar başsağlığı diliyorum. Allah acılarını hafifletsin, hiçbirimize evlat acısı vermesin. https://t.co/kgKY0fQV9I</t>
  </si>
  <si>
    <t>1322851024160329728</t>
  </si>
  <si>
    <t>Depremdeki can kayıplarımız, tedavisi devam eden hastalarımız, sağlık hizmetlerimiz ve kurtarma çalışmalarımız hakkında İZMİR’DE YAPTIĞIMIZ BASIN AÇIKLAMASI: https://t.co/NXwec8A3EC</t>
  </si>
  <si>
    <t>1322817285258678272</t>
  </si>
  <si>
    <t>Saygın siyasetçimiz, hukukçu ağabeyimiz Prof. Burhan Kuzu’yu, 17 Ekimden beri tedavi gördüğü COVID-19 sebebiyle kaybettik. Kendisine Allah’tan rahmet, ailesine ve camiamıza başsağlığı diliyorum. Salgın, bizi yakınlarımızdan, yeri doldurulamaz insanlardan ayırmaya devam ediyor. https://t.co/kUGhI2Ylua</t>
  </si>
  <si>
    <t>1322774727337877504</t>
  </si>
  <si>
    <t>HAYAT BİR KEZ DAHA KAZANDI. Bu gece 01.00 sularında, depremden tam 34 saat sonra, 70 yaşındaki Ahmet amcamız, UMKE ekiplerinin yardımıyla yıkıntıların arasından sağ çıkmayı başardı. Geçmiş olsun Ahmet amca. Bizi mutlu eden sözün için de teşekkür ederiz: “Umudumu hiç kaybetmedim.” https://t.co/nWnbS0xozC</t>
  </si>
  <si>
    <t>1322699798869364739</t>
  </si>
  <si>
    <t>112 Acil Komuta Merkezinde yaptığımız toplantıda, afet süreci yönetiminde görev alan çalışma arkadaşlarımızla durumu değerlendirdik. Depremin üzerinden yaklaşık 35 saat geçti. Şu an yapılabilecek her şey için ihtiyaçları belirleyip, eylem planları üzerine istişarelerde bulunduk. https://t.co/bGF3xB71ur</t>
  </si>
  <si>
    <t>1322679651953770496</t>
  </si>
  <si>
    <t>Kurtarma ekiplerimizin, yerini, telefonla iletişim kurarak tespit ettiği ve enkaz altından çıkardığı Buse Hanımı ziyaret edip, geçmiş olsun dileklerimizi sunduk. O anlarda neler hissettiğini dinledik, durumu hakkında bilgi aldık. Kendisi için endişe eden herkese teşekkür ediyor. https://t.co/2DmHpT55lN</t>
  </si>
  <si>
    <t>1322662177292124160</t>
  </si>
  <si>
    <t>UMKE ekibinden Edanur’la, enkaz altından kurtardıkları İnci’yi ziyaret ettik. Kurtarma anlarında, aralarında geçen konuşmalar hepimizi duygulandırmıştı. İnci’nin durumu iyi, tedavisi bir süre daha sürecek. Geçmiş olsun dilekleriniz için teşekkür ediyor. https://t.co/y8SerpVFuV</t>
  </si>
  <si>
    <t>1322658213116915712</t>
  </si>
  <si>
    <t>Tedavileri devam eden depremzedeleri ziyaret ettik. 218 kişi halen hastanelerimizde. 667 kişi taburcu oldu. Hastane personelimiz olağanüstü bir performans gösteriyor. Tüm hastalarıma tekrar geçmiş olsun dileklerimi sunuyorum. https://t.co/eoN6fPA7rr</t>
  </si>
  <si>
    <t>1322600313963057152</t>
  </si>
  <si>
    <t>RT @tcbestepe: Cumhurbaşkanı Erdoğan, İzmir’de açıklamalarda bulunuyor https://t.co/WpSM4PzIgC</t>
  </si>
  <si>
    <t>1322593765031333888</t>
  </si>
  <si>
    <t>112 Acil Yardım Ekiplerimiz ve UMKE Timlerimizin çalışmalarına nezaret etmek, sağlık hizmetlerimizin yönetimiyle bizzat ilgilenmek üzere İzmir’deyiz. Size iyi haberler vermek için elimizden gelen her şeyi yapmaya devam edeceğiz. https://t.co/YKAwOnC0pv</t>
  </si>
  <si>
    <t>1322571414482886658</t>
  </si>
  <si>
    <t>Bugün tespit edilen 2.213 yeni hastamız var. Ağır hasta sayımız bir günde yaklaşık %5 arttı. Bu durum salgınla mücadele konusunda hassasiyetimizi artırmamız gerektiğine işaret ediyor. Teması üçte birine indirmek zorundayız. Mücadeleye güç verin. https://t.co/RVlhe7786O</t>
  </si>
  <si>
    <t>1322569089575981056</t>
  </si>
  <si>
    <t>28 can kaybımız var. 3’ü ağır 7 kişi yoğun bakımda, 243 kişi halen tedavi görüyor. 642 kişinin tedavisi tamamlanmış durumda. 112 Acil Yardım Ekipleri, UMKE Timleri, ambulanslarımız ve hastanelerimizle, acımızı azaltmak için İzmir’de görev başındayız.</t>
  </si>
  <si>
    <t>1322519783275900930</t>
  </si>
  <si>
    <t>UMKE Personeli Eda: Birazdan dışarı çıkacağız seninle, annen bizi bekliyor. 
“UMUT VAR VE HEP OLACAK!” https://t.co/V6kEBTly5I</t>
  </si>
  <si>
    <t>1322500553725923328</t>
  </si>
  <si>
    <t>26 can kaybımız var. 25’i yoğun bakımda, 381 kişi halen tedavi görüyor. 4 ameliyat daha başarıyla sonuçlandı. 504 kişinin tedavisi tamamlanmış durumda. 112 Acil Yardım Ekipleri, UMKE Timleri, ambulanslarımız ve hastanelerimizle, acımızı azaltmak için İzmir’de görev başındayız</t>
  </si>
  <si>
    <t>1322487663178469377</t>
  </si>
  <si>
    <t>YAKINLARINIZ İÇİN ALO 184’Ü ARAYIN 
Depremde zarar görmüş olabileceğini düşündüğünüz yakınlarınız için Bakanlığımızın 184 SABİM Hattını arayın. Tedavimiz altındalarsa sağlık durumlarını ve hangi hastanemizde olduklarını öğrenin. https://t.co/Vyfy1PEURa</t>
  </si>
  <si>
    <t>1322419327006638080</t>
  </si>
  <si>
    <t>21 can kaybımız var, 435 kişi halen tedavi görüyor. 25’i yoğun bakımda, 9 ameliyat devam ediyor. 364 kişinin tedavisi tamamlanarak taburcu edildi.
112 Acil Yardım Ekipleri, UMKE Timleri, ambulanslarımız ve hastanelerimizle, acımızı azaltmak için İzmir’de görev başındayız.</t>
  </si>
  <si>
    <t>1322314633517170689</t>
  </si>
  <si>
    <t>“UMUT VAR VE HEP OLACAK!” https://t.co/zAtfnT3DF2</t>
  </si>
  <si>
    <t>1322310836787052546</t>
  </si>
  <si>
    <t>“UMUT VAR VE HEP OLACAK!” https://t.co/lhsLB3PDsi</t>
  </si>
  <si>
    <t>1322306584207347712</t>
  </si>
  <si>
    <t>112 Acil ve UMKE Timlerinde görevli 832 profesyonelimiz, can kurtarmak ve yaralılara acil sağlık hizmeti vermek için çalışmalarına devam ediyor. Bu acıyı azaltmak için göze alamayacağımız bir sorumluluk yok. Tüm desteğimizle İzmir halkının yanındayız. https://t.co/nexKHSqTfH</t>
  </si>
  <si>
    <t>1322279876813086725</t>
  </si>
  <si>
    <t>Cumhurbaşkanımız Sn. Recep Tayyip Erdoğan’ın himayelerinde gerçekleşen PROF. DR. AZİZ SANCAR BİLİM, HİZMET VE TEŞVİK ödülleri programında yaptığımız konuşma. https://t.co/FdCw6uiGuj</t>
  </si>
  <si>
    <t>1322272793606737921</t>
  </si>
  <si>
    <t>ANKARA, BURSA VE DENİZLİ İL SAĞLIK MÜDÜRLERİMİZLE video konferans yöntemiyle birer görüşme yaptık. Salgınla mücadelede gelinen noktayı, üç ildeki hasta yükünü değerlendirdik, filyasyon çalışmaları ve yatak kapasiteleri hakkında bilgi aldık. https://t.co/cpiglXLP8Q</t>
  </si>
  <si>
    <t>1322259006174482437</t>
  </si>
  <si>
    <t>4. Türk Konseyi Sağlık Bilim Kurulu Toplantısında Genel Sekreter Amrayev, Macaristan Devlet Bakanı Lorinczi, Azerbaycan Sağlık Bakan Yrd. Agayev, DSÖ Avrupa Direktörü Kluge, Kazakistan, Kırgızistan, Özbekistan sağlık bakanları Tsoy, Savirdinovich, Shadmanov’la ayrı ayrı görüştük. https://t.co/a9nUbiqH0v</t>
  </si>
  <si>
    <t>1322252395452243968</t>
  </si>
  <si>
    <t>RT @RTErdogan: Prof. Dr. Aziz Sancar Bilim, Hizmet ve Teşvik Ödülleri Töreni https://t.co/opZZdcIvqv</t>
  </si>
  <si>
    <t>1322250782226395136</t>
  </si>
  <si>
    <t>4. Türk Konseyi Sağlık Bilim Kurulu Toplantısında Yaptığımız Açılış Konuşması https://t.co/XHlyE4p9Rn</t>
  </si>
  <si>
    <t>1322209207240843264</t>
  </si>
  <si>
    <t>Bugün tespit edilen 2.322 yeni hastamız var. Ağır hasta sayımız 2.000’e yaklaştı. Salgınla mücadele hem bireysel hem de toplu halde tedbirlere uymaktan geçiyor. Yarın bugünden daha az hastamız olsun istiyorsak hareketliliği üçte birine indirmeliyiz. https://t.co/RVlhe7786O</t>
  </si>
  <si>
    <t>1322206473913573376</t>
  </si>
  <si>
    <t>İzmir’deki depremde ne yazık ki 4 vatandaşımız hayatını kaybetti. Toplamda 120 vatandaşımız depremden etkilendi. 38 ambulansımız, 35 UMKE ekibimiz ve 2 ambulans helikopterimiz olay yerinde. Tüm desteğimizle İzmir halkının yanındayız. Başımız sağ olsun.</t>
  </si>
  <si>
    <t>1322174512050409472</t>
  </si>
  <si>
    <t>DSÖ Avrupa Bölge Direktörü, Türk Konseyi Genel Sekreteri, Azerbaycan, Kazakistan, Kırgızistan, Özbekistan, Macaristan Sağlık Bakanları ve üst düzey diğer katılımlarla gerçekleşen 4. TÜRK KONSEYİ SAĞLIK BİLİM KURULU TOPLANTISI AÇILIŞ KONUŞMASI
https://t.co/uF4S8wEUVf</t>
  </si>
  <si>
    <t>1322085640322928640</t>
  </si>
  <si>
    <t>Bir süredir tedavi gören ve durumunu yakından takip ettiğimiz Eski Başbakanlarımızdan Sayın Mesut Yılmaz’ı kaybettik. Kendisine Allah’tan rahmet, sevenlerine ve ailesine başsağlığı diliyorum. https://t.co/YBESzd6ink</t>
  </si>
  <si>
    <t>1322078699064348672</t>
  </si>
  <si>
    <t>İSTANBULLULAR, RİCA EDİYORUM: Testi pozitif çıkanlar temaslılarını eksiksiz bildirsin. Yaşlılar, kronik hastalığı olanlar kendilerini korumaya alsın. Şu an sistemin tıkanmasına yol açacak bir sorunumuz yok. Fakat her kapasitenin sonuçta bir sınırı vardır. Sağduyunuza güveniyoruz. https://t.co/ndijDFn9Yk</t>
  </si>
  <si>
    <t>1321895759944552449</t>
  </si>
  <si>
    <t>SEVGİLİ İSTANBULLULAR. Mecburiyetiniz yoksa evden çıkmayın. Hastalığa yakalanmayı göze alacağınız ziyaretleri ve seyahatleri yapın. Kalabalık ortama girecekseniz, hastalığa yakalanmaya değip değmeyeceğini düşünün. Maskenizi, virüsün size bulaşmasını göze alacağınız zaman çıkarın. https://t.co/v7vN2Po0Rs</t>
  </si>
  <si>
    <t>1321887363371589632</t>
  </si>
  <si>
    <t>Bugün tespit edilen 2.319 hastamız var. Ağır hasta sayısı 1.916’ya ulaştı. Salgının mevcut durumu bizi hayatımızı yavaşlatmaya zorluyor. Teması üçte birine indirmek zorundayız. Birlikte mücadele edecek ve virüsü yeneceğiz. Güç verin, destek olun. https://t.co/RVlhe7786O</t>
  </si>
  <si>
    <t>1321844443369082881</t>
  </si>
  <si>
    <t>İstanbul’da artışın öne çıkan nedeni hareketliliktir. Hareketliliği azaltmalısınız. Maske, mesafe, temizlik kuralına uymalısınız. Çözüm, virüsün yöntemini virüse karşı kullanmaktır. Virüs, bir kişiden ortalama 3 kişiye bulaşıyor. SİZ DE, HAREKETİ VE TEMASI 3’TE BİRİNE İNDİRİN. https://t.co/TjfCN0XO8e</t>
  </si>
  <si>
    <t>1321832609173901314</t>
  </si>
  <si>
    <t>TESTİ POZİTİF ÇIKAN HER 10 KİŞİDEN 4’Ü İSTANBUL’DADIR. Son 7 gündeki artış, geçen ayın ortalamasından %85 fazladır. Nüfus düşünüldüğünde, bu oran korkutucudur. Durum 83 Milyonu ilgilendiriyor. İstanbul’da gidişi kontrol altına alamazsak, salgın baş edilebilir olmaktan çıkacaktır. https://t.co/0opMFjE8qO</t>
  </si>
  <si>
    <t>1321822737883684864</t>
  </si>
  <si>
    <t>CUMHURİYETİMİZİN 97. YIL DÖNÜMÜ KUTLU OLSUN. Milletimize, 29 Ekim 1923 gününü ve bugünleri hazırlayan kahramanları, başta Cumhuriyetimizin kurucusu Gazi Mustafa Kemal Atatürk ve arkadaşları olmak üzere, tarihin huzurunda saygı ve minnetle anıyoruz. Cumhuriyetimizle güçlüyüz. https://t.co/jkHpB2fZzH</t>
  </si>
  <si>
    <t>1321799701126107136</t>
  </si>
  <si>
    <t>Bilim Kurulu Toplantımızın ardından Koronavirüs ile ilgili son gelişmeler ve aldığımız yeni tedbirlere ilişkin basın açıklamamız.
📍Başakşehir Çam ve Sakura Şehir Hastanesi / İstanbul
https://t.co/b3J3OhQ805</t>
  </si>
  <si>
    <t>1321496676645875714</t>
  </si>
  <si>
    <t>PCR COVID-19 TEST LABORATUVARI ZİYARETİ. Kanuni Sultan Süleyman Eğitim ve Araştırma Hastanesi yöneticileriyle pandemideki hasta yükü, değişiklik gösteren şartlara karşı verilecek katkıları ele aldıktan sonra, İstanbul için çok önemli olan laboratuvarımızda incelemelerde bulunduk. https://t.co/2APdp0nJie</t>
  </si>
  <si>
    <t>1321493299274960896</t>
  </si>
  <si>
    <t>AŞI ÇALIŞMALARI ZİYARETİ. Mehmet Akif Ersoy İDEA Araştırma Geliştirme ve Eğitim Merkezinde bilim insanlarımızla bir araya geldik. Bilimsel çalışmalar ve yapılan deneyler hakkında bilgi aldık. Bilim, salgına son verene kadar, elimizde tedbirlerden başka güç yok. Kurallara uyalım. https://t.co/dc6Qgx2gGb</t>
  </si>
  <si>
    <t>1321483851768713216</t>
  </si>
  <si>
    <t>PROF. DR. CEMİL TAŞCIOĞLU ŞEHİR HASTANESİ YÖNETİCİLERİYLE GÖRÜŞME. Yaptığımız ziyarette, yöneticilerden pandemi sürecindeki hasta yükü, değişiklik gösteren şartlarda verilecek katkı ve diğer konularda bilgi aldık. Tedbirlere tam olarak uyarsak hastanelere daha az ihtiyaç duyarız. https://t.co/DCAm9ZvYAX</t>
  </si>
  <si>
    <t>1321477530596028416</t>
  </si>
  <si>
    <t>İSTANBUL ŞİŞLİ ETFAL EĞİTİM VE ARAŞTIRMA HASTANESİ YÖNETİCİLERİYLE GÖRÜŞME. Yaptığımız ziyarette, pandemi sürecindeki hasta yükü, değişiklik gösteren şartlarda verilecek katkı ve diğer hizmetler konusunda bilgi aldık. Tedbirde tavizsiz olursak hastanelere daha az ihtiyaç duyarız. https://t.co/toDCwVnXYw</t>
  </si>
  <si>
    <t>1321469725281558528</t>
  </si>
  <si>
    <t>İSTANBUL FİLYASYON ÇALIŞMALARI TAKİP KURULU BUGÜN TOPLANDI. Valimiz, kaymakamlarımız, ilçe sağlık müdürlerimiz ve diğer yöneticilerimizin katılımıyla yaptığımız toplantıda, temaslı takibi çalışmalarını ve artışla birlikte oluşan ihtiyaçları ele aldık. Vakaların %40’ı İstanbul’da. https://t.co/S10dlpkmV3</t>
  </si>
  <si>
    <t>1321464742536499200</t>
  </si>
  <si>
    <t>KORONAVİRÜS BİLİM KURULU, vaka sayılarının ülke genelinin %40’ına ulaştığı İstanbul’da toplanıyor. Bu, çalışmalarına 10 Ocakta başlayan kurulun Ankara dışında yapacağı ilk toplantı olacak.</t>
  </si>
  <si>
    <t>1321423709547171840</t>
  </si>
  <si>
    <t>İstanbul’da vaka sayılarındaki artış, büyük hazırlık gerektiriyor. Çalışmalarımızın 4. gününde üniversite rektörleri, Tıp Fakültelerinin dekanları ve hastane başhekimleriyle bir araya geldik. 3 kurala uyulursa hastanelere daha az ihtiyaç duyarız. SALGINA KARŞI ORGANİZE OLALIM. https://t.co/utPX5GnLlg</t>
  </si>
  <si>
    <t>1321164967987552257</t>
  </si>
  <si>
    <t>İstanbul’da vaka sayılarındaki büyük artış, şehirde her alanda harekete geçmeyi gerektiriyor. Sosyal Güvenlik Kurumundan İl Göç İdaresi ve DHMİ Atatürk Havalimanı Müdürlüğüne kadar tüm il idaresiyle bir araya gelerek, hareket planlarımızı ele aldık. SALGINA KARŞI ORGANİZE OLALIM. https://t.co/rflaXE0TiX</t>
  </si>
  <si>
    <t>1321150730225520649</t>
  </si>
  <si>
    <t>Bugün tespit edilen 2.209 yeni hastamız var. Ağır hasta sayımız 1.827’ye yükseldi. Ağır hasta ve aktif hasta sayısı düşmeden başarılı olamayız. Mücadele birlikteliği tedbirleri istisnasız uygulamaktan geçiyor. Salgına karşı organize olalım. https://t.co/RVlhe7786O</t>
  </si>
  <si>
    <t>1321119714643447808</t>
  </si>
  <si>
    <t>İstanbul’da vaka sayılarındaki büyük artış ciddi bir hazırlık gerektiriyor. Bakan yardımcılarımla İstanbul’a ayırdığımız 4. günde Kamu Hastaneleri Başhekimleriyle hareket planlarımızı ele aldık. 3 kurala uyulursa hastanelere daha az ihtiyaç duyarız. SALGINA KARŞI ORGANİZE OLALIM. https://t.co/bxubcKLpFj</t>
  </si>
  <si>
    <t>1321101445119287297</t>
  </si>
  <si>
    <t>Vaka sayılarının ülke genelinin %40’ına ulaştığı İstanbul’da dün son toplantımızı Özel Hastaneler ve Sağlık Kuruluşları Derneği ve özel hastane yöneticileriyle yaptık. Gücümüzü takviye ediyoruz. 3 kurala uyulursa hastanelere daha az ihtiyaç duyarız. SALGINA KARŞI ORGANİZE OLALIM. https://t.co/0l91MiDk3W</t>
  </si>
  <si>
    <t>1320999028268634112</t>
  </si>
  <si>
    <t>Bir süredir tedavisi devam eden sağlık eski bakanımız, kıymetli meslektaşım Dr. Osman Durmuş Bey maalesef aramızdan ayrıldı. Kendisine sonsuz rahmet, ailesine ve sevenlerine sabırlar diliyorum. Milletçe başımız sağ olsun.</t>
  </si>
  <si>
    <t>1320820945880317952</t>
  </si>
  <si>
    <t>İstanbul Valisi, İBB Genel Sekreteri, 39 ilçenin belediye başkanı, salgınla mücadelenin tüm ortakları, bir araya geldik. Toplu taşımadan pazaryerine, kalabalık kaynaklı yayılıma karşı çözüm üretilmesini gündeme taşıdık. KURUMLAR VE ŞEHİR HALKI, RİSKE KARŞI ORGANİZE OLMALIYIZ. https://t.co/ruACefoOJN</t>
  </si>
  <si>
    <t>1320789429632569344</t>
  </si>
  <si>
    <t>Bugün tespit edilen 2.198 yeni hasta var. Ağır ve aktif hasta sayısı artmaya devam ediyor. Salgının bölgesel tırmanışını durdurmak için birlikte mücadele etmek zorundayız. Tedbirden daha güçlü bir silahımız bugün için yok. Salgına karşı organize olalım. https://t.co/RVlhe7786O</t>
  </si>
  <si>
    <t>1320761211143835649</t>
  </si>
  <si>
    <t>İstanbul Valimiz, İBB Genel Sekreterimiz ve İlçe Belediye Başkanlarımızın katılımıyla gerçekleştirdiğimiz Salgın Sürecini Değerlendirme Toplantımızın ardından basın açıklamamız:
📍İstanbul Valiliği
https://t.co/4XfQofqp7Y</t>
  </si>
  <si>
    <t>1320737342399877121</t>
  </si>
  <si>
    <t>Vaka sayılarının ülke genelinin %40’ına ulaştığı İstanbul’da bugün dördüncü toplantımızı Marmara Üniversitesi Prof. Dr. Asaf Ataseven Hastanesi yöneticileriyle yaptık. Gücümüzü takviye ediyoruz. 3 kurala uyulursa hastanelere daha az ihtiyaç duyarız. SALGINA KARŞI ORGANİZE OLALIM. https://t.co/KHyFhVCUSS</t>
  </si>
  <si>
    <t>1320457919008264192</t>
  </si>
  <si>
    <t>Vaka sayılarının ülke genelinin %40’ına ulaştığı İstanbul’da, bugün, üçüncü toplantımızı Kartal Dr. Lütfi Kırdar Şehir Hastanesinin yöneticileriyle yaptık. Riske karşı gücümüzü takviye ediyoruz. 3 kurala uyulursa hastanelere daha az ihtiyaç duyarız. SALGINA KARŞI ORGANİZE OLALIM. https://t.co/r9VCOHO0ri</t>
  </si>
  <si>
    <t>1320429225887911936</t>
  </si>
  <si>
    <t>Vaka sayılarının ülke genelinin %40’ına ulaştığı İstanbul’da ikinci günümüz. İkinci toplantıyı Göztepe Prof. Dr. Süleyman Yalçın Şehir Hastanesinde yaptık. Riske karşı gücümüzü takviye ediyoruz. 3 kurala uyulursa hastanelere daha az ihtiyaç duyarız. SALGINA KARŞI ORGANİZE OLALIM. https://t.co/wCNKu2ZhWD</t>
  </si>
  <si>
    <t>1320415997828993024</t>
  </si>
  <si>
    <t>Dün, İstanbul Avrupa Yakası Komuta Kontrol Merkezini ziyaret ettiğimiz 112 Acilin Anadolu yakası çalışanlarıyla buluştuk. Salgına karşı verdiğimiz mücadelede, tıpkı diğer hizmetlerdeki gibi büyük görev üstleniyorlar. Durum değerlendirmesi: SALGINA KARŞI DAHA SIKI ORGANİZE OLALIM. https://t.co/TvYWYEe0X7</t>
  </si>
  <si>
    <t>1320403457250123777</t>
  </si>
  <si>
    <t>Bugün tespit edilen 2.017 yeni hasta var. Ağır hasta sayımız ve aktif hasta sayımız artmaya devam ediyor. Bu gidişatı değiştirmek bizim elimizde. Mücadeleyi bize kazandıracak olan birbirimizin hakkına saygı duymak ve tedbirlere birlikte uymaktır. https://t.co/RVlhe7786O</t>
  </si>
  <si>
    <t>1320394880024272897</t>
  </si>
  <si>
    <t>Vaka sayılarının ülke genelinin %40’ına ulaştığı İstanbul’da ikinci günümüz. Salgınla mücadelede önemli üslerimizden olan Ümraniye Eğitim Araştırma Hastanesinde bir risk değerlendirmesi yaptık. Kurallara uyarsak, hastanelere daha az ihtiyaç duyarız. SALGINA KARŞI ORGANİZE OLALIM. https://t.co/JKYBoV2JPa</t>
  </si>
  <si>
    <t>1320392162945761282</t>
  </si>
  <si>
    <t>Afiyet ve moral motivasyon olsun:) 
112 Acil çalışanlarımızın her birine sevgi ve selamlar. https://t.co/29KPwpvlxI</t>
  </si>
  <si>
    <t>1320111152672706560</t>
  </si>
  <si>
    <t>Başakşehir Çam ve Sakura Şehir Hastanesi, artan hasta yükümüze karşı en önemli sağlık üslerimizden biri. Ekip olarak, 5 çalışma gününü ayıracağımız İstanbul’da, karargâhımız olacak. Çarşamba günü, Bilim Kurulu toplantımız da burada gerçekleşecek. SALGINA KARŞI ORGANİZE OLALIM. https://t.co/ohXbGZJyt1</t>
  </si>
  <si>
    <t>1320096482985496578</t>
  </si>
  <si>
    <t>Prof. Dr. Feriha Öz Acil Durum Hastanesi, İstanbul’da artan hasta yükümüze karşı en önemli sağlık üslerimizden biri. Bugün, yöneticilerimizden hastanenin durumu ve süreç hakkında bilgi aldık. Kurallara uyarsak, hastanelere daha az ihtiyaç duyarız. SALGINA KARŞI ORGANİZE OLALIM. https://t.co/geFrUsi1pu</t>
  </si>
  <si>
    <t>1320071213365022721</t>
  </si>
  <si>
    <t>112 Acil Çağrı Merkezi, salgına karşı verdiğimiz mücadelede, tıpkı genel sağlık hizmetlerindeki kritik rolü gibi büyük işlev üstleniyor. İstanbul Avrupa Yakası Komuta Kontrol Merkezinde bugün arkadaşlarımızla görüşüp, durum değerlendirmesi yaptık. SALGINA KARŞI ORGANİZE OLALIM. https://t.co/GkWxsA96W3</t>
  </si>
  <si>
    <t>1320048115404148736</t>
  </si>
  <si>
    <t>Prof. Dr. Murat Dilmener Acil Durum Hastanesi, artan hasta yükümüze karşı en önemli sağlık üslerimizden biri. Bugün, yöneticilerimizden hastanenin durumu ve salgın süreci hakkında bilgi aldık. Kurallara uyarsak, hastanelere daha az ihtiyaç duyarız. SALGINA KARŞI ORGANİZE OLALIM. https://t.co/wgWy7OESB8</t>
  </si>
  <si>
    <t>1320043324301021185</t>
  </si>
  <si>
    <t>5 GÜN İSTANBUL’DAYIZ. Toplam vakaların %40’ı İstanbul’da. Salgına karşı organize olalım.</t>
  </si>
  <si>
    <t>1320036268307288065</t>
  </si>
  <si>
    <t>Bugün yapılan 113.427 test sonucunda 2.091 yeni hasta tespit edildi. Ağır hasta sayımız artmaya devam ediyor. Hastaların tedavisi özveri ile çalışan sağlık çalışanlarımıza emanet. Tedbirlere uymak ise bizim sorumluluğumuz. Birlikte mücadele edelim. https://t.co/RVlhe7786O</t>
  </si>
  <si>
    <t>1320032899316539394</t>
  </si>
  <si>
    <t>COVID-19 testinin pozitif çıktığını öğrenince arayıp, geçmiş olsun dileklerimi ilettiğim İstanbul Büyükşehir Belediye Başkanı Sn. Ekrem İmamoğlu’na buradan bir kez daha geçmiş olsun diyorum. Bu vesileyle, salgının yayıldığı İstanbul’da halkımızı tedbirli olmaya davet ediyorum.</t>
  </si>
  <si>
    <t>1320009216116097024</t>
  </si>
  <si>
    <t>Sağlık sistemimiz, hastamızı en iyi şekilde tedavi edecek güçte. Bundan önemli olan, tedbirlerle salgına set çekmektir. Halen tedbirlerden daha güçlü silahımız yok. Mücadele sadece hasta tedavi ederek kazanılamaz, yayılmayı önleyerek kazanılır. Bu, tedbirlere uymakla mümkündür. https://t.co/6c61G8hQY7</t>
  </si>
  <si>
    <t>1319741914879528960</t>
  </si>
  <si>
    <t>Bursa, Bilecik, Balıkesir, Çanakkale ve Yalova illerimizde son durum: Bursa’da günlük vaka sayısı 1 ay öncesine göre yaklaşık 3 kat, Bilecik’te 2 kat arttı. Balıkesir, Yalova ve Çanakkale’deyse 1 ay öncesine göre %50 oranında vaka artışı var. Her ilde imkânlar yeterli düzeydedir. https://t.co/StOnKuncJU</t>
  </si>
  <si>
    <t>1319736431489785856</t>
  </si>
  <si>
    <t>Çoğu kişide belirti görülmemesi sevindiricidir. Bu, işin ciddiyetini azaltmıyor. Salgın bize şunu öğretti: Virüsün yayılması, sadece daha fazla sayıda insanın hasta olması değil, tüm hayatın sekteye uğramasıdır. Salgına karşı verilen mücadele bütün hayatı koruma mücadelesidir. https://t.co/dDzYXo5hwv</t>
  </si>
  <si>
    <t>1319723933697036290</t>
  </si>
  <si>
    <t>Anadolu, ikinci zirve döneminde. İlk zirveyi büyük illerde 14 Nisan’da, ikinci zirveyi Eylül’de yaşamıştık. Anadolu’da ilk zirve Eylül’de görülmüştü. İkincisini şimdi yaşıyoruz. Tedbirlere ciddiyetle sarılmanın sonuçlarını daha önce aldık. Bu yeni sınavda kararlılığa ihtiyaç var. https://t.co/XWi78HEoAw</t>
  </si>
  <si>
    <t>1319717779168256000</t>
  </si>
  <si>
    <t>Bugün tespit edilen 2.165 yeni hastamız var. Toplamda yaklaşık 13 milyon test yapıldı. Ağır hasta sayımızda artış devam ediyor. Salgınla mücadelede geldiğimiz noktada elimizdeki en büyük silah başta MASKE olmak üzere tedbirlerdir. Mücadeleye güç verin. https://t.co/RVlhe7786O</t>
  </si>
  <si>
    <t>1319697664330575873</t>
  </si>
  <si>
    <t>Salgınla mücadelede Bursa, Balıkesir, Çanakkale, Bilecik ve Yalova’daki son durum ve Türkiye değerlendirmesi: 
📍BURSA
https://t.co/C8Xey1i7Hx</t>
  </si>
  <si>
    <t>1319685425418653703</t>
  </si>
  <si>
    <t>BURSA programında ikinci durağımız Şehir Hastanemiz oldu. Tedavileri devam eden gençlerimizle çocuklarımızı ziyaret ettik. Sağlık çalışanı arkadaşlarımızla yaptığımız görüşmelerde, hastanedeki pandemi süreci ile genel sağlık hizmetlerindeki düzenlilik konusunda bilgi aldık. https://t.co/33fAWPldzt</t>
  </si>
  <si>
    <t>1319627992566550530</t>
  </si>
  <si>
    <t>BURSA’DAYIZ. Bütün sürecin en önemli aşamalarından birinde, burada yapacağımız çalışma toplantılarında; Bursa, Balıkesir, Çanakkale, Bilecik ve Yalova’da salgına karşı verdiğimiz mücadelede gelinen noktayı, hastanelerimizin ve sağlık çalışanlarımızın ihtiyaçlarını ele alacağız. https://t.co/GNbI6tvMmL</t>
  </si>
  <si>
    <t>1319569838000525313</t>
  </si>
  <si>
    <t>İstanbul’da en çetin sınavı kalabalığa karşı vereceğiz. Mecbur olmadıkça kalabalık ortama girmeyin.</t>
  </si>
  <si>
    <t>1319359473794908160</t>
  </si>
  <si>
    <t>İSTANBUL’DA VAKA SAYISI Türkiye genelinin %40’ına, Ankara’nın 5 katına ulaştı. Temaslı taramasını, test sayısını artırdık. Salgınla mücadelede, şu an, sizlerin uyacağı tedbirlerden daha güçlü bir silahımız yok. Maskenin önemi arttı. Ve en çetin sınavı kalabalığa karşı vereceğiz.</t>
  </si>
  <si>
    <t>1319349956474437634</t>
  </si>
  <si>
    <t>İSTANBUL Valisi Sn. Ali Yerlikaya, İl Emniyet Müdürü Sn. Zafer Aktaş, bakan yardımcılarımız, il sağlık müdürümüz, saha koordinatörlerimiz ve başhekimlerimizle birlikte, salgının İstanbul’daki seyrini masaya yatırdık. Devam eden artışa karşı alınacak tedbirleri kararlaştırdık. https://t.co/cygH788oMe</t>
  </si>
  <si>
    <t>1319340511619129347</t>
  </si>
  <si>
    <t>Yazar ve milletvekili kardeşimiz Markar Esayan’ı, Cumhurbaşkanımız Erdoğan ve saygıdeğer eşi Emine Erdoğan Hanımefendinin katıldığı törenle son yolculuğuna uğurladık. Dini tören, Kumkapı Meryem Ana Patriklik Kilisesinde yapıldı. Yakınlarına ve sevenlerine başsağlığı diliyorum. https://t.co/r4sVFt7icI</t>
  </si>
  <si>
    <t>1319326793053122560</t>
  </si>
  <si>
    <t>Bugün tespit edilen 2.102 yeni hastamız var. Ağır hasta sayımız 1.599. Sağlık çalışanlarımız için en önemli mücadele alanı ağır hastaları tedavi ederek sayılarını azaltmak Bize düşen çok daha kolay. Başta maske ile tedbirlere uyarak mücadeleye destek verin https://t.co/RVlhe7786O</t>
  </si>
  <si>
    <t>1319308470173245442</t>
  </si>
  <si>
    <t>İZMİR, GAZİANTEP, KAHRAMANMARAŞ, ESKİŞEHİR, DENİZLİ, ADIYAMAN, AYDIN toplantılarında salgınla mücadelede geldiğimiz noktayı değerlendirdik. İstanbul başta olmak üzere, bu 7 il ve ülke genelinde vaka artışı görülüyor. Maskenin önemi arttı. Kurallara uyalım. https://t.co/qwpIvIF6e0</t>
  </si>
  <si>
    <t>1319008020282703873</t>
  </si>
  <si>
    <t>RT @CMYLMZ: Sayın Sağlık Bakanımız @drfahrettinkoca Bugün dile getirdiğim düşünce ile ilgili beni cok mutlu eden haberler verdi. Kendisine…</t>
  </si>
  <si>
    <t>1318960421202780160</t>
  </si>
  <si>
    <t>RT @CMYLMZ: Pandemi boyunca sorumluluğu en yüksek seviyede olan Sağlık Bakanlığımıza önerimdir Tüm ülkede,sağlık personeline,canıyla kanıyl…</t>
  </si>
  <si>
    <t>1318960387774156803</t>
  </si>
  <si>
    <t>Bugün 2.000’den fazla yeni tespit edilmiş hastamız var. Toplam ağır hasta sayımız 1.504. Sağlık çalışanlarımızın en çok emek çektiği hastalar ağır hastalarımız. Onların yükünü azaltmak tedbirlere birlikte uyarak mümkün. Mücadeleye destek verin. https://t.co/RVlhe7786O</t>
  </si>
  <si>
    <t>1318958865669623814</t>
  </si>
  <si>
    <t>Sağlık çalışanlarımızın hastaları iyileştirmek için gösterdiği çabayı bizler de tedbirlere uymak için göstermeliyiz.</t>
  </si>
  <si>
    <t>1318628746665013248</t>
  </si>
  <si>
    <t>Bugün tespit edilen 1.894 yeni hastamız var. Ağır hasta sayımız 1.545’e yükseldi. Sağlık çalışanlarımızın hastaları iyileştirmek için sarf ettiği gayreti biz de tedbirlere uymak için sarf etmeliyiz. Tedbirlere uyarak birlikte mücadeleye destek verin. https://t.co/RVlhe7786O</t>
  </si>
  <si>
    <t>1318597919210147842</t>
  </si>
  <si>
    <t>DOLUYSA, BİNMEYİN! İstanbul’da dolmuş şoförleri içinden bazılarının, salgına rağmen, kapasitelerinden fazla yolcu aldıkları yönünde şikâyetler artmaya başladı. Lütfen, fazla yolcu taşıyan dolmuşa binmeyin. Yolcu kapasitesi denetimi yapan Emniyet birimlerine yardımcı olsun. https://t.co/XiAJvN3z0f</t>
  </si>
  <si>
    <t>1318273341573287939</t>
  </si>
  <si>
    <t>Bugün tespit edilen 1.958 yeni hastamız var. Ağır hasta sayısını azaltmadan mücadelemizi başarıya ulaştırmamız güç. Bunu ancak tedbirlere birlikte uyarak güç birliği ile sağlayabiliriz. Sağlık çalışanlarımızın emeklerini katkı vererek yüceltelim. https://t.co/RVlhe7786O</t>
  </si>
  <si>
    <t>1318224373040488453</t>
  </si>
  <si>
    <t>Bosna Hersek bağımsızlık mücadelesinin büyük kahramanı, 20. yüzyılın en ileri aydın ve siyasetçilerinden ALİYA İZZETBEGOVİÇ’İ vefatının 17. yıl dönümünde hürmet ve rahmetle anıyoruz. Bilge Kral, eseriyle yüzyıla tanık oldu, mücadelesiyle yön verdi. https://t.co/c1ltttTynG</t>
  </si>
  <si>
    <t>1318159768503144448</t>
  </si>
  <si>
    <t>BU KALABALIĞA SAĞLAM GİREN HASTA ÇIKAR. Taksim İstiklal Caddesi, bu Pazar, insanı iyimserlikten uzaklaştıran görüntülere sahne oldu. Maskesini takmış az sayıda kişi olmasa, Pandemi döneminde olduğumuz hiç akla gelmeyebilirdi. Mecburiyet olmadıkça kalabalık ortama girmeyelim. https://t.co/1WCorodzSJ</t>
  </si>
  <si>
    <t>1317910590669705218</t>
  </si>
  <si>
    <t>KKTC Başbakanı Ersin Tatar, resmi olmayan sonuçlara göre, Cumhurbaşkanı seçildi. Kendisini şimdiden kutluyor ve başarılar diliyorum. Kıbrıs Türkleri ve hepimiz için hayırlı olsun.</t>
  </si>
  <si>
    <t>1317888914011623427</t>
  </si>
  <si>
    <t>Bugün 1.500’den fazla iyileşen hastamız var. Yeni tespit edilen 1.815 hastamız var. Ağır hasta sayısı durağan seyrine devam ediyor. Aktif ve ağır hasta sayılarını azaltmak zorundayız. Tedbirlere uyarak mücadeleyi güç birliği ile sürdürmeye devam edelim. https://t.co/RVlhe7786O</t>
  </si>
  <si>
    <t>1317862252817666049</t>
  </si>
  <si>
    <t>Birbirimizi tek millet, iki devlet bildiğimiz kardeş Azerbaycan’ın 18 Ekim Bağımsızlık Günü kutlu olsun. Ermenistan'ın barbar saldırılarına karşı topraklarını savunan Azerbaycan'ın yanındayız. https://t.co/JyXZQgr4me</t>
  </si>
  <si>
    <t>1317806774062374912</t>
  </si>
  <si>
    <t>MUHTAR FEVZİ BEY, 76 yaşında. COVID-19’a yakalandı. 10 gün karantinada kaldı. Şikâyetleri devam edince, 6 gün hastanede tedavi gördü. 1 hafta evde dinlendi. Söylediği çok basit: Maske kuralına uyulursa hastalık azalır. Kendinden biliyor: Hatam, maskeyi burnumun altına indirmekti. https://t.co/1nGNX6lz9l</t>
  </si>
  <si>
    <t>1317742230908657664</t>
  </si>
  <si>
    <t>TEDBİRLERE UYMAYANLARA KARŞI ne yapılıyor? Salgına rağmen sorumsuzca davrananlara karşı, İÇİŞLERİ BAKANLIĞIMIZ denetim ve yaptırımlarına devam ediyor. Ortak alanlarda maske ve mesafe kurallarına uyulması için, önlemler alıyor. Bu çabaya nazik uyarılarınızla siz de katkı verin. https://t.co/t1dEag7b3B</t>
  </si>
  <si>
    <t>1317542116160163840</t>
  </si>
  <si>
    <t>ÜÇ tedbire uymak, filyasyon ekibi sayımızdan, günlük test sayımızdan, yatak kapasitemizden, solunum cihazı doluluk oranımızdan daha önemlidir. Çünkü bunlara ihtiyacımız, tedbirlere uyulup uyulmadığına bağlı olarak değişmektedir. https://t.co/aat93O3ymV</t>
  </si>
  <si>
    <t>1317526589417152512</t>
  </si>
  <si>
    <t>Koronavirüs, solunum yoluyla bulaştığı için, maske vazgeçilmez bir tedbirdir. Hatta tedbirlerin en önemlisidir. Bilim adamlarımız, bazı şartlarla birlikte, MASKENİN KORUYUCULUK ÖZELLİĞİNİN %90’A KADAR ÇIKTIĞINI söylemektedir. https://t.co/eLNDH4qsc6</t>
  </si>
  <si>
    <t>1317511256652251139</t>
  </si>
  <si>
    <t>Bugün yapılan testlerde 1.723 yeni hasta tespit edildi. Ağır hasta sayısını düşürecek olan hastalığın bulaş yollarını engellemektir. Bunun için şuan en önemli silahımız tedbirlere birlikte uymak. Tedbirlere uyarsak kazanan biz olacağız. https://t.co/RVlhe7786O</t>
  </si>
  <si>
    <t>1317495779343454209</t>
  </si>
  <si>
    <t>RT @RTErdogan: Fatih Sondaj Gemimizden Milletimize #MilliEnerjideYeniMüjde https://t.co/748SzSHwlT</t>
  </si>
  <si>
    <t>1317458389979508737</t>
  </si>
  <si>
    <t>DSÖ Avrupa Direktörü Dr. Hans Kluge, önlem alınmazsa Avrupa’da ölüm oranlarının Nisan ayına göre 5 kat artabileceğini açıkladı. 6 milyon olan vaka sayısı 10 gün içinde 7 milyona ulaştı. Günlük vefat, 1.000’in üzerinde. AVRUPA’DAKİ TABLO İKİNCİ DALGA OLARAK NİTELENDİRİLMEKTEDİR. https://t.co/bf50vCTQlg</t>
  </si>
  <si>
    <t>1317449445622095873</t>
  </si>
  <si>
    <t>Dünyadaki aktif vaka sayısı geçmiş aylardan kat kat fazla. Sadece 15 Ekim’de tanı konarak tespit edilen, 430 bin. Tahminlere göre, bulaştırıcılık özelliğine sahip toplam kişi sayısı 70 Milyonun üzerinde. 1 KİŞİDEN BAŞLAYAN SALGININ ŞU AN 70 MİLYONDAN ÇOK YAYILMA KANALI VAR. https://t.co/R2FIA9gqv4</t>
  </si>
  <si>
    <t>1317447661172252675</t>
  </si>
  <si>
    <t>Virüs, resmi rakamlara göre, en az 39 Milyon kişiye bulaştı. En başta, bu sayı sadece 1’di. Koronavirüs, dünyaya o 1 kişiden yayıldı. O “Bir” sayısı en az 39 Milyon oldu. Aramızda bir tek taşıyıcının bile olması, o izole edilmediği sürece, riskin devam ettiği anlamına gelir. https://t.co/QekI13Uywv</t>
  </si>
  <si>
    <t>1317445502175186944</t>
  </si>
  <si>
    <t>Doğrudan Azerbaycan halkını hedef alan, aralarında çocukların olduğu çok sayıda sivilin şehadetine ve yaralanmasına yol açan füze saldırıları sebebiyle Ermenistan’ı ve barbarlık gösterisindeki ordusunu lanetliyoruz. Teröristlerin ömrü daima kısa olmuştur.</t>
  </si>
  <si>
    <t>1317410216640679936</t>
  </si>
  <si>
    <t>SORU: Kesitsel taramalarda çıkacak pozitif vakalar, sadece Dünya Sağlık Örgütü’ne mi bildirilecek? 
CEVAP: Önce vatandaşımız, sonra Dünya Sağlık Örgütü öğrenecek! https://t.co/PJGKhgZkp9</t>
  </si>
  <si>
    <t>1317208346722783234</t>
  </si>
  <si>
    <t>ŞEHİT SAĞLIK MEMURU BURAK TATAR’IN ailesini Erzurum’daki evlerinde ziyaret ettik. Burak, ilk görevinden sonra, Fırat Kalkanı ve Cerablus operasyonlarına gönüllü katılmış, Zeytin Dalı Operasyonunda şehit olmuştu. Ziyaretimizde, anne ve babasına hepiniz adına hürmetlerimizi sunduk. https://t.co/501IMxN36v</t>
  </si>
  <si>
    <t>1317185586080501760</t>
  </si>
  <si>
    <t>Markar Esayan’ı kaybettik. Çok gençti. Çok dosttu. Bir ayrıcalık olarak iki ana dili olan bir yazar, birleştirici bir aydındı. Tedavi gördüğü kanser hastalığına bugün yenildi. Hepimiz üzgünüz. Yakınlarına, okurlarına, Ermeni cemaatine, siyaset arkadaşlarına başsağlığı diliyorum.</t>
  </si>
  <si>
    <t>1317159515729645568</t>
  </si>
  <si>
    <t>Bugün tespit edilen 1.812 hastamız var. Ağır hasta sayımız uzun bir aradan sonra artış eğiliminde. Vaka sayısı artan illerde tedbirlere uyup azalan illerde tedbirlerden taviz verirsek mücadelemiz güçleşir. Tüm bölgelerimizde tedbirlere eksiksiz uymalıyız. https://t.co/RVlhe7786O</t>
  </si>
  <si>
    <t>1317147140410511365</t>
  </si>
  <si>
    <t>Salgınla mücadelede Erzurum, Ağrı, Iğdır, Kars, Ardahan, Erzincan, Tunceli ve Bingöl’deki son durum ve Türkiye değerlendirmesi: 
📍Erzurum
https://t.co/8oFqbGs6Km</t>
  </si>
  <si>
    <t>1317136355554623488</t>
  </si>
  <si>
    <t>ERZURUM’DA, 8 İLİMİZ İÇİN salgınla mücadele çalışma toplantılarını tamamladık. Erzurum, Ağrı, Iğdır, Kars, Ardahan, Erzincan, Tunceli ve Bingöl’ün il sağlık müdürleri ve saha koordinatörleriyle bir araya gelerek, her kent için durum analizi yaptık ve stratejimizi gözden geçirdik. https://t.co/vwclQELeIA</t>
  </si>
  <si>
    <t>1317132164945858560</t>
  </si>
  <si>
    <t>Koronavirüs İl Değerlendirme Toplantılarımıza başlamadan önce, Erzurum Şehir Hastanemizde çalışma arkadaşlarımızla buluşup, salgınla ilgili tecrübelerini, genel sağlık hizmetlerini ve ihtiyaçları konuştuk. Çocuk servisinde tedavi gören yavrularımızla gençlerimizi ziyaret ettik. https://t.co/yWtY5J1m9V</t>
  </si>
  <si>
    <t>1317082956251488258</t>
  </si>
  <si>
    <t>ERZURUM’DAYIZ. Yapacağımız çalışma toplantılarında; Doğu Anadolu kentlerimizden Erzurum, Ağrı, Iğdır, Kars, Ardahan, Erzincan, Tunceli ve Bingöl’de salgına karşı verdiğimiz mücadelede geldiğimiz noktayı, hastanelerimizin ve sağlık çalışanlarımızın ihtiyaçlarını ele alacağız. https://t.co/e1KCMplxTF</t>
  </si>
  <si>
    <t>1317026700048420864</t>
  </si>
  <si>
    <t>Toplamda 12 milyondan fazla test yapıldı. Bugün tespit edilen 1.693 yeni hasta var. Ağır hasta sayımız durağan seyrine devam ediyor. Filyasyon, izolasyon eksiksiz devam ediyor. Hasta sayısını tedbirlere birlikte uyarak azaltabiliriz. Kazanan biz olacağız. https://t.co/RVlhe7786O</t>
  </si>
  <si>
    <t>1316771510078631942</t>
  </si>
  <si>
    <t>15 Ekim Dünya El Yıkama Günü, 
16 Ekim Dünya El Yıkama Günü, 
17 Ekim Dünya El Yıkama Günü, 
18 Ekim Dünya El Yıkama Günü, 
19 Ekim… Ellerimizi sabunlayarak, her gün, sık sık, 20 saniye yıkayalım. El temizliği ile kendimizi iyi ve hastalıklara karşı güvende hissedelim. https://t.co/PJM5PELl8l</t>
  </si>
  <si>
    <t>1316761971266527233</t>
  </si>
  <si>
    <t>KORONAVİRÜS TEDBİRLERİNİN, GRİP ve benzeri enfeksiyonları azalttığını kanıtlayan araştırmalar var. DSÖ, 2 gün önce Grip Güncelleme Raporunda, grip mevsimini geçirmiş olan Güney Yarım Kürede enfeksiyonun çok seyrek görüldüğü bildirdi. Özellikle maske, gribe karşı tam bir engeldir. https://t.co/oe8vbQEGA6</t>
  </si>
  <si>
    <t>1316637652112809984</t>
  </si>
  <si>
    <t>Salgın döneminde herkesin GRİP AŞISI yaptırması gerektiği şeklinde yanlış bir düşünce var. Dünyada da grip aşısı üretiminde %20 artış oldu. Grip aşısını ÖZELLİKLE RİSKLİ KİŞİLERE öneriyoruz. Koronavirüs bulaştığında risk altında kalacak grubu tespit ederek, onlardan başlıyoruz. https://t.co/AgOxcHqGM0</t>
  </si>
  <si>
    <t>1316478281659699201</t>
  </si>
  <si>
    <t>Çok sayıda bilim insanının görev aldığı bir AŞI ORTAK ÇALIŞMA GRUBUMUZ var. Türkiye’nin aşı çalışmaları bu bilim insanlarına bağlı 600 kişilik ekip tarafından sürdürülüyor. Ortak Çalışma Grubumuz, halen 4 farklı aşı üzerinde çalışıyor. İkisi, insan deneyleri aşamasına yakındır. https://t.co/pxAmeNKrPI</t>
  </si>
  <si>
    <t>1316474059081867265</t>
  </si>
  <si>
    <t>DSÖ’NÜN TÜRKİYE RAPORUNDA, en zengin ülkeler arasında bulunmuyor olmamıza rağmen, salgınla mücadelede en cömert davranan ülkelerden olduğumuz vurgulanıyor. AB İLERLEME RAPORUNDA ise, halk sağlığı ve sağlık personeli politikamızın uluslararası standartlara uygunluğu gösteriliyor. https://t.co/OwCepq5JSx</t>
  </si>
  <si>
    <t>1316471083621593089</t>
  </si>
  <si>
    <t>Bilim Kurulu Toplantımızın ardından Koronavirüs ile ilgili son gelişmeler ve aldığımız yeni tedbirlere ilişkin basın açıklamamız.
📍SAĞLIK BAKANLIĞI BİLKENT YERLEŞKESİ / ANKARA
https://t.co/prxbliBC2s</t>
  </si>
  <si>
    <t>1316416547385151488</t>
  </si>
  <si>
    <t>Yarınımızı daha aydınlık kılacak çalışmalarla ilgili önemli bir toplantı yaptık. Yerli Aşı Ortak Çalışma Grubunun ilk toplantısında tüm araştırmacılarımızla bir araya geldik. Virüse karşı aşıyı da birlikte geliştireceğiz. @tusebgovtr @Tubitak https://t.co/661kEhAWAB</t>
  </si>
  <si>
    <t>1316132902032281600</t>
  </si>
  <si>
    <t>Bugün tespit edilen 1.632 yeni hasta var. Ağır hasta sayımız 1.416. Ağır hasta sayımız durağan seyrediyor. Ağır hasta sayısını azaltmak elimizde. Tedbirlere birlikte uyarak virüsün önüne geçebiliriz. Birlikte başaracağız, güvenin. https://t.co/RVlhe7786O</t>
  </si>
  <si>
    <t>1316047301782241280</t>
  </si>
  <si>
    <t>Bugün toplam ağır hasta sayımız 1.417. Yoğun bakım doluluk oranlarımızda bu hafta düşüş var. Hastalarda zatürre oranı da geçen haftaya göre düştü. Tedbirler birlikte ve sürekli uygulandığında sonuç veriyor. Birlikte başaracağız, güvenin. https://t.co/RVlhe7786O</t>
  </si>
  <si>
    <t>1315684003006091264</t>
  </si>
  <si>
    <t>Milli Eğitim Bakanlığımızın yüz yüze eğitime geçiş planlamasının ikinci aşamasında, ilkokul 2, 3 ve 4. sınıflar, köy okulları, 8. ve 12. sınıflar, lise hazırlık sınıfı öğrencileri ile özel gereksinimli öğrencilerimiz bugün yüz yüze eğitime başladı. Her şey sırayla yoluna girecek. https://t.co/d7suAqWAIw</t>
  </si>
  <si>
    <t>1315673961355792384</t>
  </si>
  <si>
    <t>Kilis Belediye Başkanı Mehmet Abdi Bulut, bir süredir Gaziantep Üniversitesi Şahinbey Araştırma ve Uygulama Hastanesi Yoğun Bakım Ünitesinde tedavi altındaydı. Kıymetli arkadaşımızı maalesef kaybettik. Kendisine Allah’tan rahmet, yakınlarına ve dostlarına başsağlığı diliyorum.</t>
  </si>
  <si>
    <t>1315649812725993474</t>
  </si>
  <si>
    <t>Bugün 1.502 yeni hasta tespit edildi. Toplam ağır hasta sayımız bugün 1.411. Hastaların şifa bulması için kendisi hastalanmayı göze alan, uykusuz kalan sağlık çalışanlarımıza destek olmak istiyorsak tedbirlere uyalım. Birlikte başaracağız, güvenin. https://t.co/RVlhe7786O</t>
  </si>
  <si>
    <t>1315321306548666374</t>
  </si>
  <si>
    <t>İstanbul il sağlık eski müdürlerinden, bakanlığımız emekli müsteşar yardımcısı Dr. Mehmet Bakar, tedavi gördüğü Bakırköy Eğitim Araştırma Hastanesinde vefat etti. Tıp camiasının saygı ve sevgisini kazanmış ağabeyimize Allah’tan rahmet, yakınlarına başsağlığı diliyorum.</t>
  </si>
  <si>
    <t>1315261103878832129</t>
  </si>
  <si>
    <t>İSTANBUL DEĞERLENDİRME VE SALGINLA MÜCADELE TOPLANTISI. İki bakan yardımcımız, il sağlık müdürümüz ve saha koordinatörlerimizin katılımıyla salgının seyrini, alınması gereken ek tedbirleri, hastanelerimizin durumunu ve filyasyon çalışmalarını ele aldık. Tedbirlerde ısrarcıyız. https://t.co/hb6SHA82dC</t>
  </si>
  <si>
    <t>1314968115403522049</t>
  </si>
  <si>
    <t>Ağır hasta sayımızdaki düşüş durağanlaşıyor. Ağır hasta sayısını kontrol altında tutmak zorundayız. Bugün 1.649 yeni hasta tespit edildi. Sağlık çalışanlarımızın işlerini kolaylaştırmak için tedbirlere uymalıyız. Birlikte başaracağız, güvenin. https://t.co/RVlhe7786O</t>
  </si>
  <si>
    <t>1314964960104058883</t>
  </si>
  <si>
    <t>İSTANBUL İNCELEMELERİNDE İKİNCİ DURAĞIMIZ: Prof. Dr. Cemil Taşçıoğlu Şehir Hastanesi. Arkadaşlarımızdan salgına yönelik çalışmalar ve genel sağlık hizmetleri hakkında bilgi aldık, hastaları ziyaret ettik. Ameliyatı yapılıp tedavisi devam Sabri amcayla da kısa bir sohbetimiz oldu. https://t.co/0BAlyiK49N</t>
  </si>
  <si>
    <t>1314962030433009664</t>
  </si>
  <si>
    <t>İSTANBUL, YAKINDA yeni bir hastaneye sahip olacak. Seyrantepe’deki binamız büyük oranda hazır. İncelemelerde bulunduğumuz binanın kapalı alanı 172.825 metrekare. 163 poliklinikle hizmet verecek olan hastanemiz 620 yataklı, 84 yoğun bakım yataklı planlandı. Ameliyathane sayısı 24. https://t.co/rzcYWgfcnM</t>
  </si>
  <si>
    <t>1314958678269845505</t>
  </si>
  <si>
    <t>KİMLERE TEST YAPILACAĞI Bilim Kurulu’nun hazırladığı rehberle belirlenmiştir. Buna göre Türkiye olarak, semptomu olan kişilere test yapıyoruz. Kriteri apaçık olan bu testlerin sonuçlarını Dünya Sağlık Örgütü’ne aynı açıklıkla bildiriyoruz. Ölçüt ve sonuç DSÖ için güven vericidir. https://t.co/oYzaDx91kq</t>
  </si>
  <si>
    <t>1314873738245083139</t>
  </si>
  <si>
    <t>SON 3 HAFTA İÇİNDE, SALGIN TÜM TÜRKİYE’DE GERİLEDİ. 4 hafta önce ise, Ankara’da vaka sayısı İstanbul’un iki katına çıkmıştı. Şu an Ankara’da vaka sayısı, İstanbul’un yarısına inmiş durumda. Bu gelişmeyi, semptomu olmasa bile, testi pozitif olan herkesi izole ederek sağlıyoruz. https://t.co/lwmCG3Poom</t>
  </si>
  <si>
    <t>1314869988889702401</t>
  </si>
  <si>
    <t>İKİ GÜN ÖNCE AVRUPA İLERLEME RAPORU yayınlandı. Raporda, Türkiye’nin Koronavirüse karşı elde ettiği başarıdan da söz ediliyor. Bu, sağlık çalışanımızın, 83 Milyonun gurur duyacağı bir sonuç, sağlık sistemimizin eseri. Gurur duyacak yerde, gölgelemek için çaba göstermek yanlıştır. https://t.co/GrV8iROd2x</t>
  </si>
  <si>
    <t>1314866170554712064</t>
  </si>
  <si>
    <t>MERSİN’DE, 22 MARTTAN ÖNCE vakaya rastlandığı iddiası yanlıştır. Mersin’de ilk vakanın tarihi 22 Marttır. Siyasetçiler, politikacılar hedeflerine sağlık ve hastalık üzerinden ulaşmaya kalkarlarsa şifa bulamazlar. Biz, 83 milyon, mücadeleyi beraberlik ve kararlılıkla sürdüreceğiz. https://t.co/ft2yEGiim9</t>
  </si>
  <si>
    <t>1314863280247255040</t>
  </si>
  <si>
    <t>Koronavirüsle bizim gibi sistemli şekilde mücadele eden yok. Bu sözün arkasında duran sadece Türkiye Cumhuriyeti Sağlık Bakanlığı değil; bu sözün arkasında, salgınla ilgili her konuda son sözü söyleyen Dünya Sağlık Örgütü de duruyor. Türkiye’yi dünyaya örnek gösteriyor. https://t.co/VjfDtcRoQr</t>
  </si>
  <si>
    <t>1314843971189911552</t>
  </si>
  <si>
    <t>11.800 filyasyon ekibimiz var. Toplamda 35.400 görevli. Bu sayı, bazı ülkelerin salgında görevlendirdiği hekim sayısından bile fazla. TV ekranlarından tanındıkları ÜLKELERDE EKİPLERİMİZ GİDİP TEMASLI TARAMASI YAPSA Koronavirüs pozitiflerin sayısı görünenden kat kat fazla çıkardı. https://t.co/zQXNlCKf7P</t>
  </si>
  <si>
    <t>1314827960592084992</t>
  </si>
  <si>
    <t>ÖLÜMLERE YOL AÇAN BAŞKA PEK ÇOK HASTALIK varken, COVID-19 niçin bu kadar önemli? Eleştirenler, yanılıyor. Hipertansiyon ne denli yaygın olsa da, sokağa çıkma kısıtı gerektirmez. Kanser, okulların tatil edilmesine yol açmaz. Salgınsa, tüm toplumsal hayatı hastalığa maruz bırakır. https://t.co/brC1VaoyGG</t>
  </si>
  <si>
    <t>1314825740639141889</t>
  </si>
  <si>
    <t>ADANA, MERSİN, GAZİANTEP, KAHRAMANMARAŞ, HATAY, OSMANİYE, KİLİS il sağlık müdürleri ve başhekimlerimizle toplantılar yaptık. Salgında son durumu, filyasyon çalışmalarını, ihtiyaçları ve sağlık yatırımlarını ele aldık. Tedbirlere uyarak salgınla mücadelemize destek verin. https://t.co/TSV81NINnh</t>
  </si>
  <si>
    <t>1314690750777614337</t>
  </si>
  <si>
    <t>Bugün yeni 1.629 hastamız var. Toplam ağır hasta sayımız 1.398. Ağır hasta sayımızı düşürmek için mücadele ediyoruz. Hastalarımızın durumu ilerlemeden tespit edebilmek için yoğun filyasyon çalışması yürütülüyor. Bu emeklere tedbirlere uyarak destek olun. https://t.co/RVlhe7786O</t>
  </si>
  <si>
    <t>1314605514077204483</t>
  </si>
  <si>
    <t>Salgınla mücadelede Adana, Mersin, Gaziantep, Kahramanmaraş, Hatay, Osmaniye ve Kilis’teki son durum ve Türkiye değerlendirmesi: 
📍Adana
https://t.co/81yG1myU92</t>
  </si>
  <si>
    <t>1314589684513861632</t>
  </si>
  <si>
    <t>ADANA PROGRAMIMIZDA ilk olarak, Şehir Hastanemizde tedavi gören hastalarımızı ziyaret edip, durumları hakkında bilgi aldık. Sağlık çalışanı arkadaşlarımızla pandemiyi ve genel sağlık sorunlarını değerlendirdik. Şehir Hastanemiz, halkımıza adına yakışır şekilde hizmet veriyor. https://t.co/6IHXG9j2i5</t>
  </si>
  <si>
    <t>1314541496578834440</t>
  </si>
  <si>
    <t>ADANA’DAYIZ. Mersin, Gaziantep, Kahramanmaraş, Hatay, Osmaniye ve Kilis illerimizin sağlık müdürleri ve saha koordinatörlerinin katılımlarıyla bölge değerlendirme toplantılarımızı gerçekleştireceğiz. Birlikte mücadele ile başaracağız. https://t.co/OLIkxoGEev</t>
  </si>
  <si>
    <t>1314492839867355137</t>
  </si>
  <si>
    <t>Ankara, Denizli, Adıyaman, Bursa, Malatya ve Erzurum il sağlık müdürlerimizle ayrı ayrı video konferans görüşmeleri gerçekleştirdik. Bu 6 kentimizde, salgına karşı gelinen son noktayı, hastanelerimizdeki yatak doluluk oranlarını ve filyasyon çalışmalarını ele aldık. https://t.co/4xuRRmyRxv</t>
  </si>
  <si>
    <t>1314336531524575234</t>
  </si>
  <si>
    <t>Teması Pandemi ve Sürdürülebilir Sağlık olan 9. Sağlık Zirvesi başladı. Açılış konuşmasında, COVID-19 Pandemisinin sağlık hizmetlerinde sürdürülebilirliğin önemini tekrar ortaya koyduğunu, özverili insan gücününse vazgeçilmezliğini vurguladık. Katılımcılara teşekkür ediyorum. https://t.co/vQOqyZh092</t>
  </si>
  <si>
    <t>1314304344154570754</t>
  </si>
  <si>
    <t>Bugün 1.615 hasta tespit edildi. Ağır hasta sayımızda düşüş eğilimi devam ediyor. Salgını kontrol altında tutacak olan filyasyon ve izolasyon. Tedbirlere uyarsak buna gerek kalmayacak. Salgını birlikte kontrol altında tutabiliriz. Bu mücadeleye güç verin. https://t.co/RVlhe7786O</t>
  </si>
  <si>
    <t>1314249948477763586</t>
  </si>
  <si>
    <t>Bilim Kurulumuz toplanarak, güncel durumu değerlendirmiştir. Yerli aşının geliştirilmesinde ulaşılan nokta, Bağışıklık ve İnsidans (Görülme Sıklığı) Taraması çalışmasının ikinci kez yapılması ve tarama testleri politikamız ele alınmıştır. Detaylı açıklama aşağıdadır. https://t.co/DVoxR1msIh</t>
  </si>
  <si>
    <t>1313974534668726272</t>
  </si>
  <si>
    <t>Bugün tespit edilen 1.581 hasta var. Ağır hasta sayısının düşüş eğilimi başladı. Ağır hasta sayısını düşürmek hastaların erken tedaviye başlaması ile mümkün. Sağlık çalışanlarımız insan üstü bir gayretle çalışıyor. Mücadelede onlara birlikte destek olalım. https://t.co/RVlhe7786O</t>
  </si>
  <si>
    <t>1313877777427333120</t>
  </si>
  <si>
    <t>Ağır hasta sayısı kontrol edilebilir seviyede seyrediyor. Bugün tespit edilen 1.511 yeni hasta var. Tedbirlerle galip geleceğiz. Birlik ve beraberlik virüsle mücadelenin gücü. Bu güce destek verin. https://t.co/RVlhe7786O</t>
  </si>
  <si>
    <t>1313517323295305729</t>
  </si>
  <si>
    <t>İçişleri Bakanımız, pandemide yakın mücadele arkadaşım Süleyman Soylu’ya teşekkür ediyorum. Cumhurbaşkanımızın liderliğinde, kabine üyelerimiz, devletimizin tüm yönetim birimleri ve milli beraberlik ruhuyla sonuca ulaşacağımıza inanıyorum. Tarihin yazacağı bu beraberlik olacak. https://t.co/h3pjGKIIsI</t>
  </si>
  <si>
    <t>1313433690719092737</t>
  </si>
  <si>
    <t>DSÖ TÜRKİYE COVID-19 RAPORUNDAN İKİ TESPİT: Ölüm oranları dünya ortalamasının oldukça altında. Türkiye genç nüfusu avantaja çevirdi. Editörlüğünde, Avrupa Bölgesi Direktörü Dr. Hans Kluge'ye destek verdiğimiz DSÖ COVID-19 Türkiye raporuna ulaşmak için: https://t.co/mUKag3ntGM</t>
  </si>
  <si>
    <t>1313374708012847105</t>
  </si>
  <si>
    <t>DSÖ, Türkiye’nin COVID-19’la  mücadelesi konusunda, Avrupa bölgesinde İLK OLMA ÖZELLİĞİ TAŞIYAN BİR RAPOR yayınladı. Raporda, kararlılıkla uygulanan tedbirler ve çok sektörlü yaklaşım sonucu ulaşılan başarı ele alınıyor. Rapora göre, Türkiye, uygulamalarıyla birçok ülkeye örnek.</t>
  </si>
  <si>
    <t>1313374385588383744</t>
  </si>
  <si>
    <t>18. Dönem Malatya Milletvekili Mehmet Bülent Çaparoğlu hayatını kaybetti. Kendisine Allah’tan rahmet, yakınlarına başsağlığı diliyorum. Milletin iradesi yönünde örnek çaba göstermiş, Türkiye’nin yönetim ihtiyaçları konusunda da vizyon sahibi bir siyasetçiydi. Mekânı cennet olsun.</t>
  </si>
  <si>
    <t>1313252206632751110</t>
  </si>
  <si>
    <t>Ağır hasta sayımız azalma eğiliminde. Yeni tespit edilen 1.603 hastamız var. Aktif hasta sayımızı düşürmek zorundayız. Tedbirde birlik olmaya devam edersek bunu başarabiliriz. Birlikte tedbirlere uyarak gücümüze güç katın. https://t.co/RVlhe7786O</t>
  </si>
  <si>
    <t>1313159953025323008</t>
  </si>
  <si>
    <t>RT @RTErdogan: Kabine Toplantısı Sonrası Millete Sesleniş https://t.co/DwE9NxEljx</t>
  </si>
  <si>
    <t>1313153152871534594</t>
  </si>
  <si>
    <t>Timuçin Esen, Bakanlığımızın Koronavirüsle mücadele amacıyla yürüttüğü kampanyada ikinci kez karşımızda. Esen, uyarıları sürecin özetinden hareketle yeniden gündeme taşıyor: Maske, mesafe, temizlik. Eğer istersek tedbirlerle sosyal hayatı ustaca bir araya getirebiliriz. https://t.co/1sfEeQMHKp</t>
  </si>
  <si>
    <t>1312850978731970567</t>
  </si>
  <si>
    <t>Taner Ölmez, Bakanlığımızın Koronavirüsle mücadele amacıyla yürüttüğü kampanyada ikinci kez karşımızda. Ölmez, uyarıları sürecin özetinden hareketle yeniden gündeme taşıyor: Maske, mesafe, temizlik. Eğer istersek tedbirlerle sosyal hayatı ustaca bir araya getirebiliriz. https://t.co/qk1j4mIkxG</t>
  </si>
  <si>
    <t>1312845926097211395</t>
  </si>
  <si>
    <t>DSÖ Avrupa Bölgesi Direktörü Dr. Hans Kluge’ye, dün yayınladığı “Sayın Bakan Koca; DSÖ Avrupa Bölgesi, liderliğinizi ve COVID-19 ile mücadelenizi her zaman desteklemektedir ve her zaman Türk halkının yanındadır.” şeklindeki mesajı için ülkem adına teşekkür ederim. https://t.co/Ne0ELAmK9r</t>
  </si>
  <si>
    <t>1312825508887957509</t>
  </si>
  <si>
    <t>Bugün yapılan 104.402 test sonucunda 1.429 yeni hasta tespit edildi. Ağır hasta sayımız 1.475. Rehavete kapılmamalı ve tedbiri elden bırakmamalıyız. Birlikte tedbirlere uyarak virüse fırsat vermemeliyiz. Birlik olursak kazanan biz oluruz. https://t.co/RVlhe7786O</t>
  </si>
  <si>
    <t>1312789525505232901</t>
  </si>
  <si>
    <t>Dünyayı paylaştığımız canlıların, ağacından kuşuna tüm varlıkların yaşamda yeri ve hakkı var. Hayvanları Koruma Günü, yaşamın bütünlüğü konusunda sevgi ve bilinç günü olsun.</t>
  </si>
  <si>
    <t>1312769529261555714</t>
  </si>
  <si>
    <t>Dün ebedi hayata uğurlanan, eski Bayındırlık ve İskân Bakanlarımızdan, AK Parti'nin kurucularından Zeki Ergezen ağabeyimize Allah’tan rahmet diliyorum. Mekânı cennet olsun. Ailesinin, yakınları ve dava arkadaşlarının başı sağ olsun.</t>
  </si>
  <si>
    <t>1312766597019426819</t>
  </si>
  <si>
    <t>TÜSEB’in @tusebgovtr desteklediği Kırım-Kongo Kanamalı Ateşi aşısı insan deneyi Faz-1 safhası başarıyla tamamlandı. Kuduz, verem ve su çiçeği aşısı adayları da insan deneyi aşamasına geldi. Milli aşılarımızı geliştirmek ve milletimizin hizmetine sunmakta kararlıyız.</t>
  </si>
  <si>
    <t>1312486019493629952</t>
  </si>
  <si>
    <t>Ülkemizde 13 ayrı COVID-19 aşı adayı çalışmalarını hızla sürdürüyor. Bunlardan 5’i insan deneyleri safhasına yaklaştı. Klinik safhaya gelen tüm aşı adaylarımız Türkiye Sağlık Enstitüleri Başkanlığımız (TÜSEB) @tusebgovtr tarafından destekleniyor. Türkiye’nin gücü bilimde.</t>
  </si>
  <si>
    <t>1312484548454674432</t>
  </si>
  <si>
    <t>Milli Aşımızın meydan okuma çalışmasında 10 transgenik hayvan aşılandı, 9 hayvan ise aşılanmadı. Virüse maruz bırakıldılar ve aşılanan hayvanlarda hiç virüse rastlanmadı. Aşılanmayanların 4’ü hayatını kaybetti 5’inin ise akciğerlerinde virüse rastlandı. Milli aşıya daha yakınız.</t>
  </si>
  <si>
    <t>1312483521181564928</t>
  </si>
  <si>
    <t>Yerli ve Milli COVID-19 aşısı ile ilgili bugün çok önemli bir gelişme oldu. TÜSEB tarafından desteklenen aşı adayımız transgenik hayvanda meydan okuma (challenge) çalışmasını tamamlayarak insan deneyleri safhasına geldi. Sayın Cumhurbaşkanımıza müjdeyi verdik. Sonuca çok yakınız. https://t.co/XXVqIFJ3nZ</t>
  </si>
  <si>
    <t>1312480046217601024</t>
  </si>
  <si>
    <t>Bugün tespit edilen 1.502 yeni hastamız var. 59 can kaybımız var. Ağır hasta sayımız kontrol edilebilir seviyede seyrediyor. Yeni hasta sayısını azaltmak zorundayız. Bunun yolu tedbirlere birlikte uymak. Birlik olursak sonunda yenilen virüs olacak. https://t.co/RVlhe7786O</t>
  </si>
  <si>
    <t>1312422949102727170</t>
  </si>
  <si>
    <t>DSÖ bugün Avrupa Bölgesinde COVİD-19 veri raporlamasını uyumlu hale getirmek için yayınladığı basın bildirisi ile virüsün yayılmasını önleme stratejimizi takdir etti. Türkiye bu konuda da deneyimini paylaşmaya hazır. Avrupa Bölge Direktörü @hans_kluge’ye teşekkürler. https://t.co/ykDWRdKaxA</t>
  </si>
  <si>
    <t>1312163294891843584</t>
  </si>
  <si>
    <t>Açılışı Cumhurbaşkanımız Sn. Recep Tayyip Erdoğan tarafından bugün yapılan Konya Şehir Hastanesinin hayırlı olmasını diliyorum. Hastanemiz; 1.250 yatağa, 380 polikliniğe, 49 ameliyathaneye, 73 görüntüleme odasına sahip. Şehirlerimizin şehir hastanesi hayali bir bir gerçek oluyor. https://t.co/BPCZnNVsed</t>
  </si>
  <si>
    <t>1312109970956013569</t>
  </si>
  <si>
    <t>RT @RTErdogan: Bugün resmî açılışını gerçekleştirdiğimiz Konya Şehir Hastanemizin ülkemize, milletimize, şehrimize hayırlı olmasını diliyor…</t>
  </si>
  <si>
    <t>1312083677430587393</t>
  </si>
  <si>
    <t>Ağır hasta sayısında ve zatürre oranında düşüş devam ediyor. Bugün toplam ağır hasta sayımız 1.455. Bugün iyileşen hasta sayımız yeni hasta sayımızdan fazla. Tedbirlere birlikte uyarak bu gerilemeyi sağladık. Birlikten kuvvet doğar. Birlik olalım. https://t.co/RVlhe7786O</t>
  </si>
  <si>
    <t>1312073715052613632</t>
  </si>
  <si>
    <t>Konya Şehir Hastanemizin açılışını gerçekleştiriyoruz. Ülkemize ve milletimize hayırlı olsun. https://t.co/CSKosczByW</t>
  </si>
  <si>
    <t>1312004414190702592</t>
  </si>
  <si>
    <t>Sağlık yatırımlarımıza bugün Konya Şehir Hastanesi’ni de ekliyoruz. Hastane: 1250 yatak kapasitesi, gelişmiş tıbbi donanım ve nitelikli insan kaynağı ile COVID-19 mücadelesinde ve genel sağlık hizmetlerinde bölgeye kesintisiz hizmet verecek. Milletimize hayırlı olsun. https://t.co/IVBj9J824m</t>
  </si>
  <si>
    <t>1311998605906116608</t>
  </si>
  <si>
    <t>Sayın Cumhurbaşkanımızın Özel Kalem Müdürü, Büyükelçi Hasan Doğan Beyin ağabeyi çok kıymetli Murat Doğan’ı kaybettik. Kendisine Allah’tan rahmet, kederli ailesine ve Hasan Doğan Beye sabır diliyorum. Mekânı cennet olsun.</t>
  </si>
  <si>
    <t>1311735907188445189</t>
  </si>
  <si>
    <t>Bugün tespit edilmiş 1.407 yeni hastamız var. Ağır hasta sayımızda düşüş devam ediyor. İyileşen hastalarımızın sayısı yeni hasta sayısına yakın. Tedbirler elimizdeki en güçlü silah. Tedbirlere birlikte uyarak bu mücadelenin galibi olalım. https://t.co/RVlhe7786O</t>
  </si>
  <si>
    <t>1311723741282435072</t>
  </si>
  <si>
    <t>Bilelim ki, salgınla mücadele sürecinde, devletimiz, HALKININ SAĞLIĞI KADAR, ULUSAL ÇIKARLARINI DA korumaktadır. Çünkü salgın hayatın bütün alanlarını etkilemektedir. Mesuliyeti olmayan bazı kişilerin tenkitleri, fotoğrafın bir noktasına mercekle bakıp, leke aramaktan farksızdır.</t>
  </si>
  <si>
    <t>1311638305981771776</t>
  </si>
  <si>
    <t>Son 3 hafta içinde yapılan bölgesel müdahalelerin sonuçlarını gördük. Yüksek artıştan söz ettiğimiz birçok ilimizde başarı sağladık. En fazla dikkat çeken yer Ankara’ydı. Ankara’da hasta sayısı yarı yarıya azaldı. Bunu hastanelerimizdeki yoğunluğun azalmasından da anlamak mümkün. https://t.co/tXUJ9zNuou</t>
  </si>
  <si>
    <t>1311599265337270273</t>
  </si>
  <si>
    <t>Her vaka hasta değildir. Belirtisiz, salgın açısından önemi bulaştırıcılık olan, izole edilip ortalama 1 hafta sonra testi negatif çıkan Asemptomatik Pozitifleri salgındaki öncelikli sorun olarak göremeyiz. Önemli olan, artan hasta sayımız ve sağlık sisteminin gücünü korumasıdır. https://t.co/aGTdYYw0gc</t>
  </si>
  <si>
    <t>1311589273997631489</t>
  </si>
  <si>
    <t>Bilim Kurulu Toplantımızın ardından Koronavirüs ile ilgili son gelişmeler ve aldığımız yeni tedbirlere ilişkin basın açıklamamız.
📍SAĞLIK BAKANLIĞI BİLKENT YERLEŞKESİ / ANKARA
https://t.co/3L1AQcq4Bx</t>
  </si>
  <si>
    <t>1311346914210832385</t>
  </si>
  <si>
    <t>İZOLASYON KURALINA NEDEN UYULMALIDIR? Evde tedavi görenlerle belirtisi olmayan virüs taşıyıcıları, bulaştırıcılık yönünden kendilerini, tedavisi hastanede yapılan COVID-19 hastasından farksız görmelidir. Dışarıda kimse, hastanede olduğu gibi koruyucu özel kıyafetlere sahip değil.</t>
  </si>
  <si>
    <t>1311268733130870784</t>
  </si>
  <si>
    <t>Ağır hasta sayımız durağan seyrediyor. Bugün tespit edilmiş 1.427 yeni hastamız var. Virüs ile mücadele birlikte yapıldığında netice veriyor. Mücadeleye güç katan birlikte tedbirlere uymak. Başarının devamı ve sürekliliği için mücadeleye destek verin. https://t.co/RVlhe7786O</t>
  </si>
  <si>
    <t>1310978830962774030</t>
  </si>
  <si>
    <t>İÇERİDE RİSK VAR MI? Girip çıkacağınız her yer için güncel Koronavirüs pozitif vaka uyarısı HES’te. Kullanmıyorsanız, uygulamayı hemen indirin.
ANDROID: https://t.co/fyRVgTdCcK
IOS: https://t.co/DU40Y5sf9f</t>
  </si>
  <si>
    <t>1310928056991834112</t>
  </si>
  <si>
    <t>Dışarıda tedbirsiz dolaşan içeride izole olur.</t>
  </si>
  <si>
    <t>1310897328988065794</t>
  </si>
  <si>
    <t>Batman’da, filyasyon ekibinde görevli bir doktor arkadaşımız saldırıya uğradı. Saldırgan, olayın ertesi günü, dün tutuklanmıştır. Gece gündüz görev başında olan sağlık çalışanlarımıza yönelik şiddet olaylarını nefretle kınıyoruz. Devletimizin gücüyle çalışanlarımızın yanındayız.</t>
  </si>
  <si>
    <t>1310656087813754880</t>
  </si>
  <si>
    <t>Azerbaycan Sağlık Bakanı Oktay Şiraliyev’le telefon görüşmesi yaptık. Ermenistan’ın insanlık dışı saldırısı sebebiyle kendisine taziye ve üzüntülerimizi belirttik. Kardeş Azerbaycan halkının yanındayız. Her türlü sağlık ihtiyaçlarında yardıma hazırız. https://t.co/CNYhh4L9qL</t>
  </si>
  <si>
    <t>1310637911021412354</t>
  </si>
  <si>
    <t>TRT WORLD, BU ÇARŞAMBA yayınlanacak belgeseliyle, Türkiye’nin COVID-19’la başarılı mücadelesini dünyanın dikkatine sunuyor. Çekimler, salgınla mücadelede rolü büyük iki hastanemizde 2 ay sürdü. Belgeselde dünyaca önemli isimlerin tanıklığı da yer alıyor. TRT’ye teşekkür ediyoruz. https://t.co/9RsYxITDEi</t>
  </si>
  <si>
    <t>1310630518271213574</t>
  </si>
  <si>
    <t>Virüse yakalanıp hasta olanların da çoğu şansına güveniyordu. Tedbirlere uyun.</t>
  </si>
  <si>
    <t>1310621904223510528</t>
  </si>
  <si>
    <t>Bugün uzun bir aradan sonra ilk defa günlük iyileşen hasta sayımız yeni hasta sayımızdan fazla. Bugün tespit edilen 1.412 yeni hasta var. Tedbirlerin netice verdiğinden eminiz. Virüsü yenene kadar birlikte mücadele edelim, tedbirlere birlikte uyalım. https://t.co/RVlhe7786O</t>
  </si>
  <si>
    <t>1310616217733009413</t>
  </si>
  <si>
    <t>Ermenistan, Azerbaycan’a hain bir saldırıda bulundu. Yoğun bombardıman sonucu sivillerden çok sayıda yaralı ve kayıp oldu. Devlet olabilme onuru ve insanlık değerleriyle bağdaşmayan saldırıyı kınıyoruz. Meşru cevap için harekete geçen kardeş Azerbaycan’ın yanındayız.</t>
  </si>
  <si>
    <t>1310323151239344133</t>
  </si>
  <si>
    <t>Hafif şikayetleri olup tedavisi evde yapılan veya semptomsuz ama izolasyon kuralına kesinlikle uyması gereken kişilerden bazılarının, bu kurala nedense uymadığı bilgisini alıyoruz. Testi pozitif çıkan kişi, bulaştırıcılık açısından kendini tıpkı hastanedeki hasta gibi görmelidir. https://t.co/AIgTs1ihRo</t>
  </si>
  <si>
    <t>1310281811700916224</t>
  </si>
  <si>
    <t>Virüse yayılma fırsatı veren bizleriz. Mücadelenin kurallarına ne kadar uyarsak, o kadar geriliyor.</t>
  </si>
  <si>
    <t>1310256559184924672</t>
  </si>
  <si>
    <t>Uzun bir aradan sonra ağır hasta sayımız azaldı. Bugün 1.583 ağır hastamız var. Zatürre oranı da düşmeye devam ediyor. Yeni hasta sayısı azalma eğiliminde. Tedbirlerin netice verdiği tartışmasız bir gerçek. Birlikte tedbirlere uyarak virüsü yenelim. https://t.co/RVlhe7786O</t>
  </si>
  <si>
    <t>1310248030176792576</t>
  </si>
  <si>
    <t>Kurallardan taviz verirseniz, hasta sayımızın artması ve yeni kayıplarla karşılaşmamız kaçınılmazdır. Filyasyon ekipleri her vakada temaslılara ulaşıp, pozitif kişilerin tespitini sağlasa bile, siz bu savaşta kararlı olmadıkça istenilen sonucu alamayız. Tedbirde kararlı olun. https://t.co/9cDSk5jOlK</t>
  </si>
  <si>
    <t>1310222881142571009</t>
  </si>
  <si>
    <t>Hayatımızın en uzun gecelerini yaşıyoruz. Hastalarını hayatta tutmaya çalışırken kendisi virüse yenilen arkadaşlarımız oldu. Pek çok arkadaşımız iyileşir iyileşmez mücadeleye geri döndü. Polikliniklerimiz 24 saat açık. Sizin için göreve her an hazırız. Ama en iyi çözüm tedbirdir. https://t.co/RhtSxLml2t</t>
  </si>
  <si>
    <t>1310217751483633665</t>
  </si>
  <si>
    <t>Dr. Gülbahar Çalışkan, 40 yaşında bir hastanın öyküsünü anlatıyor: Hasta solunum cihazındayken uyandı, kâğıt istedi. Kâğıda, “Eşimi çok seviyorum, ona söyleyin” yazdı. 2 gün sonra kendisini kaybettik. Kâğıdı eşine veremedik, burası izole bir bölüm. Dışarıya bir şey çıkaramıyoruz. https://t.co/imP9cKXjPx</t>
  </si>
  <si>
    <t>1310157569256820736</t>
  </si>
  <si>
    <t>NE YAPIYORUZ, NE İSTİYORUZ? Son haftalarda operasyon ölçeğimizi büyüttük. Temaslı taramasında daha da etkiniz. Test sayılarımızı artırdık. Tedaviyi erkenden başlatıyoruz. Yerel tedbirler uyguluyoruz. Sizden tek isteğimiz şu: Maske ve mesafe kuralıyla virüsten kendinizi korumanız.</t>
  </si>
  <si>
    <t>1310126989387460608</t>
  </si>
  <si>
    <t>Sağlık çalışanına şiddet, sadece mağdurun sorunu ve yasanın konusu değildir. Toplumun ortak sorunudur. Dostça çalışma ortamı, nitelikli hizmet güvencesidir. Yasa ve ahlak iş birliği yapmalıdır. Dahası: Sağlık çalışanı, savaşta bile güvence altındadır. Şiddete karşı bir olmalıyız.</t>
  </si>
  <si>
    <t>1309939096110936065</t>
  </si>
  <si>
    <t>Çapa Tıp Fakültesi’nde görevli hasta bakıcımız, maskesini doğru takması için uyardığı kişi tarafından darp edilmiş ve göz ameliyatına alınmıştı. Saldırgan, Çağlayan Adliyesi’nde "kasten yaralama" suçundan tutuklanarak cezaevine gönderildi. Şiddete karşı bir olmalıyız.</t>
  </si>
  <si>
    <t>1309934480514338816</t>
  </si>
  <si>
    <t>İstanbul’da salgın sürecinde kurduğumuz Prof. Dr. Feriha Öz, Prof. Dr. Murat Dilmener Acil Durum Hastanelerini ziyaret ettik. Çalışma arkadaşlarımızla mücadelede son durumu inceledik. Kontrol altındaki durumun daha iyi yönetilmesi için tedbirleri her birimiz tavizsiz uygulayalım. https://t.co/LcnkoXjfHz</t>
  </si>
  <si>
    <t>1309923914332737538</t>
  </si>
  <si>
    <t>Bugün tespit edilen 1.511 yeni hastamız var. Hasta sayısındaki düşüş işareti bizi tedbirlere daha sıkı tutunmaya davet ediyor. Ağır hasta sayımızda da artış hızı azalma eğiliminde. Birlikte mücadele tedbirlere birlikte uyarak mümkün. https://t.co/RVlhe7786O</t>
  </si>
  <si>
    <t>1309894736803758083</t>
  </si>
  <si>
    <t>Pandemide bize ilaç oldunuz. Dünya Eczacılar Gününüz kutlu olsun.</t>
  </si>
  <si>
    <t>1309564065749106690</t>
  </si>
  <si>
    <t>SAMSUN, ORDU, ÇORUM, AMASYA, TOKAT, SİNOP il sağlık müdürleri, hastane başhekimleri ve saha koordinatörlerimiz ile il bazında toplantılar yaptık. Salgında son durumu, filyasyon çalışmalarını, ihtiyaçları, planlanan sağlık yatırımlarını ele aldık. Çabalarımız karşılığını buluyor. https://t.co/GFvwRyuZMS</t>
  </si>
  <si>
    <t>1309544143547437063</t>
  </si>
  <si>
    <t>Bugün tespit edilen 1.665 yeni hastamız var. Bölgesel çalışmalarımızın neticesini görmeye başladık. Önümüzdeki günlerde yeni hasta sayılarının salgını kontrol altına aldığımızı göstereceğine inanıyorum. Virüsle hep birlikte mücadele edelim. https://t.co/RVlhe7786O</t>
  </si>
  <si>
    <t>1309539823665938432</t>
  </si>
  <si>
    <t>Salgınla mücadelede Samsun, Ordu, Çorum, Tokat, Amasya ve Sinop’ta son durum ve Türkiye değerlendirmesi: 
📍Samsun
https://t.co/2fLMoJfMGI</t>
  </si>
  <si>
    <t>1309531125325467648</t>
  </si>
  <si>
    <t>Satı Köksal, 23 yılını sağlık hizmetine adamış bir çalışma arkadaşımız, Samsun’daki genç hemşirelerimizin Hemşire Ablası. Bugünlerde bir sağlık sorunu olmuş. Geçireceği operasyon öncesinde, kendisini ziyaret ettik. İyileşip, işinin başına dönecek. Tecrübesine ihtiyacımız var. https://t.co/2NA2SU5hDj</t>
  </si>
  <si>
    <t>1309471089140133893</t>
  </si>
  <si>
    <t>Samsun Eğitim ve Araştırma Hastanemizi, Hematoloji bölümünde tedavi gören hastalarımızı, çalışma arkadaşlarımızı ziyaret ettik. Hastanemiz, genel sağlık hizmetleriyle birlikte, salgınla mücadeleyi başarıyla sürdürüyor. https://t.co/GVQrHpMd2F</t>
  </si>
  <si>
    <t>1309458981375692800</t>
  </si>
  <si>
    <t>SAMSUN’DAYIZ. Ordu, Çorum, Tokat, Amasya, Sinop ve Samsun illerimizin sağlık müdürleri ve saha koordinatörlerinin katılımlarıyla bölge değerlendirme toplantılarımızı gerçekleştireceğiz. Birlikte mücadele ile başaracağız. https://t.co/CGwaUZgW8z</t>
  </si>
  <si>
    <t>1309424514107924481</t>
  </si>
  <si>
    <t>Hepimiz alın teri döküyoruz. Sağlık çalışanları, salgında bu teri tepeden tırnağa döküyor. https://t.co/2bPazoFPUU</t>
  </si>
  <si>
    <t>1309257603923480579</t>
  </si>
  <si>
    <t>11 kentimizin Sağlık Müdürleriyle ayrı ayrı toplantı yaptık. Ankara, Konya, Kayseri, Adana, Malatya, Van, Elazığ, Adıyaman, Ağrı, Yozgat ve Erzurum’da, salgının şu anki seyrini, hasta ve taşıyıcı tespiti çalışmalarını, tedavileri ve alınması gereken ek tedbirleri değerlendirdik. https://t.co/oArJmGjYqz</t>
  </si>
  <si>
    <t>1309227808368058371</t>
  </si>
  <si>
    <t>Ağır hasta sayımız 1.573’e ulaştı. Hastalarda zatürre oranı (%6.6) düşmeye devam ediyor. Bugün  tespit edilmiş yeni hasta sayımız 1.721. Sağlıkçılarımız son derece özverili. Tedbirlere uyarak sağlık çalışanlarımızın yanında olalım. https://t.co/RVlhe7786O</t>
  </si>
  <si>
    <t>1309165429819150338</t>
  </si>
  <si>
    <t>Ağır hasta sayımız bugün 1.561’e yükseldi. Aktif hasta sayımız artmaya devam ediyor. Bugün tespit edilen 1.767 yeni hastamız var. Sağlık sistemimizin sürdürülebilir ve sağlık çalışanlarımızın hizmet verebilir kalmaları için tedbirleri birlikte uygulayalım. https://t.co/RVlhe7786O</t>
  </si>
  <si>
    <t>1308799086120796160</t>
  </si>
  <si>
    <t>Keçiören EA Hastanemize yaptığımız ziyarette, dün gerçekleşen ve sağlık çalışanlarımıza yönelik şiddet konusunda tüm duyarlıkları harekete geçiren olayı, yaşayanların tanıklığı ve kamera kayıtlarıyla değerlendirdik. Mesaj net: Fedakârlık, ruhumuzda. Güvenlik, kırmızı çizgimizdir. https://t.co/TBg93FhLe3</t>
  </si>
  <si>
    <t>1308526945852960768</t>
  </si>
  <si>
    <t>Keçiören EAH Acil Servisindeki arkadaşlarımı ziyaret ettim. Emniyet güçlerimizce incelenen kamera kayıtları, arkadaşlarımızın beyanı olayın ciddiyetini ortaya koymuştur. Cumhuriyet Başsavcılığımız süreci başlatmıştır. Sağlık camiası olarak üzgün ve konunun takibinde kararlıyız. https://t.co/GPCaSFfZbA</t>
  </si>
  <si>
    <t>1308478521338146816</t>
  </si>
  <si>
    <t>Ağır hasta sayımız 1.522’ye ulaştı. Zatürre oranında düşüş devam ediyor. Bugün 1.692 yeni hastamız var. Tedbirlere uygun hareket ederek gecesi gündüzü bizim için çalışmakla geçen sağlık çalışanlarımıza destek verelim. Birlikte başaracağız. https://t.co/RVlhe7786O</t>
  </si>
  <si>
    <t>1308438362630520832</t>
  </si>
  <si>
    <t>https://t.co/3tt1w2fncx</t>
  </si>
  <si>
    <t>1308326358129487875</t>
  </si>
  <si>
    <t>https://t.co/OPTh4noYEe</t>
  </si>
  <si>
    <t>1308326339716558848</t>
  </si>
  <si>
    <t>https://t.co/3XvMJZcCQj</t>
  </si>
  <si>
    <t>1308326319986487301</t>
  </si>
  <si>
    <t>“Sağlık çalışanına saygı bir insanlık kalitesidir.” 
(Bu sabah yayınlanacak basın açıklamamızdan.)</t>
  </si>
  <si>
    <t>1308208163418710018</t>
  </si>
  <si>
    <t>Keçiören EAH Acil Servisinde, çok sayıda kişi, ateşli silahla yaralanan, müdahalelere rağmen kurtarılamayan yakınlarını, kuralları zorlayarak görmeye çalıştı. Arkadaşlarımız, şiddet olasılığına karşı, kapıyı kapalı tuttu. Şiddetin ihtimali bile olmamalı. Devlet, geçit vermeyecek! https://t.co/m3pbNz03DS</t>
  </si>
  <si>
    <t>1308183704934789121</t>
  </si>
  <si>
    <t>Bugün 1.743 yeni hasta tespit edildi. Can yakan 68 kaybımız var. Ağır hasta sayımız 1.500’e yaklaştı. Sağlık çalışanlarımızın özverili çalışmalarının sürdürülebilmesi için onların yükünü azaltmalıyız. Bu ancak tedbirlere uyarak gerçekleşebilir. https://t.co/RVlhe7786O</t>
  </si>
  <si>
    <t>1308086083641577476</t>
  </si>
  <si>
    <t>Bir hemşire arkadaşımız “Gülüşümüzdeki çiçekler soldu.” demiş. Özverili sağlık personeli istiyorsanız, tedbir alın. Hasta yükümüz azalsın.</t>
  </si>
  <si>
    <t>1307733072679444480</t>
  </si>
  <si>
    <t>Bugün ağır hasta sayımız 1.456’ya ulaştı. Artış hızı yavaşlamış olsa da bu sayı azalmadan huzurlu olamayız. Birlikte mücadele virüsü yenecek en önemli güç. Sağlık çalışanlarımıza vefa göstergemiz tedbirde güç birliğidir. https://t.co/RVlhe7786O</t>
  </si>
  <si>
    <t>1307711227360088064</t>
  </si>
  <si>
    <t>Kötümserlik bugüne kadar tedbir yerine geçmemiştir. Kötümserlik yayarak, virüsün gücünü ölçüsüzce büyütenlere maske, mesafe ve temizlik önerin.</t>
  </si>
  <si>
    <t>1307669454080356353</t>
  </si>
  <si>
    <t>Gribin sebebi İnfluenza virüsü, Koronavirüsle aynı şekilde bulaşır. Yakın mesafede, kapalı ortamda risk artar. Koronavirüse karşı alınan üç tedbiri sıkı uygularsak, grip vakalarını da azaltmış oluruz. Lütfen daha dikkatli olalım. Aynı anda iki virüsle savaşmak zorunda kalmayalım. https://t.co/fJ5Xi9CFKK</t>
  </si>
  <si>
    <t>1307611987103436800</t>
  </si>
  <si>
    <t>Sn. Yavaş, 
Teşekkür ederim. Covid pozitif ve şüpheliler HES Uygulamasına kayıtlıdır; bilgiler, talep eden kurumların entegrasyonuna açık. Sistem, istenirse şehir içi toplu taşımada da riski önlemeye elverişli. Devlet teamülü görünürlüğe feda edilmemeli. Mücadele birlikte mümkün. https://t.co/KH4sOGWiDk</t>
  </si>
  <si>
    <t>1307442629546827776</t>
  </si>
  <si>
    <t>İSPANYOL GRİBİ SALGININDA, Koronavirüsle aynı şekilde bulaşan H1N1 virüsüne karşı alınacak tedbir de aynıydı: Maske, mesafe, temizlik. Bunlar iyi bilinmiyordu, yaygın uygulanmadı. Virüs 500 Milyon insana bulaştı. 50 ila 100 Milyon can kaybı oldu. O salgından tedbir dersi alalım. https://t.co/9aii4Sqwda</t>
  </si>
  <si>
    <t>1307379178145222656</t>
  </si>
  <si>
    <t>100 YIL ÖNCE dünya bir salgın yaşadı. İspanyol Gribi salgınında tahminen 50-100 Milyon can kaybı oldu. Hastalığa yol açan H1N1 virüsü, bugünkü Koronavirüsle aynı şekilde bulaşıyordu. Sizce, can kaybı neden I. Dünya Savaşındakinden bile fazlaydı? Üzerinde düşünmeye değer bir soru.</t>
  </si>
  <si>
    <t>1307375283914371079</t>
  </si>
  <si>
    <t>Bugün ağır hasta sayımız 1.432'ye ulaştı. Sağlık çalışanlarımızın en büyük mücadelesi ağır hastalarımızı iyileştirmeye yönelik. Ağır hasta sayımızı azaltmak elimizde. Tedbirlere uymamız için bu uyarılar bize yetmeli. Birlikte mücadele edelim. https://t.co/RVlhe7786O</t>
  </si>
  <si>
    <t>1307351404030423042</t>
  </si>
  <si>
    <t>İZMİR, MANİSA, AYDIN, MUĞLA, UŞAK, DENİZLİ il sağlık müdürleri, hastane başhekimleri ve saha koordinatörlerimiz ile il bazında toplantılar yaptık. Salgında son durumu, filyasyon çalışmalarını, tamamlanan ve planlanan sağlık yatırımlarını ele aldık. Çabamıza tedbirle destek verin. https://t.co/elYC6IYUeV</t>
  </si>
  <si>
    <t>1307014106898141185</t>
  </si>
  <si>
    <t>Toplam hastalığa yakalanmış kişi sayısı yaklaşık 300.000 oldu. Bugün 62 CAN kaybımız var. Hastalıkla mücadele etmek tedbirde mücadele birlikteliği ile mümkün. BİRLİKte mücadele edelim. Sağlık çalışanlarımızın omuzlarındaki yükü azaltmak sorumluluğumuz. https://t.co/RVlhe7786O</t>
  </si>
  <si>
    <t>1306993631916687360</t>
  </si>
  <si>
    <t>Salgınla mücadelede İzmir, Manisa, Aydın, Muğla, Uşak ve Denizli’de son durum ve Türkiye değerlendirmesi: 
📍İzmir
https://t.co/1oH9shCR08</t>
  </si>
  <si>
    <t>1306982916057174016</t>
  </si>
  <si>
    <t>İZMİR’İN DEĞERLİ SAKİNLERİ. Bugün sabah saatlerinden itibaren beraberiz. Arkadaşlarımla İzmir ve çevre illerin salgınla mücadelede son durumunu, yeni hedefleri değerlendirdik. Tedbir yayıldıkça virüs geriliyor. https://t.co/p6VNjMNNeh</t>
  </si>
  <si>
    <t>1306977223480573955</t>
  </si>
  <si>
    <t>83 Milyon, filyasyon ekiplerimizle gurur duyuyoruz. Virüse dur demek için, dedektifler gibi iz sürüyorlar. Başarıları dünya televizyonlarına konu oluyor. Böyleyken hangimiz, kapımızı çalmalarını isteriz? Hiçbirimiz. Öyleyse, maske ve mesafe kuralına uyalım. Temastan uzak duralım. https://t.co/G9f3afBHO5</t>
  </si>
  <si>
    <t>1306950642800431106</t>
  </si>
  <si>
    <t>Daha önce, Diyarbakır ve Van’a gitmiş, çevre iller dâhil, 9 ilimiz için durum değerlendirmesi yapmıştık. Bugün İzmir’deyiz. İlk olarak Kâtip Çelebi Üniversitesi Eğitim Araştırma Hastanesi kardiyoloji bölümünde tedavi gören hastalarla sağlık çalışanı arkadaşlarımızı ziyaret ettik. https://t.co/ap0l5jgLp8</t>
  </si>
  <si>
    <t>1306936118454165509</t>
  </si>
  <si>
    <t>İÇİMİZDEKİ EN BABAYİĞİT KİŞİ İÇİN: Testi pozitif çıkarsa, içimizdeki en babayiğit kişiye bile çok şey olur. Hiçbir şey olmazsa, en az 1 hafta hayattan izole olur. Bana bir şey olmaz diyen konuyu tekrar düşünsün. Tedbirin, 83 Milyona, 1 milyon yüz bin sağlık çalışanına yararı var.</t>
  </si>
  <si>
    <t>1306870614490263554</t>
  </si>
  <si>
    <t>Sağlık kuruluşuna gelen vatandaşımızın testi pozitif çıkmış ve hastanede yatmak yerine evde izole edilmesi gerekiyorsa, kendisinin evine araçla bırakılmasını son derece önemsiyoruz. Bunun başarıldığı iller var. İstenilen düzeyde başarı olmayan illerde de hedef budur. https://t.co/ZARV9N8u89</t>
  </si>
  <si>
    <t>1306866823950987264</t>
  </si>
  <si>
    <t>DSÖ 70. Avrupa Bölge Komitesi Toplantısı Genel Kurulu bugün yapıldı. Direktör @hans_kluge gündemin Türkiye kısmında Suriyeli mültecilere yaptığımız sağlık yardımları üzerinde etraflıca durdu. Ülkemizi temsilen yaptığımız konuşmada 2021’in Sağlık Çalışanları Yılı olmasını önerdik. https://t.co/1k1FXGw6A2</t>
  </si>
  <si>
    <t>1306712132344598528</t>
  </si>
  <si>
    <t>Ülkemizin deneyimli siyasetçilerinden, Saadet Partisi lideri Temel Karamollaoğlu ağabeyimizle sohbet etme şansımız oldu. Koronavirüs salgınında son durum, sağlık altyapımız ve hizmetlerimiz hakkında konuştuk. Verdiğim bilgiler gönlünü müsterih etti. Ziyareti için müteşekkirim. https://t.co/cw1Xkxf603</t>
  </si>
  <si>
    <t>1306694574837043203</t>
  </si>
  <si>
    <t>Adnan Menderes, 27 Mayıs darbesinden sonra Yassıada Mahkemesinde idamla yargılanırken “Hiçbir şey için müteessir değilim.” demişti. Onu, kendisiyle birlikte idam edilen iki arkadaşını bir kez daha derin bir üzüntüyle anıyoruz. Demokrasiye ve milletimize yapılanları unutmayacağız. https://t.co/iExLxzsbV4</t>
  </si>
  <si>
    <t>1306692237326274561</t>
  </si>
  <si>
    <t>Güçlü bir tanı ve uyarı sistemi kurduk. Filyasyonla, hasta veya taşıyıcıların temaslısı olan kişilere ulaşıyoruz. Her pozitif sonucu HES mobil uygulamasına yüklüyoruz. Bu, salgını bütün boyutlarıyla gösteren bir sistemdir. Günlük tabloda asıl önem kazanan başlıklar öne çıkmıştır. https://t.co/babnN5HZs8</t>
  </si>
  <si>
    <t>1306688205606060032</t>
  </si>
  <si>
    <t>Önümüzdeki dönemde üzerinde asıl durulması gereken şu olmalıdır: Başkasına bulaştırmadığı sürece, semptomu olmayan, sadece taşıyıcı olan kişi sayısının önemi yok. Önemli olan hastane ortamında tedavi edilmesi gereken hastalar ve bunların sayısıdır. Bunu Bilim Kurulu’nda konuştuk. https://t.co/kUsFIqBYMF</t>
  </si>
  <si>
    <t>1306671693876940800</t>
  </si>
  <si>
    <t>Dünyanın hiçbir yerinde, temaslı taraması ve hızlı tanıyla erken dönemde ilaç başlanmıyor. Dünyanın hiçbir yerinde, zatürre oranının bu şekilde düştüğü görülmüyor. Vaka yükümüz bu düşüş sebebiyle sistemi sarsmıyor. Zatürre oranı %75-80 kadar düşmeseydi sistem yükü kaldıramazdı. https://t.co/BdM985qwkS</t>
  </si>
  <si>
    <t>1306664748319215616</t>
  </si>
  <si>
    <t>Testi pozitif çıkan kişileri evine araçla bırakıyoruz. Temaslıların taramasını 15 saat içinde yapıyoruz. İzole edilen taşıyıcıyı arıyor, semptom gelişmişse 112 Acille hastaneye getiriyoruz. Bu sistem tüm illerde uygulanıyor. Dünyada böyle bir uygulama söz konusu değil. https://t.co/jlnIgokobI</t>
  </si>
  <si>
    <t>1306662164107849728</t>
  </si>
  <si>
    <t>Toplamda 9 milyona yakın test yapıldı. Bugün 1.648 yeni hastamız var. Kayıplarımızı ve ağır hasta sayısında artışı durdurmak elimizde. Tedbirlere hep birlikte uyarsak başarılı olacağız. Tedbirlere uyarak sağlık ordumuzun gücüne güç katın. https://t.co/RVlhe7786O</t>
  </si>
  <si>
    <t>1306633891915198466</t>
  </si>
  <si>
    <t>Sayı onlarla ifade edilirken, Bilim Kurulu maskeyi bütün ülke için zorunlu görmedi. Şüpheli, temaslı veya pozitif kişiler artınca, artık herkesin kendisini pozitifmiş gibi düşünüp, maske takması gerektiğine karar verdi. Uygulama doğruydu. Şu an bütün dünyada buna itiraz eden yok. https://t.co/MUPhEeH3Gf</t>
  </si>
  <si>
    <t>1306614849858928647</t>
  </si>
  <si>
    <t>Tedbir mi güçlü tehdit mi?
Kurallara uyanlar cevabı biliyor.</t>
  </si>
  <si>
    <t>1306517917241167873</t>
  </si>
  <si>
    <t>Bilim dünyası aşıda yıl sonuna dek sonuç alınacağına inanıyor. Faz 3 aşamasında 9 aşı var. İngiltere, Almanya, Çin ön uygulamaya geçti. Türkiye tedarik sürecini başlattı. Çin Sinovac aşısının ilk uygulamasına Hacettepe Üniversitesinde, 3 gönüllü sağlık çalışanıyla bugün başlandı. https://t.co/hof35iwJ67</t>
  </si>
  <si>
    <t>1306357047739461633</t>
  </si>
  <si>
    <t>İlk döneme kıyasla, sağlık çalışanlarımızın yükü dört beş kat artmış durumda. Onların cephede sizin için göğüs göğüse çarpışan kişiler olduğunu bilin. Bu mücadelede onlara verebileceğiniz yegâne destek, kendinizi korumanızdır. Hastanelerimize, hastalığa yakalanmayarak güç katın. https://t.co/3tdeNCuW91</t>
  </si>
  <si>
    <t>1306328352337395714</t>
  </si>
  <si>
    <t>Bilim Kurulu Toplantımızın ardından Koronavirüs ile ilgili son gelişmeler ve aldığımız yeni tedbirlere ilişkin basın açıklamamız.
📍SAĞLIK BAKANLIĞI BİLKENT YERLEŞKESİ / ANKARA
https://t.co/Lpn3YMWscI</t>
  </si>
  <si>
    <t>1306276933693472769</t>
  </si>
  <si>
    <t>Zor olan, kurallara uymak değil, sağlıklı günlerimize muhtaç kalmaktır. Tedbirde hassasiyet, mücadelede birlik ve beraberlik gerektirir.</t>
  </si>
  <si>
    <t>1305915343873941510</t>
  </si>
  <si>
    <t>Aktif hasta sayımız da ağır hasta sayımız da artmaya devam ediyor. Kayıplarımız can yakmaya devam ediyor. İyileşenlerimizin sayısı kayıplarımızın sayısını ancak tedbirle geçebilir. Mücadelede GÜÇ BİRLİĞİ yaparsak virüsü yenebiliriz. https://t.co/RVlhe7786O</t>
  </si>
  <si>
    <t>1305900400336347138</t>
  </si>
  <si>
    <t>ANKARA, İZMİR, KAYSERİ, ÇANKIRI ve ADIYAMAN’ın sağlık müdürleriyle ayrı ayrı video konferansta bir araya geldik. Vaka artışlarının sebeplerini, yoğun bakım kapasiteleri ve filyasyon oranlarını ele aldık. İlave tedbirleri değerlendirdik. BAŞARI, BİRLİKTE MÜCADELEDE GİZLİDİR. https://t.co/qF6Uvrpn9T</t>
  </si>
  <si>
    <t>1305645316671180800</t>
  </si>
  <si>
    <t>Sayın Devlet Bahçeli’nin salgın ile mücadelemize verdikleri desteğe, hassasiyetlerine ve sağlık ordumuza gösterdikleri teveccühe teşekkür ediyorum. Bu mücadele ancak milletçe başarıya ulaşabilir. Birlik olup başaracağız. https://t.co/yy7X1eA7FE</t>
  </si>
  <si>
    <t>1305573685382742016</t>
  </si>
  <si>
    <t>DOKTOR MEHMET ULUSOY. Malatya’da doğdu. İstanbul Tıp Fakültesi’nden mezun olduktan sonra Mikrobiyoloji Uzmanı olarak uzun yıllar hastalarına hizmet verdi. Mesleğine aşık ve spor yapmayı çok seven bir sağlık çalışanıydı. COVID-19 onu bizden kopardı. Mücadelesi için #minnettarız https://t.co/Rvbq8f1C6z</t>
  </si>
  <si>
    <t>1305570229402169344</t>
  </si>
  <si>
    <t>Hastalığın bulaşma hızında tespit edilmiş bir yavaşlama yok. Bugün hastalığa yakalanan 1.716 yeni hastamız var. Kayıplarımızın sayısı 60’tan fazla. Tek tek mücadele edemeyiz ama birlikte galip gelebiliriz. BİRLİKte TEDBİRlere uyalım. https://t.co/RVlhe7786O</t>
  </si>
  <si>
    <t>1305546059310141441</t>
  </si>
  <si>
    <t>Suriye'de teröristlerin Kızılay aracına saldırısı sonucu 1 Kızılay personelimiz şehit olmuş, 2 personelimiz de yaralanmıştır. Yaralıların ilk müdahalesi yapılarak Kilis Devlet Hastanesi’ne sevki gerçekleşmiştir. Şehidimize Allah’tan rahmet, yaralılarımıza acil şifalar diliyorum.</t>
  </si>
  <si>
    <t>1305490447977115649</t>
  </si>
  <si>
    <t>Ağır hasta sayısı artışı, virüse karşı birlikte mücadele etmemizi zorunlu kılıyor. Sağlık çalışanlarımız tedbirli davranmamız konusunda ısrarcılar. Kurallara uymak vicdani de bir sorumluluktur. Bireysel sorumsuzluklar toplumsal zafere gölge düşürür. Hedefimizden uzaklaşmayalım. https://t.co/ChQBgT1VVv</t>
  </si>
  <si>
    <t>1305230520759005185</t>
  </si>
  <si>
    <t>57 CAN kaybı, 1.527 yeni hasta. Virüs sevdiklerimizi bizden ayırıyor. Bu gidişe dur diyecek olan Birlik ve Beraberlik içinde mücadeledir. TEDBİRde BİRLİK olalım virüse fırsat vermeyelim. https://t.co/RVlhe7786O</t>
  </si>
  <si>
    <t>1305183117834170368</t>
  </si>
  <si>
    <t>Toplu ulaşım araçları ile seyahat etmeye çalışan 125.246 kişi HES koduyla riskli olduğu için engellenmiştir. Bu sayı HES kodu kullanmaya başladığımız tarihten bu yana toplam engellenen kişi sayısıdır. MÜCADELE BİRLİKTELİĞİ hepimizi virüsten kurtaracak olan güçtür. https://t.co/5UoEh6ptCN</t>
  </si>
  <si>
    <t>1304890416257433601</t>
  </si>
  <si>
    <t>Salgınla mücadele hepimizin görevi. BİRBİRİMİZLE DEĞİL, SALGINLA MÜCADELE EDELİM. https://t.co/f5YEpz6Uqw</t>
  </si>
  <si>
    <t>1304871842134536193</t>
  </si>
  <si>
    <t>Tüm dünyayı kasıp kavuran bu hassas dönemde her zamankinden daha duyarlı olmak zorundayız. Mücadelenin galibi olmak için BİRLİK OLALIM. https://t.co/3v1pXmIs1Q</t>
  </si>
  <si>
    <t>1304843470092238850</t>
  </si>
  <si>
    <t>Bugün yapılan yaklaşık 100 bin yeni test ile 1.509 yeni hasta tespit edildi. Ağır hasta sayımızda artış devam ediyor. Virüsü yenecek güç BİRLİKte MÜCADELEdir. https://t.co/RVlhe7786O</t>
  </si>
  <si>
    <t>1304819266869485571</t>
  </si>
  <si>
    <t>https://t.co/YZi25Gedyp</t>
  </si>
  <si>
    <t>1304780096159592450</t>
  </si>
  <si>
    <t>Demokrasi ve özgürlük derslerimizi çok acı tecrübelerle aldık. İzleri hala silinememiş “12 Eylül Darbesi” bunlardan sadece biridir. Milleti ve milletin iradesini hiçe sayan her türlü ideoloji, hareket ve girişimi lanetliyorum.</t>
  </si>
  <si>
    <t>1304720044283359232</t>
  </si>
  <si>
    <t>Nisan ayında Ağır Hastaların %76’sı İstanbul’daki hastanelerimizdeydi. Ancak son 1 ay içinde ağır hasta sayısı İstanbulda %42 arttı. İstanbul’da oluşabilecek riski birlikte yok edebiliriz. Mücadele gücümüz TEDBİRlere BİRLİKte uyum.</t>
  </si>
  <si>
    <t>1304677070199496704</t>
  </si>
  <si>
    <t>Nisan ayında hastaların %65’i, vefatların ise %54’ü İstanbul’daydı. Aldığımız tedbirler ile hasta sayısı %72, vefatlar %78 azaldı. 11 Eylül’de hasta sayısı geçen ayın hasta sayısının yaklaşık iki katı. Bugün filyasyon ekip sayımızı %34 artırdık. TEDBİRlere BİRLİKte uyalım.</t>
  </si>
  <si>
    <t>1304676936799719424</t>
  </si>
  <si>
    <t>Kuralları bizden daha iyi bilenler var. https://t.co/AtVcv5MFiu</t>
  </si>
  <si>
    <t>1304538262967590912</t>
  </si>
  <si>
    <t>Başakşehir Çam ve Sakura Şehir Hastanemizde bakan yardımcıları, il sağlık müdürü ve başhekimlerin katılımıyla; İstanbul’daki salgın seyrini ele aldığımız detaylı bir toplantı yaptık. Virüsle mücadele, toplumsal bir mücadeledir. Ortak düşmana karşı birlikte mücadele edelim. https://t.co/ysdKrIOr7V</t>
  </si>
  <si>
    <t>1304468546894934017</t>
  </si>
  <si>
    <t>Van’da teröristlerle yaşanan çatışmada şehit olan 3 vatan evladımıza Allah’tan rahmet diliyorum. Bir askerimiz Van Yüzüncü Yıl Üniversitesi Hastanesi’nde tedavi altına alındı, durumunu yakından takip ediyor, acil şifalar diliyorum. Milletimizin başı sağ olsun. https://t.co/RpaJAUB8b9</t>
  </si>
  <si>
    <t>1304465091375628288</t>
  </si>
  <si>
    <t>Bugün 56 CAN sevdiklerini geride bırakıp aramızdan ayrıldı. Birbirimizi korumak için sevdiklerimizi korumak zorundayız. Ancak birlikte mücadele ile bunu başarabiliriz. Virüsle etkin mücadele ancak BİRLİKTE TEDBİRle mümkün. https://t.co/RVlhe7786O</t>
  </si>
  <si>
    <t>1304450431108681731</t>
  </si>
  <si>
    <t>Tıp fakültesi son sınıf öğrencisi Merve, mücadelesine ve genç yaşına rağmen COVID-19’a yenik düştü. Annesi gibi sağlık çalışanı olarak aramıza katılacaktı. Kaybettiğimiz her bir can için acımız büyük. Çocuklarımız, gençlerimiz ve büyüklerimiz; lütfen tedbirlere riayet edelim. https://t.co/4LrZ08sUGj</t>
  </si>
  <si>
    <t>1304157936881729540</t>
  </si>
  <si>
    <t>Van'daki 112 Acil Çağrı Merkezi’nde görev yapan personelimizle buluştuk. 24 saat kesintisiz canla başla çalışan, her çağrıya koşan, "can kurtaran" tüm çalışanlarımıza şükranlarımı sunuyorum. https://t.co/nfBd1tp6F4</t>
  </si>
  <si>
    <t>1304152197706534912</t>
  </si>
  <si>
    <t>Aktif hastaların yaş ortalaması 42. Yoğun bakım hastalarının yaş ortalaması ise 65. Virüsün sevdiklerimizi bizden ayırmaması için birlikte tedbirlere uymakta ısrar edelim. Güçlü MÜCADELE BİRLİKTE tedbirle mümkün. https://t.co/RVlhe7oIYm</t>
  </si>
  <si>
    <t>1304104871524577280</t>
  </si>
  <si>
    <t>Van, Muş, Hakkari ve Bitlis illerimizle gerçekleştirdiğimiz değerlendirme toplantılarımızın ardından basın açıklamamız;
📍VAN
https://t.co/W3rQM0MQ6I</t>
  </si>
  <si>
    <t>1304091607222964224</t>
  </si>
  <si>
    <t>Van, Muş, Hakkari ve Bitlis illerimizin sağlık müdürleriyle ayrı ayrı toplantılarda bir araya gelerek; bu illerimizdeki COVID-19 seyrini ve yatırımlarımızı ele aldık. Salgınla başa çıkmakta en büyük gücümüz BİRLİKTE MÜCADELEDİR. https://t.co/P22cJUIiXF</t>
  </si>
  <si>
    <t>1304075187407720455</t>
  </si>
  <si>
    <t>DSÖ İstanbul Ofisi’nin açılışını Avrupa Bölge Direktörü @hans_kluge ile gerçekleştirdik. Bu ofis, COVID-19 ile mücadele başta olmak üzere, sağlık alanında insanlığın karşılaştığı tüm krizlere hem hazırlık hem de yanıt verebilme konusunda bölge ülkeleri için bir rehber olacak. https://t.co/6ONx0CsXfM</t>
  </si>
  <si>
    <t>1304036674763214849</t>
  </si>
  <si>
    <t>Nazlı kızımız 16 yaşında ve tedavisi başarıyla devam ediyor. Kendisinden lise eğitimine devam etmesi için söz aldık. Başkale Kız Meslek Lisesi Pansiyonu’nda artık yeri hazır. Çocuklarımızın sağlığı ve eğitimi konusunda çok hassas olmalıyız. https://t.co/zQQMDLgm7n</t>
  </si>
  <si>
    <t>1304017912638955523</t>
  </si>
  <si>
    <t>Van Bölge Eğitim ve Araştırma Hastanemizde, çalışma arkadaşlarımızı ve tedavi gören çocuklarımızı ziyaret ettik. Pandemi sürecinin genel sağlık hizmetlerini aksatmamasına özen gösteriyoruz. Gayretlerimiz ancak gayretlerinizle anlam kazanacaktır. https://t.co/IbpFMr89bn</t>
  </si>
  <si>
    <t>1304007651601403905</t>
  </si>
  <si>
    <t>Pandemi süreci başta olmak üzere, sağlık yatırımlarımızı değerlendirmek için bugün Van ilimizdeyiz. https://t.co/VRdktjI3IC</t>
  </si>
  <si>
    <t>1303989700517138438</t>
  </si>
  <si>
    <t>VAN’DAYIZ. Bölgemizde tamamlanan ve devam eden sağlık yatırımlarımızı gözden geçirecek ve pandemi mücadelemizi yerinde değerlendireceğiz. Virüsle mücadelemize ülkemizin her köşesinde aralıksız devam ediyoruz. https://t.co/ymhX2Fw2YJ</t>
  </si>
  <si>
    <t>1303971277305245696</t>
  </si>
  <si>
    <t>Fotoğrafta sohbet eden iki insan görmüyoruz sadece. Ailesini, arkadaşını ve ülkesini seven, onların sağlığını önemseyen iki sorumlu insan görüyoruz. Bu sorumuluk ve hassasiyeti gösteren herkese teşekkür ederim. https://t.co/NTFyZ3eJDD</t>
  </si>
  <si>
    <t>1303736801245491200</t>
  </si>
  <si>
    <t>Toplamda 8 milyondan fazla test yapıldı. Bugün ise 110.000’den fazla yapılan test sonucunda 1.673 yeni tanı konmuş hastamız var. Tedbirlere hepimiz destek verirsek virüse karşı daha güçlü olacağız. Bu güce destek verin, sevdiklerimizi koruyalım. https://t.co/RVlhe7786O</t>
  </si>
  <si>
    <t>1303724990261612545</t>
  </si>
  <si>
    <t>https://t.co/kC9FhECGYf</t>
  </si>
  <si>
    <t>1303628408103014401</t>
  </si>
  <si>
    <t>11 İLİMİZİN SAĞLIK MÜDÜRLERİYLE ayrı ayrı video konferans görüşmesi yaptık. İllerimizin durumu, filyasyon ekiplerinin performansı, erken ilaç kullanımı ve takibiyle, bu illerimizde alınması gereken ek tedbirleri konuştuk. İki gücümüz var: Tedbir, tedavi. Gücümüzü kullanalım. https://t.co/x3TLsIOHM0</t>
  </si>
  <si>
    <t>1303447417296125952</t>
  </si>
  <si>
    <t>Düzenli egzersiz ve fiziksel hareket sağlıklı yaşamın anahtarıdır. 
Fizyoterapistlerimiz aktif, bağımsız hareket edebilmenin ve daha kaliteli bir yaşamın güvencesidir. Sağlık ordumuzun güzide mensupları fizyoterapistlerimizin Dünya Fizyoterapistler Günü kutlu olsun. https://t.co/dm8P0a10lC</t>
  </si>
  <si>
    <t>1303414133354889216</t>
  </si>
  <si>
    <t>Bugün 110.000’den fazla test yapıldı ve 1.761 yeni hasta tespit edildi. Ağır hasta sayımız artmaya devam ediyor. Kayıplarımız can yakıyor. Bu durumu durduracak olan birlikte tedbirlere uymaktır. Güç birlikte tedbirde. https://t.co/RVlhe7786O</t>
  </si>
  <si>
    <t>1303367766800506880</t>
  </si>
  <si>
    <t>Günlük en çok hasta görülen ilimiz Ankara. Türkiye genelinde son bir haftada zatürre oranı artan ilimiz olmadı. Ağır hasta sayısı ise halen yükselmeye devam ediyor. Birlikte tedbirlere uyarsak sonunda yenilen virüs olacak. https://t.co/RVlhe7786O</t>
  </si>
  <si>
    <t>1303023645518897152</t>
  </si>
  <si>
    <t>Son bir ayda Koronavirüs’e yakalanan 100 kişiden 40,1’i 20-40 yaş aralığındaki gençler. Zatürre gelişen hastaların da %11’i yine bu yaş grubundan. Gençlerimiz kendilerini ve büyüklerimizi korumak için tedbirlere uyumda örnek olmalı. Virüse karşı GÜCÜMÜZ BİRLİKTE TEDBİR.</t>
  </si>
  <si>
    <t>1302677618207195138</t>
  </si>
  <si>
    <t>Son hafta günlük hasta sayısı en çok artan illerimiz; Van, Karaman, Erzincan, Çankırı ve Kayseri. Ağır hasta sayısı en çok olan illerimiz; İstanbul, Ankara, Konya, Erzurum ve Yozgat. Tedbirlere birlikte uyarak başarılı olabiliriz. Birlikte tedbirli olalım. https://t.co/RVlhe7786O</t>
  </si>
  <si>
    <t>1302638835998785537</t>
  </si>
  <si>
    <t>Sağlık çalışanlarımıza yapılan ek ödeme süresi pandemi nedeniyle 3 ay daha uzatılmıştır. Canla başla verilen mücadelenin karşılığı elbette bu değil, biliyorum.</t>
  </si>
  <si>
    <t>1302540675637039104</t>
  </si>
  <si>
    <t>KPSS sınavına girecek genç arkadaşlarım! Heyecanınız tedbiri elden bırakmaya yol açmasın; hayalleriniz gölgelenmesin. Hepinize başarılar diliyorum.</t>
  </si>
  <si>
    <t>1302315178084782082</t>
  </si>
  <si>
    <t>RT @RTErdogan: Bugün hizmete aldığımız Göztepe Prof. Dr. Süleyman Yalçın Şehir Hastanemizin ülkemize, milletimize, şehrimize hayırlı olması…</t>
  </si>
  <si>
    <t>1302309730635976706</t>
  </si>
  <si>
    <t>Sevdiklerimizi korumak için tedbirlere uymak zorundayız. Bu zorunluluk her birimiz için kimsenin bizi zorlamadan uymamız gereken bir ödevdir. Ancak birlikte mücadele ederek virüsü yenebiliriz. Gücümüz birlikte tedbirlere uymakta. https://t.co/RVlhe7786O</t>
  </si>
  <si>
    <t>1302280761576480769</t>
  </si>
  <si>
    <t>Göztepe Prof. Dr. Süleyman Yalçın Şehir Hastanemizi milletimizin hizmetine açtık. https://t.co/rMXoWzM3ng</t>
  </si>
  <si>
    <t>1302233365546962946</t>
  </si>
  <si>
    <t>Sağlık sistemimizi güçlendirmeye kararlı bir şekilde devam ediyoruz. PROF. DR. SÜLEYMAN YALÇIN ŞEHİR HASTANESİ Sn. Cumhurbaşkanımızın katılımıyla hizmete AÇILDI. Hastanemiz, yüksek kapasite ve teknolojiye sahip. Türkiye, sağlık sistemiyle dünyada fark yaratmaya devam edecek. https://t.co/n3jKnCxyif</t>
  </si>
  <si>
    <t>1302229953099030529</t>
  </si>
  <si>
    <t>Salgından etkilenerek görev yapamayan aile hekimleri ile aile sağlığı çalışanlarının maaşlarından artık kesinti yapılamayacak. Ayrıca COVID-19 hasta takibine göre 3 ay süreyle ek ödeme verilecek. Emeklerinin kıymeti karşılıksız olan sağlık çalışanlarımıza hayırlı olsun.</t>
  </si>
  <si>
    <t>1302138709735878656</t>
  </si>
  <si>
    <t>Yüksek teknolojik donanımı ve hizmet kapasitesiyle İstanbul’un en önemli sağlık merkezlerinden biri olacak Göztepe Şehir Hastanemizi yarın 15.00’da açıyoruz. Güçlü sağlık altyapımız en büyük güvencemiz. Bu güce inanın. https://t.co/JhSYVYG3tc</t>
  </si>
  <si>
    <t>1301987707330211842</t>
  </si>
  <si>
    <t>Bugün 200 laboratuvarda 117.113 yeni test yapıldı. Ağır hasta sayımızda artış devam ediyor. İyileşen hasta sayımız halen yeni hasta sayımızdan az. Dönem mücadele ve tedbirde GÜÇ birliği dönemidir. Birlik olalım. https://t.co/RVlhe7786O</t>
  </si>
  <si>
    <t>1301918551054352385</t>
  </si>
  <si>
    <t>Mardin, Şanlıurfa, Batman, Siirt, Şırnak ve Diyarbakır illerimizle COVID-19 salgınını değerlendirme toplantıları gerçekleştirdik.
📍DİYARBAKIR
https://t.co/HIkSjGTU2U</t>
  </si>
  <si>
    <t>1301910230813483008</t>
  </si>
  <si>
    <t>Mardin, Şanlıurfa, Batman, Siirt ve Şırnak illerimizin sağlık müdürleri ve diğer üst düzey sağlık yöneticileriyle bir araya gelerek bu illerimizde salgının seyrini ve planlanan sağlık yatırımlarını değerlendirdik. Dönem mücadelede ve tedbirde güç birliği dönemidir. Birlik olalım. https://t.co/ImxLlHRNLy</t>
  </si>
  <si>
    <t>1301896420442734592</t>
  </si>
  <si>
    <t>Diyarbakır Valimiz, İl Sağlık Müdürümüz, saha koordinatörlerimiz, hastane başhekimlerimiz ve ilgili başkanlıklarımızın katılımlarıyla, Diyarbakır İl Değerlendirme Toplantımızı gerçekleştirdik. https://t.co/K8kk4YSVLY</t>
  </si>
  <si>
    <t>1301810033798381570</t>
  </si>
  <si>
    <t>Bölgedeki COVID-19 salgınının seyri, planladığımız ve yapımı devam eden sağlık yatırımları üzerine değerlendirmelerde bulunmak üzere Diyarbakır’dayız. https://t.co/8P8o6JFdbG</t>
  </si>
  <si>
    <t>1301797517521231873</t>
  </si>
  <si>
    <t>Yeni yargı yılının başlaması münasebetiyle Yargıtay 1. Başkanı Sn. Mehmet Akarca, Yargıtay Başsavcısı Sn. Bekir Şahin ve Danıştay Başkanı Sn. Zeki Yiğit’i ziyaret ederek iyi dileklerimi sundum. https://t.co/4kXE4gz6it</t>
  </si>
  <si>
    <t>1301581897395572737</t>
  </si>
  <si>
    <t>En çok hasta bulunan beş ilimizde pnömoni oranları; Ankara: %4.7, İstanbul: %4.61, Konya: %8.78, Kayseri: %6.49, Diyarbakır: %8,37. Güç tedbirde. https://t.co/RVlhe7786O</t>
  </si>
  <si>
    <t>1301553662792261632</t>
  </si>
  <si>
    <t>Sağlık çalışanlarımız, Koronavirüs’e yakalanmış hastaları sevdiklerine kavuşturmak için tüm mesailerini harcayıp hayatlarını tereddütsüz riske atmakla kalmıyor; çocuklarından, ailelerinden, sevdiklerinden ve sosyal çevrelerinden de kendilerini mahrum ediyorlar. https://t.co/foesaBl7Fi</t>
  </si>
  <si>
    <t>1301530895439089664</t>
  </si>
  <si>
    <t>Binali Yıldırım Bey ve kıymetli eşi Semiha Hanım’ın Ankara Şehir Hastanemizde yapılan tetkiklerinde COVID-19 testleri pozitif çıkmıştır. Şu an için durumları iyi ve kendilerini evde tedavileri için hastanemizden uğurladık. Gücümüz tedbir almaya ve sevdiklerimizi korumaya yeter. https://t.co/LGzf1tgxFI</t>
  </si>
  <si>
    <t>1301501461826801665</t>
  </si>
  <si>
    <t>Hayatımızın en mutlu anları olan nişan ve düğünlerimiz, taziyelerin sebebi olmasın. Anlayışınıza inanıyorum. https://t.co/aWaOQmr0rR</t>
  </si>
  <si>
    <t>1301460130995875840</t>
  </si>
  <si>
    <t>HES kodu ve filyasyon uygulamalarımız, virüsün bulaştığı yolları takip etmek ve yayılmasının önüne geçmek için kullandığımız en etkin yollar. Başarı, hepimizin özveri ve ortak çalışmasıyla gelecek. https://t.co/DjjiZMdoYc</t>
  </si>
  <si>
    <t>1301448524341665792</t>
  </si>
  <si>
    <t>Her bir sağlık personeli, hayatınızla ölüm arasındaki köprüde kollarını açmış duruyor. Onlara gerekli saygıyı gösterelim, teşekkürü bir borç bilelim... https://t.co/ROcvGPX0Aa</t>
  </si>
  <si>
    <t>1301278752324845568</t>
  </si>
  <si>
    <t>Bugün aktif vaka sayımız 649 daha arttı. Ağır hasta sayımız 1.000’in üzerinde. Can kayıplarımızı azaltmak ve sevdiklerimizi korumak zorundayız. Bu tedbirle mümkün. Güç tedbirde. https://t.co/RVlhe7786O</t>
  </si>
  <si>
    <t>1301208583758114822</t>
  </si>
  <si>
    <t>Toplum Bilimleri Kurulumuzun önerisi ile Salgın Yönetiminin doğru iletişimi açısından bundan sonra günlük ve haftalık daha detaylı bilgileri https://t.co/RVlhe7786O adresinden takip edebileceksiniz. Önemli gelişmeleri buradan sizlerle paylaşmaya devam edeceğim.</t>
  </si>
  <si>
    <t>1301207413371142144</t>
  </si>
  <si>
    <t>Bilim Kurulu Toplantımızın ardından Koronavirüs ile ilgili son gelişmeler ve aldığımız yeni tedbirlere ilişkin basın açıklamamız.
📍SAĞLIK BAKANLIĞI BİLKENT YERLEŞKESİ / ANKARA
https://t.co/TXRaERi7k0</t>
  </si>
  <si>
    <t>1301204686696054787</t>
  </si>
  <si>
    <t>Kayıplarımızın ve ağır hastalarımızın sayısını azaltacak olan da bitirecek olan da tedbirlere tam uyumdur. Aktif hasta sayımız artmaya devam ediyor. Tedbirlere uyarsak kazanan biz olacağız. Güç tedbirde. https://t.co/RVlhe7786O https://t.co/CvwUHE6pae</t>
  </si>
  <si>
    <t>1300825878860107781</t>
  </si>
  <si>
    <t>"BAZEN O NEFES GERİ GELMİYOR.” Alpaslan Ö.’nün hastalıkla mücadele tecrübesine kulak verin. https://t.co/Fk9nhG4sqI</t>
  </si>
  <si>
    <t>1300813140914040842</t>
  </si>
  <si>
    <t>Bugün en yüksek günlük test sayısına ulaştık. 110.000’den fazla test yapıldı. 1.587 yeni hasta tespit edildi. Can kayıplarımızın üzüntüsünü sözcükler de rakamlar da ifade edemez. Gücümüz tedbir almaya ve sevdiklerimizi korumaya yeter. Güç tedbirde. https://t.co/RVlhe7786O https://t.co/LqYvq5H2SB</t>
  </si>
  <si>
    <t>1300463394764599303</t>
  </si>
  <si>
    <t>Büşra kızımızla telefonda görüştüm. Sağlık çalışanlarımızın ve tüm kadınların haklarının sonuna kadar yanında olduğumuzu herkes bilsin. Aşure bizim birlik, paylaşma ve dayanışma sembolümüzdür. Bu geleneği yaşatan herkese sonsuz teşekkürler.</t>
  </si>
  <si>
    <t>1300425126400471042</t>
  </si>
  <si>
    <t>Düne göre daha az test talebi oldu. Ancak buna rağmen 1.482 yeni hastamız var. Ağır hasta sayımız artıyor. Bu durum kaybettiğimiz canların sayısını da artırıyor. Mücadeleyi ancak hep birlikte yürütürsek başarabiliriz. Güç tedbirde. https://t.co/RVlhe7786O https://t.co/PyX1UvPtdG</t>
  </si>
  <si>
    <t>1300102579691630592</t>
  </si>
  <si>
    <t>#30Ağustos Zafer Bayramı’nda, Gazi Mustafa Kemal Atatürk’ün manevi huzurundaydık. Vatan müdafaasında canını ortaya koyan tüm şehit ve gazilerimize minnettarız. https://t.co/QSmDaE2xdU</t>
  </si>
  <si>
    <t>1300033128854097920</t>
  </si>
  <si>
    <t>30 Ağustos; sadece silahla kazanılan bir başarının zaferi değildir. Bir milletin, en yüce insani değerleri insanüstü bir azimle, büyük kumandan Gazi Mustafa Kemal Atatürk önderliğinde tarih sahnesine resmedişinin sembolüdür. Tüm gazi ve şehitlerimizi rahmetle anıyorum. https://t.co/y74KdSXwiN</t>
  </si>
  <si>
    <t>1300011663769378817</t>
  </si>
  <si>
    <t>Toplamda 7 milyona yakın test yaptık. Bugün aktif hasta sayımıza 546 kişi daha eklendi. Kabyettiğimiz hasta sayımız toplamda 6.000’den fazla. Ağır hasta sayımızda artış devam ediyor. Tedbirlere uymada gevşek olamayız. Güç tedbirde. https://t.co/RVlhe7786O https://t.co/SaboLENtLV</t>
  </si>
  <si>
    <t>1299748734306320384</t>
  </si>
  <si>
    <t>İL DEĞERLENDİRME TOPLANTILARINDA; Rize, Van, Ordu, Kütahya, Eskişehir, Ağrı valileri, il sağlık müdürleri ile 6 ayrı video konferansta bugün bir araya geldik. Mevcut durum, vaka artışlarının sebeplerini ele aldık. Filyasyon ve tedavilere süratle başlanması talimatını verdik. https://t.co/AKlfGKROlO</t>
  </si>
  <si>
    <t>1299440812938362880</t>
  </si>
  <si>
    <t>COVID-19'u yenen bir sağlık çalışanı arkadaşımız: "Hem beden sağlığı hem de psikolojik olarak çok yıpratıcı bir süreç yaşadım. Aileme bulaştırma korkusu ve onlardan uzak kalma zorunluluğu zor yönlerinden birisi." dedi. Virüsle mücadelede sadece kendi hayatımızdan sorumlu değiliz. https://t.co/vSUVYQwLwh</t>
  </si>
  <si>
    <t>1299414737659334658</t>
  </si>
  <si>
    <t>Bugün 1.517 hastamız daha var. İyileşenlerin sayısı 1.000’den fazla. Aktif hasta sayımız da ağır hasta sayımız da artmaya devam ediyor. Bugün 36 CAN daha kaybettik. Hasta sayısını da can kayıplarını da azaltacak olan tedbirlere uyumdur. https://t.co/RVlhe7786O https://t.co/4EexrlRuEU</t>
  </si>
  <si>
    <t>1299378931167043585</t>
  </si>
  <si>
    <t>EVDEN DIŞARIYA ADIM ATMAYIN.
Test sonucu pozitif çıkan ve 14 gün boyunca evde kendisini izole etmesi gereken hastalarımız, dışarı çıkmayın. Virüsü başkalarına bulaştırarak ağır hastalık süreçlerine ve hatta ölümlere sebep olabileceğinizi unutmayın. https://t.co/emd2ytzWrA</t>
  </si>
  <si>
    <t>1299304170961489923</t>
  </si>
  <si>
    <t>BUGÜN, 18 İLİN SAĞLIK MÜDÜRÜYLE TOPLANTI YAPTIK. Sağlık müdürleriyle ayrı ayrı video konferansta bir araya geldik. Salgınla ilgili yeni gelişmeleri, vaka artışının sebepleri ve illerde alınacak tedbirleri ele aldık. Tanı ve tedavide yeni yaklaşımları paylaştık. https://t.co/aT889B8UvI</t>
  </si>
  <si>
    <t>1299085845731987457</t>
  </si>
  <si>
    <t>Son dönemde iyileşen hasta sayımız yeni hasta sayımızdan daha az. Aktif hasta sayımızı kontrollü sınırda tutmanın yolu yeni hasta sayısını azaltmak. Bugün için, aktif hastalarımızın sayısını azaltacak en geçerli yol tedbirdir. Sonunda yenilen virüs olacak. https://t.co/RVlhe7786O https://t.co/4qOqDUPPzm</t>
  </si>
  <si>
    <t>1299015763056099328</t>
  </si>
  <si>
    <t>COVID-19 test sonuçlarını belirleyen en önemli etken, tedbirlerdir. Maske, mesafe ve hijyen kurallarını eksiksiz uygulayarak virüsü yeneceğiz. https://t.co/ZgMNcfwvsc</t>
  </si>
  <si>
    <t>1298991052674617351</t>
  </si>
  <si>
    <t>Tokat'ta, COVID-19'u yenen bir doktor arkadaşımız, hastalık sürecini şu ifadelerle anlatıyor: "Kemikleriniz patlayacakmış gibi ağrıyor." İnsan sağlığını her koşulda alt etmeye odaklanmış  bu virüse fırsat vermeyelim. Kurallar en güçlü kalkanımız. https://t.co/cW39yCwzt5</t>
  </si>
  <si>
    <t>1298923862768443392</t>
  </si>
  <si>
    <t>26 AĞUSTOS İL DEĞERLENDİRME TOPLANTILARI. 6 ilimizin sağlık müdürleriyle ayrı ayrı toplantı yaptık. Yeni tedbirleri, sahadaki ihtiyaçları ele aldık. Hasta ve temaslı tespitinde hızlı hareket edilmesi, tedavilere süratle başlanması talimatını verdik. https://t.co/KUJ6caEv4o</t>
  </si>
  <si>
    <t>1298757859220619268</t>
  </si>
  <si>
    <t>Gençler! Üniversitede kazanacağınız bilgi, kültür ve eğitim ile sadece kendi kariyerinizi inşa etmeyecek, tüm insanlığın kaderine de yön vereceksiniz. Bu sınavda bekledikleri sonucu alamayan gençlerimiz! Ümitsizliğe kapılmayın, kendinize ve azminize güvenin. Sizler yarınımızsınız https://t.co/FjIvzMeXzK</t>
  </si>
  <si>
    <t>1298660617579094023</t>
  </si>
  <si>
    <t>Bugün 100 binden fazla test yaptık. Bu testler sonucunda 1.313 yeni hastamız var. Bazı illerimizde özel tedbirler almak zorunda kaldık. Tedbirlere birlikte uyarsak başarılı olabiliriz. Sonunda yenilen virüs olacak. https://t.co/RVlhe7786O https://t.co/O08g5t0swZ</t>
  </si>
  <si>
    <t>1298653316675665921</t>
  </si>
  <si>
    <t>Malazgirt Zaferi ile bize emanet edilen bu toprakların her köşesini ayrı güzelliklerle süsledik. Ne mutlu üzerinde yaşadığımız bu toprakların kıymetini bilene... https://t.co/G0Qw172dpo</t>
  </si>
  <si>
    <t>1298309939576832001</t>
  </si>
  <si>
    <t>Bugün toplamda 6.5 milyon test sayısını geçtik. Yeni tespit edilen 1.500’den fazla hastamız var. Yeni hasta sayısını düşürmek mücadelemizin en önemli hedefi. Bu hedefe katkı için tedbirlere uyum şart. Sonunda yenilen virüs olacak. https://t.co/RVlhe7786O https://t.co/8G59tKQgXN</t>
  </si>
  <si>
    <t>1298298437117640704</t>
  </si>
  <si>
    <t>Anadolu’yu Türklere ebediyen yurt kılan Malazgirt Zaferi’nin yıl dönümünde, Ahlat’ta ecdadın manevi huzurundayız. https://t.co/1OWFZLwErV</t>
  </si>
  <si>
    <t>1298253999229943810</t>
  </si>
  <si>
    <t>RT @fahrettinaltun: Bizim için #Kızılelma büyük ve güçlü Türkiye’dir. Malazgirt’ten 15 Temmuz’a destanlar yazan milletimizin kutlu yürüyüşü…</t>
  </si>
  <si>
    <t>1297997662415880192</t>
  </si>
  <si>
    <t>RT @RTErdogan: Kabine Toplantısı Sonrası Millete Sesleniş https://t.co/LuURnlN2Nw</t>
  </si>
  <si>
    <t>1297941462949285892</t>
  </si>
  <si>
    <t>Bugün yapılan yaklaşık 96 bin test sonucu 1.443 yeni hasta tespit edildi. Ağır hasta sayımız 800 civarında. Sağlık çalışanlarımız var gücüyle hastalarımızı iyileştirmeye çalışıyor. Hasta sayımızı düşürecek olan tedbirlerdir. Sonunda yenilen virüs olacak. https://t.co/RVlhe7786O https://t.co/Rz06OcXiKX</t>
  </si>
  <si>
    <t>1297934800574193664</t>
  </si>
  <si>
    <t>Giresun'da yaşanan sel felaketi sebebiyle hayatını kaybeden kardeşlerimize Allah'tan rahmet, yaralılarımıza acil şifalar diliyorum. 112 Acil ve UMKE ekiplerimiz, helikopter ambulansımız olay yerinde. Devletimiz tüm imkanları ile Milletimizin yanındadır.</t>
  </si>
  <si>
    <t>1297596604191563776</t>
  </si>
  <si>
    <t>Bugün 80.000’den fazla yeni test yapıldı. 1.217 yeni hasta tespit edildi. Ağır hasta sayımızda artış devam https://t.co/CzcaqNOSMHömoni oranı kontrol sınırında seyrediyor. Gücümüz tedbirlere uyumumuz kadar. Sonunda yenilen virüs olacak. https://t.co/RVlhe7786O https://t.co/cDt13mWMMQ</t>
  </si>
  <si>
    <t>1297590469803814912</t>
  </si>
  <si>
    <t>Röntgen teknisyenimiz Ufuk Saka, ateşi çıktığında gece nöbetindeydi. COVID-19 olduğu anlaşıldı. Eşi, hemşire arkadaşımız Tülay’ın testi de pozitif çıktı. Hastalıkla, hasta olarak da savaştılar. Ve görevlerine döndüler. Aynı şeyi yapan, yapabilecek sayısız sağlık çalışanınız var. https://t.co/lAYe3IF9Uz</t>
  </si>
  <si>
    <t>1297261034080698370</t>
  </si>
  <si>
    <t>Tanı konan hasta sayısı, uzun süredir, iyileşenlerden fazla. Kurallara uyulmaması; hastalığa yakalanma, hastalığı bulaştırma, birinin ağır hastalığına yol açma, sağlık hizmetlerinde yoğunluğa neden olma sebebi. Tedbir alalım. Yenilen virüs olacak. https://t.co/RVlhe7786O https://t.co/hFQinfNV3f</t>
  </si>
  <si>
    <t>1297219885068693505</t>
  </si>
  <si>
    <t>Bugün, şair Turgut Uyar’ın ölüm yıl dönümü. Duyuşumuza, dilimize güç veren şiirleri için onu saygıyla anıyoruz. Bir grup arkadaşıyla şiire köklü değişiklikler getiren usta şair, ustalığa karşı acemiliği savunmuştu. Her mümkünü denemek ve daima mücadele halinde kalmak için. https://t.co/3uVtyh8gV7</t>
  </si>
  <si>
    <t>1297195462144020480</t>
  </si>
  <si>
    <t>“Annemin virüsü gittiği düğünden kaptığını düşünüyorum. Çünkü düğüne gittiği yerde birçok evi karantina altına almışlar. Başa gelmeyince kimse dikkate almıyor. Halen düğüne, cenazeye, taziyeye gidiliyor. Ama bu yürek yandı mı, başka hiçbir şeye değişilmez.” 
İ. Çimen https://t.co/DercGY4WST</t>
  </si>
  <si>
    <t>1297120290602876928</t>
  </si>
  <si>
    <t>Virüs, aklı ve hastalığı yayma stratejisi olan bir canlı değil. Maske, mesafe, temizlik kurallarına uymayarak; virüsü birbirimize bulaştıran bizleriz. Günlük hayatımızı, virüsün yayılma fırsatlarına karşı kontrollü yaşayalım. Risklere çözüm arayalım. Yenilen Koronavirüs olacak. https://t.co/I9hFiJVn8x</t>
  </si>
  <si>
    <t>1296885616584654853</t>
  </si>
  <si>
    <t>Yeni hasta sayımız düne göre düşük. İyileşen hasta sayımız yeni hastalardan az. Ağır Hasta sayısında yükseliş devam ediyor. Hasta tedavi ederek başarılmış salgın mücadelesi yoktur. Büyük mücadele tedbirle verilir. Tedbir alalım. Yenilen Koronavirüs olacak. https://t.co/RVlhe7786O https://t.co/XWMBOAZavB</t>
  </si>
  <si>
    <t>1296861170184445953</t>
  </si>
  <si>
    <t>Özetini okuyacağınız olay, belirtileri olan bir kişinin, kurallara uyulmaması sonucu, 32 vaka sayısına ve karantinaya yol açmasının hikâyesidir. İyi haberle gündem olalım. Her yakınlık mutlu sonla bitmiyor. https://t.co/TVOidddOuG</t>
  </si>
  <si>
    <t>1296850431252008962</t>
  </si>
  <si>
    <t>Cumhurbaşkanımız, Millete Sesleniş konuşmasında, Karadeniz’de 320 Milyar metreküp doğal gaz bulunduğu müjdesini verdi. Dönüm noktası milli projede emeği olan kadroları kutluyoruz. Bu gelişme, verdiği heyecanla, halkımıza salgına karşı da motivasyon olacak. Her alanda başaracağız.</t>
  </si>
  <si>
    <t>1296811552226652160</t>
  </si>
  <si>
    <t>RT @RTErdogan: Millete Sesleniş #MüjdelerOlsun https://t.co/hfNVpPWO9c</t>
  </si>
  <si>
    <t>1296780834662383622</t>
  </si>
  <si>
    <t>Dün 92.301 yeni test yaptık. Sürecin başından bu yana yaptığımız toplam test sayısı 6.061.390. Genizden sürüntü örneği vermenin kolay olmadığını milyonlarca insan biliyor. Dilinizi çıkarıp, a demeniz gibi değil. Fakat test sonucu pozitifse asıl zorluk izole hayatla başlıyor. https://t.co/flQum3R5N1</t>
  </si>
  <si>
    <t>1296764213298438145</t>
  </si>
  <si>
    <t>SALGINLARLA NASIL MÜCADELE EDİLİR? Hasta tedavi ederek başarılmış bir salgın mücadelesi yoktur. Tanı, hasta izolasyonu, tedaviyi hızlandırmak hekimlik görevi; salgına karşı silahtır. Salgın, son hasta iyileşene kadar devam eder. Büyük mücadele asıl tedbirle verilir. Tedbir alın.</t>
  </si>
  <si>
    <t>1296745565473169408</t>
  </si>
  <si>
    <t>Salgının sonuçları açısından en önemli gösterge Ağır Hasta sayısıdır. Ağır Hastalar, bizim farkında bile olmaksızın alıp verdiğimiz nefeslerin biri için, her şeyden vazgeçecek aşamaya geliyorlar. Bu, çoğu hastanın COVID-19’u hafif yaşadığı gerçeğini unutturacak kadar sarsıcıdır. https://t.co/jT5FXz07ms</t>
  </si>
  <si>
    <t>1296690010960334851</t>
  </si>
  <si>
    <t>BU AKŞAM, 81 İLİN SAĞLIK MÜDÜRÜYLE TOPLANTI YAPTIK. 4 saat süren toplantıda, vaka artışının yoğun olduğu illerde alınacak tedbirleri; tanı ve tedavide yeni yaklaşımları ele aldık. Hasta ve temaslı tespitinde hızlı hareket edilmesi, tedavilere süratle başlanması talimatını verdik. https://t.co/Q2QWse3Bkm</t>
  </si>
  <si>
    <t>1296544540409634816</t>
  </si>
  <si>
    <t>Son 1 haftadaki ortalaması 1.245 olan yeni vaka sayımız, 1.400’ü geçti. Buna karşı, 3 Ağustos’ta 41 bin olan günlük test sayımız, 92 binin üzerinde. Filyasyon ekibi sayımız 9.344’a ulaştı. Temaslılara ulaşma oranımız %98,9. Hep birlikte vakaları düşürelim. https://t.co/RVlhe7786O https://t.co/APzsH4I7F1</t>
  </si>
  <si>
    <t>1296500549613912064</t>
  </si>
  <si>
    <t>1 Temmuz’da 7.507 olan filyasyon ekibi sayımızı 9.344’e çıkardık, 1.837 yeni filyasyon ekibi kurduk. Her ekibimizde bir hekim görevlendirdik. Temaslı zincirinde olduğu bilinen kişilere ulaşma oranımız, son 45 günde %98,9’dur. Filyasyon başarımız sürüyor. Yenilen virüs olacak. https://t.co/uGO8jCEHoZ</t>
  </si>
  <si>
    <t>1296487561200795649</t>
  </si>
  <si>
    <t>Sağlık çalışanlarından hizmet alırken onlara güvenimiz, saygımız tam olsun. Altına girdikleri yük, taşınması kolay bir yük değildir. Hastaları için mücadele ederken birçoğu hastalığa yakalanıyor. Başka bir meslekte bunu göremezsiniz. İnsanımız için eşsiz fedakârlık devam ediyor. https://t.co/5dIzbcoBGH</t>
  </si>
  <si>
    <t>1296187963446112257</t>
  </si>
  <si>
    <t>COVID-19 hastalarıyla; poliklinikte, serviste, yoğun bakımda (vb) ilgilenen hekimler ve tüm sağlık çalışanlarıyla aile hekimleri, 1 Ağustos’tan itibaren 3 aylık zaman diliminde bir ek ödeme alacak. Diğer hekim ve sağlık çalışanları için de Ocak esas alınarak ek ödeme planlanıyor. https://t.co/6vvR3mOyt1</t>
  </si>
  <si>
    <t>1296180329175285760</t>
  </si>
  <si>
    <t>Vaka sayımız, 1.300’ün üzerine çıktı. Düne kıyasla, pozitif tanı sayımız 40 fazla. Artışın kontrol altına alınması, hep birlikte bize bağlı. Maske, mesafe ve temizlik konusunda ödünsüz olun. Bu tabloyu, ihmallerin ve tedbirlerin belirlediğini unutmayın. 
https://t.co/RVlhe7786O https://t.co/kGeQRyem79</t>
  </si>
  <si>
    <t>1296138106320629762</t>
  </si>
  <si>
    <t>Bilim Kurulu Toplantımızın ardından Koronavirüs ile ilgili son gelişmeler ve aldığımız yeni tedbirlere ilişkin basın açıklamamız.
📍SAĞLIK BAKANLIĞI BİLKENT YERLEŞKESİ / ANKARA
https://t.co/tvdp1lh9A0</t>
  </si>
  <si>
    <t>1296134318390116354</t>
  </si>
  <si>
    <t>Koronavirüs, gücünü, salgınla mücadele kurallarına uymadığımız ortamlardan alıyor. Maske, mesafe ve temizlik kurallarına uyarsak, vaka sayılarını kolaylıkla kontrol altına alır; yarın hastalığı yenebiliriz. Bilime güvenelim, kurallara uyalım. Tarihte son bulmamış salgın yoktur. https://t.co/ygV0sCwQOV</t>
  </si>
  <si>
    <t>1296119543274889216</t>
  </si>
  <si>
    <t>Koronavirüs, gücünü, salgınla mücadele kurallarına uymadığımız ortamlardan alıyor. Maske, mesafe ve temizlik kurallarına uyarsak, vaka sayılarını kolaylıkla kontrol altına alır; yarın hastalığı yenebiliriz. Bilime güvenelim, kurallara uyalım. Tarihte son bulmamış salgın yoktur. https://t.co/vRZMb8HHFC</t>
  </si>
  <si>
    <t>1296119423753957386</t>
  </si>
  <si>
    <t>Koronavirüs, gücünü, salgınla mücadele kurallarına uymadığımız ortamlardan alıyor. Maske, mesafe ve temizlik kurallarına uyarsak, vaka sayılarını kolaylıkla kontrol altına alır; yarın hastalığı yenebiliriz. Bilime güvenelim, kurallara uyalım. Tarihte son bulmamış salgın yoktur. https://t.co/1NtF5ZnbKG</t>
  </si>
  <si>
    <t>1296117291952857088</t>
  </si>
  <si>
    <t>Koronavirüs, gücünü, salgınla mücadele kurallarına uymadığımız ortamlardan alıyor. Maske, mesafe ve temizlik kurallarına uyarsak, vaka sayılarını kolaylıkla kontrol altına alır; yarın hastalığı yenebiliriz. Bilime güvenelim, kurallara uyalım. Tarihte son bulmamış salgın yoktur. https://t.co/4qjywYWr9G</t>
  </si>
  <si>
    <t>1296117122523959296</t>
  </si>
  <si>
    <t>Çumra Belediye Başkanı Halit Oflaz, COVID-19 tedavisi gördüğü Konya Selçuk Üniversitesi Tıp Fakültesi Hastanesinde hayatını kaybetti. Genç fakat hastalığı ağır yaşayanlardandı. Kendisine Allah’tan rahmet, yakınlarına başsağlığı diliyorum. Kurallara uyarak acı haberleri azaltalım.</t>
  </si>
  <si>
    <t>1295911415140753410</t>
  </si>
  <si>
    <t>Salgının sıfır noktası Wuhan unutuldu. Tüm dünya, salgının merkeziymiş gibi mücadele etmek zorunda. Savaşta ağır yenilgi alan ülkeler var. Biz, en iyiler arasındayız. Bilimin ve tedbirlerin gücüne inanarak, sağlık ordumuzla dayanışma içinde, mücadele edelim. Yenilen virüs olacak. https://t.co/vfbzCwor57</t>
  </si>
  <si>
    <t>1295802434955206657</t>
  </si>
  <si>
    <t>Salgının sıfır noktası Wuhan unutuldu. Tüm dünya, salgının merkeziymiş gibi mücadele etmek zorunda. Savaşta ağır yenilgi alan ülkeler var. Biz, en iyiler arasındayız. Bilimin ve tedbirlerin gücüne inanarak, sağlık ordumuzla dayanışma içinde, mücadele edelim. Yenilen virüs olacak. https://t.co/mZZj5CDlz4</t>
  </si>
  <si>
    <t>1295801117608157184</t>
  </si>
  <si>
    <t>Salgının sıfır noktası Wuhan unutuldu. Tüm dünya, salgının merkeziymiş gibi mücadele etmek zorunda. Savaşta ağır yenilgi alan ülkeler var. Biz, en iyiler arasındayız. Bilimin ve tedbirlerin gücüne inanarak, sağlık ordumuzla dayanışma içinde, mücadele edelim. Yenilen virüs olacak. https://t.co/67wfCfNjj4</t>
  </si>
  <si>
    <t>1295799728538636290</t>
  </si>
  <si>
    <t>Bu tabloda her gün açıklanan Koronavirüs test sonuçları, ortalama 10 gün önceki bulaşmaları gösteriyor. Sonuçlara göre, ortalama 10 gün önce, virüs, tedbirlere uyulmayan ortamlarda 1.263 kişiye daha bulaştı. Kararlı olursak, virüse bu gücü tanımayabiliriz. https://t.co/RVlhe7786O https://t.co/mtYxXoZAhi</t>
  </si>
  <si>
    <t>1295761988409348097</t>
  </si>
  <si>
    <t>Çocuklar, gençler; okulları ve büyükleri için salgına karşı elinden geleni yapıyor. Kurallara uyulmazsa hayatın nasıl aksadığını biliyorlar. Yüz yüze eğitimin başlayacağı 21 Eylül için hazırlanalım: Tedbirlerle, virüse yayılım şansı tanımayalım. Çocuklara bunu ÇOK GÖREN VAR MI? https://t.co/uaJX2Rp9QA</t>
  </si>
  <si>
    <t>1295617056210067458</t>
  </si>
  <si>
    <t>11 Marttan bu yana, tanı konmuş toplam hasta sayımız 250 bini geçti. Hastalığı yayma potansiyeline sahip, izole edilmiş Aktif Hasta sayısı 12.575. Yeni hastaların büyük kısmı kolay iyileşebiliyor. Fakat yayılım, tedavisi zor Ağır Hasta sayısını artıyor. https://t.co/RVlhe7786O https://t.co/N7IpSjujtk</t>
  </si>
  <si>
    <t>1295419202803818497</t>
  </si>
  <si>
    <t>“Birleşmiş Milletler toplanıp, dünyada sokağa çıkma yasağı ilan etsin.” Bir uçtakiler, salgınla mücadeleyi bu zihniyette görüyor. Diğer uçtakiler; hastalık, ölüm, mühim değil diyor. Tedbirler hem salgınla yaşamayı hem mücadeleyi mümkün kılıyor.</t>
  </si>
  <si>
    <t>1295390851213004800</t>
  </si>
  <si>
    <t>Sağlıklı bir yetişkin dakikada ortalama 12 kez nefes alır. Farkında bile olmadan. COVID-19’un akciğerinde pnömoniye yol açtığı hastaysa, bütün enerjisini nefes almak için harcasa bile, bunu başaramaz. Hastaya, onu hayatta tutacak oksijen, zor bir yöntem olan Entübasyonla verilir. https://t.co/Imu3x5ZQSv</t>
  </si>
  <si>
    <t>1295299961995878400</t>
  </si>
  <si>
    <t>Maskemiz nerde? https://t.co/RcmxQwdiuD</t>
  </si>
  <si>
    <t>1295261931343839232</t>
  </si>
  <si>
    <t>Çocuklar ve gençler; okulları, büyükleri ve salgına karşı başarı için, elinden geleni yapıyor. Kurallara uyulmazsa hayatın nasıl aksadığının en büyük tanığı şu anda onlar. 83 Milyon yeniden birleşelim, savaşa kaldığımız yerden devam edelim. Büyük küçük riski azaltalım. VAR MIYIZ? https://t.co/dgUU0UDoZQ</t>
  </si>
  <si>
    <t>1295231901997965312</t>
  </si>
  <si>
    <t>Maskesini takmadığı için uyarıldığında, “Kendine güvenmiyorsan insan içine çıkmayacaksın.” diyen var. Kendileri, bugün yarın, tedavi altında, izolasyonda ya da hastalığı bir yakınına bulaştırmış, özlü sözlerini gözden geçiriyor olacaklar. Karşılıklı kural varken, ne gerek var! https://t.co/WMTRvc63ZK</t>
  </si>
  <si>
    <t>1295079788177170449</t>
  </si>
  <si>
    <t>Yeni tanı sayımız dünkünden daha az. Şu ana kadarki toplam vaka sayımızdan 12.366 KİŞİ halen aktif hasta: Yani, virüsü yayma potansiyeline sahip. Bunlar ve temaslıları İZOLASYONDA. Dikkat eder, kendimizi DIŞARIDAKİ RİSKTEN korursak, daha hızlı başarırız. https://t.co/RVlhe7786O https://t.co/WhfNAwtyMY</t>
  </si>
  <si>
    <t>1295050272985829377</t>
  </si>
  <si>
    <t>Kural. Umut. Özveri. Haydi. Mücadele normaline dönelim.</t>
  </si>
  <si>
    <t>1294983694151757826</t>
  </si>
  <si>
    <t>Çocuklar ve gençler; okulları, büyükleri ve salgına karşı başarı için, elinden geleni yapıyor. Kurallara uyulmazsa hayatın nasıl aksadığının en büyük tanığı şu anda onlar. 83 Milyon yeniden birleşelim, savaşa kaldığımız yerden devam edelim. Büyük küçük riski azaltalım. VAR MIYIZ? https://t.co/Wy55bWL6pK</t>
  </si>
  <si>
    <t>1294978868143697920</t>
  </si>
  <si>
    <t>Dün, son 45 günün en yüksek vaka sayısını açıkladık. Bu sonucu bekliyorduk. Her birimiz, güç birliği içinde, salgınla sağlık ordumuzun birer üyesi gibi savaştığımızda aldığımız sonucu unutmayın. Tedbirlere karşı eli kolu bağlı virüs bizi yıldıramaz. Bu savaşta YİNE BERABER MİYİZ?</t>
  </si>
  <si>
    <t>1294877115972820992</t>
  </si>
  <si>
    <t>“Koronavirüsü 1 ay süren tedaviden sonra yendim. Ruhen çok yıpratıcı. Hissettiğim en güçlü duygu yalnızlıktı. İnsan güçsüz hissettiği anda sarılmaya ihtiyaç duyuyor. Kimse Covid’in yapayalnız yaşanan bir hastalık olduğunu unutmasın. Bir odanın içinde mücadele vermek zorundasın.” https://t.co/PUGxYGyigZ</t>
  </si>
  <si>
    <t>1294725789716447233</t>
  </si>
  <si>
    <t>ENTÜBASYON çoğumuzun vaka tablosundan öğrendiği bir terim; COVID-19 tedavisi gören ağır hastalara uygulanan işlem. Hasta için kolay değil ama solunum yoluna yerleştirilen tüp olmasa kendisini hayatta tutmaya yetecek oksijeni alamaz. Nefes alamamak çok zor. Entübasyon meşakkatli. https://t.co/HATDvLoh8x</t>
  </si>
  <si>
    <t>1294699106305282048</t>
  </si>
  <si>
    <t>SON 45 GÜNÜN en yüksek pozitif tanı -yeni hasta- sayısına ulaştık. Kritik göstergemiz olan Ağır Hasta sayısı, genellikle risk grubunda olup hastalığa yakalananlar ile artıyor. Yeni hasta sayısını, ağır hasta sayısını, can kayıplarını birlikte azaltalım. https://t.co/RVlhe7786O https://t.co/g4r2arEtJU</t>
  </si>
  <si>
    <t>1294691106609922053</t>
  </si>
  <si>
    <t>Virüs, DURUP DURURKEN YAYILMIYOR. Bana bir şey olmaz diyenlerle, benden başkasına zarar gelmez diyenlerin desteğiyle yayılıyor. Aramızdan bazıları ağır hasta oluyor. Ve birçoğumuzun yakını hayatını kaybediyor.</t>
  </si>
  <si>
    <t>1294684590741901312</t>
  </si>
  <si>
    <t>DÜNYA YORULDU. Sadece siz değil. Hayata sarılmaktan vazgeçmeyin. BİR GÜN, MUTLAKA salgının son günü olacak. İnsanlığın yaşadığı tüm salgınlar gibi bu salgın da son bulacak. Sosyal hayatınızı kontrollü yaşayın. COVID-19’la mücadele, hayat mücadelemizin vazgeçilmez parçası olsun.</t>
  </si>
  <si>
    <t>1294620724423000064</t>
  </si>
  <si>
    <t>AĞUSTOSUN tam ortası. Hafta sonu. Sıcaktan kaçmış biraz dinleniyorsak, baştan kabul edelim: Koronavirüsün olmadığı yerde ve eski günlerde değiliz. Aynı evde yaşamadığınız herkesle mesafeli olun. Civarda hiç yabancı yoksa maske çok şart değil. Kalabalık tatil? Marttan beri riskli. https://t.co/hP9eRJjtMR</t>
  </si>
  <si>
    <t>1294575560853794816</t>
  </si>
  <si>
    <t>https://t.co/LiSZtqQikV</t>
  </si>
  <si>
    <t>1294559685597593600</t>
  </si>
  <si>
    <t>https://t.co/IKCNLnTGYZ</t>
  </si>
  <si>
    <t>1294544650607505408</t>
  </si>
  <si>
    <t>Dünkü Yeni Hasta Sayısı: 1.226 
Ağır Hasta Sayısı: 656 
Ağır hastalara virüs, genellikle, hastalığı hafif veya belirtisiz yaşayanlardan geçiyor. Ağır hastaların neler yaşadığını, yaşamadan bilemezsiniz. Sıcak da olsa maskenizi takın, zorlansanız da mesafe kuralına uymaya çalışın.</t>
  </si>
  <si>
    <t>1294513029577678850</t>
  </si>
  <si>
    <t>Bugünlerde bütün mümkünleri düşünelim. https://t.co/4vOC0ca0pw</t>
  </si>
  <si>
    <t>1294375527332052992</t>
  </si>
  <si>
    <t>14 AĞUSTOS İL DEĞERLENDİRME TOPLANTILARI. 15 ilimizin sağlık müdürleriyle ayrı ayrı toplantı yaptık. Nedenleriyle vaka artışlarını, yeni tedbirleri, sahadaki ihtiyaçları ele aldık. Görüşmelerde değişmeyen konu, sizce ne olmuştur? Hastalar, hastalığa basit sebeplerle yakalanıyor. https://t.co/MdNz0usHOc</t>
  </si>
  <si>
    <t>1294359135266447369</t>
  </si>
  <si>
    <t>Çorum’da görev yapan hemşire arkadaşımız Fatma İçuz, dördü çocuk, beş kişinin can verdiği yangında, 4 yaşındaki kızı Elif ile 8 yaşındaki oğlu Yusuf’u kaybetti. Bu acıyı hafifletecek kelimeleri hiçbirimiz bulamayız. Sağlık çalışanları olarak acısını yüreğimizde hissediyoruz.</t>
  </si>
  <si>
    <t>1294345496040022018</t>
  </si>
  <si>
    <t>https://t.co/AEeyXpiyA1</t>
  </si>
  <si>
    <t>1294333160608673794</t>
  </si>
  <si>
    <t>En yüksek test sayısına ulaştık. AĞIR HASTA sayımız 656’ya yükseldi. Veriler, yaşı veya hastalığı sebebiyle risk grubunda olup, COVID-19’a yakalananların sayısında artış olduğunu gösteriyor. Dışarda risk alıp, eve taşımayın. 1 hasta, hasta bir AİLE demek. https://t.co/RVlhe7786O https://t.co/kgUN3jT4JN</t>
  </si>
  <si>
    <t>1294321529673719808</t>
  </si>
  <si>
    <t>ZOR OLAN, başta tedbir almak yerine, virüsle, hastalığa yakalandıktan sonra mücadele etmektir. Şu an, bunun ne kadar zor olduğunu yakından bilen 647 ağır hastamız var.</t>
  </si>
  <si>
    <t>1294299358519791619</t>
  </si>
  <si>
    <t>Virüsten kendimizi korumamız, zor değildir. Kuralları belli olduğu için, kolaydır. ZOR OLAN NEDİR? Birlikte düşünelim. Benim yanıtım, YARIM SAAT SONRA.</t>
  </si>
  <si>
    <t>1294291115361873922</t>
  </si>
  <si>
    <t>Çocuklarımız, gençlerimiz hayatlarından fedakârlık yapıyor. Bunu karşılıksız bırakmayın. Tedbirlere harfiyen uyun. 21 Eylülde, okullarda yüz yüze eğitime geçildiğinde, vakalar azalmış olsun. Onlara daha güvenli şartlar sunalım. Biz anne babalar, evlatlarımız kadar duyarlı olsak.. https://t.co/GdzP1NU42y</t>
  </si>
  <si>
    <t>1294235126587588608</t>
  </si>
  <si>
    <t>Çocuklarımız, gençlerimiz hayatlarından fedakârlık yapıyor. Bunu karşılıksız bırakmayın. Tedbirlere harfiyen uyun. 21 Eylülde, okullarda yüz yüze eğitime geçildiğinde, vakalar azalmış olsun. Onlara daha güvenli şartlar sunalım. Biz anne babalar, evlatlarımız kadar duyarlı olsak.. https://t.co/1FG40s1i1u</t>
  </si>
  <si>
    <t>1294235078680338434</t>
  </si>
  <si>
    <t>Çocuklarımız, gençlerimiz hayatlarından fedakârlık yapıyor. Bunu karşılıksız bırakmayın. Tedbirlere harfiyen uyun. 21 Eylülde, okullarda yüz yüze eğitime geçildiğinde, vakalar azalmış olsun. Onlara daha güvenli şartlar sunalım. Biz anne babalar, evlatlarımız kadar duyarlı olsak.. https://t.co/5TndOpTlzF</t>
  </si>
  <si>
    <t>1294175270530932736</t>
  </si>
  <si>
    <t>Çocuklarımız, gençlerimiz hayatlarından fedakârlık yapıyor. Bunu karşılıksız bırakmayın. Tedbirlere harfiyen uyun. 21 Eylülde, okullarda yüz yüze eğitime geçildiğinde, vakalar azalmış olsun. Onlara daha güvenli şartlar sunalım. Biz anne babalar, evlatlarımız kadar duyarlı olsak.. https://t.co/ohKkmDHyva</t>
  </si>
  <si>
    <t>1294175226322997249</t>
  </si>
  <si>
    <t>COVID-19 testi pozitif çıkan arkadaşına, geçmiş olsun ziyaretine giden var. Gitmemiş olsa, bugünkü yeni hasta sayısı 1.243 yerine 1.241 olacaktı. 1 kişiye de kendisi bulaştırmış. COVID-19’la mücadele etmek çok zor değil. Yeter ki kurallara uyalım.</t>
  </si>
  <si>
    <t>1293974598279745538</t>
  </si>
  <si>
    <t>Hasta sayımızdaki yükseliş süreklilik kazanmaya başladı. Ağır Hasta sayımızdaysa 15 artış var. 5.807 filyasyon ekibimiz temaslı taraması yapıyor. 6-13 Ağustos arasında yapılan temaslı taraması sayısı 349.003. Sağlık ordumuza, kurallara uyarak destek olun. https://t.co/RVlhe7786O https://t.co/iiPeUUAgUk</t>
  </si>
  <si>
    <t>1293955641938268170</t>
  </si>
  <si>
    <t>RT @RTErdogan: AK Parti 19. Kuruluş Yıl Dönümü #AkSevda19Yaşında</t>
  </si>
  <si>
    <t>1293940387497889793</t>
  </si>
  <si>
    <t>https://t.co/Pa26HqmVMT</t>
  </si>
  <si>
    <t>1293911215094116358</t>
  </si>
  <si>
    <t>SEVGİLİ ÇOCUKLAR VE GENÇLER. Okullar, önce uzaktan eğitimle açılacak. Yüz yüze eğitim, 21 Eylülde. Sebebi, Koronavirüs salgını. Bu virüs size de bulaşabiliyor. Sizden bir büyüğünüze geçtiğinde onun sağlığını bozuyor. Kurallara uyun. Uymayanları, okulumdan oluyorum diyerek uyarın. https://t.co/L2YphYz8PO</t>
  </si>
  <si>
    <t>1293820360325038080</t>
  </si>
  <si>
    <t>COVID-19 salgını tüm dünyada, her alanda hayatı etkiliyor. Sağlık, salgının en dramatik tarafı. Yorulduk. Ama vazgeçersek, korktuğumuz şeylerin başımıza gelebileceğini bilmeliyiz. Tarihteki tüm salgınlarda olduğu gibi, insanlık bu savaşı da kazanacak. Kazananlar arasında olalım. https://t.co/Zyu5CmCOuq</t>
  </si>
  <si>
    <t>1293647159611535361</t>
  </si>
  <si>
    <t>https://t.co/TXbwfZ8voL</t>
  </si>
  <si>
    <t>1293635327266041858</t>
  </si>
  <si>
    <t>2 MARTTAN İTİBAREN EN YÜKSEK test sayısına son 24 saatte ulaştık. Ağır hasta sayımızda 15 artış var. Hastalığın yayılımı, sabit ortamlarda, örneğin AİLE İÇİNDE HIZLI. Bir hasta, hastalığa yakalanmış bir aile demek. Her birimiz, hepimiz için tedbir alalım. https://t.co/RVlhe7786O https://t.co/53ppsmqYgk</t>
  </si>
  <si>
    <t>1293620653313134595</t>
  </si>
  <si>
    <t>https://t.co/jZimdpn5os</t>
  </si>
  <si>
    <t>1293588195540639744</t>
  </si>
  <si>
    <t>https://t.co/WdCcXU71bC</t>
  </si>
  <si>
    <t>1293548369009430528</t>
  </si>
  <si>
    <t>https://t.co/AAB2kpShkG</t>
  </si>
  <si>
    <t>1293458434164170752</t>
  </si>
  <si>
    <t>Ağrı Doğubayazıt Devlet Hastanesi’nde görev yapan bir çalışma arkadaşımız dün saldırıya uğradı. Saldırı, COVID-19 şüphesiyle teste gönderilen hastayla yakınına SOSYAL MESAFEYE UYMALARI UYARISI üzerine gerçekleşti. Sağlık çalışanları her türlü fedakârlığa hazır. Ama buna değil. https://t.co/ZjL2gsT4O7</t>
  </si>
  <si>
    <t>1293248266868580354</t>
  </si>
  <si>
    <t>Son 3 gündür HASTANEYE YATIŞLARDA %32 AZALMA var. Fakat sürecin en önemli göstergelerinden biri olan AĞIR HASTA SAYISINDA ARTIŞ devam ediyor. Son 3 gün içinde en yüksek sayıda hasta görülen ilk 5 ilimiz: İstanbul, Ankara, Konya, Diyarbakır, Şanlıurfa. https://t.co/RVlhe7786O https://t.co/lnIahORCZz</t>
  </si>
  <si>
    <t>1293234034953326596</t>
  </si>
  <si>
    <t>https://t.co/v29BsHbmtr</t>
  </si>
  <si>
    <t>1293186292730089474</t>
  </si>
  <si>
    <t>https://t.co/RYJk9o2kSd</t>
  </si>
  <si>
    <t>1293140088407367682</t>
  </si>
  <si>
    <t>https://t.co/dbYdruJaaC</t>
  </si>
  <si>
    <t>1293072276712284161</t>
  </si>
  <si>
    <t>https://t.co/IDHckYOHwq</t>
  </si>
  <si>
    <t>1292940253309874178</t>
  </si>
  <si>
    <t>https://t.co/pfL3TH4s4L</t>
  </si>
  <si>
    <t>1292923663231209478</t>
  </si>
  <si>
    <t>https://t.co/fV08OkP27B</t>
  </si>
  <si>
    <t>1292923046110597125</t>
  </si>
  <si>
    <t>https://t.co/hYcFfznaHx</t>
  </si>
  <si>
    <t>1292894977832427520</t>
  </si>
  <si>
    <t>https://t.co/bTV4ZSrUoq</t>
  </si>
  <si>
    <t>1292891428507574274</t>
  </si>
  <si>
    <t>Test sayımız salgın boyunca en yüksek olduğu seviyeye yakın. 60 yaş ve üzeri aktif hastaların toplam hasta içindeki oranı, ülke geneline bakıldığında, %20-25 aralığında seyrediyor. Gümüşhane ve Uşak, %35 ile bu açıdan en yüksek orana sahip. https://t.co/RVlhe7786O https://t.co/Z1buA9TtaW</t>
  </si>
  <si>
    <t>1292882465267253248</t>
  </si>
  <si>
    <t>https://t.co/yQvwEcQ6pE</t>
  </si>
  <si>
    <t>1292735954407567361</t>
  </si>
  <si>
    <t>Kocaeli Üniversitesi Sağlık Tesisleri ve Araştırma Merkezleri açılışını gerçekleştirdik. https://t.co/vYYFlq2VR0</t>
  </si>
  <si>
    <t>1292575396173697027</t>
  </si>
  <si>
    <t>Test sayımız, salgın boyunca en yüksek olduğu dünkü seviyenin biraz altında. Yakın zamanlarda vaka sayılarının en çok arttığı illerimizden Gaziantep'te, son bir hafta içinde, ortalama vaka sayıları %10 düştü. 25 İLİMİZDE son 2 gündür entübe hastamız yok. https://t.co/RVlhe7786O https://t.co/oF37jg0CvH</t>
  </si>
  <si>
    <t>1292519069309120514</t>
  </si>
  <si>
    <t>TEMASLI KİŞİLERİN POZİTİF VAKAYA DÖNÜŞME ORANLARI Mayıs ayına kıyasla Türkiye genelinde 1,3 KAT ARTTI. İller bazında artış örnekleri: Şanlıurfa 1,7, Ankara 1,6, Diyarbakır 1,4, Gaziantep 1,3 kat. Bu verilerden çıkarmanız gereken sonuç; maske, mesafe, temizlik uyarısıdır.</t>
  </si>
  <si>
    <t>1292490832763858946</t>
  </si>
  <si>
    <t>Turkey reached the highest daily test numbers with 63.842 tests yesterday during the pandemic. The number of new cases are below 1200. Pneumonia rate dropped within the patients. Number of hospitalized and discharged patients are very close to each other. https://t.co/siAG8asfuB</t>
  </si>
  <si>
    <t>1292453413993750530</t>
  </si>
  <si>
    <t>COVİD-19, viral enfeksiyondur. AKCİĞERLERDE, zatürre dediğimiz şiddetli iltihaplanma olur. İltihaplanma kana yeteri kadar oksijen taşınmasını ve karbondioksitin atılmasını önler. Bu sebeple NEFES ALMAK çok güçleşir. Covid-19 zor bir hastalıktır. Riske karşı tedbir alın. https://t.co/uNX2JNoIsy</t>
  </si>
  <si>
    <t>1292441706412089345</t>
  </si>
  <si>
    <t>BUGÜN PROFİLİNİZDEN SİZ DE BİR TEDBİR MESAJI VERİN. Salgına karşı maske, mesafe, temizlik kurallarını hatırlatan bir mesaj hazırlayıp, takipçilerinizle paylaşın. Bilip de uymayanlar için elden geldiğince etkili olsun.</t>
  </si>
  <si>
    <t>1292419981922238465</t>
  </si>
  <si>
    <t>Zatürre oranı tüm Türkiye’de düştü. Günlük test sayısında 64 bine çıktık. En yüksek sayı yaklaşık 58 bindi. Hastane doluluk oranlarımızda, yeni yatan ve taburcu olan hastaların yakın sayılarda olması sebebiyle değişiklik yok. İyi sonuç sıkı tedbire bağlı. https://t.co/RVlhe7786O https://t.co/JVZWpIZgjY</t>
  </si>
  <si>
    <t>1292160668007829504</t>
  </si>
  <si>
    <t>Tedbirden verdiğiniz tavizi hemen geri alın.</t>
  </si>
  <si>
    <t>1292120895436333059</t>
  </si>
  <si>
    <t>https://t.co/EYw0cxHQs1</t>
  </si>
  <si>
    <t>1292076757538021376</t>
  </si>
  <si>
    <t>https://t.co/EHMoWGk6NJ</t>
  </si>
  <si>
    <t>1292059124373639168</t>
  </si>
  <si>
    <t>Kuralcı olun. Kuralsızlık, ilk fırsatta hasta ediyor.</t>
  </si>
  <si>
    <t>1292007917554675713</t>
  </si>
  <si>
    <t>Maske, mesafe, temizlik. Kuralsız kazanılmış savaş var mı?</t>
  </si>
  <si>
    <t>1291985073105928193</t>
  </si>
  <si>
    <t>Bugünkü hayat mücadelesine virüsle mücadele dâhil.</t>
  </si>
  <si>
    <t>1291970076120354816</t>
  </si>
  <si>
    <t>Değerli hemşireler. 38 sağlık branşından arkadaşlarım. Sky News kanalının salgınla mücadeledeki başarımızı anlatan haberinden söz ederken, “Hekimlerimizle, sağlık sistemimizle gurur duyalım.” şeklindeki cümlem sebebiyle, bugün hakkımda özür dile kampanyası başlattığınız doğru mu? https://t.co/HfdatOMrzB</t>
  </si>
  <si>
    <t>1291824519552917508</t>
  </si>
  <si>
    <t>Kazakistan Cumhuriyeti Başbakan Yardımcısı Sn. Yerali Tugzhanov, Sağlık Bakanı Sn. Alexy Tsoy ile bakanlığımızı ziyaret etti. Kazakistan’a yaptığımız yardımlardan dolayı ülkemize teşekkür edilen görüşmede, COVID-19’a karşı mücadele, sağlık alanında işbirliği konuları ele alındı. https://t.co/KXiz3P9jsX</t>
  </si>
  <si>
    <t>1291817437835464709</t>
  </si>
  <si>
    <t>SAMSUN, SAKARYA, SİVAS VE KOCAELİ valileriyle İl Değerlendirme Toplantılarımızı yaptık. Dikkat çeken vaka artışlarını, ihtiyaçları ve gerekli tedbirleri değerlendirdik. Toplantılarda, İl Hıfzıssıhha Kurulu Başkanı Valilerle İl Sağlık Müdürlüklerinin eş güdümlü çalışması sağlandı. https://t.co/FBuI7FjmYi</t>
  </si>
  <si>
    <t>1291814498366619648</t>
  </si>
  <si>
    <t>https://t.co/GrnD12YZTY</t>
  </si>
  <si>
    <t>1291803328582750211</t>
  </si>
  <si>
    <t>Yeni hasta sayımızda artış devam ediyor. İyileşen hasta sayımız, dün olduğu gibi, yeni hasta sayısından az. Test sayımızsa giderek artıyor. Vaka sayılarını düşürmeyi başarana kadar, TEDBİRDE TEYAKKUZ halinde olmalıyız. İyi haber, sıkı tedbire bağlı. https://t.co/RVlhe7786O https://t.co/xW2cPkHFUs</t>
  </si>
  <si>
    <t>1291788494105382912</t>
  </si>
  <si>
    <t>Thank you Mr Director-General @DrTedros for your message. I urge all countries to wear a mask, practice social distancing and follow hygiene rules. My dear friend @hans_kluge, I know you are with us #WearAMask https://t.co/B3309dPfG2</t>
  </si>
  <si>
    <t>1291747982849843201</t>
  </si>
  <si>
    <t>Tepkiler, nadiren teklif içerir. Dünyanın yeni şartlarında, ağır sorumluluk altında olanlara saygı duymalı. Zor günlerin atlatılmasında mücadele arkadaşım #BeratAlbayrakınYanındayız</t>
  </si>
  <si>
    <t>1291746426653900801</t>
  </si>
  <si>
    <t>Bugün maske takmayan, yarın Covid-19’un gerçek yüzünü görebilir.</t>
  </si>
  <si>
    <t>1291660377709846529</t>
  </si>
  <si>
    <t>Bu devirde, yakın mesafe cana yakınlık değil. Ne olduğunu, akciğeri su toplayanlar keşke anlatabilse!</t>
  </si>
  <si>
    <t>1291645259307462659</t>
  </si>
  <si>
    <t>Hayatımızın yönetimini salgına mı bırakacağız, yoksa tedbirlerle salgını biz mi kontrol altına alacağız? Başarabiliriz. Tedbirde teyakkuz istiyoruz.</t>
  </si>
  <si>
    <t>1291631186427686912</t>
  </si>
  <si>
    <t>İngiltere'nin önde gelen TV kanallarından SKY NEWS, Türkiye'nin salgınla başarılı mücadelesini, yaptığı özel haberle gündeme taşıdı. Haberde; filyasyon ekiplerimizin hastalığın takibinde dedektif gibi çalıştığı, erken ve yoğun müdahalenin tedavide başarı getirdiği vurgulanıyor. https://t.co/IWQ4CBRqHp</t>
  </si>
  <si>
    <t>1291452758386782217</t>
  </si>
  <si>
    <t>Salgın boyunca, ülke olarak bazı başarılarımız anlatıldığında, kimileri bu başarılara “Türkün Türk’e karşı Türk propagandası!” dedi. Birazdan İngiliz’in İngiliz’e Türkiye propagandasını izleyeceksiniz. Hekimlerimizle, sağlık sistemimizle gurur duyalım.</t>
  </si>
  <si>
    <t>1291452520485867520</t>
  </si>
  <si>
    <t>Yeni hasta, vefat ve ağır hasta sayılarımız, zatürreli hasta oranımız; bazı farklarla dünkünden daha az. Fakat bu verilerden hiçbiri yarınki ya da bir hafta sonraki sonuçlar konusunda garanti sunmuyor. İYİ HABERLERE SADECE SIKI TEDBİRLER DAYANAK OLABİLİR. https://t.co/RVlhe7786O https://t.co/kjJSAPbTij</t>
  </si>
  <si>
    <t>1291425693486788609</t>
  </si>
  <si>
    <t>Contrary to false allegations, not a single city is overflowing with patients or a hospital full to capacity due to COVID-19 in Turkey. Please give credence only to official statements by the Ministry of Health.</t>
  </si>
  <si>
    <t>1291411390029352960</t>
  </si>
  <si>
    <t>KONYA Province: Ward bed occupancy rate is 48%, ICU occupancy is 76% and mechanical ventilator use is 42%. Allegations of 100% occupancy/use are 100% ill-intentioned. Pay no attention to those who underrate the disease and those who portray hospitals as desperate.</t>
  </si>
  <si>
    <t>1291410694651379713</t>
  </si>
  <si>
    <t>Aramızda dağlar yok. Mesafeyi ayarlayın. Hastalık, sadece kurallara uyanı uymayandan ayırıyor.</t>
  </si>
  <si>
    <t>1291395201135714310</t>
  </si>
  <si>
    <t>64 YAŞ VE ALTI iki kat tedbirli olmalı. Bir büyükleri, bir kendileri için.</t>
  </si>
  <si>
    <t>1291367668218462215</t>
  </si>
  <si>
    <t>https://t.co/ts3CmRwYUN</t>
  </si>
  <si>
    <t>1291330612490645504</t>
  </si>
  <si>
    <t>SORUMLU DAVRANMAYA davet ediyorum: Maske, mesafe, temizlik kuralına, genci yaşlısı, köylüsü kentlisi herkes uymalı. SORUMLULUK ALMAYA davet ediyorum: Salgının seyrine rağmen, COVID-19 riski abartılıyor diyenler, amacı sağlık olmayan telkinlerinden vazgeçmeli.</t>
  </si>
  <si>
    <t>1291314094981644288</t>
  </si>
  <si>
    <t>Toplantılarda, vaka durumunu ve tedbirleri değerlendirdik, SALGINA KARŞI PLANLAMA yaptık. İl hıfzıssıhha kurullarının başkanı valilerimizle il sağlık müdürlüklerimizin çalışmalarında eşgüdümü sağladık. İçişleri bakanımıza, valilerimize, sağlık personelimize teşekkür ederiz.</t>
  </si>
  <si>
    <t>1291274845171388416</t>
  </si>
  <si>
    <t>İL DEĞERLENDİRME TOPLANTILARINDA, İstanbul, Ankara, İzmir, Adana, Konya, Gaziantep, Kayseri, Malatya, Diyarbakır, Bursa, Erzurum, Şanlıurfa, Mardin, Batman valileri, il sağlık müdürleri, halk sağlığı başkanlarıyla, il bazında, 14 ayrı videokonferansta dün bir araya geldik. https://t.co/M64dxSiJzk</t>
  </si>
  <si>
    <t>1291274669287452674</t>
  </si>
  <si>
    <t>COVID-19 nedeniyle hastaneleri dolu bir ilimiz, hatta kapasitesi tamamen dolu hastanemiz yoktur. İddialar asılsızdır. Bu asılsız iddiaların sahipleri, hastaneler doluymuş gibi tedbir alsın. İddiaların topluma belki bu şekilde yararı olur.</t>
  </si>
  <si>
    <t>1291270092068663298</t>
  </si>
  <si>
    <t>KONYA: Servis yatağı doluluk oranımız %48, yoğun bakım doluluk oranımız %76, ventilatör doluluk oranımız %42. Yüzde yüz doluluk iddiaları, yüzde yüze varan bir kasıt taşımaktadır. Hastalığı önemsiz gösterenlerle hastaneleri çaresiz gösterenlerin iddialarını dikkate almayın.</t>
  </si>
  <si>
    <t>1291072786786549760</t>
  </si>
  <si>
    <t>COVID-19’a karşı kenetlenin: Aranıza mesafe koyun!</t>
  </si>
  <si>
    <t>1291065459194896384</t>
  </si>
  <si>
    <t>Yeni hasta sayımız, dün önceki güne göre 88, bugünse düne göre 95 arttı. Son 24 saatteki test sayımız yaklaşık 54.000. Toplam test sayısı 5 Milyonu geçti. Bayram ve tatildeki riskin yeni sonuçlara yol açmasını önlemeliyiz. Tedbirde birliğe ihtiyacımız var. https://t.co/RVlhe7786O https://t.co/7k9FXbUvUC</t>
  </si>
  <si>
    <t>1291059427148288000</t>
  </si>
  <si>
    <t>Beyrut’taki patlama nedeniyle LÜBNAN SAĞLIK BAKANI Dr. Hamad Hasan’la telefon görüşmesi yaptık. AFAD koordinasyonunda Lübnan’a tıbbi ve insani yardım göndereceğimizi, yaralıların tedavisi içinse 20 kişilik uzman hekim ekibimizin bugün Lübnan’a hareket edeceğini belirttik.</t>
  </si>
  <si>
    <t>1291056575491252224</t>
  </si>
  <si>
    <t>Tatilde ve bayramda herkesle iç içe olanlar 1,5 m geri çekilsin.</t>
  </si>
  <si>
    <t>1291007820855496704</t>
  </si>
  <si>
    <t>KONYA ŞEHİR HASTANEMİZ HASTA KABULÜNE başladı. COVID-19 DIŞI hastalıkların tedavisiyle ilgilenecek, yatak ve hasta yoğunluğu açısından Konya’daki diğer hastanelerin yükünü azaltacak olan hastane 838 YATAKLI İLK ETABINDA tüm branşlarda hasta kabulüne tamamen ay sonunda başlayacak. https://t.co/QKhHdplwH4</t>
  </si>
  <si>
    <t>1291005237831049217</t>
  </si>
  <si>
    <t>COVID-19’la mücadeleyi hastalığa yakalanmış olanlara bırakmayın. Tedbir alın.</t>
  </si>
  <si>
    <t>1290982931670990849</t>
  </si>
  <si>
    <t>https://t.co/BnJ6lcrsnz</t>
  </si>
  <si>
    <t>1290877740724424704</t>
  </si>
  <si>
    <t>Her adımda risk mesafesini ayarlayın.</t>
  </si>
  <si>
    <t>1290875212389638145</t>
  </si>
  <si>
    <t>Kolaya kaçarsak, zoru birlikte yaşarız. Tedbir alın.</t>
  </si>
  <si>
    <t>1290722044443860993</t>
  </si>
  <si>
    <t>YENİ HASTA SAYISINDAKİ YÜKSELME CİDDİ. İki gün arasındaki fark, yakın zamanda ilk kez bu kadar belirgin. Bayram ve tatildeki temas ortamının ağır sonuçlara yol açmasını önlemeliyiz. Hepimiz birbirimize karşı sorumluyuz. Tedbirde birliğe ihtiyacımız var. https://t.co/RVlhe7786O https://t.co/dVaRRl90gd</t>
  </si>
  <si>
    <t>1290699635003133953</t>
  </si>
  <si>
    <t>Bayram kutlamalarında, tatil yerlerinde, salgın faktörü ne yazık ki yeterince dikkate alınmadı. Daha önce, bazı illerle sınırlı olan vaka artışlarının önümüzdeki günlerde ülke geneline yayılmasından ENDİŞE duyuyoruz. TEDBİRDE GÜÇ BİRLİĞİNE ihtiyacımız var. https://t.co/RVlhe7786O https://t.co/81cFF287AN</t>
  </si>
  <si>
    <t>1290323469788487681</t>
  </si>
  <si>
    <t>Son 3 günde yeni hasta sayılarımızın arttığı illerde zatürre oranı aynı kaldı. Ülke genelinde ağır hasta sayımız kontrol altında görünüyor. KURBAN BAYRAMI VE TATİLDE TEDBİR EKSİKLİĞİ ise önümüzdeki günlerde ortaya çıkacak sonuçları açısından kaygı verici. https://t.co/RVlhe7oIYm https://t.co/kosHdNAVdL</t>
  </si>
  <si>
    <t>1289961424077299715</t>
  </si>
  <si>
    <t>https://t.co/pQl3wYpLbM</t>
  </si>
  <si>
    <t>1289924785514991618</t>
  </si>
  <si>
    <t>https://t.co/QyyvwnvMmK</t>
  </si>
  <si>
    <t>1289916569145888769</t>
  </si>
  <si>
    <t>https://t.co/j1nfEgEdAw</t>
  </si>
  <si>
    <t>1289916521234358272</t>
  </si>
  <si>
    <t>https://t.co/5AiAAWtzPc</t>
  </si>
  <si>
    <t>1289916489290530819</t>
  </si>
  <si>
    <t>Birinci dalga sahillere indi. Tatilde dikkatli olalım.</t>
  </si>
  <si>
    <t>1289869195061198854</t>
  </si>
  <si>
    <t>Bayramın ikinci gününde tüm şehirlerimizin İL SAĞLIK MÜDÜRLERİYLE video konferansta bir araya geldik. Salgınla ilgili yeni gelişmeleri, yapılan çalışmaları, COVID-19’un seyrini ele aldık. İl Sağlık Müdürlerimizle bir önceki video konferansımızı 29 Temmuzda gerçekleştirmiştik. https://t.co/mtH1LyZ758</t>
  </si>
  <si>
    <t>1289632224048898049</t>
  </si>
  <si>
    <t>Başakşehir ÇAM VE SAKURA Şehir Hastanesinde hastalarımızı ve sağlık personelimizi ziyaret edip, bayramlaştık. Türkiye'de bir ilk olma özelliğine sahip 1.2 TESLA AÇIK MR CİHAZI ile klostrofobisi olan veya obezitesi nedeniyle çekim yapılamayan hastalarımıza burada hizmet veriyoruz. https://t.co/53pe5ShW44</t>
  </si>
  <si>
    <t>1289625081480540160</t>
  </si>
  <si>
    <t>Tedbire ihtiyaç var: Günlük yeni hasta sayımız 1.000 sınırında. Bu sayının altına inmek için 33 gün süren bir çabamız olmuştu. Yeni hasta sayılarının artış eğiliminde olduğu iller: Ankara, Mardin, Diyarbakır, Gaziantep, Konya. 36 ilimizde ise 3 gündür yeni ağır hastamız olmadı. https://t.co/ffG1CU6Zps</t>
  </si>
  <si>
    <t>1289618505483137029</t>
  </si>
  <si>
    <t>https://t.co/RhJyFStDd8</t>
  </si>
  <si>
    <t>1289586615438934016</t>
  </si>
  <si>
    <t>Son üç günde ağır hasta sayısı en çok artan şehirler: İstanbul, Ankara, Konya, Gaziantep, Diyarbakır. 27 şehirde ise son üç günde yeni ağır hastamız olmadı. Zatürreli hasta oranımızda düşüş, yeni tanı konan hasta sayımızda artış eğilimi var. https://t.co/RVlhe7oIYm https://t.co/80ViZxAtTF</t>
  </si>
  <si>
    <t>1289252342240436224</t>
  </si>
  <si>
    <t>El öptürmeyelim, el öpmeyelim. Büyük küçük, elimizden geleni yapalım.</t>
  </si>
  <si>
    <t>1289157273818783745</t>
  </si>
  <si>
    <t>https://t.co/B36iearZZu</t>
  </si>
  <si>
    <t>1289130838660206592</t>
  </si>
  <si>
    <t>Ülkemize ve insanlığa hayırlar getirmesini, kardeşlik duygularımızı güçlendirmesini dilediğimiz Kurban Bayramımız mübarek olsun. Önümüzdeki günlerin huzurlu ve sağlıklı olması için salgın hastalığa karşı alınması gereken tedbirleri alalım. Bayramı izleyen günlerimiz de iyi olsun.</t>
  </si>
  <si>
    <t>1289078132658577408</t>
  </si>
  <si>
    <t>Salgınla mücadele sırasında hizmete açtığımız, halen Pandemi hastanesi olarak hizmet veren PROF. DR. MURAT DİLMENER Acil Durum Hastanesi ile PROF. DR. FERİHA ÖZ Acil Durum Hastanesini ziyaret ettik. Hastalarımız hakkında bilgi aldık. Bu vesile ile iki hocamızı saygıyla anıyorum. https://t.co/HK0SSsRuu6</t>
  </si>
  <si>
    <t>1288898174766194688</t>
  </si>
  <si>
    <t>Dün 542 olan ağır hasta sayımız 561’E YÜKSELDİ. Son 24 saat içinde yapılan 43.000’i aşkın testte 967 kişide daha hastalığa rastlandı. Bir süre 900’e doğru inen yeni hastamız giderek artıyor. İyileşen hasta sayımızla yeni hasta sayımız birbirine yakın. https://t.co/RVlhe7786O https://t.co/5K9WiXiN6Z</t>
  </si>
  <si>
    <t>1288889992094375942</t>
  </si>
  <si>
    <t>Kurban Bayramına yönelik tedbir hazırlıklarını değerlendirmek üzere, 81 İLİN SAĞLIK MÜDÜRÜYLE VİDEO KONFERANS görüşmesi yaptık. Planlama ve ihtiyaçların tamamlanmasını ele aldık. İl Hıfzıssıhha Kurullarının gerekirse radikal tedbirler almaya yetkili olduğunu hatırlattık. https://t.co/lcm7Ugw3n3</t>
  </si>
  <si>
    <t>1288820914931609600</t>
  </si>
  <si>
    <t>Bu bayramın gösterdiği önemi unutmayalım. Maske, mesafe, temizlik kuralından ödün vermeyelim. Eski bayramlara dönebilmek için beraber özveride bulunalım. Bayramınızı şimdiden kutluyorum. Hatırlatmalarımız bayramda da devam edecek. BAYRAMDAN SONRA SİZDEN iyi haberler bekliyoruz. https://t.co/EEP2xwhLCg</t>
  </si>
  <si>
    <t>1288772430970916864</t>
  </si>
  <si>
    <t>TÜİK ile birlikte yaptığımız SAHA ARAŞTIRMASI bitti. Tesadüfi testlerde, COVID-19 pozitiflik oranı 10 binde 26’dır. Yani her 10 bin kişide 26 kişi, pozitif olarak aramızda dolaşıyor. Belirtisi yok. Olmuş olsa hastalık şikâyetiyle müracaat eder. Bağışıklık oranı ise binde 8’dir. https://t.co/BnK6pRdvh8</t>
  </si>
  <si>
    <t>1288767176057462785</t>
  </si>
  <si>
    <t>Halk Sağlığı’ndaki laboratuvarımız, uluslararası bir referans laboratuvarıdır. Avrupa’da ECDC EVC LAB ağına üye 70 laboratuvardan biridir. ECDC EVC LAB ağı, üyesi olan laboratuvarlarda denetim yapar. 15 Haziranda yapılan denetime göre KİTLERİN DOĞRU SONUÇ VERME ORANI %91,66’dır. https://t.co/twuHauFuqx</t>
  </si>
  <si>
    <t>1288585420008312832</t>
  </si>
  <si>
    <t>ALTINI ÇİZİYORUM: İlk günlerde Çin’den 8,75 Dolara aldığımız kit dışında, bugüne kadar 9,8 Liranın üzerinde fiyata kit alınmamıştır. 9,8 Lira ve altında kim veriyorsa Bakanlık almaya hazırdır. Küresel firmaların Türkiye uzantıları üzerinden neler yapılmak istendiği iyi biliniyor. https://t.co/LvXaZr3VHo</t>
  </si>
  <si>
    <t>1288576191729999881</t>
  </si>
  <si>
    <t>KURBAN BAYRAMINDA uymamız gerekenleri 3 grupta topluyoruz. İlk gruptaki tedbirler, kurbanlık alımı ve kurban kesimi, ikinci gruptakiler Bayram ve Cuma namazı, üçüncü gruptakiler bayramın nasıl geçirileceği ile ilgilidir. 5 DAKİKALIK VİDEODA HEPSİ MADDELER HALİNDE SIRALANMIŞTIR. https://t.co/YdnT0kCeP7</t>
  </si>
  <si>
    <t>1288566261736185856</t>
  </si>
  <si>
    <t>Ramazan Bayramı, tedbirlerin çok sıkı tutulduğu zamanda ve buruk geçmişti. Kısıtlamaların olduğu günlerden bu yana değişen şeyler var. Tedbirlerle sonuçlar arasındaki ilişkiyi günlük hayattan öğrendik. BU BAYRAMI mevcut şartlarda, ruhuna yakın şekilde yaşamanın yolunu biliyoruz. https://t.co/jp8bxB2eIY</t>
  </si>
  <si>
    <t>1288563695283515392</t>
  </si>
  <si>
    <t>Türkiye Günlük Koronavirüs Tablosunda, bundan sonra, salgın boyunca oluşan uluslararası standarda uygun olarak, Ağır Hasta sayısı da verilecek. Yeni ve toplam hasta sayısına ek olarak, seyir hakkında detaylı bilgi sunması için Zatürre Oranı gösterilecek. https://t.co/RVlhe7786O https://t.co/mmEx47AmNJ</t>
  </si>
  <si>
    <t>1288510181253545984</t>
  </si>
  <si>
    <t>Bilim Kurulu Toplantımızın ardından Koronavirüs ile ilgili son gelişmeler ve aldığımız yeni tedbirlere ilişkin basın açıklamamız.
📍SAĞLIK BAKANLIĞI BİLKENT YERLEŞKESİ / ANKARA
https://t.co/zUn00VmGT6</t>
  </si>
  <si>
    <t>1288476052717797376</t>
  </si>
  <si>
    <t>İçişleri Bakanımız Sn. Süleyman Soylu ile bugün yaptığımız kapsamlı görüşmede, salgında mevcut durumu, dünyada ve ülkemizdeki seyri değerlendirip, tedbirleri ele aldık. Bakanlıklarımız arası koordinasyonu, KURBAN BAYRAMINDA gerekli uygulamaları gözden geçirdik. https://t.co/VaxeqdaVpD</t>
  </si>
  <si>
    <t>1288171506925817858</t>
  </si>
  <si>
    <t>Test sayımız, temaslı taraması sonucu, iki gün içinde 47.500 seviyesine çıktı. Yeni vaka sayımızda düne kıyasla 64 artış var. Son 24 saat içindeki vefat sayımız, 30 GÜN SONRA İLK KEZ 15 olarak gerçekleşti. Yeni iyileşen hasta sayımızda düne göre artış var. https://t.co/RVlhe7786O https://t.co/1kxyWVejsQ</t>
  </si>
  <si>
    <t>1288166423085428737</t>
  </si>
  <si>
    <t>Mut-Karaman yolunda, 4 askerimizin şehit olduğu, 2 sivilin hayatını kaybettiği elim kazada 6’sı ağır, toplam 27 yaralımızın tedavileri Mersin Üniversitesi, Mersin Şehir Hastanesi, Silifke Devlet Hastanesi ve Mut Devlet Hastanesinde devam etmektedir. Milletimizin başı sağ olsun.</t>
  </si>
  <si>
    <t>1287824293884305410</t>
  </si>
  <si>
    <t>Test sayısı 45.000’in üstünde. Son 3 gün yoğun bakım sayısı oransal olarak en çok artan iller: İstanbul, Ankara, Konya, Gaziantep, Diyarbakır. En az artan iller: Sivas, Isparta, Muğla, Balıkesir, Bayburt. 21 ilimizde son 3 gün yoğun bakım hastamız olmadı. https://t.co/RVlhe7786O https://t.co/IirUsD1uqH</t>
  </si>
  <si>
    <t>1287799276194734080</t>
  </si>
  <si>
    <t>Yeni vaka sayımız, son günlerdeki ortalamasında. İyileşen hasta sayımızla yeni vaka sayımız arasındaki fark düne yakın. Yoğun bakım, entübe ve riskli gruptaki hasta sayımız yaklaşık aynı düzeyde seyrettiği için vefat sayıları birbirine yakın gerçekleşiyor. https://t.co/RVlhe7786O https://t.co/QNgqL6r82s</t>
  </si>
  <si>
    <t>1287439450465763330</t>
  </si>
  <si>
    <t>Yenilenen, kapasitesi büyütülen GÖZTEPE Eğitim ve Araştırma Hastanemizde SON HAZIRLIKLARI inceledik. Yapısı deprem izolatörleri ile dayanıklı hale getirilmiş, yüksek teknolojiye sahip hastanemizin birinci etabı, 758 yatağı, 27 ameliyathanesiyle YAKINDA hizmete girecek. https://t.co/N7lMDCXlEg</t>
  </si>
  <si>
    <t>1287075404973572097</t>
  </si>
  <si>
    <t>Son 1 haftada PNÖMONİLİ hasta sayısı ORANI en çok azalan illerimiz: Artvin, Muş, Denizli, Düzce, Erzurum. En çok artan illerimiz: Isparta, Kocaeli, Mardin, Karaman. Sebebi ne olursan olsun, başkalarının ihmali, tedbirlerin terkine gerekçe kabul edilmemeli. https://t.co/RVlhe7786O https://t.co/tc4p7wA4Nr</t>
  </si>
  <si>
    <t>1287070958029811712</t>
  </si>
  <si>
    <t>HAYDARPAŞA Numune Eğitim ve Araştırma Hastanesiyle DR. SİYAMİ ERSEK Göğüs Kalp ve Damar Cerrahisi Eğitim ve Araştırma Hastanesi’nin YENİLEME PROJELERİ konulu toplantımızı gerçekleştirdik. İki hastanenin bir araya getirileceği sağlık kompleksi hakkında değerlendirmelerde bulunduk. https://t.co/YX7OV5BwqI</t>
  </si>
  <si>
    <t>1287068877734776835</t>
  </si>
  <si>
    <t>Toplam test sayımız 4,5 Milyona yaklaştı. İyileşen hasta sayımızla yeni vaka sayımız arasındaki fark, DÜNE KIYASLA AZALDI. Yoğun bakım ve entübe hasta sayımız; erken tanı, yaş, kronik hastalık ve benzeri durumlara bağlı olarak düşüş ve yükseliş gösteriyor. https://t.co/RVlhe7786O https://t.co/ErSgZL9Xey</t>
  </si>
  <si>
    <t>1286693392974524418</t>
  </si>
  <si>
    <t>Önce tedbir, sonra tekbir. Hayırlı Cumalar.</t>
  </si>
  <si>
    <t>1286575870682030080</t>
  </si>
  <si>
    <t>VAKALARIN %46’sının tespit edildiği İstanbul'da bakanlığımızca yapılan tarama çalışmasında, rastgele test edilen her 1.000 kişiden 2,9’unda test sonucu pozitif çıkmıştır. Bu oran, Türkiye genelinden %13,8 yüksektir. Hepimizin iyiliği için dikkatli olalım. Hayat riske yenilmesin.</t>
  </si>
  <si>
    <t>1286569419838312449</t>
  </si>
  <si>
    <t>SALGIN BOYUNCA toplam vaka sayısı 223.315’tir. Vakaların %46'sı İstanbul'da tespit edilmiştir. COVID-19 kaynaklı vefatlarınsa %50,2’si yine İstanbul’da olmuştur. Hepimizin iyiliği için dikkatli olalım. Hayat riske yenilmesin.</t>
  </si>
  <si>
    <t>1286567361756233728</t>
  </si>
  <si>
    <t>TÜRKİYE GENELİNDE, bakanlığımız tarafından yaklaşık 150.000 kişiyle yapılan COVID-19 tarama çalışmasında, rastgele test edilen her 1.000 kişiden 2,5’inde test sonucu pozitif çıkmıştır. Hepimizin iyiliği için dikkatli olalım. Hayat riske yenilmesin.</t>
  </si>
  <si>
    <t>1286563923932610561</t>
  </si>
  <si>
    <t>Ayasofya’da kılınacak Cuma namazında, tarihi anı yaşama heyecanıyla, halkımızın tedbirleri terk etmeyeceğini umuyoruz. Şu ana kadar ulaşılan bilgiler salgın boyunca en büyük kalabalığın Ayasofya’nın ibadete açılışı sırasında oluşacağını gösteriyor. Tedbirli cumaları örnek alalım. https://t.co/NtuJmV07Mt</t>
  </si>
  <si>
    <t>1286398859229507584</t>
  </si>
  <si>
    <t>İyileşen sayımız vaka sayısından 238 fazla. 1 Hazirandan bugüne COVID-19 sebebiyle kaybettiğimiz 1.043 hasta içinde 65 yaşından küçük olanların sayısı 136. Son 3 gün vaka sayısı en çok artan iller: Ankara, Konya, Şanlıurfa, Batman, Adana, Kayseri, Erzurum. https://t.co/RVlhe7786O https://t.co/6Ho4gsUu2U</t>
  </si>
  <si>
    <t>1286345386387537920</t>
  </si>
  <si>
    <t>Yakın günlerde ilk kez, iyileşen hasta sayımız vaka sayısından 300 fazla. Yeni vaka sayısı, 44 gün sonra 900 sınırında. Pek çok kentimizde maske yaygınlaştı; hayat, umut verici bir düzene giriyor. Vaka sayılarında ağırlığı olan illerden de özen bekliyoruz. https://t.co/RVlhe7786O https://t.co/315lDYcSUk</t>
  </si>
  <si>
    <t>1285982240850292744</t>
  </si>
  <si>
    <t>https://t.co/08hsbXL9uv linkine günlük vaka tablosu mesajında düzenli olarak yer verdik. Salgının seyrini gösteren ayrıntılı grafiği; günlük ve haftalık durum raporlarını içeren sayfamız 270 MİLYON KEZ ziyaret edildi. Doğru bilgi için her zaman bekleriz: https://t.co/RVlhe7786O</t>
  </si>
  <si>
    <t>1285967279948267525</t>
  </si>
  <si>
    <t>Son üç gündür 71 ilimizde pnömonili vaka sayıları azaldı, 21 ilimizde yoğun bakım hastası yok. Hastalığın ülkemizdeki seyrinin gösterildiği detaylı grafik, günlük ve haftalık COVID-19 durum raporları ve diğer önemli bilgiler için linkimiz: https://t.co/RVlhe7786O https://t.co/Q4yg4zCxN8</t>
  </si>
  <si>
    <t>1285633067403694080</t>
  </si>
  <si>
    <t>RT @RTErdogan: Cumhurbaşkanlığı Hükümet Sistemi 🇹🇷 | SAĞLIK 🩺
#ReformİcraatDeğişim https://t.co/dBiAWZmJBZ</t>
  </si>
  <si>
    <t>1285552642979135488</t>
  </si>
  <si>
    <t>RT @RTErdogan: Cumhurbaşkanlığı Hükümet Kabinesi İki Yıllık Değerlendirme Toplantısı https://t.co/9OhwkWROE0</t>
  </si>
  <si>
    <t>1285537181772263424</t>
  </si>
  <si>
    <t>COVID-19’la mücadeleyi hastalığa yakalanmış olanlara bırakmayalım. Bu konuda, yanlış yere ısrar etmeyelim. Dünyanın şu ana kadarki tecrübesine göre, salgın; sosyal sınıf, sosyal statü, zengin yoksul, köşe yazarı, gazete okuru, amir, memur, halk, mevki sahibi ayrımı yapmıyor.</t>
  </si>
  <si>
    <t>1285499699529744387</t>
  </si>
  <si>
    <t>Kıbrıs Barış Harekatı’nın 46. yıl dönümünde aziz şehitlerimizi rahmet ve minnetle, gazilerimizi şükranla anıyoruz.</t>
  </si>
  <si>
    <t>1285324534711754755</t>
  </si>
  <si>
    <t>Vakaların en çok görüldüğü illerden DİYARBAKIR'DA iki gün önce yapılan düğünde, 70 kişinin kol kola ve maskesiz halay çektiği öğrenildi. TRABZON'DA ise gelin dâhil, bir kına gecesine katılan 35 kişi karantinaya alındı; düğün ertelendi. Düğünleri hastalık, yoğun bakım izlemesin.</t>
  </si>
  <si>
    <t>1285278874587332612</t>
  </si>
  <si>
    <t>SON ÜÇ GÜNDÜR ortalama günlük vaka sayısı EN YÜKSEK beş ilimiz: İstanbul, Ankara, Gaziantep, Şanlıurfa, Bursa. EN DÜŞÜK 5 ilimiz: Artvin, Bilecik, Tunceli, Edirne, Bayburt. Tunceli, Nevşehir, Kastamonu, Artvin ve Aksaray'daysa şu an pnömonili hastamız yok. https://t.co/RVlhe7786O https://t.co/4JfZKl9L8x</t>
  </si>
  <si>
    <t>1285263476311687171</t>
  </si>
  <si>
    <t>SÜPER LİG’DE kalma başarısını gösteren Konyaspor’u ve Süper Lig’de şampiyonluğu garantileyen Başakşehirspor’u kutluyoruz. İki kulübün de taraftarından KUTLAMALARIN toplum sağlığını gözetir tarzda olmasını bekliyoruz. COVID-19 şartlarında taraftarlık da biraz değişmeli.</t>
  </si>
  <si>
    <t>1284948389684183041</t>
  </si>
  <si>
    <t>İstanbul’da oynanan Başakşehirspor- Kayserispor, Trabzon’da oynanan Trabzonspor- Konyaspor maçlarında, taraftarı maç sonunda salgın tedbirlerine uymaya davet ediyoruz. COVID-19 günlerinde centilmenlik kurallarına maske, mesafe ve toplum sağlığı da eklendi. İyi seyirler.</t>
  </si>
  <si>
    <t>1284925790417805313</t>
  </si>
  <si>
    <t>Her gün 1000’e yakın hastamız şifa buluyor, 1000'e yakın yeni vakamız oluyor. Yeni vakaları durdurabilirsek aktif vaka sayısı hızla azalmış olacak. Hedefimiz; iyileşen sayısında artış, yeni vaka sayılarında düşüş. İyi haberler, alacağımız tedbirlere bağlı. https://t.co/RVlhe7786O https://t.co/VPrueGzsWC</t>
  </si>
  <si>
    <t>1284897407378104321</t>
  </si>
  <si>
    <t>Erzurumspor- Koronavirüs karşılaşması başladı. Taraftarı, kalabalık olay yerinden centilmence çekilmeye davet ediyorum. Şehirde vaka sayıları kontrol altında kalsın. https://t.co/FNZAxKxKmr</t>
  </si>
  <si>
    <t>1284549815695745024</t>
  </si>
  <si>
    <t>RT @RTErdogan: Bugün TOGG Mühendislik, Tasarım ve Üretim Merkezi'nin yapımına başlayarak 60 yıllık hayalimizi gerçeğe dönüştürme yolunda ta…</t>
  </si>
  <si>
    <t>1284548401376501771</t>
  </si>
  <si>
    <t>1.000’in üstünde gerçekleştiği en son güne kıyasla, yeni vaka sayımız, bugün 90 azaldı. SON 3 GÜNDE en çok vaka görülen beş ilimiz: İstanbul, Ankara, Gaziantep, Konya, Diyarbakır. En az vaka görülen beş ilimiz: Artvin, Tunceli, Bayburt, Kırklareli, Bartın. https://t.co/RVlhe7786O https://t.co/ReifcmNCkw</t>
  </si>
  <si>
    <t>1284535494349594625</t>
  </si>
  <si>
    <t>SÜPER LİGE ÇIKAN ERZURUMSPOR’U kutluyoruz. Erzurumspor camiasının bu başarıyı, SALGIN KOŞULLARINI DİKKATE ALARAK kutlayacağına inanıyoruz. Şehirde COVID-19 vaka sayıları kontrol altında. Tedbirsiz kutlamalarla bu başarıya gölge düşürmeyelim.</t>
  </si>
  <si>
    <t>1284528359414927360</t>
  </si>
  <si>
    <t>SURVIVOR 2020 FİNAL programında, COVID-19 tedbirlerine uyulmaması tepkilere yol açtı. Tepkiler haklı. Düğün yeri, pazar yeri, dolmuş yeri uyarılarına show amaçlı ortamlar çok daha fazla dâhil. Tedbirlere uymayan hayranlarla ünlüler, gözden biraz izole olmalı. https://t.co/ebTZlcsLSQ</t>
  </si>
  <si>
    <t>1284210826606456832</t>
  </si>
  <si>
    <t>Yoğun bakım ve entübe hasta sayımızda, devam eden tedavilere bağlı artış var. Son 35 gün içinde, en düşük vefat sayımız 13 Haziran’da, 14 olarak gerçekleşmişti. Temaslı taraması, erken tanı ve tedavi şansıyla vefat sayılarını daha da azaltmaya çalışıyoruz. https://t.co/RVlhe7786O https://t.co/9vqibmlH4v</t>
  </si>
  <si>
    <t>1284179201122336769</t>
  </si>
  <si>
    <t>HAVUZ VE PLAJLARDA DAMLACIK OLAYI: Koronavirüs, damlacıklarla bulaşır. Riskli damlacık sayısı, havuz ve plajlarda da tıpkı diğer ortamlardaki gibi, insan yoğunluğuna bağlı şekilde artar. Tedbirler, üçüncü şahıslı tüm yerlerde geçerlidir. Kurallara uyulursa tatilin kalitesi artar.</t>
  </si>
  <si>
    <t>1284113097901449216</t>
  </si>
  <si>
    <t>Van’da yaşanan keşif uçağı kazasında şehit olan Komiser Yardımcısı Samet Üstüner ve Polis Memuru Mustafa Keskin’i son yolculuğuna uğurladık. Aynı kazadaki diğer beş şehidimize de Allah’tan rahmet ve yakınlarına başsağlığı diliyorum. https://t.co/l8R1kvbwxe</t>
  </si>
  <si>
    <t>1284105537576226817</t>
  </si>
  <si>
    <t>Tatil planları sloganı: Kum gibi kalabalıktan uzakta!</t>
  </si>
  <si>
    <t>1284096987831435269</t>
  </si>
  <si>
    <t>RİSK ANALİSTLERİ ARANIYOR: Hangi saatte otobüs daha az kalabalık? Girip çıkanı en az kuaför hangisi? Az pahalı hediye göndermek mi yoksa düğüne gitmek mi riskli? Çalışma saatlerini yeniden düzenlesek sadece sağlığa mı yatırım olur? COVID-19’A KARŞI birer risk analisti olmalıyız.</t>
  </si>
  <si>
    <t>1284051000630943744</t>
  </si>
  <si>
    <t>YOĞUN BAKIMDAKİ 3 HASTAMIZLA KONUŞTUM. Tedavileri iyi sonuç veriyor. Tedbirlere uymanız konusunda ısrarcılar. Birbirimizi koruyarak başarılı bir gün geçirelim. İyi çalışmalar.</t>
  </si>
  <si>
    <t>1284032225634398208</t>
  </si>
  <si>
    <t>Daha çok test, daha çok vaka saptar. Test sayısıyla yeni vaka sayısı arasındaki ilişki ise bire bir değildir. 15 Haziranda 1.592 vaka sayısına ulaştığımız gün de test sayımız 42.000 idi. Test sayısı ihtiyaca göre değişmektedir. Sonucu belirleyen tedbirdir. https://t.co/RVlhe7786O https://t.co/Vp6rvd6RmK</t>
  </si>
  <si>
    <t>1283810646656770048</t>
  </si>
  <si>
    <t>Hazır bir araya gelmişken hemen dağılalım.</t>
  </si>
  <si>
    <t>1283760130329317381</t>
  </si>
  <si>
    <t>İŞ YERİNDE BİZ BİZEYİZ TEORİSİ. Bu teori, “bilimsel” olarak yanlıştır. İş yerinde biz bize değiliz. Sayısız insanla teması olan kişiler olarak birlikteyiz. Mesafeyi karşılıklı koruyalım. Maskeyi, tek başına kalmadıkça indirmeyelim.</t>
  </si>
  <si>
    <t>1283745525402079232</t>
  </si>
  <si>
    <t>EMNİYETİMİZE BAĞLI BİR KEŞİF UÇAĞI, dün gece, Van-Hakkari görev uçuşu sırasında Artos dağına çarparak düştü. 7 ŞEHİDİMİZ VAR. Olay yerine görevlendirilen 3 UMKE Ekibimizle 112 Acil Ambulanslarımızın sonuca müdahale etme şansı maalesef olmadı. Milletimize başsağlığı diliyorum.</t>
  </si>
  <si>
    <t>1283730881035882498</t>
  </si>
  <si>
    <t>Sabunun yapısında bulunan, su ve yağda kolay çözünen kısımlar, Koronavirüsteki iki tabakalı lipitleri parçalar. Yağ zarı çözülen virüs etkisiz hale gelir. Dokunduğumuz yüzeylerde virüs olabileceği için ellerimizi daha sık yıkayalım. Temizlik, COVID-19’a karşı güçlü bir tedbirdir. https://t.co/37V4Tm5Hlb</t>
  </si>
  <si>
    <t>1283502530371215366</t>
  </si>
  <si>
    <t>Külliyede düzenlenen 15 Temmuz Şehitleri Anma Programında Hiranur’la tanıştık. HİRANUR, şehit kardeşimiz Emrah Sağaz’ın üç buçuk yaşındaki kızı. Dünya tatlısı. Babasını fotoğraflarından tanıyor. Allah şehit ailelerine başka acı göstermesin. https://t.co/jhj2CtmXYe</t>
  </si>
  <si>
    <t>1283467488496431105</t>
  </si>
  <si>
    <t>1.000’in altındaki ikinci günümüz. Yeni iyileşen hasta sayımız, yeni vaka sayısından fazla. Malatya, Trabzon, Kilis, Yalova, Bayburt ve Ardahan’da 3 gündür pnömoniye hiç rastlanmadı. Yeni vaka verileri yakın günlerde ciddiyetimizin arttığını gösteriyor. https://t.co/RVlhe7786O https://t.co/MVjFYowWHF</t>
  </si>
  <si>
    <t>1283457635963015169</t>
  </si>
  <si>
    <t>ÇIKMAM LAZIM, İŞİM VAR. İşleri hangi saatlere planlarsak, kendimizi kalabalığa denk getirmeyiz? Hesap kitap yapın, riski zayıflatın.</t>
  </si>
  <si>
    <t>1283388125662846978</t>
  </si>
  <si>
    <t>15 TEMMUZ gibi bir zaferi, yaralı gittiği hastanede bile bayrağını elinde tutan bir halk kazanabilirdi. Şehitlerimizi rahmetle anıyor, gazilerimize minnetimizi sunuyoruz. Bayrağımızın altında, demokrasiye inançla hep bir ve güçlüyüz. https://t.co/j7oqvfSU7X</t>
  </si>
  <si>
    <t>1283188091222724608</t>
  </si>
  <si>
    <t>Büyüklerini seven, ana baba günü gibi ortamlara girmesin.</t>
  </si>
  <si>
    <t>1283113446633025541</t>
  </si>
  <si>
    <t>KAZAKİSTAN, ÖZBEKİSTAN, AZERBAYCAN Sağlık Bakanı dostlarımızla yaptığımız telefon görüşmelerinde salgına karşı iş birliğini, son durumu ele aldık. KIRGIZİSTAN’IN da dâhil olduğu 4 ülkeye tıbbi yardım için Türkiye’ye teşekkür ettiler. Bilim Kurulumuz da kendilerine destek verecek. https://t.co/ST29kSUYj2</t>
  </si>
  <si>
    <t>1283104817448136705</t>
  </si>
  <si>
    <t>TEKRAR 1.000’İN ALTINDAYIZ. 33 gün sonra ilk kez. 11 Haziranda 987 olan yeni vaka sayısı ertesi gün 1.195’e çıkmıştı. Şu an yarını bilmiyoruz. Şimdi alacağımız tedbirlerin sonucunu ortalama 7 gün sonra göreceğimizi biliyoruz. Bugünü tekrar aramayalım. https://t.co/RVlhe7786O https://t.co/SmeQuZYarl</t>
  </si>
  <si>
    <t>1283089713558159365</t>
  </si>
  <si>
    <t>EVE DÖNERKEN dikkatli olalım. Gün boyu sahip olduğumuz mücadele üstünlüğünü toplu taşımada sıfırlıyoruz. Kurallara uyan taşıtları tercih edelim. Maskemizi mümkünse yenisiyle değiştirelim. İyi akşamlar.</t>
  </si>
  <si>
    <t>1283067149095968768</t>
  </si>
  <si>
    <t>Romancımız Adalet Ağaoğlu hayata veda etti. Fikrimizin ince gülü soldu. Yazmak, onun, su içer gibi içinden geliyordu. 91 yaşına kadar yazdı. Edebiyatı el üstünde tutmamızı telkin eden bir yazardı. Bu söz onun: “Bir ülkenin insanları ancak edebiyat yoluyla anlatılabilir.” https://t.co/i2kt7E6lXA</t>
  </si>
  <si>
    <t>1282998376662020097</t>
  </si>
  <si>
    <t>“Yaz gelince virüs etkisini kaybetti.” Kulaktan kulağa yayılan bu söylenti yanlıştır. İtibar eden risk alır. Salgının küreselliği, virüsün etkisinin mevsimsel olmadığını kanıtlıyor. Vakalar, farklı mevsimlerde benzer seyrediyor. Virüsün etkisini kaybetmesi şu an tedbirlere bağlı. https://t.co/uivpAlfhFc</t>
  </si>
  <si>
    <t>1282963506145431552</t>
  </si>
  <si>
    <t>Covid-19’a karşı her günümüz bir sınav. Doğru olanı yapalım: Kurallara uyalım. Bu her zaman kolay olmasa da, uymaya çalışalım. Salgına karşı bugünkü çabanız için size teşekkür ediyorum, mutlu bir gün diliyorum.</t>
  </si>
  <si>
    <t>1282899024228515841</t>
  </si>
  <si>
    <t>!!!!!!!!!!!!!!!!!!!!!!!!!!!!!!!!!!!!!!!!!!!!!!!!!!! İğne atsan yere düşmez yerlerde iğneyi yere düşürelim. Daha düşük vaka sayıları; daha düşük yoğunluğa, daha az temasa bağlı. [İğneli Uyarı]</t>
  </si>
  <si>
    <t>1282744223960379393</t>
  </si>
  <si>
    <t>En çok vaka görülen 5 ilimiz: İstanbul, Ankara, Gaziantep, Şanlıurfa, Diyarbakır. 5 ilin yoğun bakım sayılarında da artış var. Ortalama 1 hafta önceki verilere göre, vaka sayısında 1.000’in altına inmekte kararlıyız. COVID-19’a karşı HER GÜNÜMÜZ BİR SINAV. https://t.co/RVlhe7786O https://t.co/wGSSKQcuNA</t>
  </si>
  <si>
    <t>1282721929401597954</t>
  </si>
  <si>
    <t>Hatayspor’u Süper Lige çıkaran maçta, seyircisiz maç kuralına tribünlerde uyuldu; açık havadaysa, dev ekranlar karşısında salgın unutuldu. Önümüzdeki maçlara bakmalıyız! COVID-19 solunum yoluyla, yakın temasta bulaşıyor. Bu kalabalıklar, bizi salgına karşı ağır yenilgiye uğratır. https://t.co/58nvXDo32H</t>
  </si>
  <si>
    <t>1282691903167791104</t>
  </si>
  <si>
    <t>Virüsün bugün yakaladığı fırsatlar, tabloya ortalama 1 hafta sonra yansıyor. Kaçınılmaz görünen birçok durum, tedbirlerden taviz vermemize yol açıyor; bunları azaltmaya çalışalım. Aksi mümkünken asla risk almayalım. YENİ VAKA SAYILARINI bugün uyguladığımız tedbirlerle düşürelim. https://t.co/oYIZd6Y8KM</t>
  </si>
  <si>
    <t>1282540431675469824</t>
  </si>
  <si>
    <t>Gelecek sezon Süper Lig’de mücadele edecek olan Hatayspor’u ve taraftarlarını kutluyorum. An itibariyle, Hatayspor camiasının, salgınla mücadelemizin sıkı taraftarı olmayı sürdüreceklerine inanıyorum. Bu zafer hasarsız, kutlama örnek olmalı.</t>
  </si>
  <si>
    <t>1282417991976615936</t>
  </si>
  <si>
    <t>Çılgın kalabalık, kuru kalabalık, başı kalabalık. Her türlü kalabalıktan uzak duralım.</t>
  </si>
  <si>
    <t>1282391743640604673</t>
  </si>
  <si>
    <t>Virüsün bugün yakaladığı fırsatlar, tabloya ortalama 1 hafta sonra yansıyor. Kaçınılmaz görünen birçok durum, tedbirlerden taviz vermemize yol açıyor; bunları azaltmaya çalışalım. Aksi mümkünken asla risk almayalım. YENİ VAKA SAYILARINI bugün uyguladığımız tedbirlerle düşürelim. https://t.co/WmWcUleOSF</t>
  </si>
  <si>
    <t>1282370801900171269</t>
  </si>
  <si>
    <t>Virüsün bugün yakaladığı fırsatlar, tabloya ortalama 1 hafta sonra yansıyor. Kaçınılmaz görünen birçok durum, tedbirlerden taviz vermemize yol açıyor; bunları azaltmaya çalışalım. Aksi mümkünken asla risk almayalım. YENİ VAKA SAYILARINI bugün uyguladığımız tedbirlerle düşürelim. https://t.co/QGExIfi8m5</t>
  </si>
  <si>
    <t>1282367577453404160</t>
  </si>
  <si>
    <t>SON 3 GÜNDE ortalama entübe hasta sayısı en yüksek 5 il: İstanbul, Ankara, Konya, Diyarbakır, Bursa. Ortalama yoğun bakım hasta sayısı en yüksek 5 il: İstanbul, Şanlıurfa, Ankara, Gaziantep ve Konya. Beklediğimiz sonuçlar için tedbirlere daha fazla uyalım. https://t.co/RVlhe7786O https://t.co/5PfpJkaceJ</t>
  </si>
  <si>
    <t>1282355804008579083</t>
  </si>
  <si>
    <t>Halkımızın hizmet taleplerini bize taşıyan siyasetçilere; bürokrat ve yöneticilere; Pandemi konusundaki istişareleri sebebiyle tüm konuklarımıza; Elazığ depremi günlerinde tanıdığımız, lütfedip bizi görmeye gelen depremzede Meriç Dişli’ye ZİYARETLERİ İÇİN TEŞEKKÜR EDİYORUM. https://t.co/9RrEraYIRe</t>
  </si>
  <si>
    <t>1282307383079899137</t>
  </si>
  <si>
    <t>İçişleri Bakanımız Süleyman Soylu’nun kayınpederi Metin Dinç Beyefendi, tedavi gördüğü kanser hastalığı ve kalp yetmezliği sebebiyle vefat etti. Mekânı cennet olsun. Ailesine sabır, Bakan arkadaşım Süleyman Soylu’ya ve kıymetli eşine başsağlığı diliyorum.</t>
  </si>
  <si>
    <t>1282285987633213443</t>
  </si>
  <si>
    <t>Bu karede, salgına karşı ÖN PLANDA 5 KİŞİYİZ. Üç arkadaş, Koronavirüse taviz vermiş. Oysa virüs, biriyle karşı karşıya dururken de geçebilir, yan yana yürürken de. Bir dahaki karşılaşmamızda sizi daha donanımlı görelim arkadaşlar. https://t.co/LRuvfVjaH2</t>
  </si>
  <si>
    <t>1282248712803229697</t>
  </si>
  <si>
    <t>11 Temmuz 1995’te, Bosna’da, Srebrenitsa’nın Sırplar tarafından ele geçirilmesinden sonra en az 8.372 sivil, kadın ve çocuk katledildi. Kurbanlar arasında bir günlük bir bebek de vardı. Soykırımın 25. yıl dönümünde Srebrenitsa şehitlerini rahmetle anıyoruz. https://t.co/xHggc133bH</t>
  </si>
  <si>
    <t>1282007973951426566</t>
  </si>
  <si>
    <t>Son üç günde vaka sayılarında en çok düşüş olan 7 ilimiz: Kars, Çanakkale, Bartın, Artvin, Ardahan, Kütahya ve Yalova. Türkiye genelinde vakaların pnömoniye dönme oranı azalıyor. Vaka sayılarındaki artış ve düşüşler, maske ve mesafe kuralına uyuma bağlı. https://t.co/RVlhe7786O https://t.co/7ZtF9EbfKS</t>
  </si>
  <si>
    <t>1281989066553208833</t>
  </si>
  <si>
    <t>https://t.co/MNRIw62u6z</t>
  </si>
  <si>
    <t>1281883882405625856</t>
  </si>
  <si>
    <t>Günlük Koronavirüs Vaka Tablosundaki iyileşmeye katkıda bulunun: Maske ve mesafe kuralıyla yeni vaka sayısını düşürün.</t>
  </si>
  <si>
    <t>1281870608452681729</t>
  </si>
  <si>
    <t>Son verilere göre, bugün en az 1.000 kişinin COVID-19’a yakalanması bekleniyor. Önceki günlerden tedbirli olmayı öğrenelim.</t>
  </si>
  <si>
    <t>1281855953621712897</t>
  </si>
  <si>
    <t>https://t.co/GJmiPmvaei</t>
  </si>
  <si>
    <t>1281716010849112065</t>
  </si>
  <si>
    <t>Kadınlara karşı, görece özellikler ve yaşam biçimleri üzerinden küçümseyici söylemler geliştirmek, ruhsal onarım konusudur. Konumum ve hasta hakları sebebiyle adını anamayacağım bu gibi kişileri Psikiyatri Acilden yardım almaya davet ediyorum.</t>
  </si>
  <si>
    <t>1281708749200035840</t>
  </si>
  <si>
    <t>Nurettin Topçu’nun ölümünün 45. yıl dönümü. Topçu kimdir? Bir düşünce ekolünün kurucusu. Sorbonne’da felsefe doktorası veren ilk Türk. Tezi, 1934’te Paris’te kitap olarak basılmış. Türkiye’de felsefe öğretmenliği yaptı. Kitaplar yazdı. Öğretmenliği, ölümünden sonra da devam etti. https://t.co/W29v8MH3mr</t>
  </si>
  <si>
    <t>1281689445088088064</t>
  </si>
  <si>
    <t>Ayasofya, 1453 ruhuna yeniden kavuştu. O, fetihten önceki asırların başlatıp, fetihler çağının tamamladığı bir simgedir. İsmi, İlahi Bilgelik anlamına gelen Ayasofya’nın cami statüsüne yeniden kavuşmasıyla, o ilahi bilgelik devam ediyor. https://t.co/mBGYC0tCSs</t>
  </si>
  <si>
    <t>1281657121772376067</t>
  </si>
  <si>
    <t>Yeni tanı konan hasta sayısında 25 Haziranda başlayan düşüş devam ediyor. 1.000’in altına çok yakınız. Fakat bu azalmaların yavaş, yükselişlerinse ani olduğunu unutmayalım. Artışlar ve düşüşler, maske ve mesafe kuralına uyumdaki artışa veya azalmaya bağlı. https://t.co/RVlhe7786O https://t.co/VvrRuMmx7b</t>
  </si>
  <si>
    <t>1281634136265031682</t>
  </si>
  <si>
    <t>RT @RTErdogan: Hayırlı olsun. https://t.co/MzP6nzn9Jc</t>
  </si>
  <si>
    <t>1281589912018485250</t>
  </si>
  <si>
    <t>İnsani ve Sağlık Acil Durumlarına Hazırlıklılık konusunda, İstanbul'da faaliyet gösterecek DSÖ ofisinin açılmasına ilişkin mali anlaşmayı, dün, DSÖ Avrupa Bölge Direktörü Dr. Hans Kluge ile imzaladık. Ben de kendisi gibi, bu anlaşmanın bir kilometre taşı olacağı inancındayım. https://t.co/hhX2ErUZsz</t>
  </si>
  <si>
    <t>1281349506924240898</t>
  </si>
  <si>
    <t>SÖZ İSTİYORUZ. Fazla yolcu taşıyan minibüs paylaşımından sonra bir mektup aldık. İlgili taşımacılık kooperatifi, kamuoyuna özürlerini ve hatanın sınırlı olduğunu bildiriyor. İstanbul’daki tüm dolmuş kooperatifleri ve duraklarından söz istiyoruz: DOLMUŞLAR, FAZLA YOLCU ALMAYACAK.</t>
  </si>
  <si>
    <t>1281332580378456065</t>
  </si>
  <si>
    <t>Dünya Sağlık Örgütü Avrupa Bölge Direktörü Dr. Hans Kluge ile Bilim Kurulu üyelerimizin de katıldığı bir görüşme ve ortak basın toplantısı gerçekleştirdik. Görüşmede, salgın konusunda bilgi paylaşımında bulunduk. Bu, kendisinin Pandemi boyunca yaptığı ilk yurt dışı ziyaretiydi. https://t.co/oWAZ0WMvQm</t>
  </si>
  <si>
    <t>1281284157122007040</t>
  </si>
  <si>
    <t>Yoğun bakım hasta sayımızdaki artış eğilimi yavaşladı. Entübe hasta sayımız 7 azaldı. İyileşen hasta sayımız, yeni tanı konanların iki katından fazla. Maske ve mesafe kuralına uyumdaki artışa bağlı olarak, vaka sayılarında küçük azalmalar devam ediyor. https://t.co/RVlhe7786O https://t.co/Bk5UZrcaG8</t>
  </si>
  <si>
    <t>1281272989372370944</t>
  </si>
  <si>
    <t>Dünya Sağlık Örgütü Avrupa Bölge Direktörü Sayın Dr. Hans Kluge’nin Bakanlığımızı ziyaretinin ardından ortak basın açıklamamız. https://t.co/IPhi0BSwWF</t>
  </si>
  <si>
    <t>1281233919342346246</t>
  </si>
  <si>
    <t>Sakarya'daki havai fişek fabrikasının taşınması sırasında elim bir olay yaşandı. Çıkan patlamada 3 askerimiz şehit oldu. Yaralılarımızın tedavisine başladık. Durumu ağır olan bir yaralımız ameliyata alındı. Şehitlerimize Allah'tan rahmet, yaralılarımıza acil şifa diliyorum.</t>
  </si>
  <si>
    <t>1281220581782929411</t>
  </si>
  <si>
    <t>https://t.co/fRF00sjzbz</t>
  </si>
  <si>
    <t>1281204711652278273</t>
  </si>
  <si>
    <t>Hastalığın şu an tırmanışta olduğu ülkeler, sonbahar için karamsar. Bunu bizim de hesaba katmamız kaçınılmazdır. Bugünlerde üzerimizde bir yorgunluk var. Yorgunluğu üstümüzden atalım. Mücadele gücünü, ancak iyimserler gösterebilir. SALGINA KARŞI YENİDEN 83 Milyon bir olalım. https://t.co/0P5Jw4etDI</t>
  </si>
  <si>
    <t>1280983283359154176</t>
  </si>
  <si>
    <t>Dün yeni vaka sayımız 1053’tü. İstatistiklere göre, aralarından bir bölümü yoğun bakıma gidecek. Bir kısmı solunum cihazına bağlanacak. Sizce, bu hastalar, COVID-19’a, KURALLARA KENDİLERİ UYMADIKLARI İÇİN Mİ yakalandı? Hastalığın bulaşmasını karşılıklı tedbirle önleyebiliyoruz. https://t.co/l39RuiEiMr</t>
  </si>
  <si>
    <t>1280980814772174854</t>
  </si>
  <si>
    <t>Bakanlığımız, yeni risklere karşı, başta İçişleri Bakanlığı; Aile, Çalışma ve Sosyal Hizmetler Bakanlığı, Milli Eğitim Bakanlığı, Milli Savunma Bakanlığı, Gençlik ve Spor Bakanlığı olmak üzere birçok bakanlığımızla İŞ BİRLİĞİ içindedir. Amaç, tedbirlere uyumun sağlanmasıdır. https://t.co/rZfvNP45uf</t>
  </si>
  <si>
    <t>1280978653833199619</t>
  </si>
  <si>
    <t>DÜNYA, COVID-19’UN YAYILMASINA KARŞI ne başarı gösteriyorsa, bilelim ki, bu başarıyı, maske ve mesafe kuralına uyabildiği ölçüde gösteriyor. Vakaların tırmandığı, salgının kontrolden çıktığı ülkeler, tedbirlerin ya terk edildiği veya zaten yetersiz olduğu ülkelerdir. https://t.co/wR3SM4DV24</t>
  </si>
  <si>
    <t>1280971060335312897</t>
  </si>
  <si>
    <t>Bazı büyük kentlerde en yüksek haftalık vaka sayıları salgının 5. haftasında görülmüştü. Tedbirlerle bunu düşüşler izledi. 13 ilimizde en yüksek haftalık vaka sayılarına son 1 ay içinde veya yeni ulaşılmaktadır. Yeni vakalar belli illerde yoğunlaşmaktadır. https://t.co/RVlhe7786O https://t.co/kfXdBmpiqY</t>
  </si>
  <si>
    <t>1280908669543219201</t>
  </si>
  <si>
    <t>Bilim Kurulu Toplantımızın ardından Koronavirüs ile ilgili son gelişmeler ve aldığımız yeni tedbirlere ilişkin basın açıklamamız.
📍SAĞLIK BAKANLIĞI BİLKENT YERLEŞKESİ / ANKARA
https://t.co/s7xsQXdTcj</t>
  </si>
  <si>
    <t>1280906455013560326</t>
  </si>
  <si>
    <t>https://t.co/FxBqugicnw</t>
  </si>
  <si>
    <t>1280898410397270017</t>
  </si>
  <si>
    <t>https://t.co/qS6u7kVIOl</t>
  </si>
  <si>
    <t>1280897795856220160</t>
  </si>
  <si>
    <t>Mesafenin korunamadığı kapalı alanlar, virüsün fırsat bulduğu alanlardır. Maskenizi muntazam şekilde takmış olsanız bile, fazla yolcu taşıyan toplu taşıma araçlarında risk altındasınız. Binmeyin; binmişseniz, fazladan yolcu alan sürücüleri salgınla mücadelemiz adına uyarın. https://t.co/MWRCfBGr0O</t>
  </si>
  <si>
    <t>1280601380659617795</t>
  </si>
  <si>
    <t>Sayın Mustafa Şentop, TBMM Genel Kurulundaki oylamada yeniden Türkiye Büyük Millet Meclisi Başkanı seçildi. Sonucun, milletimizin iradesinin tecelli ettiği yer olan yüce Meclisimiz ve milli irade adına yapılacak tüm çalışmalar için hayırlı olmasını diliyor, kendisini kutluyorum.</t>
  </si>
  <si>
    <t>1280551499614085125</t>
  </si>
  <si>
    <t>Yoğun bakım doluluk oranlarımız 1 aydır %59-%61 arasında. Taburcu ettiğimiz hasta kadar yeni hasta yatırıyoruz. Entübasyon için de durum benzer. Vaka artışlarıyla öne çıkan 5 ilde, son üç gündür ortalama %7 daha az yeni vaka var. SALGINA KARŞI KAÇ KİŞİYİZ? https://t.co/RVlhe7786O https://t.co/CBwd5J7FW0</t>
  </si>
  <si>
    <t>1280535364680273922</t>
  </si>
  <si>
    <t>“Yolcu fazlalığından kapılarını kapatamayan, 14 kişi kapasiteli minibüsten İstanbul Sivil Trafik Ekipler Amirliğinin denetimi sırasında 42 kişi çıktı.” SALGINA KARŞI KAÇ KİŞİYİZ?</t>
  </si>
  <si>
    <t>1280491074088325121</t>
  </si>
  <si>
    <t>Salgınla mücadelede, dün 1.086 yeni hastamız ve 16 can kaybımız vardı. Hastalığa bugün yakalanacak olanların sayısını ortalama bir hafta sonraki testlerde öğreneceğiz. SALGINA KARŞI KAÇ KİŞİYİZ?</t>
  </si>
  <si>
    <t>1280441808493989889</t>
  </si>
  <si>
    <t>Vaka sayılarımızda azalma sürüyor. Dikkatli olmalıyız: Azalmalar yavaş, artış hızlı gerçekleşiyor. 1.000’i aşan günlük yeni vakalarımızın sebebi, kurallara uyulmamasıdır. Bugünkü 16 can kaybına önlenebilir sebepler yol açtı. SALGINA KARŞI KAÇ KİŞİYİZ? https://t.co/RVlhe7786O https://t.co/reGI7JppvG</t>
  </si>
  <si>
    <t>1280190802006872066</t>
  </si>
  <si>
    <t>MESAJIMIZIN ULAŞTIĞI HERKES, bugün dışarıda maskesini takıyor, mesafe kuralına uymak için çaba gösteriyor mu? SALGINA KARŞI KAÇ KİŞİYİZ?</t>
  </si>
  <si>
    <t>1280030102802370560</t>
  </si>
  <si>
    <t>BUGÜNÜ, SALGIN HİÇ YOKMUŞ GİBİ YAŞARSAK, yarın, önlenebilir nedenlere rağmen; on dokuz can kaybımızın, bin yüz yirmi yedi yoğun bakım hastamızın olduğu dünü bile iyi günlerimizden biri kabul ederiz. Salgınlar tedbirsiz aşılmaz. Tedbirli bir gün diliyorum.</t>
  </si>
  <si>
    <t>1279996126670794752</t>
  </si>
  <si>
    <t>ERDEM BAYAZIT, bütün şiirlerini topladığı kitabın girişinde şu dokunaklı cümleye yer vermişti: “Bir ömür tüketerek yazdıklarım iki saatte okunuyor.” O ne söylediyse sözü hep “Sana, Bana, Vatanıma, Ülkemin İnsanına Dair” oldu. Vefat yıl dönümünde usta şairimizi RAHMETLE ANIYORUZ. https://t.co/6eqOmgoG8i</t>
  </si>
  <si>
    <t>1279847725341827073</t>
  </si>
  <si>
    <t>ÇANKIRI’DAN ÖRNEK GELDİ. “Biz de halay çekiyoruz, hem maske hem de mesafeli, halay çubukları ile. Çankırı Ilgaz Kuyupınar köyü ve sakinlerine hassasiyet için teşekkürler, sizin nezdinizde. Yeni normalde her şey bizim elimizde.” Hakan Erdoğan https://t.co/R4SKv3LrEa</t>
  </si>
  <si>
    <t>1279840664935677954</t>
  </si>
  <si>
    <t>Sosyal mesafe kuralını kat kat fazla uygularsanız tatilde kat kat iyi dinlenirsiniz.</t>
  </si>
  <si>
    <t>1279817387777327104</t>
  </si>
  <si>
    <t>Son 3 günde, ortalama vaka sayısının en çok arttığı iller: İstanbul, Ankara, Gaziantep, Mardin, Konya, Bursa, Diyarbakır. Yoğun bakım hasta sayımız, yeni vakaları takiben, artış eğiliminde. TEDBİR VARKEN, “Bugün vefat eden sayısı” kanıksanacak tablo değil. https://t.co/RVlhe7786O https://t.co/Ur9TokRl3Q</t>
  </si>
  <si>
    <t>1279813840562249729</t>
  </si>
  <si>
    <t>Hendek’teki patlamada hayatını kaybeden 6 kişinin kimlikleri belirlendi. Kayıp 1 kişiye henüz ulaşılamadı. Yaralanan 126 kişiden 121’i taburcu oldu. 5 kişinin tedavisi 1’i Sakarya’da yoğun bakımda, diğeri İstanbul Kartal Şehir Hastanesi Yanık Merkezi’nde olmak üzere devam ediyor.</t>
  </si>
  <si>
    <t>1279791583932661760</t>
  </si>
  <si>
    <t>Halkımızın hizmet taleplerini bizlere taşıyan milletvekillerimize, belediye başkanlarımıza, parti il başkanlarına, bürokrat ve yöneticilerimize, Pandemi konusundaki istişareleri sebebiyle tüm konuklarımıza ZİYARETLERİ İÇİN TEŞEKKÜR EDİYORUM. https://t.co/sKde2lxYKi</t>
  </si>
  <si>
    <t>1279747769427779585</t>
  </si>
  <si>
    <t>“Sağlık Bakanlığı’nın Koronavirüs vakalarının en çok artış gösterdiğini açıkladığı Bursa’da sokakta halay çeken düğüncüler, sosyal mesafe kuralına uymadı. Katılanların çoğunluğunun maskesiz olması dikkat çekti.” GAZETELER</t>
  </si>
  <si>
    <t>1279481957412462592</t>
  </si>
  <si>
    <t>Düğünlerden, sosyal mesafe kuralına uyulmadığı, maske kullanılmadığı, eğlencelerin kaygı verici yakınlıkta gerçekleştiği haberleri geliyor. Meydanı gelinle damada bırakın. Maske takmak zorunda kalmadan eğlensinler. Siz kuralları çiğnerseniz, bizim düğünümüzde oldu diye üzülürler. https://t.co/IigA68rSYx</t>
  </si>
  <si>
    <t>1279480372187799552</t>
  </si>
  <si>
    <t>İyileşen toplam hasta sayımız 180 bine yaklaştı. İyileşme sürecindeki hasta sayısı 20 bin civarında. Yoğun bakım hasta sayımızda, önceki günlerden devam eden bir artış var. Vakaların azalma seyri yavaş. Bugün iyileşenlerin sayısı yeni vakalardan 60 fazla. https://t.co/RVlhe7786O https://t.co/VZrDKuokmO</t>
  </si>
  <si>
    <t>1279473247013277697</t>
  </si>
  <si>
    <t>Kartal Dr. Lütfi Kırdar Şehir Hastanesi’nin açılış töreninin ardından, burada tedavi gören hastalarımızı ziyaret ettik. 4 yaşındaki Abdulkadir ve dünkü patlamada yanık tedavisi için helikopter ambulansla getirilen hastamızın durumu hakkında bilgi aldık, kendileriyle sohbet ettik. https://t.co/M69RkMU4at</t>
  </si>
  <si>
    <t>1279415708175171584</t>
  </si>
  <si>
    <t>Yeni binasını hizmete aldığımız Dr. Lütfi Kırdar Şehir Hastanesi, adıyla bize yakın tarihimizi de hatırlatmaktadır. Dr. Kırdar’ın hayatı Kerkük’ten İstanbul Tıp Fakültesine, eğitimi esnasında katıldığı Balkan Savaşı, ardından Birinci Dünya Savaşı ve sonrasıyla örnek bir hayattır. https://t.co/vQEJblKD3p</t>
  </si>
  <si>
    <t>1279412863040475136</t>
  </si>
  <si>
    <t>Bugün resmi açılış töreninde bulunduğumuz ve Şehir Hastanesi kimliği kazanan hastanemizi, süreçte acilen Pandemi hastanesi olarak hizmete almıştık. Buradaki sağlık personelimizin 166’sı hastalara hizmet verirken COVID-19’a yakalandı. Tesellimiz bu kurumda can kaybı olmamasıdır. https://t.co/rn2BOfcwUO</t>
  </si>
  <si>
    <t>1279409442036035586</t>
  </si>
  <si>
    <t>RT @RTErdogan: Kartal Dr. Lütfi Kırdar Şehir Hastanesi Açılış Töreni https://t.co/o8bZs5GxS0</t>
  </si>
  <si>
    <t>1279393208712269824</t>
  </si>
  <si>
    <t>Kartal Dr. Lütfi Kırdar Şehir Hastanemizi milletimizin hizmetine açıyoruz. https://t.co/09PvlWgBM8</t>
  </si>
  <si>
    <t>1279386225955110913</t>
  </si>
  <si>
    <t>Hazırlıkları tamamlanan İstanbul Kartal Dr. Lütfi Kırdar Şehir Hastanesi’nin resmi açılışı, COVID-19 sebebiyle ertelenmişti. Toplam yatak kapasitesi 1.105. Ayakta hasta poliklinik tedavi kapasitesi 3,5 milyon. Yılların Dr. Lütfi Kırdar Hastanesi yeni imkânlarıyla hayırlı olsun. https://t.co/tFqmcoX7TU</t>
  </si>
  <si>
    <t>1279376381768581120</t>
  </si>
  <si>
    <t>Sakarya Hendek’teki patlamada yaralanan ve tedavisi devam eden hastalarımızı Hendek Devlet Hastanemizde ziyaret ettik. Hastaneye kaldırılan 114 kişiden 92’si taburcu oldu, 22’sinin tedavisi sürüyor. Hayatını kaybeden 4 yurttaşımıza Allah’tan rahmet, yaralılarımıza şifa diliyorum. https://t.co/GQBewa299S</t>
  </si>
  <si>
    <t>1279138566241689602</t>
  </si>
  <si>
    <t>24 Haziranda 1.492 olan yeni vaka sayısı 1.172’ye indi. Virüsün yayılması hızlı; vakaların azalması zaman alıyor. Son 1 haftada hastanede tedavi görenlerin yaş ortalaması 46,7. Son 1 haftada tanı konanların %11,13'ü 65 yaş üstü. Vefat edenlerin %70'ten fazlası bu yaş grubundan. https://t.co/0WOGpJzYwZ</t>
  </si>
  <si>
    <t>1279096109638594562</t>
  </si>
  <si>
    <t>Acil Durum Merkezinde birlikte görev aldığımız bakan arkadaşlarımla, patlamanın yaşandığı havai fişek fabrikası çevresinde incelemelerde bulunduk. Yangın kontrol altına alınmış durumda. Patlama, çevreyi de etkileyen bir hasara yol açtı. https://t.co/iEEIKJvzeE</t>
  </si>
  <si>
    <t>1279082033696903169</t>
  </si>
  <si>
    <t>SAKARYA HENDEK’TE, havai fişek fabrikasındaki patlamaya yakın bölgelerde, havaya karışan ZEHİRLİ GAZLARA KARŞI tedbirli olmalıyız. En az 12 saat dolana kadar dışarı çıkılmamasını, kapı ve pencerelerin kapalı tutulmasını, klimaların çalıştırılmamasını öneriyoruz.</t>
  </si>
  <si>
    <t>1279067286389874688</t>
  </si>
  <si>
    <t>Havai fişek fabrikasındaki patlamada yaralanan hastalarımızdan birini, yanık tedavisi için, helikopter ambulansla, Sakarya Eğitim ve Araştırma Hastanemizden İstanbul Kartal Eğitim ve Araştırma Hastanemize sevk ettik. Tedavisini yakından takip edeceğiz.</t>
  </si>
  <si>
    <t>1279055312352411648</t>
  </si>
  <si>
    <t>Hendek’te, havai fişek fabrikasındaki patlamanın ardından, İçişleri Bakanımız Süleyman Soylu ve Aile, Çalışma ve Sosyal Hizmetler Bakanımız Zehra Zümrüt Selçuk’la birlikte süreci yönetmek üzere Acil Durum Merkezi kurduk. Patlama kontrol altında. Can kaybımız maalesef 4’e çıktı. https://t.co/AE3CuttkXT</t>
  </si>
  <si>
    <t>1279053205738000384</t>
  </si>
  <si>
    <t>Sakarya Hendek’teki havai fişek fabrikasında, patlamanın yaşandığı bölgede incelemelerde bulunuyoruz.
https://t.co/3FiReQBUWU</t>
  </si>
  <si>
    <t>1279032827892371461</t>
  </si>
  <si>
    <t>Sakarya Hendek’te, şehrin uzağındaki havai fişek fabrikasında bir patlama oldu. Sn. Cumhurbaşkanımızın talimatıyla süreci yakından takip etmek için birazdan olay yerinde olacağız. 85 ambulans, 2 helikopter ambulans, 11 UMKE ekibimiz olay yerinde. 2 can kaybımız, 73 yaralımız var.</t>
  </si>
  <si>
    <t>1279007701390036992</t>
  </si>
  <si>
    <t>Temizlik, COVID-19’a karşı alacağımız üç tedbirden biridir. Dokunduğumuz yüzeylerde, bulaşma kabiliyetini koruyan virüsler bulunabileceği için ellerimizi sabunla ve normalde olduğundan daha sık yıkayalım. Sabun, Koronavirüsleri etkisiz hale getirir. https://t.co/m8KlE1hk6z</t>
  </si>
  <si>
    <t>1278803247898165252</t>
  </si>
  <si>
    <t>DİLEK AKÇABELEN: Dilek Hemşire. 1990, İstanbul doğumlu. Sağlık Hizmetleri MYO mezunuydu. M. Akif Ersoy Kalp ve Damar Hastalıkları Hastanesi’nde çalıştı. COVID-19 sebebiyle uzun süre yoğun bakımda kaldı. Yeni doğan bebeğini kucağına alma şansı olmadı. Mücadelesi için #minnettarız https://t.co/c2Eh6IjGBH</t>
  </si>
  <si>
    <t>1278750512133931009</t>
  </si>
  <si>
    <t>Burdur ve Gümüşhane’de 2 gündür yeni vaka yok. En çok vaka olan 5 il: İstanbul, Ankara, Gaziantep, Konya, Bursa. Toplum sağlığı için risk yansıtan görüntüler artıyor: Bugün, medyada, yolcular arasında sosyal mesafenin sıfırlandığı taşıt haberleri yer aldı. https://t.co/RVlhe7786O https://t.co/I3vRZUdMtV</t>
  </si>
  <si>
    <t>1278729756905746434</t>
  </si>
  <si>
    <t>Taşıyıcılık oranı araştırmasında 132.000 kişinin testi sonuçlandı. Mevcut verilerle taşıyıcılık oranı %0,24; bu testle paralel şekilde ELISA yöntemiyle yapılan antikor taramasında koruyuculuk %0,81 olarak saptandı. Yaygın bağışıklık söz konusu değil. Çalışma haftaya tamamlanacak. https://t.co/OJ7NQGH3Md</t>
  </si>
  <si>
    <t>1278596313379213312</t>
  </si>
  <si>
    <t>Virüsün yayılma hızının azaldığı düşüncesi yanıltıcıdır. Virüsün hasta etme gücünün zayıfladığı düşüncesi de bilimsel dayanaktan yoksundur. Bunlara itibar edilmesi, birçoklarının hastalığa yakalanmasına ve hastalığı başkasına bulaştırmasına neden olmaktadır. https://t.co/s0zMlcUWbs</t>
  </si>
  <si>
    <t>1278434042040418306</t>
  </si>
  <si>
    <t>Büyüklerimizi evde izole ederek korumayı başarmıştık. Ancak bugün risk altındalar. Salgın boyunca vefat edenlerde, 60 yaş üzeri ve en az bir alt hastalığı olanların oranı %72’ydi. Şimdi bu oran ve yoğun bakım yaş ortalaması yükseliyor. Büyüklerimizi tedbirlere uyarak korumalıyız. https://t.co/DHXsXxYdG3</t>
  </si>
  <si>
    <t>1278430454132211713</t>
  </si>
  <si>
    <t>Tedavideki başarı, %2,57’ye kadar düşen ölüm oranı; büyüklerimizi, kronik hastalığı olanları riskten korumamız, tedbirlere uyum kabiliyeti COVID-19’la mücadelede dünyanın bizi takdir etme nedenlerinden bazılarıdır. Dünyaya örnek olan bu başarıyı kaldığımız yerden sürdürmeliyiz. https://t.co/qLMwb5BL9S</t>
  </si>
  <si>
    <t>1278426137065066496</t>
  </si>
  <si>
    <t>Giresun’un Bulancak ilçesinde, dün bir derede cansız bedeni bulunan yedi yaşındaki İkra Nur, toprağa verildi. Ailesinin acısını paylaşıyor, sabır diliyoruz. Her çocuk ölümünde acı hepimize aynı yakınlıktadır.</t>
  </si>
  <si>
    <t>1278411809649758209</t>
  </si>
  <si>
    <t>RT @RTErdogan: Onlar dizi izleyip film çeviredursun, biz hizmet edip tarih yazmaya devam edeceğiz. 
RTE</t>
  </si>
  <si>
    <t>1278408629578862593</t>
  </si>
  <si>
    <t>Toplam test sayımız 3,5 Milyona yaklaştı. Toplam vaka sayımız 200.000’i geçti. Yeni vaka sayılarında istikrarlı bir düşüş sağlayan, tedbirleri uygulamadaki başarısıyla örnek 5 ilimiz: Tekirdağ, Balıkesir, Samsun, Kırşehir, Düzce. Tüm illerde başarabiliriz. https://t.co/RVlhe7786O https://t.co/lSdREj3fcX</t>
  </si>
  <si>
    <t>1278372949280657413</t>
  </si>
  <si>
    <t>Bilim Kurulu Toplantımızın ardından Koronavirüs ile ilgili son gelişmeler ve aldığımız yeni tedbirlere ilişkin basın açıklamamız.
📍SAĞLIK BAKANLIĞI BİLKENT YERLEŞKESİ / ANKARA
https://t.co/Be4i6jOLz6</t>
  </si>
  <si>
    <t>1278369600233771009</t>
  </si>
  <si>
    <t>Esra ve Berat Albayrak çiftini, yeni doğan evlatları sebebiyle kutluyorum. Her doğan çocuk, daha iyi bir dünya için bir umut, yeni bir başlangıçtır. Hamza Salih’le anne babası için kullanılan ifadeler, umut duyulabilir yönü kalmamış kişilere ait olsa gerek. Allah ıslah etsin.</t>
  </si>
  <si>
    <t>1278032468688412673</t>
  </si>
  <si>
    <t>Düne kıyasla entübe hasta sayımızda 7 azalma, yoğun bakım sayımızda 8 artış var. Günlük test sayılarımız yakın. Yeni vaka sayımız dünden 81 az, yeni iyileşen hasta sayısıyla yakın. Vaka sayılarını azaltmada yeterince kararlı, tedbirlerde dikkatli değiliz. https://t.co/RVlhe7786O https://t.co/BF9nshPW0H</t>
  </si>
  <si>
    <t>1277997841244356613</t>
  </si>
  <si>
    <t>COVID-19 tedbirlerine uyulmadan yapılan ASKER UĞURLAMALARI haberlerine giderek daha fazla rastlıyoruz. Uğurlamaları bu şekilde yapanlar, kendilerine iyilik, arkadaşlarına arkadaşlık yapmıyor. Arkadaşının vatani görevine pozitif tanı konmuş olarak başlamasını, hangi arkadaş ister?</t>
  </si>
  <si>
    <t>1277943888934731776</t>
  </si>
  <si>
    <t>Vaka sayımız dünkünden 18, bugün iyileşenlerdense 160 fazla. Yatırılarak tedavi edilenlerle yeni taburcu edilen hastaların sayısı dengede. Yoğun bakımdaki artış olağan düzeyde. Vaka sayılarını azaltmada yeterince kararlı, tedbirlerde dikkatli değiliz. https://t.co/RVlhe7786O https://t.co/LI94EaaV3H</t>
  </si>
  <si>
    <t>1277648879975043072</t>
  </si>
  <si>
    <t>Koronavirüs tedbirlerinden bugün kaç netin var? İşi sıkı tutmaya devam edelim.</t>
  </si>
  <si>
    <t>1277563736195248128</t>
  </si>
  <si>
    <t>Pandemiye karşı çok yönlü mücadelede iş birliği içinde olduğumuz bakan arkadaşlarıma; halkımızın hizmet taleplerini bize taşıyan milletvekillerimize, değerli bürokrat ve yöneticilerimize, ricalarını birer vazife kabul ettiğimiz konuklarımıza ZİYARETLERİ İÇİN TEŞEKKÜR EDİYORUM. https://t.co/fAboW3NMSt</t>
  </si>
  <si>
    <t>1277350960071954434</t>
  </si>
  <si>
    <t>Yeni tanı konan kişi sayısında düne kıyasla 16, bir önceki güne kıyasla 40 azalma var. Bugün iyileşen toplam vaka sayımız, dünkünden 571 kişi düşük. Vaka sayılarını azaltmada yeterince hızlı, mücadelede tam tedbirli değiliz. Yaz, rehavete neden olmamalı. https://t.co/RVlhe7786O https://t.co/zulRDmCbSn</t>
  </si>
  <si>
    <t>1277310474003058688</t>
  </si>
  <si>
    <t>YÜKSEK ODAKLANMA GÜCÜ. Odaklanma, dikkati belli bir süre aynı konuya yoğunlaştırma ustalığıdır. Konu dışı uyaran, odaklanma zorluğuna yol açar. Onları zihnimizden uzaklaştıralım. Sorudan soruya yükselen elemanımız Adrenalin, dikkatimizi toplasın. EN ZOR SORULAR bile kolay gelsin.</t>
  </si>
  <si>
    <t>1277101873703591936</t>
  </si>
  <si>
    <t>İyileşenler, tanı konanlardan 612 fazla. Dünkü sayı 96’ydı. Son 14 günde tanı konanların %5,68’i 17 yaş ve altından. %63’ü 25-45 yaş grubundan. Bugünkü tanı sayımız dünkünden 24 az. Azalma sürekli olursa bu hızda bile 2 haftada 1.000’in altına inebiliriz. https://t.co/RVlhe7786O https://t.co/zWgFRuq0LH</t>
  </si>
  <si>
    <t>1276926226041581570</t>
  </si>
  <si>
    <t>Hayat bir sınav. Bu onun 165 dakikası. En zor sorular bile kolay gelsin.</t>
  </si>
  <si>
    <t>1276759808960585728</t>
  </si>
  <si>
    <t>Alaeddin Özdenören’i, daha ilk kitabının ilk şiiri Habersiz ile sevmiştik. “Yarın bambaşka bir insan olabilirim.” diye yazdığında yeri apayrıydı. Küçük yaşta ölen oğlu Kerem için ağıtlar yaktı. Gizli özne gibi yaşadı. Usta şairimizi 26 Haziran 2003’te, kanser sebebiyle kaybettik. https://t.co/lUpDAn1Myt</t>
  </si>
  <si>
    <t>1276636549736730632</t>
  </si>
  <si>
    <t>ABD Ticaret Odası, ABD-Türkiye İş Konseyi ve TOBB işbirliğiyle gerçekleştirilen video konferansta 60’tan fazla katılımcıyla bir araya geldik. Cumhurbaşkanımız Erdoğan liderliğinde kurulan sağlık altyapımız ve Türkiye’nin Koronavirüs salgınıyla mücadelesi hakkında bilgi paylaştık. https://t.co/gy3n9ioiTp</t>
  </si>
  <si>
    <t>1276569017935892485</t>
  </si>
  <si>
    <t>Çarşamba günü 1.492 olan yeni vaka sayısı bugün 1.396. COVID-19 sebebiyle tüm Türkiye’de bugün hastaneye yatırılan toplam hasta sayısı 113. Son 24 saatte yoğun bakım hasta sayısında 22, entübe sayısında 13 artış var. İyileşenler, tanı konanlardan 96 fazla. https://t.co/RVlhe7786O https://t.co/4BTmLfwuvO</t>
  </si>
  <si>
    <t>1276550274228924428</t>
  </si>
  <si>
    <t>Konya Yunak’ta, 7 kişinin hayatını kaybettiği, 11 kişinin yaralandığı trafik kazası hepimizi derinden üzdü. Tek tesellimiz; kara ve helikopter ambulanslarımızla yaralılarımızı hastaneye kavuşturup, tedavilerine başlamış olmak. Kayıplarımıza rahmet, yaralılarımıza şifa diliyorum.</t>
  </si>
  <si>
    <t>1276544686371614721</t>
  </si>
  <si>
    <t>Virüsün bulaşma yollarını kapatalım.</t>
  </si>
  <si>
    <t>1276530184729042947</t>
  </si>
  <si>
    <t>Koronavirüsle mücadelede katedeceğimiz bütün mesafe 1,5 metredir. (Maske takmak şartıyla.)</t>
  </si>
  <si>
    <t>1276501271885811714</t>
  </si>
  <si>
    <t>Hepimizin başına gelen, YKS’de sizin de başınıza gelecek. Sınav kaygısından kaynaklanan anlık unutmalar, beyninizin size şakasıdır. Bugün iyi dinlenin. Uykunuzu tam alın. Kahvaltıda aceleci olmayın. Sınavda, kapıdan içeri girerken geride kalanları unutun. Çok başarılar, sevgiler. https://t.co/eTew0qdyDm</t>
  </si>
  <si>
    <t>1276488482098216960</t>
  </si>
  <si>
    <t>VİRÜSÜN YAYILMA HIZI AZALDI. Kulaktan kulağa yayılan bu kanı yanlıştır. Bilim, bize yayılma hızının azalmadığını gösteriyor. Dünya Sağlık Örgütü, salgının başından bu yana küresel ölçekte en yüksek günlük vaka sayısını daha yeni açıkladı. Virüsün yayılma hızı şu anda bize bağlı. https://t.co/XtBpQPyrc0</t>
  </si>
  <si>
    <t>1276238745302437888</t>
  </si>
  <si>
    <t>Yoğun bakım hasta sayımızda bir artış oldu. Ancak hastalarımızın yoğun bakımda kalma ve toplam tedavi süreleri kısalmış durumda. Yeni vaka sayılarımızsa tedbirlerin azaldığını gösteriyor. Dünyada vaka sayıları tırmanışta. Türkiye’den iyi haberler verelim. https://t.co/RVlhe7786O https://t.co/SdtiJxgBka</t>
  </si>
  <si>
    <t>1276210392688189440</t>
  </si>
  <si>
    <t>Virüsün izolasyonu için çalışma yaptığımız sıralarda Ortadoğu’dan, Avrupa’dan, Amerika’dan gelen virüslerin farklılık gösterdiğini tespit etmiştik. Bu farklılıklar mutasyon şeklinde yorumlanmamalı. Öte yandan virülansın herhangi bir şekilde azaldığına dair bir kanıt halen yoktur. https://t.co/msssFND8Za</t>
  </si>
  <si>
    <t>1275899040882884610</t>
  </si>
  <si>
    <t>Toplumda bağışıklık gelişip gelişmediği konusunda 153.000 kişiyle araştırma yapıyoruz. 118.000 kişiden elde ettiğimiz sonuçlara göre, bağışıklık oranı binde 2,8. Bu, bağışıklık olmadığı anlamına geliyor. Antikor testlerinde de durum aynı. Sonuçlar tedbirleri vazgeçilmez kılıyor. https://t.co/Vb7T8glYAD</t>
  </si>
  <si>
    <t>1275895900393570309</t>
  </si>
  <si>
    <t>Çevremizde kimsenin bulunmadığı, virüsün bulaşma riskinin zaten söz konusu olamayacağı ortamlarda maske elbette gerekli değildir. Maskeyi bir arada olduğumuz yerlerde kullanmalıyız. Tedbirde de aşırılık olmamalı. Zamanla bıkkınlığa yol açmamalı ki bunu yaz boyu sürdürebilelim. https://t.co/5nDHZlDXFl</t>
  </si>
  <si>
    <t>1275892616241065985</t>
  </si>
  <si>
    <t>Dünyada iyilik, özgürlük, güzellik adına ne yapılmışsa bunların hepsi gençlik ruhunu koruyabilenler tarafından yapılmıştır. Gelecek bizi ileride beklemiyor. Geleceği bize gençler getiriyor. Önümüzde önemli bir sınav var. Size hayat boyu kutlanmaya değer bir başarı diliyorum. https://t.co/pn2UtCQHFs</t>
  </si>
  <si>
    <t>1275889530210582531</t>
  </si>
  <si>
    <t>Vaka sayımızda bir dalgalanma var. Önceki günlere kıyasla test sayımız 10.000 fazla olsa da, sonuç hepimizi riskin büyümesine karşı uyarıyor. Artışın sebebi, yazla birlikte, tedbirlerin esnetilmesi. Bu yaz tedbir dışında ikinci bir seçeneğimiz yok. https://t.co/RVlhe7786O https://t.co/C9PFsZ4CH7</t>
  </si>
  <si>
    <t>1275836301820952576</t>
  </si>
  <si>
    <t>Bilim Kurulu Toplantımızın ardından Koronavirüs ile ilgili son gelişmeler ve aldığımız yeni tedbirlere ilişkin basın açıklamamız.
📍SAĞLIK BAKANLIĞI BİLKENT YERLEŞKESİ / ANKARA
https://t.co/59npjR6oMK</t>
  </si>
  <si>
    <t>1275832696980340741</t>
  </si>
  <si>
    <t>81 ilimizin il sağlık müdürleriyle yaptığımız toplantıda vaka durumlarını, vaka artışlarının olduğu yerlerde artış sebeplerini, yoğun bakım kapasiteleri ve filyasyon oranlarını ele aldık. Koronavirüse karşı yapılması gereken yeni çalışmalar için değerlendirmelerimizi yaptık. https://t.co/bUS7bqdh7l</t>
  </si>
  <si>
    <t>1275508917620158467</t>
  </si>
  <si>
    <t>İstanbul Esenyurt’ta meydana gelen selde bir kişi hayatını kaybetti. Kendisine Allah’tan rahmet, yakınlarına başsağlığı diliyoruz. 112 Ambulans ekiplerimiz sağlık hizmetleri için kısa sürede olay yerine ulaştı. Halen 4 kişinin tedavisine devam edilmektedir.</t>
  </si>
  <si>
    <t>1275487449410650112</t>
  </si>
  <si>
    <t>OP. DR. UĞUR ERTUĞRUL. 1961, Niğde Bor doğumlu. Cerrahpaşa Tıp Fakültesi’nden 1986 yılında mezun oldu. 1998’de Genel Cerrahi Uzmanı oldu. Avcılar Murat Kölük Devlet Hastanesi’nde çalışmaktaydı. Evli ve iki çocuk babasıydı. Mücadelesi için #minnettarız. https://t.co/V5U11U9bng</t>
  </si>
  <si>
    <t>1275479250586435586</t>
  </si>
  <si>
    <t>Test sayımız 3 milyonu geçti. Vaka artışı görülen kentlerden Adana’da 14, Ankara'da 21, Kocaeli'de 16 hastamız yoğun bakımda. İyileşen hasta sayımız yeni vaka sayısından fazla. Daha normal bir hayat için tedbirlere uyarak yeni vaka sayılarını azaltmalıyız. https://t.co/RVlhe7786O https://t.co/xQqKtmwSFo</t>
  </si>
  <si>
    <t>1275470299719520259</t>
  </si>
  <si>
    <t>Bakan arkadaşlarım Sn. Mevlüt Çavuşoğlu ve Sn. Mehmet Nuri Ersoy’la yurt dışı uçuşları ve turizm konularını ele aldığımız bir toplantı yaptık. Pandemi sürecinde ülkece başarımız sağlık ve turizme dönük talepleri artırdı. Talepleri Koronavirüs tedbirleri kapsamında değerlendirdik. https://t.co/ZZylETOlTW</t>
  </si>
  <si>
    <t>1275434345566662660</t>
  </si>
  <si>
    <t>Toplum Bilimleri Kurulumuzla yeni toplantımızı yaptık. Koronavirüs salgınına karşı farklı bilim dallarından bilim insanlarımızın sürece katkılarından yararlandığımız toplantılarımızın bugünkünde gündemimiz YKS’ye girecek öğrencilerin psikolojisi ve alınabilecek ek tedbirler oldu. https://t.co/nz5RUlRACS</t>
  </si>
  <si>
    <t>1275134313412079616</t>
  </si>
  <si>
    <t>İzmir'de 28, Kocaeli'de 20, Sakarya'da 3 vakamız yoğun bakımda. Toplam test sayımız 3 milyona yaklaştı. Bugün iyileşen hasta sayımız yeni vaka sayımızın üstünde. Fakat mücadelemiz için aradaki fark yeterli değil. Vaka sayımızı tedbirlerle azaltmalıyız. https://t.co/RVlhe7786O https://t.co/ir6LJ7o1An</t>
  </si>
  <si>
    <t>1275116163991830533</t>
  </si>
  <si>
    <t>Bursa Kestel’de meydana gelen selde iki vatandaşımız hayatını kaybetti. Yedisi 112, 4’ü UMKE olmak üzere ekiplerimizle bölgedeyiz. Kayıp 4 vatandaşımız için arama çalışmaları devam ediyor. Hayatını kaybedenlere Allah’tan rahmet, yakınlarına başsağlığı dileriz.</t>
  </si>
  <si>
    <t>1274817000552964096</t>
  </si>
  <si>
    <t>Vaka tablosu açıklama metnindeki şu ifade hatalıdır: “İyileşen hasta sayımız bugün yeni vaka sayımızdan 320 fazla.” 320 şeklinde yazılan sayı, tablodan da anlaşılacağı üzere 220’dir. Doğru sayı bu, hepimizin gönlündeki sayı ise çok daha fazlası. https://t.co/mdkn7ot0mk</t>
  </si>
  <si>
    <t>1274803276526096389</t>
  </si>
  <si>
    <t>Bazı illerimizde, vaka artışına rağmen yoğun bakım hasta sayımız düşük: Ankara'da 84, Konya’da 46, Bursa’da 43, Batman’da 22, Siirt’te 8, Van’da 5. İyileşen hasta sayımız bugün yeni vaka sayımızdan 320 fazla. Tedbirlerle aradaki farkı giderek açmalıyız. https://t.co/RVlhe7786O https://t.co/POWWGWLxld</t>
  </si>
  <si>
    <t>1274753660380237825</t>
  </si>
  <si>
    <t>Hayat mücadeleleriyle bize ilham veren, varlıklarıyla güç katan babalarımızın Babalar Günü kutlu olsun. Başta COVID-19 salgınında kaybettiklerimiz olmak üzere, bugün aramızda olmayan babaları rahmetle anıyoruz.</t>
  </si>
  <si>
    <t>1274694728861265921</t>
  </si>
  <si>
    <t>Türkiye, sağlık sistemini güçlendirmeye kararlı bir şekilde devam ediyor. SAĞLIK BAKANLIĞI MARMARA ÜNİVERSİTESİ PROF. DR. ASAF ATASEVEN HASTANESİ Sn. Cumhurbaşkanımızın katıldıkları törenle bugün hizmete AÇILDI. Hastanemiz, yüksek kapasiteli COVID-19 tanı laboratuvarına da sahip. https://t.co/Rs3FRhvFat</t>
  </si>
  <si>
    <t>1274424480492896257</t>
  </si>
  <si>
    <t>Teknolojik donanımı yüksek hastaneleri art arda vatandaşımızın hizmetine sunmanın mutluluğunu yaşıyoruz. Bu güzide hastanemizde görev alacak tüm sağlık çalışanlarının, hayırla yâd ettiğimiz büyüklerimizin adına layık bir anlayışla hizmet bayrağını taşıyacağına eminim. https://t.co/4gw42fvqeE</t>
  </si>
  <si>
    <t>1274398537023991808</t>
  </si>
  <si>
    <t>Sn. Cumhurbaşkanım. Gösterdiğiniz hedef doğrultusunda sağlıkta ülkemizin çağ atladığı bir dönem yaşadık. Bütün dünyayı aynı gündemde birleştiren Kovid-19 salgını, sağlığa yapılan yatırımların ne kadar yerinde olduğunu ve neden kalkınmanın merkezinde olması gerektiğini gösterdi. https://t.co/4KD0032MQm</t>
  </si>
  <si>
    <t>1274395779634016258</t>
  </si>
  <si>
    <t>Son günlerde vaka sayılarımızın arttığı illerden bazılarında yoğun bakım hasta sayıları: Diyarbakır'da 30, Kayseri'de 41, Batman'da 22, Bursa'da 46. İyileşen hasta sayımız bugün de yeni vaka sayımızın üstünde. Tedbirlerle aradaki farkı giderek açmalıyız. https://t.co/RVlhe7786O https://t.co/VK162fvBue</t>
  </si>
  <si>
    <t>1274391664262610947</t>
  </si>
  <si>
    <t>RT @RTErdogan: Sağlık Bakanlığı Marmara Üniversitesi Hastanesi Açılış Töreni https://t.co/uzKZHrLwBY</t>
  </si>
  <si>
    <t>1274360610747285505</t>
  </si>
  <si>
    <t>Sayın Cumhurbaşkanımızın teşrifleriyle; Sağlık Bakanlığı Marmara Üniversitesi Hastanemizi, milletimizin hizmetine açıyoruz. https://t.co/HDrH5BID3d</t>
  </si>
  <si>
    <t>1274355920508555266</t>
  </si>
  <si>
    <t>Dün sosyal medyada yayımlanan, GEÇEN CUMARTESİ MSÜ SINAVINDA 400 ÖĞRENCİYE hastalık bulaştığını ve öğrencilerin karantinaya alındığını ileri süren haber gerçek dışıdır. Testi sınav sabahı sonuçlanan COVID-19 hastası BİR KİŞİ, sınav sırasında izole edilmiştir. Bulaşma olmamıştır.</t>
  </si>
  <si>
    <t>1274303876393549824</t>
  </si>
  <si>
    <t>Tüm yurtta sınav merkezlerine beyin göçü başladı. Saat 13.00 gibi, eve dönüşte güzel haberler bekliyoruz. En zor sorular kolay gelsin.</t>
  </si>
  <si>
    <t>1274209377684271112</t>
  </si>
  <si>
    <t>Gelecek yılın Lise 1’leri :) Şimdi saatlerin her saniyesi uzun. Sonra nasıl geçtiğini anlamayacaksınız. Size az stresli, çok başarılı bir sınav diliyorum. Yarın neler bildiğinizi herkes bilsin!</t>
  </si>
  <si>
    <t>1274088103813230598</t>
  </si>
  <si>
    <t>İSTANBUL ve ANKARA, son bir haftanın en düşük vaka sayısı başarısını gösterdi. Ülke genelinde yeni vaka sayısı azalmaya devam ediyor. İyileşen vaka sayımız dün olduğu gibi bugün de yeni vaka sayısının üstünde. Tedbir, karşılıklı olursa sonuç veriyor. https://t.co/RVlhe7786O https://t.co/s2DDshflFN</t>
  </si>
  <si>
    <t>1274020219447652352</t>
  </si>
  <si>
    <t>Günü, sınav gençlerine bırakıyoruz. Cumartesi biz evdeyiz. Bütün şehirlerimizde, belediye başkanlarımızdan gençler adına istirhamım, BELEDİYE OTOBÜSLERİNİN herkes dışarıdaymış gibi tam kadro hizmette olması. Otobüste az olmak, gençlere iyi gelir. Sınava daha iyi odaklanırız.</t>
  </si>
  <si>
    <t>1273919055284625408</t>
  </si>
  <si>
    <t>Malatya Doğanşehir Belediye Başkanı Vahap Küçük beyefendi, tedavi gördüğü kalp rahatsızlığı nedeniyle hayatını kaybetti. Desteği ve ağabeyliğiyle pek çok gencin öğrenim hayatını kolaylaştırmıştı. İyilikle yâd edilecek. Kendisine Allah’tan rahmet, yakınlarına başsağlığı diliyorum.</t>
  </si>
  <si>
    <t>1273696802215264260</t>
  </si>
  <si>
    <t>Vaka sayısında düne kıyasla 125 azalma oldu. İYİLEŞEN HASTA SAYIMIZ BUGÜN TEKRAR YENİ VAKA SAYISINI GEÇTİ. Birimizin ihmali, hepimizi ilgilendiriyor. Hayatımıza tedbirlerle devam edelim. https://t.co/RVlhe7786O https://t.co/bEybuInqAM</t>
  </si>
  <si>
    <t>1273671214142296064</t>
  </si>
  <si>
    <t>LGS ve YKS GÜNLERİNDE sağlanması gereken şartlar konusunda Bilim Kurulumuz tavsiye kararı aldı. Sınava gidiş ve dönüş saatlerinde dışarıda yoğunluk olmaması, GÜNÜN GENÇLERE AYRILMASI için Sn. Cumhurbaşkanımız sınırlı bir sokağa çıkma yasağı yönünde talimat verdiler. https://t.co/9gC5c0OIKV</t>
  </si>
  <si>
    <t>1273554545260576769</t>
  </si>
  <si>
    <t>Virüsü görüntüleyebilen elektron mikroskobuyla ele bakılamaz. Diyelim bakıldı. Bugünlerde pek tedbirli değilseniz çok sayıda sürprizle karşılaşabilirsiniz. El sıkışmaktan kaçının. Elinizi sık yıkayın. Koronavirüs solunum yoluyla bulaşır. Bunu kendi elimizle kolaylaştırmayalım. https://t.co/ka97nKLR6H</t>
  </si>
  <si>
    <t>1273540131941736448</t>
  </si>
  <si>
    <t>TBMM Dışişleri Komisyonu Başkanı Sayın Volkan Bozkır, Birleşmiş Milletler 75. Dönem Genel Kurul Başkanı seçildi. Kendisini yürekten kutluyorum. Sn. Bozkır, ülkemizden bu göreve getirilen ilk isim. Tüm uluslararası toplum ve sesine yankı arayan mazlumlar için hayırlı olsun.</t>
  </si>
  <si>
    <t>1273379753207238656</t>
  </si>
  <si>
    <t>Ankara, İstanbul, İzmir, Bursa, Kocaeli, Konya, Kayseri, Diyarbakır, Şanlıurfa ve Van’da son bir aydaki günlük ortalama vaka sayısını, son bir haftanın günlük ortalama vaka sayısını ve son üç günün ortalamasını bu videodan öğrenebilirsiniz. Bazılarında gelişmeler önem arz ediyor. https://t.co/1KortsbMcK</t>
  </si>
  <si>
    <t>1273358230329208833</t>
  </si>
  <si>
    <t>Salgının başlangıcında yoğun bakımdakilerin %53’ü vefat ediyordu. Oran şimdi %2’ye düştü. Büyüklerimizin hastalıktan korunmaları başarıyı artırdı. Onları koruyamazsak kitlesel iyileşmeden söz edemeyiz. Bunun bedelini üstlenmeye kim hazır olabilir? Tedbir almamak bedel almaktır. https://t.co/npAsokolmF</t>
  </si>
  <si>
    <t>1273352821128286209</t>
  </si>
  <si>
    <t>Bu mücadeleyi hayatın devamlılığı içinde vermeliyiz. İstikrarlı adımlarla, normalleşmeyi her yönüyle iyileşme sürecine çevirebiliriz. Bunun koşulu, sosyal hayatın bu dönemde belirli prensiplere sadık olmasıdır. Son günlerde vaka sayımızdaki artışlar sürece intibakla ilgilidir. https://t.co/C248dtSC5H</t>
  </si>
  <si>
    <t>1273347225935065088</t>
  </si>
  <si>
    <t>Günlük yeni vaka sayımızda, dün, bir önceki güne göre 125 azalma olmuştu. Bugün durum durağan. Yeni iyileşen hasta sayımız, şu an yeni vaka sayısından daha az. Tedbirlerle vaka sayısını ve riski azaltmalıyız.   https://t.co/RVlhe7786O https://t.co/yUPoAhPXfg</t>
  </si>
  <si>
    <t>1273298312028962816</t>
  </si>
  <si>
    <t>Bilim Kurulu Toplantımızın ardından Koronavirüs ile ilgili son gelişmeler ve aldığımız yeni tedbirlere ilişkin basın açıklamamız.
📍SAĞLIK BAKANLIĞI BİLKENT YERLEŞKESİ / ANKARA
https://t.co/jOHgpoh5gj</t>
  </si>
  <si>
    <t>1273295022461509634</t>
  </si>
  <si>
    <t>Tatlı dilli, ekşi dilli bütün uyarıları tek tek aldım. Teşekkür ederim. Kapak fotoğrafını birazdan değiştiriyorum. Kötü örneğe son bi kez bakın, çıkarım yapın:) Doğrusu, orada, fotoğrafçı benden on, on beş metre uzaktaydı. Ama kapakta mazeret değil.</t>
  </si>
  <si>
    <t>1272997545741074432</t>
  </si>
  <si>
    <t>Yeni vaka sayısı dünkünden 125 az. Hastaneye yatışı yapılan yeni hasta sayısı 210. Yoğun bakım hasta sayımızda 10 artış var. Pozitif tanı sayısının 1.000’in üstünde seyrettiği son tablolarda bazı bölgeler ve grup davranışları etkin. Tedbirlerle güçlüyüz. https://t.co/RVlhe7786O https://t.co/e4ZRXzcMR5</t>
  </si>
  <si>
    <t>1272940835320074241</t>
  </si>
  <si>
    <t>Virüse karşı yürüttüğümüz mücadelede, maske, sosyal sorumluluğumuz. Maske takarak, birbirimizi virüsten koruyalım. Maskesiz dolaşanları, maske takıyormuş gibi yapanları uygun dille uyaralım. Virüsle maskesiz mücadele edemeyiz. https://t.co/NM1JcRinXN</t>
  </si>
  <si>
    <t>1272801774441807873</t>
  </si>
  <si>
    <t>Maskesiz? Görenler ne der?</t>
  </si>
  <si>
    <t>1272763520380215298</t>
  </si>
  <si>
    <t>Vaka artışlarıyla dikkat çeken şehirlerimiz başta olmak üzere, artış eğilimi olan yerlerde il hıfzıssıhha kurullarımız, valilerimiz başkanlığında riske karşı kararlar almaya devam ediyor. 42 ilimizde maske, yaptırımı olan bir sosyal sorumluluk. Virüsle maskesiz mücadele edemeyiz. https://t.co/oqYtNhMOW6</t>
  </si>
  <si>
    <t>1272661798345478145</t>
  </si>
  <si>
    <t>Maske ve mesafe kuralına uymayanları virüsle mücadeleye çağıralım.</t>
  </si>
  <si>
    <t>1272618088937250816</t>
  </si>
  <si>
    <t>İstanbul’daki sağlık tesislerimiz için, 3.250 çalışma arkadaşına daha ihtiyacımız var. Duyuruları internet üzerinden takip edebilirsiniz. Şimdiden, görevinizde başarılar diliyorum. https://t.co/dKVWgJWiO8</t>
  </si>
  <si>
    <t>1272615298991079427</t>
  </si>
  <si>
    <t>Düne kıyasla vaka sayımız 30, yoğun bakım hasta sayımız 5, entübe hasta sayımız 1 artış gösterdi. ARTIŞLAR BELLİ BÖLGELERDE YOĞUNLAŞIYOR. Rehavet mi, mücadele mi? Maske + mesafe kuralına hep birlikte uyarsak, yayılımı kontrol altına alabiliriz. Güç bizde. https://t.co/RVlhe7786O https://t.co/unwWc4RRXE</t>
  </si>
  <si>
    <t>1272586526749229056</t>
  </si>
  <si>
    <t>Bingöl Karlıova, çevre illeri de etkileyen 5,7 büyüklüğünde bir deprem yaşadı. Bir can kaybımız var. Allah’tan rahmet diliyorum. Ambulanslarımız, UMKE araçlarımız, müdahale ünitelerimiz, personelimizle görev başındayız. Yaralılarımızı tedavi altına aldık. Geçmiş olsun Türkiye.</t>
  </si>
  <si>
    <t>1272261860860051464</t>
  </si>
  <si>
    <t>İyileşen hasta sayımız yeni vaka sayısının altına düştü. Yoğun bakıma ve solunum cihazına ihtiyaç artıyor: Hedeften uzaklaşıyoruz. En zayıf noktamız, TEDBİRSİZ iyimserlik. TEDBİRLİ İYİMSER olalım. Kontrollü Sosyal Hayat dönemine yarın tam olarak geçelim. https://t.co/RVlhe7786O https://t.co/540LYBatKN</t>
  </si>
  <si>
    <t>1272216571621113857</t>
  </si>
  <si>
    <t>https://t.co/IuGiNSG4Qz</t>
  </si>
  <si>
    <t>1272136773527916544</t>
  </si>
  <si>
    <t>Virüs, bazı dış yüzeylerde bir süre canlı kalıyor. Virüs bulunan bir yüzeye elinizle dokunduğunuzda, elin ağız ve burunla teması hastalığa yol açar. Mesafe kuralına uymayıp, bir de el sıkışırsak virüse fırsat tanımış oluruz. Tokalaşmayalım. Bugünlerde dostça olan tokalaşmamaktır. https://t.co/tNdFM32qY2</t>
  </si>
  <si>
    <t>1272122311697711104</t>
  </si>
  <si>
    <t>Dünkü vaka tablomuz, salgının ciddiyetini koruduğu gerçeğiyle hepimizi yüzleştirdi. Geri adım atmayacak kadar güçlü ve tedbirlerde deneyimliyiz. Başladığımız gün, yarın için güven verici bir gün olsun. https://t.co/2Q7UMXtlHP</t>
  </si>
  <si>
    <t>1272084171607937024</t>
  </si>
  <si>
    <t>13 Haziran, irfan hazinemize kazandırdıkları ve üslubuyla unutamayacağız üstat Cemil Meriç’in vefatının 33. yıl dönümüydü. Ömrü kitaplar arasında geçti. Kör olmayı göze alacak kadar. Görmemizi istediği her şey için ona minnettarız. Büyüklüğünü bugün daha iyi görebiliyoruz. https://t.co/z0XxtffTGJ</t>
  </si>
  <si>
    <t>1272044000485220353</t>
  </si>
  <si>
    <t>Ziyaretlerimizin üçüncüsünde hocamız Prof. Dr. Cemil Taşcıoğlu'nun adını verdiğimiz Okmeydanı Şehir Hastanesinin tamamlanan ilk etabını inceledik. Hasta kabulüne başlayan ilk etap, 81'i yoğun bakım olmak üzere 790 yataklı. 27 ameliyathanemiz faal durumda. Yeni haberlerimiz yakın. https://t.co/nIeFxVQgU2</t>
  </si>
  <si>
    <t>1271942718646779905</t>
  </si>
  <si>
    <t>İkinci ziyaret yerimiz, Göztepe kampüsünde inşası devam eden Şehir Hastanemizdi. İstanbul, deprem izolatörleri ile dayanıklı hale getirilmiş, yüksek teknolojiye sahip bir hastaneye kavuşuyor. 600 yatağı, 27 ameliyathanesiyle hastanenin birinci etabı yakında hizmete girecek. https://t.co/CC70ILc7Nr</t>
  </si>
  <si>
    <t>1271937022991745024</t>
  </si>
  <si>
    <t>PAYLAŞTIĞIM FOTOĞRAF, günceldir. Bugün ziyaret ettiğimiz ve sadece COVID-19 hastalarının kabul edildiği Prof. Dr. Feriha Öz Acil Durum Hastanesi’nde çekilmiştir. https://t.co/LcCvoU38dy</t>
  </si>
  <si>
    <t>1271903846642733056</t>
  </si>
  <si>
    <t>Vaka sayısındaki artış, tedbirlere uymayanları uyarıyor. Giderek, hepimizi. https://t.co/RVlhe7786O https://t.co/0sNQsJTIQJ</t>
  </si>
  <si>
    <t>1271856166495232000</t>
  </si>
  <si>
    <t>İstanbul’dayım. İki hafta önce açılan Prof. Feriha Öz Acil Durum Hastanemizi ve çalışma arkadaşlarımızı ziyaret ettik. Yatan 105 hastamız hakkında bilgi aldık. Hastanemiz şimdilik sadece Koronavirüs hastalarıyla şüphelileri kabul ediyor. Sırada yeni hastane ziyaretlerimiz var. https://t.co/ES1L7laqmR</t>
  </si>
  <si>
    <t>1271825730511548418</t>
  </si>
  <si>
    <t>Ligler ara verildiği yerden başladı. Maçlar seyircisiz oynanıyor. Takımına ekran başından destek verenlere, özellikle ortak mekânlardalarsa, “dikkatli” seyirler diliyorum. Maskeli, mesafeli… Oyunu kuralına göre izleyelim! https://t.co/TYI9V98O14</t>
  </si>
  <si>
    <t>1271515322156306432</t>
  </si>
  <si>
    <t>BUGÜNKÜ VAKA SAYISI 1.195. Henüz iyileşmemiş hastalarımızın sayısı yaklaşık 25 bin. Yoğun bakım ve entübe hasta sayısındaki artış, beklenen artışın sınırında. Virüsün yayılımı hatalı iyimserlikten kaynaklanıyor. Maske, mesafe ve temizlik kuralına uyalım. https://t.co/RVlhe7786O https://t.co/RteI0GjoDD</t>
  </si>
  <si>
    <t>1271488056751775746</t>
  </si>
  <si>
    <t>Genç yaşlı, büyük küçük hepimiz, kimi sınırlamalar hariç artık ne zaman istersek dışarıdayız. Fakat kısıt kalktı, yaz geldi diye evimiz gözden düşmesin. Kendimizi virüsten koruyabilmiş olmayı evimize de borçluyuz. Dışarıda yeterinden fazla kalmak yerine vakitlice evimize dönelim. https://t.co/ukHJfLjl0l</t>
  </si>
  <si>
    <t>1271404756037140482</t>
  </si>
  <si>
    <t>Galiba en zoru çocuk olmaktı. Korkuları bizi üzdü. Parkları özleseler de evde kalmayı başardılar. Çıktıklarında maskelerini taktılar. Çocuklarımıza ve anne babalarına teşekkür ederim. Dışarı çıktıklarında kurallara uymayanları uyarabilirler. Sloganları hazır:) “Bana yaklaşmayın!” https://t.co/vcjclq3dBP</t>
  </si>
  <si>
    <t>1271367336994508801</t>
  </si>
  <si>
    <t>İktisat bilimine katkılarıyla tanınan PROF. DR. SABRİ ORMAN hayatını kaybetti. Meslektaşları onu, öncü çalışmalarıyla olduğu kadar, yüksek insani vasıflarıyla anıyor. Hocamıza Allah’tan rahmet, ailesine ve bilim dünyasına başsağlığı diliyorum. https://t.co/2jI55ZT81w</t>
  </si>
  <si>
    <t>1271362505546313728</t>
  </si>
  <si>
    <t>Tehlikeli Sosyal Mesafeler: 149 cm, 148 cm, 147 cm, 146 cm, 145 cm, 144 cm, 143 cm, 142 cm, 141 cm, 140 cm, 139 cm, 138 cm, 137 cm, 136 cm, 135 cm, 134 cm, 133 cm, 132 cm, 131 cm, 130 cm, 129 cm, 128 cm, 127 cm, 126 cm, 125 cm, 124 cm, 123 cm, 122 cm. Mesafe azaldıkça risk artar.</t>
  </si>
  <si>
    <t>1271182992854130688</t>
  </si>
  <si>
    <t>TÜRK KIZILAY 152 YAŞINDA. 11 Haziran 1868’deki ilk kurucuları, dönemin idealist hekimleri arasından çıkmıştı. Hilal’i; nerede bir insan acısı, yardım çağrısı varsa orada yeniden doğan Türk Kızılayı, 152 yıldır iyilik için hep genç kaldı. Yeni yaşı kutlu olsun! https://t.co/Ox081PByMZ</t>
  </si>
  <si>
    <t>1271148381520433153</t>
  </si>
  <si>
    <t>Test sayısında 2,5 Milyona ulaştık. Şimdiye kadarki vakaların %85’i iyileşti. Yeni iyileşen vaka sayısıyla yeni tanı konan vaka sayısı birbirine yakın. Virüs gücünü hatalı iyimserlikten alıyor. “Virüsün etkisi azaldı” yanılgısı ile tedbirleri terk etmeyin. https://t.co/RVlhe7786O https://t.co/BCbGbRGpGP</t>
  </si>
  <si>
    <t>1271131136509521920</t>
  </si>
  <si>
    <t>Büyüklerimiz evde kalarak, dışarıda maske takıp, sosyal mesafeyi koruyarak tedbirlere uydu. Büyüklüklerini göstermeye devam ediyorlar. Teşekkür ederim. Onlara karşı özenli olalım. Salgını, kurallara uyarak yenebiliriz. Kurallara uymayanları nazikçe uyaranlara da teşekkür ederim. https://t.co/74bnvF2AIF</t>
  </si>
  <si>
    <t>1271083816405348352</t>
  </si>
  <si>
    <t>Değerli arkadaşım,
İki yeni şiddet olayı yaşadık. Sağlık hizmetlerinin insanlık için ne anlama geldiğinin iyi bilindiği günlerde! Yargının vereceği hak edilmiş ceza, vicdanlardaki rahatsızlığı telafi edemez. Birkaç istisna dışında, size tüm insanlık saygı duyuyor. Geçmiş olsun.</t>
  </si>
  <si>
    <t>1270855752626982913</t>
  </si>
  <si>
    <t>SEVGİLİ GENÇLER. Salgın döneminde genç olmak kabahat değildi. Virüsü bilmeden yayma ihtimali evde kalmanıza yol açtı. Şimdi büyüklerimize karşı koruyucu olmanız gerekiyor. Bugünün örnek genci, bence, maskesini takan, mesafesini koruyan gençtir. Bir ağabeyiniz olarak aklım sizde. https://t.co/N41a2MRKZt</t>
  </si>
  <si>
    <t>1270838380797087745</t>
  </si>
  <si>
    <t>KIYMETLİ BÜYÜKLERİM. Serbestlik gelmesi riskin ortadan kalktığı anlamına gelmiyor. Azalmakla birlikte risk devam ediyor. Serbest zaman hakkınızı ihtiyatlı şekilde kullanabilirsiniz. Sizden istirhamım, evde geçen günleri riske atmamanız. Lütfen büyüklüğünüzü göstermeye devam edin. https://t.co/Cfdh3gdKUw</t>
  </si>
  <si>
    <t>1270835244242022401</t>
  </si>
  <si>
    <t>KORONAVİRÜSLE PASİF MÜCADELE GÜNLERİNDEN, Kontrollü Sosyal Hayat ilkelerine uyarak, aktif mücadele günlerine geçiyoruz. Artık mücadeleyi, evlerimizden çıkıp, hayatın tüm alanlarındaki rollerimize dönerek vermeye başladık. Koruyucu silahlarımız maske, mesafe ve el hijyenidir. https://t.co/L2vOq9ekyT</t>
  </si>
  <si>
    <t>1270832113584091136</t>
  </si>
  <si>
    <t>SALGIN SEBEBİYLE UYGULANAN KISITLAR, bunların yerini, tedbirlere tam uyumun alacağı inancıyla, büyük oranda kaldırıldı. Cumhurbaşkanımızın belirttiği gibi, “Koronavirüsün kökü tamamen kazınana kadar hayatımızı Maske, Mesafe, Temizlik ilkeleri çerçevesinde düzenlememiz” şarttır. https://t.co/Rmnr5ZQi0F</t>
  </si>
  <si>
    <t>1270829449513140229</t>
  </si>
  <si>
    <t>DSÖ AVRUPA BÖLGE DİREKTÖRÜ Dr. Hans Kluge ile bugün yaptığımız görüşmede, Türkiye’nin salgına karşı yürüttüğü çalışmaları detaylı verilerle ele aldık. Ülkemizin başarısını kutlayan Kluge, seyahat kısıtlarının kaldırılmasının ardından ilk ziyaretini Türkiye’ye yapacağını açıkladı. https://t.co/wmt4R4jI5d</t>
  </si>
  <si>
    <t>1270773675122405377</t>
  </si>
  <si>
    <t>Yeni tanı konan hasta sayısı, yeni iyileşen hasta sayımızın %40’ı kadar. YAŞ ORTALAMASI yeni vakalarda 36, vefatlarda 71. Yeni hastalar sebebiyle artan yoğun bakım ihtiyacı düne yakın. Virüsün etkisinin azaldığı fikri riskli. “Normal” olan, tedbirdir. https://t.co/RVlhe7786O https://t.co/dHfVy9datB</t>
  </si>
  <si>
    <t>1270763564580638726</t>
  </si>
  <si>
    <t>Bilim Kurulu Toplantımızın ardından Koronavirüs ile ilgili son gelişmeler ve aldığımız yeni tedbirlere ilişkin basın açıklamamız.
📍SAĞLIK BAKANLIĞI BİLKENT YERLEŞKESİ / ANKARA
https://t.co/PUDt4pgy5c</t>
  </si>
  <si>
    <t>1270759317139066881</t>
  </si>
  <si>
    <t>COVID-19’a doğrudan etkili ilaç, koruyucu aşı henüz bulunamadı. Fakat salgının daha ilk döneminde, bilim, hastalığın bulaşma yolunu ve buna karşı alınacak tedbirleri bize gösterdi: Maske, mesafe, el hijyeni. İlacı olmayan hastalığa karşı elimizde sadece tedbir var. Lütfen uyalım. https://t.co/GTfzpVxn4Z</t>
  </si>
  <si>
    <t>1270757601962332163</t>
  </si>
  <si>
    <t>CUMHURBAŞKANIMIZ, önlem ve yeni durum değerlendirmesi sonucu alınan kararları kabine toplantısının ardından açıkladı. “Koronavirüs musibetinin kökü tamamen kazınana kadar hayatımızı MASKE-MESAFE-TEMİZLİK ilkeleri çerçevesinde düzenlememiz” şartıyla kısıtlar büyük oranda kalktı. https://t.co/lw0vuxkfsP</t>
  </si>
  <si>
    <t>1270443554817609728</t>
  </si>
  <si>
    <t>Son 24 saatte iyileşen hasta sayımızın üçte biri kadar yeni hastamız var. Tanı konup, yatırılan hastalarımız sebebiyle yoğun bakım ve solunum desteğine ihtiyaç arttı. Virüsün etkisinin zayıfladığını gösteren bilimsel bir veri yok. “Normal” olan, tedbirdir. https://t.co/RVlhe7786O https://t.co/KBs3McPCWl</t>
  </si>
  <si>
    <t>1270403405454942208</t>
  </si>
  <si>
    <t>Bakanlar Kurulundayım. Ne diyeceğim, dışarıdan alacağım duyumlara bağlı. Maske + sosyal mesafede an itibariyle artış var mı?</t>
  </si>
  <si>
    <t>1270377411419537408</t>
  </si>
  <si>
    <t>Van Çatak’ta PKK terör saldırısı sonucu 2 işçi şehit oldu. Yaralı 8 işçi SBÜ Van Eğitim ve Araştırma Hastanemizde tedavi altına alındı. İkisi yoğun bakımda. 6 işçimizin durumu iyi. Şehitlerimize Allah’tan rahmet, yaralılarımıza şifalar diliyorum. Ailelerinin acısı, ortak acımız. https://t.co/mwDK7OXjTR</t>
  </si>
  <si>
    <t>1270128809002631169</t>
  </si>
  <si>
    <t>TOPLUM BİLİMLERİ KURULU İLE İLK TOPLANTIMIZI YAPTIK. Salgınla mücadelenin ikinci aşamasında sosyoloji, psikiyatri, tarih, ekonomi, iletişim, halk sağlığı vd. alanlarda uzman bilim insanlarımızın katkılarından yararlanacağız. İlk toplantıda yeni koşulları ve ihtiyaçları ele aldık. https://t.co/Pw7dvAx9Eo</t>
  </si>
  <si>
    <t>1270115677328809986</t>
  </si>
  <si>
    <t>Yaz, geldi. Büyüklerimiz dâhil, birçoğumuz, köyümüze, kentimize ya da tatile gidiyoruz. Uzun yolun başı ve sonu çok dikkat istiyor. Biniş ve inişte kalabalığa karşı mesafeli, maskeli olmalıyız. İhmaller, kötü ihtimali büyütür. Şimdiye dek aldığımız tedbirleri elden bırakmayalım. https://t.co/8F1X85OiJT</t>
  </si>
  <si>
    <t>1270095045140664320</t>
  </si>
  <si>
    <t>Çoğunluğumuz tedbirlere uyuyor. Özellikle gençler! Geri dönüşsüz başarı için, eski kısıtlara kıyasla küçük bazı zorlukları, uyum içinde, hep birlikte benimseyelim. Salgını, maske ve sosyal mesafe kuralına uyarak yenebiliriz. Uymayanları nazikçe uyaranlara da teşekkür ederim. https://t.co/pdXveCy3qx</t>
  </si>
  <si>
    <t>1270084442921590784</t>
  </si>
  <si>
    <t>Vaka sayısında, maske ve mesafe kuralına uyulması şartıyla önü kesilmesi kolay bir hareketlilik var. İyileşen hasta sayımızda ciddi artış gerçekleşti. Solunum desteğine ihtiyaç azaldı. Yoğun bakım hasta sayısı yükselişte. TEDBİR AZALIRSA, TEHDİT ARTACAK. https://t.co/RVlhe7786O https://t.co/uiZYI4J6nr</t>
  </si>
  <si>
    <t>1270046515625680903</t>
  </si>
  <si>
    <t>M  e  s  a  f  e   k  u  r  a  l  ı  n  a   u y a l ı m
Kuralıuygulamasızorortamagirmeyelim</t>
  </si>
  <si>
    <t>1270022169792262152</t>
  </si>
  <si>
    <t>26 Nisanda İdlib’te teröristlerle çıkan çatışmada yaralanan TANKÇI SÖZLEŞMELİ ERİMİZ İSMAİL ANAYURT, tedavisini sürdürdüğümüz hastanede hayatını kaybetti. Elimizden geleni yaptık. Şehadeti başımız üstüne. Personelimiz ve bizler müteessiriz. Kendisine ALLAH’TAN RAHMET DİLİYORUM. https://t.co/oGwPkpqLd8</t>
  </si>
  <si>
    <t>1269740208720936960</t>
  </si>
  <si>
    <t>FİLYASYON ÇALIŞMALARINDA, “Geçmiş olsun” ziyareti sebebiyle bir ilimizde 190 kişiye virüs bulaştığı tespit edildi. Bir diğer ilimizde, asker uğurlamasında, 58 kişi virüsle enfekte oldu. Yeni iyileşen hasta sayımız, 2.647. Tedbir azaldıkça tehdit artıyor. https://t.co/RVlhe7786O https://t.co/OgMVeputAM</t>
  </si>
  <si>
    <t>1269671295534366722</t>
  </si>
  <si>
    <t>Bugün Cahit Zarifoğlu’nu özlemle andık. Kıymeti çok bilindi, kanımca az okundu. KALABALIKTAN UZAĞA ÇEKİLİP okusak mı? https://t.co/4OpFaqAjgG</t>
  </si>
  <si>
    <t>1269659561507663872</t>
  </si>
  <si>
    <t>65 yaş üstü büyükler, sağ olsunlar, biraz sıkılsalar da tedbirlere uyuyor. Şimdi izne bağlı olarak seyahat hakları var: Memlekete dönüş başladı. Rica ediyorum: Son derece dikkatli olmalı. Otobüse binerken, inerken kalabalığa karışmamalı. EVDE GEÇEN ONCA GÜNÜN NE KIYMETİ KALIR? https://t.co/CqfHexYsT3</t>
  </si>
  <si>
    <t>1269657723567816704</t>
  </si>
  <si>
    <t>Birçok şiiri halk müziğimize mal olan, en çok Mihriban’la sevilen Abdurrahim Karakoç aydın bir halk ozanımızdı. “Boşluğumu şiirle doldurmaya çalıştım” derken şiire gönül veren herkes adına söz almış olmalı. Ölüm yıl dönümünde rahmetle anıyoruz: “Ayrılıktan zor belleme ölümü”. https://t.co/gSMiKL8UX6</t>
  </si>
  <si>
    <t>1269650010561490944</t>
  </si>
  <si>
    <t>KULLANILMIŞ KORONAVİRÜS MASKESİ ve eldivenler, CANLI VİRÜS TAŞIYABİLECEĞİ için risklidir. Dışarıda, muhtemelen yenisini takmak için, çıkardığınız maske ve eldivenleri yere atmayın, çöpe atın. Salgın dünyayı bu denli etkilemişken çevreyi de kirletmesine lütfen izin vermeyin. https://t.co/ajDyUSUTYE</t>
  </si>
  <si>
    <t>1269637934556360705</t>
  </si>
  <si>
    <t>Tamamdır Sude Hanım. Bağlaçlar arasına virgül, konulmaz. Bizimki sosyal mesafe tutkusundan:) Mesafe kuralına uyulur + maske takılırsa soru(n) istediği yerden gelsin. https://t.co/2Yo1MzK0ob</t>
  </si>
  <si>
    <t>1269585648316489728</t>
  </si>
  <si>
    <t>Bugün Cahit ağabeyimizin vefatının 33. yıl dönümü. Şiiriyle, hayatıyla biz yeni kuşaklar için “işaret çocuğu”ydu. Yedi Güzel Adam’ı yazdı, onlardan biri oldu. Yaşamak şöyle başlar: “Ne çok acı var!” Pankreas kanseri sebebiyle 47 yaşında kaybettiğimiz ŞAİRİMİZİ RAHMETLE ANIYORUZ. https://t.co/MggrWZAI5h</t>
  </si>
  <si>
    <t>1269565589514784769</t>
  </si>
  <si>
    <t>“Son vakanın tedavi edildiği, salgınla mücadelenin geride risk kalmayacak şekilde başarıya ulaştığı haberini alan vatandaşlarımız kutlamalara başladı.” Bu habere daha var. Çok fazla normalleşmeyelim. MASKE + MESAFE KURALINA MODA OLARAK UYALIM. https://t.co/maOG7CRWmh</t>
  </si>
  <si>
    <t>1269429646950572032</t>
  </si>
  <si>
    <t>GALATA KÖPRÜSÜNDE bugün çekilen fotoğraftan anladığımıza göre, balıkçılar arasında 1,5 m mesafe kuralına uyulmamış. Kovalar dolmuş mu bilmiyoruz ama virüs köprüye uğramışsa eli boş dönmemiştir. Özellikle kronik hastalığı olanlar MASKESİZ, MESAFESİZ risk altındadır. RAST GELMESİN! https://t.co/OYV0Jazdrh</t>
  </si>
  <si>
    <t>1269355946146516995</t>
  </si>
  <si>
    <t>Salgın, beslenme alışkanlıklarımız, rutin egzersizlerimiz dâhil, düzenimizi değiştirdi. Yeniden kendi normallerimize dönüyoruz. Evde geçen günlerde birikmiş sorunları çözmeye başlıyoruz. Diyetisyenlerimize yardımları için şimdiden teşekkür. DÜNYA DİYETİSYENLER GÜNÜ kutlu olsun. https://t.co/rmN8WGgqaT</t>
  </si>
  <si>
    <t>1269340804188983297</t>
  </si>
  <si>
    <t>Toplam vakaların %80’i iyileşti. Yeni iyileşen hasta sayımız 2.000’e yakın. Pozitif tanı konan hastaların büyük kısmı hastalığı belirtisiz ve evde geçiriyor. 81 ilimizde COVD-19 sebebiyle DÜN YATAN HASTA SAYISI 41. Daha iyi tedbir, daha iyi sonuçtur. https://t.co/RVlhe7786O https://t.co/in14xdYFYP</t>
  </si>
  <si>
    <t>1269329017615851526</t>
  </si>
  <si>
    <t>Malatyamızın Pötürge ilçesinde 5 şiddetinde bir deprem yaşandı. Yedi mahallede 20 ev maalesef ağır hasar gördü. Deprem acısı henüz çok tazeyken, hissedilen kaygıyı anlayabiliyoruz. Geçmiş olsun. İnşallah depremin en hafifiyle bile karşılaşmayız.</t>
  </si>
  <si>
    <t>1269032979550081025</t>
  </si>
  <si>
    <t>MİLLİ SAVUNMA BAKANLIĞIMIZIN yaptığı açıklamadan İdlib’de, zırhlı ambulans aracına saldırıda bir askerimizin şehit düştüğünü, iki silah arkadaşının yaralandığını öğrendik. Şehidimizin ailesine, Silahlı Kuvvetler mensuplarına başsağlığı diliyoruz. Yaralılarımızın hizmetindeyiz. https://t.co/ZUYOiDGLOM</t>
  </si>
  <si>
    <t>1269031070252613632</t>
  </si>
  <si>
    <t>KORONAVİRÜS, SOLUNUM YOLUYLA BULAŞIR. Dışarı çıkarken, risk almamak için, maske takmalısınız. Maskeyi, kuralına uygun olarak, ağız ve burunu tamamen kapatacak şekilde kullanın. Ama tek başına maske yetmez. Virüse 1,5 metreden daha yakınsanız, maskeli de, maskesiz de hedefsiniz. https://t.co/OjIOS8zIJc</t>
  </si>
  <si>
    <t>1268963245160882177</t>
  </si>
  <si>
    <t>İyileşen hasta sayısında artış var. Artış hızlanacak. Toplam hasta sayısında yer alan vakaların önemli kısmı izleme sürecindeki belirtisiz vakalardır. Gelecek günler, el hijyenine özene; maske + mesafe kuralına bağlı. Daha iyi tedbir, daha iyi sonuçtur. https://t.co/RVlhe7786O https://t.co/DxWUZCz68Y</t>
  </si>
  <si>
    <t>1268941167464513539</t>
  </si>
  <si>
    <t>AB ÜYESİ 26 ÜLKENİN BÜYÜKELÇİLERİYLE ONLINE TOPLANTI YAPTIK. COVID-19’la mücadelemiz konusunda YARARLI BİR SUNUM gerçekleştirdik. Ayrıca AB’ye tam üyeliğin ülkemizin stratejik hedefi olduğuna da değinerek, Türkiye’nin sağlık alanında AB’ye güç katacağını sözlerimize ekledik. https://t.co/mPT5j2djJV</t>
  </si>
  <si>
    <t>1268918736670597121</t>
  </si>
  <si>
    <t>Kullanılmış maske ve eldivenler, virüsle temas etmiş olabileceği, CANLI VİRÜS TAŞIYABİLECEĞİ İÇİN risklidir. Maske ve eldiveni rastgele bir yere atmayın. Çöpe atın. Bugün 5 HAZİRAN DÜNYA ÇEVRE GÜNÜ. Salgın dünyayı bu denli etkilemişken bir de çevreyi kirletmesine izin vermeyelim. https://t.co/8nm018JkPl</t>
  </si>
  <si>
    <t>1268876279245352961</t>
  </si>
  <si>
    <t>Sevgili gençler. Bir ayağınız kapıda olsun, saat 14.00’a 5 var.</t>
  </si>
  <si>
    <t>1268858897244225536</t>
  </si>
  <si>
    <t>Sevgili çocuklar, amcalar ve teyzeler sabrınız için gözlerinizden öpüyor. Ama uzaktan! Harika bir gün, saat 14.00-20.00 arası harika vakit geçirin. Çok sevgiler. Annelerle babalara özverileri için teşekkür ediyorum.</t>
  </si>
  <si>
    <t>1268852913398480901</t>
  </si>
  <si>
    <t>RT @RTErdogan: Bunun için, Cumhurbaşkanı olarak, 15 ilimizi kapsayan hafta sonu sokağa çıkma sınırlaması uygulamasını iptal etme kararı ald…</t>
  </si>
  <si>
    <t>1268830997736501248</t>
  </si>
  <si>
    <t>RT @RTErdogan: Tek amacı hastalığın yayılmasını önlemek ve vatandaşımızı korumak olan bu kararın, farklı sosyal ve ekonomik sonuçlara yol a…</t>
  </si>
  <si>
    <t>1268830989347950593</t>
  </si>
  <si>
    <t>RT @RTErdogan: Sağlık Bakanlığımızın önerisi ve İçişleri Bakanlığımızın genelgesi ile bu hafta sonu da 15 ilimizde sokağa çıkma sınırlaması…</t>
  </si>
  <si>
    <t>1268830977356451841</t>
  </si>
  <si>
    <t>RT @RTErdogan: Esasen, en son sınırlamanın ardından bu yöntemi yeniden kullanmayı düşünmüyorduk. Ancak, bir ara 700 küsurlere kadar inen gü…</t>
  </si>
  <si>
    <t>1268830967340425217</t>
  </si>
  <si>
    <t>RT @RTErdogan: Bilindiği gibi salgın döneminde, milletimizi Koronavirüs'ten korumak için çok sayıda tedbiri hayata geçirdik. Bunlardan biri…</t>
  </si>
  <si>
    <t>1268830897224273925</t>
  </si>
  <si>
    <t>Sıfır yeni vaka hedefine ulaşmak için, riske karşı uyanık olalım: Virüs, ağız ve burun yoluyla bulaşıyor. Ağız veya burun açık kalırsa, maske takmış ama gözümüzü gerçeğe kapatmış oluruz. Risk bu kadar mesafesizken uyarıları dinleyelim. https://t.co/l6a5TQhtpV</t>
  </si>
  <si>
    <t>1268646283209834498</t>
  </si>
  <si>
    <t>GÜVENLİK GÖREVLİSİ MURAT ÇİDAM. 1974, İstanbul doğumlu. Bayrampaşa Ticaret Lisesini bitirdi. Şişli Etfal Eğitim ve Araştırma Hastanesinde hizmet veriyordu. 1 çocuk babasıydı. COVID-19 tanısı konduktan sonra 17 gün yaşadı. Sükûnetiyle tanınırdı. Mücadelesi için #minnettarız https://t.co/q3372A9DYv</t>
  </si>
  <si>
    <t>1268612890422116355</t>
  </si>
  <si>
    <t>Test sayımız, tarama amaçlılar dâhil, 54.000’in üzerinde. Yoğun bakıma ihtiyaç duyan hasta sayımız azalmaya devam ediyor. Gelecek günler, el hijyenine özene; maske + sosyal mesafe kuralının her ikisine uymamıza bağlı. Daha iyi tedbir, daha iyi sonuçtur. https://t.co/RVlhe7786O https://t.co/FCfAwU9Q0Y</t>
  </si>
  <si>
    <t>1268592902244110338</t>
  </si>
  <si>
    <t>COVID-19’a karşı kullandığımız SITMA İLACI hakkında AMERİKA’DA YAPILAN YAYIN GÜVENİLİR DEĞİL. Veriler bilim adamlarınca değil, bir şirket tarafından toplanmış. Çalışmayı enfeksiyon uzmanları yapmamış. Yan etki iddiası şaibeli. İlaçtan yarar gördük. https://t.co/RJOtehN9Z2</t>
  </si>
  <si>
    <t>1268567324426145793</t>
  </si>
  <si>
    <t>VAKA SAYILARININ YAKIN OLDUĞU MARTLA BUGÜN ARASINDAKİ FARK BÜYÜK. Martta vakaların %23’ünün hastaneye yatması gerekiyordu. Bugün vakaların %2,31’i hastaneye yatıyor. Servis, yoğun bakım ve entübasyon hasta yoğunluğumuz yok. Erken tanı ve tedavideki yenilikler iyi sonuç verdi. https://t.co/FrTMfsst0w</t>
  </si>
  <si>
    <t>1268473172271214593</t>
  </si>
  <si>
    <t>Küresel salgın, insanların eve kapanmasına yol açmakla kalmadı. Üretime, ticarete, ekonomiye, eğitime darbe vurdu. ŞİMDİ TEDBİRLERE UYMAK yalnız sağlığımızı korumak anlamına gelmiyor. ÜLKEMİZİN REFAHINI ARTIRACAK ÇALIŞMALARIN, işlerin, kurumların ÖNÜNÜ AÇMAK ANLAMINA DA GELİYOR. https://t.co/m2YTntJTpg</t>
  </si>
  <si>
    <t>1268289367291944961</t>
  </si>
  <si>
    <t>Tedbirlerin karşılıklı uygulanması esastır. MASKE VE MESAFE KURALINI İHLAL EDENLERE, sosyal mesafenin ötesinde, mesafeli davranın. Toplum sağlığına saygı gösteren iş yerlerini, toplum sağlığına saygı göstermeyenlerden lütfen ayırın. Tenkidinizi yapın, takdirinizi de gösterin. https://t.co/qpccgH16m6</t>
  </si>
  <si>
    <t>1268271145222123520</t>
  </si>
  <si>
    <t>Bugünlerin kendine özgü üç zorluğu var. Birinci zorluk, salgının sona erdiği yanılgısıdır. İkincisi, başarıya güvenerek hastalığın ciddiyetini unutmaktır. Üçüncüsü, risk grubundakilerin tedbirleri gevşetmesidir. NORMAL ŞARTLARA DÖNMEDİĞİMİZİ, DÖNMEYE ÇALIŞTIĞIMIZI unutmamalıyız. https://t.co/iBVifzUyjo</t>
  </si>
  <si>
    <t>1268261285780770816</t>
  </si>
  <si>
    <t>Halen sınırlı saatlerde sokağa çıkabilen büyüklerimize, gençlerimize ve çocuklarımıza karşı sorumluluğumuz var. Bu grup, NÜFUSUMUZUN 30 MİLYONUNU oluşturuyor. Özellikle yaşlılarımızın sokağa kısıtsız şekilde çıkabilecekleri şartları, uyacağımız tedbirlerle BİZLER sağlayacağız. https://t.co/vcywxr4HrT</t>
  </si>
  <si>
    <t>1268257009884975105</t>
  </si>
  <si>
    <t>1 ay önce bugün 1.424 olan yoğun bakım hasta sayımız %57 oranında, 766 olan entübe hasta sayımız %66, günlük vaka sayımızsa %48 oranında azaldı. 52 bini aşkın testin sonucuna göre, bugün yeni vaka sayımız 867. TEDBİRLERLE BU DÜŞÜŞÜ DAHA DA HIZLANDIRALIM. https://t.co/RVlhe7786O https://t.co/hqYpVSBBL2</t>
  </si>
  <si>
    <t>1268230012571967488</t>
  </si>
  <si>
    <t>Bilim Kurulu Toplantımızın ardından Koronavirüs ile ilgili son gelişmeler ve aldığımız yeni tedbirlere ilişkin basın açıklamamız.
📍SAĞLIK BAKANLIĞI BİLKENT YERLEŞKESİ / ANKARA
https://t.co/jnmqiIfRES</t>
  </si>
  <si>
    <t>1268226157272580097</t>
  </si>
  <si>
    <t>Milli Mücadele’ye katılan Anadolu kadınını, Hiroşima’da yanıp kül olan kız çocuğunu anlattı. Angina Pektoris terimini, şiirinde “kalp ağrısı” doğallığında kullanabilen bir dil ustasıydı. Türkçenin göğü altında bir çınar ağacı: NÂZIM HİKMET’İ saygıyla anıyoruz. https://t.co/3qP53aag59</t>
  </si>
  <si>
    <t>1268159792054444034</t>
  </si>
  <si>
    <t>Bakanlığımıza bağlı Türkiye İlaç ve Tıbbi Cihaz Kurumu, Beşeri İlaçlar Uluslararası Uyum Konseyi üyeliğine oy birliğiyle kabul edildi. Dünyadaki ilaç geliştirme ve üretim süreçlerinde Amerika (FDA) ve Avrupa Birliği’nin (EMA) ilgili kuruluşlarıyla birlikte aktif rol oynayacağız. https://t.co/cZdsrpw23i</t>
  </si>
  <si>
    <t>1267911815582883845</t>
  </si>
  <si>
    <t>Milli Görüş hareketinin önde gelen isimlerinden, darbe sonrası dönemde Refah Partisi'nin kurucu üyesi, ilk genel başkanı; Erbakan’ın yakın arkadaşı AHMET TEKDAL, tedavi gördüğü hastanede hayatını kaybetti. Uğruna mücadele verdiği davayı kazandığına inanıyoruz. ALLAH RAHMET ETSİN. https://t.co/2Nv2kwq2WD</t>
  </si>
  <si>
    <t>1267907758512312320</t>
  </si>
  <si>
    <t>Çin’de ortaya çıkan COVID-19’a karşı küresel gidişin aksine, sıkı tedbirlerle en zor günleri aştık. Bundan sonrası da bu kadar önemli. Riskin devam ettiğini unutmayalım. Günlük yeni vaka sayımız 1.000 civarında. Salgın sona ermedi. Türkçesi: Tedbirlere uymazsak başa dönebiliriz. https://t.co/OYZ7Z9gb9M</t>
  </si>
  <si>
    <t>1267901673596506112</t>
  </si>
  <si>
    <t>RUSYA SAĞLIK BAKANI mevkidaşımız Dr. Mikhail Murashko ile bir görüşme yaptık. Dr. Murashko, COVID-19’a karşı uyguladığımız TEDAVİNİN BAŞARISINI kendilerinin de gördüğünü belirtti. Görüşmede bakanlıklarımıza bağlı kurumların AŞI ve İLAÇ İÇİN BİRLİKTE çalışması kararını aldık. https://t.co/zkmOZImZMw</t>
  </si>
  <si>
    <t>1267882912986419200</t>
  </si>
  <si>
    <t>Toplam test sayımız 2,1 milyonu geçti. İyileşen hasta sayımız 130 bin. Yoğun bakıma ihtiyaç duyan hasta sayımız azalıyor. Gelecek günler, el hijyenine özene; maske + sosyal mesafe kuralının her ikisine uymamıza bağlı. DAHA İYİ TEDBİR, daha iyi sonuçtur. https://t.co/RVlhe7786O https://t.co/quXUvOxzvz</t>
  </si>
  <si>
    <t>1267863606093283329</t>
  </si>
  <si>
    <t>Sokağa çıkma kısıtlamasının kalkması, her şeyin normale döndüğü anlamına gelmesin. Eğer tedbirlerle kendinizi virüse karşı güvenceye almazsanız, karşılaşacağınız sonucu bilemezsiniz. Türkçesi: Bir Koronavirüs hastasının yoğun bakımda yaşadıkları size Çince kadar yabancıdır. https://t.co/3H5d8RpDBl</t>
  </si>
  <si>
    <t>1267778223322083330</t>
  </si>
  <si>
    <t>Bakanlığımız ve kamu çalışanı tüm hanımların hamilelik izni Cumhurbaşkanımızın talimatıyla 8 HAFTA uzatıldı. İdari izin 32. hafta yerine hamileliğin 24. haftasından itibaren başlayacak. Dünyaya bir bebek gelecekse akan sular süren işler durmalı. Veya başkası tarafından yapılmalı. https://t.co/t1Dyl4d03b</t>
  </si>
  <si>
    <t>1267758831855116289</t>
  </si>
  <si>
    <t>Maske takmak kime yakışır? Koronavirüsle mücadelede ister istemez sorumluluk sahibi hepimize. Yüzümüzü, gülüşümüzü kapatsa da maskesiz yapamayız. Hazır salgını geriletmişken bize yakışanı yapalım. Maskeli, sosyal mesafeli; riske karşı biraz daha sabredelim. https://t.co/jPQyEm38gF</t>
  </si>
  <si>
    <t>1267554193784651776</t>
  </si>
  <si>
    <t>Maske takmak kime yakışır? Koronavirüsle mücadelede ister istemez sorumluluk sahibi hepimize. Yüzümüzü, gülüşümüzü kapatsa da maskesiz yapamayız. Hazır salgını geriletmişken bize yakışanı yapalım. Maskeli, sosyal mesafeli; riske karşı biraz daha sabredelim. https://t.co/NQB94afrJ7</t>
  </si>
  <si>
    <t>1267551796488257538</t>
  </si>
  <si>
    <t>HEMŞİRE TUĞBA KUŞDEMİR. 1985 doğumlu. İki çocuk annesiydi. Manisa ve Bandırma Halk Sağlığı Merkezlerinde, Bandırma Devlet Hastanesinde görev yaptı. 2015’te yakalandığı kanseri yenmişti. Görevi sırasında yakalandığı COVID-19 sebebiyle vefat etti. Mücadelesi için #minnettarız https://t.co/LAxONa6EDR</t>
  </si>
  <si>
    <t>1267531586297303042</t>
  </si>
  <si>
    <t>İyileşen toplam hasta sayımız 130 bine yaklaştı. Yeni vaka sayımız öngörülen seviyede. Solunum desteğine ihtiyaç azalıyor. Gelecek günler, el hijyenine özene; maske + sosyal mesafe kuralının her ikisine uymamıza bağlı. DAHA SIKI TEDBİR, DAHA İYİ SONUÇTUR. https://t.co/RVlhe7786O https://t.co/vcVKGvHQyj</t>
  </si>
  <si>
    <t>1267500412384534532</t>
  </si>
  <si>
    <t>DİLEK HEMŞİRE ARAMIZDAN AYRILDI. Hastalığa, izinli olduğu günlerde yakalanmış, 11 Nisanda hastaneye kaldırılmıştı. Uzun bir mücadele verdi. Maalesef, COVID-19’a yenildi. Keşke yeni doğan oğlunu daha çok zamanlar görebilseydi. Allah rahmet etsin. Sevenlerine başsağlığı diliyorum. https://t.co/KDn8srXkbJ</t>
  </si>
  <si>
    <t>1267209425984671744</t>
  </si>
  <si>
    <t>PROF. DR. MURAT DİLMENER. 1941, Mardin doğumlu. İstanbul Tıp Fakültesinde hekim ve akademisyen olarak çalıştı. İç hastalıkları alanında duayendi. Binlerce öğrenci yetiştirdi. İdealistliği, güler yüzü ve yoksul hastalara yardımıyla tanındı. Mücadelesi için #minnettarız https://t.co/reNX6fOB54</t>
  </si>
  <si>
    <t>1267196009332998150</t>
  </si>
  <si>
    <t>II. Abdülhamid tarafından yaptırılan Hadımköy Askeri Hastanesi restore edilip, Cumhurbaşkanımızın katıldığı törenle, DR. İSMAİL NİYAZİ KURTULMUŞ HASTANESİ adı verilerek hizmete açıldı. Hastane salgında diğer hastanelerimizin normalleşme sürecini hızlandıracak. Hayırlı olsun. https://t.co/wKekqDGEYn</t>
  </si>
  <si>
    <t>1267172123400953858</t>
  </si>
  <si>
    <t>Bu güzide hastanemizde görev alacak doktor arkadaşlarımızın, sağlık çalışanlarının, hayırla yad ettiğimiz büyüklerimizin adına layık anlayışla hizmet edeceklerinden şüphe duymuyoruz. Dr. İsmail Niyazi Kurtulmuş Hastanesi, cismiyle bir tarih, yeniden dirilişiyle vefa bilincidir. https://t.co/Z8WNa3IvXU</t>
  </si>
  <si>
    <t>1267167446978494465</t>
  </si>
  <si>
    <t>Hadımköy Dr. İsmail Niyazi Kurtulmuş Hastanemizi milletimizin hizmetine açtık. Ülkemize ve insanlığa hayırlı olsun. https://t.co/8kSn1PpmfW</t>
  </si>
  <si>
    <t>1267157702444306432</t>
  </si>
  <si>
    <t>45 günde biten Prof. Dr. Murat Dilmener Acil Durum Hastanesinin yapım süreci TRT Belgesel tarafından hava ve aksiyon kameraları + aktüel kameralarla ANBEAN kayda alınmıştı. SİMGE PROJENİN BELGESELİ 21.00’DE TRT BELGESEL kanalında. Sağ ol TRT. Sanırım iki yapım da heyecan verici. https://t.co/LyX35cU8Jt</t>
  </si>
  <si>
    <t>1267150870736769025</t>
  </si>
  <si>
    <t>Vaka sayısı öngörülen seviyede seyrediyor. Solunum desteğine ihtiyaç duyan hasta sayısı azalmaya devam ediyor. Gelecek günler, el hijyenine özene; maske ve sosyal mesafe kuralının her ikisine birlikte uymamıza bağlı. DAHA SIKI TEDBİR, DAHA İYİ SONUÇTUR. https://t.co/RVlhe7786O https://t.co/0Wu75s4IjM</t>
  </si>
  <si>
    <t>1267147736777928710</t>
  </si>
  <si>
    <t>Prof. Dr. Murat Dilmener Acil Durum Hastanesi Cumhurbaşkanımızın katıldığı törenle saat 14.00’te açıldı. Yeşilköy’deki hastanemiz İstanbul’u salgına, her türlü deprem ve afete hazır hale getirecek. Hastanelerimizin normalleşme sürecini hızlandıracak. Milletimize hayırlı olsun. https://t.co/S740ZssyNM</t>
  </si>
  <si>
    <t>1267146199917871104</t>
  </si>
  <si>
    <t>Okmeydanı Şehir Hastanemize Koronadan yitirdiğimiz Cemil hocamızın adını verdik. Sancaktepe’deki Acil Durum hastanesinde Prof. Feriha Öz’ün hatırası yaşayacak. Açılışını yaptığımız hastane Cumhurbaşkanımızın tensipleri doğrultusunda Prof. Dr. Murat Dilmener’in adıyla anılacak. https://t.co/aALbWTfK4z</t>
  </si>
  <si>
    <t>1267143843981471746</t>
  </si>
  <si>
    <t>Acil Durum Hastanelerimiz bugünlerde öncelikli bir görev üstlenecek. Salgında diğer hastanelerimizin normalleşme sürecini bu hastaneler hızlandıracak. Diğer hastanelerimiz, tedavileri kısmen ertelenen hastalarımıza artık daha fazla hizmet verebilecek. https://t.co/UYkhDQaouM</t>
  </si>
  <si>
    <t>1267129964626874376</t>
  </si>
  <si>
    <t>Yeşilköy Prof. Dr. Murat Dilmener Acil Durum Hastanemizi milletimizin hizmetine açtık. Ülkemize ve insanlığa hayırlı olsun. https://t.co/77s62uCIAq</t>
  </si>
  <si>
    <t>1267121061772083200</t>
  </si>
  <si>
    <t>Eğer maske takarsanız daha az sigara içersiniz. Dünya Tütünsüz Günü, maskenin de yardımıyla, ya sigarayı bırakma ya da iyiden iyiye azaltma gününüz olsun.</t>
  </si>
  <si>
    <t>1267040718402588675</t>
  </si>
  <si>
    <t>DİLEK HEMŞİREMİZİN yakınlarının üzüntüsü dün biraz daha arttı. COVID-19’a karşı yaşam mücadelesini 11 Nisandan bu yana sürdüren Dilek Akçabelen hakkında maalesef, teyit edilmemiş, yanlış bir haber yayıldı. Durumu öncekinden ciddi, ama KALBİ HAYATLA BAĞINI HER ŞEYE RAĞMEN KORUYOR. https://t.co/eLYHbenSlx</t>
  </si>
  <si>
    <t>1267024806702190596</t>
  </si>
  <si>
    <t>II. Abdülhamid’in yaptırdığı Hadımköy Askeri Hastanesi restore edilerek hizmete hazır hale getirildi. DR. İSMAİL NİYAZİ KURTULMUŞ HASTANESİ adıyla, yarın saat 16.00’da, Cumhurbaşkanımızın katılacağı törenle açılıyor. Salgında diğer hastanelerimizin normalleşme süreci hızlanacak. https://t.co/PPc2xj4zVJ</t>
  </si>
  <si>
    <t>1266824158958301196</t>
  </si>
  <si>
    <t>PROF. DR. MURAT DİLMENER ACİL DURUM HASTANESİ Cumhurbaşkanımızın katılacağı törenle yarın saat 14.00’te açılıyor. Yeşilköy’deki hastanemiz İstanbul’u salgına, her türlü deprem ve afete karşı hazır hale getirecek. Salgında diğer hastanelerimizin normalleşme sürecini hızlandıracak. https://t.co/s9VDPGtvrI</t>
  </si>
  <si>
    <t>1266812832181555200</t>
  </si>
  <si>
    <t>Toplam test sayımız 2 milyonu geçti. Düne göre günlük test sayımız 3.000 arttı. Yeni vaka sayımız 1.000’in altında. Gelecek günler, el hijyenine özene; maske ve sosyal mesafe kuralının ikisine birlikte uymamıza bağlı. DAHA SIKI TEDBİR, DAHA İYİ SONUÇTUR. https://t.co/RVlhe7786O https://t.co/XSDhaFnh7o</t>
  </si>
  <si>
    <t>1266786573414252544</t>
  </si>
  <si>
    <t>İki acı haber de Hakkari’den geldi. Teröre karşı mücadelemizde Uzman Çavuş Uğur Bora ve Piyade Er Mehmet Günay şehit düştü. Şehitlerimize Allah’tan rahmet, ailelerine, kahraman arkadaşlarına, milletimize başsağlığı diliyorum. Cennet vatanın uğruna ölenlerin mekânı cennet olsun. https://t.co/VtyYQ3SrPZ</t>
  </si>
  <si>
    <t>1266785280100577281</t>
  </si>
  <si>
    <t>Diyarbakır’ın Bağlar ilçesinde polisimiz Atakan Arslan görevi sırasında uğradığı silahlı saldırıyla hayatını kaybetti. 1 çocuk babası olduğunu öğrendik. Acımız büyük. Şehidimize Allah’tan rahmet, ailesine, meslektaşlarına ve milletimize başsağlığı diliyorum. https://t.co/rB6TCLHja8</t>
  </si>
  <si>
    <t>1266776581109886976</t>
  </si>
  <si>
    <t>Salgına karşı, tedbirlere uyarak kazandığımız başarıdan sonra, nihayet ÖĞLE ve İKİNDİ namazları için, camilerimiz ibadete açıldı. Maske + mesafe kuralı, bir araya geldiğimiz her alanda ve cemaatle ibadet için geçerli. Boşluk bırakarak saf tutalım. Allah ibadetinizi kabul etsin. https://t.co/Dkgw37Mz2c</t>
  </si>
  <si>
    <t>1266721030346870784</t>
  </si>
  <si>
    <t>65 yaş üstü büyüklerimiz için yarın büyük gün. 14.00-20.00 arası dışarıdalar. Evde kalmak, riskten korunmak için ne kadar önemliyse, dışarıda MASKE KULLANMAK VE SOSYAL MESAFEYİ KORUMAK da o kadar önemli. Kırk yıllık dostlar arasında bile! Biraz daha sabredelim. Geçecek bugünler. https://t.co/sUH1YCwjJf</t>
  </si>
  <si>
    <t>1266687256582131713</t>
  </si>
  <si>
    <t>Maske + Sosyal Mesafe: İki tedbir birlikteyken tam tedbirdir. Dışarı çıkarken maskenizi kuralına uygun şekilde takın. Sosyal mesafeyi 1,5 m’de tutmak için her ortamda dikkatli olun. El hijyenine daha fazla önem verin. Çoğumuzun sokağa çıkabildiği günlerde tedbirlerin önemi arttı. https://t.co/zSZ41QdqzI</t>
  </si>
  <si>
    <t>1266648544104022016</t>
  </si>
  <si>
    <t>PROF. DR. FERİHA ÖZ. 1957’de İstanbul Tıp Fakültesinden mezun oldu. Patoloji alanında ün sahibi bir bilim insanı, insan sevgisi ile tanınan, öğrencilerine kol kanat geren büyük bir hocaydı. 2 Nisan’da COVID-19 hastalığı nedeniyle aramızdan ayrıldı. Mücadelesi için #minnettarız https://t.co/ezeF6gVg70</t>
  </si>
  <si>
    <t>1266474244910841861</t>
  </si>
  <si>
    <t>Bugün İstanbul’un Fethinin 567. yıl dönümü. Bu fetih, surların toplarla yıkıldığı fetih olmaktan öte gönüller fethiydi. İstanbul, yaşama çeşitliliği, kültürüyle bizim oldu, fetih ruhuyla yoğruldu. İstanbul’un, vaat edilmiş geleceğine kavuştuğu gün kutlu olsun. https://t.co/k8Be7UUQOB</t>
  </si>
  <si>
    <t>1266454096837517312</t>
  </si>
  <si>
    <t>Uzun aradan sonra ilk kez bugün ülkemizde Cuma namazı kılındı. Namaza duranlar Yaradan’la yine aynı yakınlıktaydı. Safa girenler arasındaysa geçici bir mesafe vardı. İbadetini salgın tedbirlerine uygun şekilde yapanlara teşekkür ediyoruz. Allah bugün yapılan duaları kabul etsin. https://t.co/yOGCabSsBb</t>
  </si>
  <si>
    <t>1266441961180930050</t>
  </si>
  <si>
    <t>Art arda açılışlarını yaptığımız Acil Durum Hastanelerimize Prof. Dr. Feriha Öz ve Prof. Dr. Murat Dilmener’in adlarını veriyoruz. Söz konusu hastaneler, değil bundan sonraki işlevleri, sadece iki bilim insanımızın adını yaşatmak için yapılmış olsa, bu bile yeterli bir sebeptir. https://t.co/ZnhBTosFou</t>
  </si>
  <si>
    <t>1266419897065750528</t>
  </si>
  <si>
    <t>ACİL DURUM HASTANELERİ deprem, afet, salgın durumlarında kapısı açılıp sonra devre dışı kalacak hastaneler olarak tasarlanmadı. Normal zamanlarda bize önemli bir kapasite kazandırıyorlar. Yurt dışı ve şehir dışından gelen hastalar açısından havalimanına yakınlık stratejik önemde. https://t.co/JLOoNvbff3</t>
  </si>
  <si>
    <t>1266415722298818561</t>
  </si>
  <si>
    <t>Test sayısı arttı, yeni vaka sayısı azaldı. Yoğun bakım ve entübe hasta sayısında düşüş devam ediyor. Gelecek günler, el hijyenine dikkate, MASKE VE SOSYAL MESAFE KURALININ HER İKİSİNE BİRLİKTE uymamıza bağlı. Kontrollü Sosyal Hayatla riskten kaçınalım. https://t.co/RVlhe7786O https://t.co/bdoY1qMx02</t>
  </si>
  <si>
    <t>1266404000515207175</t>
  </si>
  <si>
    <t>Sn. Cumhurbaşkanımızın teşrifleriyle, Prof. Dr. Feriha Öz Acil Durum Hastanesinin açılışını gerçekleştirdik. Depremde zarar görmeyecek şekilde, ileri teknolojiyle yapılan hastanemiz donanımıyla deprem, salgın gibi acil durumlarda büyük görev üstlenecek. Milletimize hayırlı olsun. https://t.co/sZVdFgapYs</t>
  </si>
  <si>
    <t>1266389568355479559</t>
  </si>
  <si>
    <t>Prof. Dr. Feriha Öz Acil Durum Hastanemizi milletimizin hizmetine açıyoruz.
https://t.co/dN4HPPmwOV</t>
  </si>
  <si>
    <t>1266348157639757825</t>
  </si>
  <si>
    <t>Hayat tümden durmasın diye, bazılarımız salgın şartlarında da çalıştı. Dışarıda olmanın tek iyi yanı boş yollardı. Olanların en önemlisi şu: Vaka sayısını, birlikte 1.000 civarına düşürdük. Sağ ol, genç arkadaşım. Evde kalmakta ısrar etmesek işimiz zordu. Biraz daha dayanalım. https://t.co/e9GRpQQ9aX</t>
  </si>
  <si>
    <t>1266141916686671872</t>
  </si>
  <si>
    <t>Hayat tümden durmasın diye, bazılarımız salgın şartlarında da çalıştı. Dışarıda olmanın tek iyi yanı boş yollardı. Olanların en önemlisi şu: Vaka sayısını, birlikte 1.000 civarına düşürdük. Sağ ol, genç arkadaşım. Evde kalmakta ısrar etmesek işimiz zordu. Biraz daha dayanalım. https://t.co/RcMAxIcvHb</t>
  </si>
  <si>
    <t>1266136696430702596</t>
  </si>
  <si>
    <t>Sadece 45 günde tamamlanan Prof. Dr. Feriha Öz Acil Durum Hastanesi Cumhurbaşkanımızın katılacağı törenle yarın saat 14.00’te açılıyor. Depremde zarar görmeyecek şekilde yapılan, tek katlı yeni hastanemizle İstanbul, salgına ve her türlü deprem ve afete karşı hazır hale gelecek. https://t.co/CkbaDtGhRz</t>
  </si>
  <si>
    <t>1266108765721542657</t>
  </si>
  <si>
    <t>Test sayısı düne göre 1,6 oranında arttı. Yeni vaka sayısı öngörülebilir seviyede. İyileşen hasta sayımızsa dünden 290 fazla. Gelecek günler, MASKE VE SOSYAL MESAFE KURALININ HER İKİSİNE BİRLİKTE uymamıza bağlı. Kontrollü Sosyal Hayatla riskten kaçınalım. https://t.co/RVlhe7786O https://t.co/0dDAqOFQQu</t>
  </si>
  <si>
    <t>1266058062286204928</t>
  </si>
  <si>
    <t>Ölüm oranları da Ankara'nın başarısını ortaya koyuyor. Johns Hopkins Üniversitesi verilerine göre 26 Mayıs itibarıyla Türkiye'de ölüm oranı yüzde 2,8. Bu oran İngiltere'de 14,1. İtalya'da 14,3. Fransa'da 15,5. ABD'de ise 5,9.
ABD DIŞİŞLERİ ESKİ BAKAN YARDIMCISI MATTHEW BRYZA</t>
  </si>
  <si>
    <t>1265955486588964871</t>
  </si>
  <si>
    <t>BUGÜNLERDE ADIMLARIMIZI ÖLÇEREK ATALIM. Risk, devam ediyor. Sosyal Mesafeyi 1,5 m’de tutmak için dikkatli olalım, maskeyi kuralına uygun şekilde takalım. Maske ve Sosyal Mesafe, iki tedbir birlikteyken tam tedbirdir. Riskin nereden geleceği hiç belli olmaz. Maskeyle yetinmeyelim.</t>
  </si>
  <si>
    <t>1265934764437057538</t>
  </si>
  <si>
    <t>“Yaslı ada”, 27 Mayıs darbesinin 60. yıl dönümünde DEMOKRASİ VE ÖZGÜRLÜKLER ADASI oldu. Darbenin, arkadaşlarıyla birlikte idama gönderdiği Menderes, savunmasında, “Hiçbir şey için müteessir değilim.” demişti. Milletimizin üzüntüsü, Yassıada’nın yeni adıyla umarız biraz hafifler. https://t.co/WrOhhZoBLL</t>
  </si>
  <si>
    <t>1265719663822061581</t>
  </si>
  <si>
    <t>ECZACI İSMAİL DURMUŞ. 1985, Kayseri doğumlu. Ege Üniversitesi Eczacılık Fakültesi’nden 2007’de mezun oldu. En büyük tutkusu mesleğiydi. Birkaç yıl önce İstanbul Sancaktepe’de kendi eczanesini açmıştı. Bir çocuk babasıydı. Virüsü bir hastadan aldı. Mücadelesi için #minnettarız. https://t.co/CBvQvelvSL</t>
  </si>
  <si>
    <t>1265711472165994497</t>
  </si>
  <si>
    <t>Veriler, riski küçültmede istikrar sağladığımızı gösteriyor. 83 milyonun başarısı devam etmeli. DAHA FAZLA ÖZGÜRLÜK, tedbirlere eksiksiz uyuma bağlı. Özgürlüğün istediği özveriyi gösterelim. Yeni hayat tarzımız: Kontrollü Sosyal Hayat, HEP BİRLİKTE TEDBİR. https://t.co/RVlhe7786O https://t.co/N5Enejkz8h</t>
  </si>
  <si>
    <t>1265695574755618823</t>
  </si>
  <si>
    <t>RT @RTErdogan: Demokrasi ve Özgürlükler Adası Açılış Töreni https://t.co/rPFD1B8RAX</t>
  </si>
  <si>
    <t>1265680804870488066</t>
  </si>
  <si>
    <t>GENÇ ARKADAŞLARIM, sokağa çıkma kısıtı bu gece kalktı. Maalesef bu uygulama siz 15-20 yaş grubunu, 65 yaş üstü büyüklerimizi, 14 yaş ve altı çocuklarımızı şimdilik içeremiyor. Sabırlı olmanızı, bize biraz daha zaman tanımanızı rica ediyorum. ÇOK SEVGİLER.</t>
  </si>
  <si>
    <t>1265414380495286278</t>
  </si>
  <si>
    <t>Bu bayram, yalnız evlerimize geldi. Gelecek bayramlar şehirleri doldursun. Daha mutlu bayramlarda buluşmak üzere. https://t.co/Oze5A4D68v</t>
  </si>
  <si>
    <t>1265400018153996290</t>
  </si>
  <si>
    <t>SAAT 24.00’TE sokağa çıkma kısıtı tüm ülkede kalktı. Uzun zamandır uzak kaldığımız hayata özlemle dönüyoruz. Dünyada ilk Koronavirüs vakasının görüldüğü günlerden öncesine dönmek? Bu henüz mümkün görünmüyor. Tedbirli olmalıyız. Evimizin kıymetini bilmeye yine devam etmeliyiz. https://t.co/RoT6Ocy072</t>
  </si>
  <si>
    <t>1265391424977219584</t>
  </si>
  <si>
    <t>SAAT 24.00’TE sokağa çıkma kısıtı tüm ülkede kalkıyor. Uzun zamandır uzak kaldığımız hayata özlemle dönüyoruz. Dünyada ilk Koronavirüs vakasının görüldüğü günlerden öncesine dönmek? Bu henüz mümkün görünmüyor. Tedbirli olmalıyız. Evimizin kıymetini bilmeye yine devam etmeliyiz. https://t.co/MFEIdvOoLH</t>
  </si>
  <si>
    <t>1265374812375068673</t>
  </si>
  <si>
    <t>DR. SİNAN KAKI. 1960, Bitlis doğumlu. Cerrahpaşa Tıp Fakültesini bitirdi. Radyoloji uzmanıydı. Haseki Hastanesi’nde görev yapıyordu. Yaşasaydı, pek çok dostunu ve yakınını bayramda yine ilk arayan kişi olacaktı. COVID-19 nedeniyle hayatını kaybetti. Mücadelesi için #minnettarız. https://t.co/oQLNTIGSWX</t>
  </si>
  <si>
    <t>1265348794746654728</t>
  </si>
  <si>
    <t>İYİLEŞEN HASTA SAYISINDA, bugün önemli bir artış var. Yoğun bakım ve Entübe hasta sayısında ise azalma devam ediyor. Elde edilen başarı, 83 milyonun gösterdiği uyumun sonucu. Yeni hayat tarzımız: KONTROLLÜ SOSYAL HAYAT, hep birlikte tedbir. https://t.co/RVlhe7786O https://t.co/5GCJZY9NcM</t>
  </si>
  <si>
    <t>1265328373347344385</t>
  </si>
  <si>
    <t>NECİP FAZIL, fikir ve sanatta çığır açıcı, nesillerin hazırlayıcısıydı. Büyük Doğu dediği, Yeniden Doğuştu. Kendi içinde, cemiyet gibi çalkantılı birey fikrini o getirdi. Konularından biri de fanilikti. Kim göçmemiş, kimin geçen dakikaları geri dönebilmiştir? RAHMETLE ANIYORUZ. https://t.co/DYdIVWYMsV</t>
  </si>
  <si>
    <t>1265015124756238336</t>
  </si>
  <si>
    <t>İyileşen toplam hasta sayısı 120 bini geçti. Yoğun bakım desteğine ihtiyaç azalmaya devam ediyor. ELDE EDİLEN BAŞARI, 83 MİLYONUN GÖSTERDİĞİ UYUMUN SONUCU. Yeni dönemde yeni ve güçlü tedbir, sosyal hayatta hep birlikte alınacak tedbirdir. https://t.co/RVlhe7786O https://t.co/WGIUc45HIH</t>
  </si>
  <si>
    <t>1264967096313745409</t>
  </si>
  <si>
    <t>BANGLADEŞ’TE YAŞAYAN, COVID-19 hastası vatandaşımız Tuba Ahsan’la, Bangladeşli eşi Mossaddoue Ahsan ve üç yaşındaki ikizlerini, hava ambulans uçağımızla İstanbul’a getirdik. Bangladeş’te yapılamayan tedavilerine başlandı. Mutluyuz. Bir Türk vatandaşına karşı görevimizi yaptık. https://t.co/1FIpE2GOsE</t>
  </si>
  <si>
    <t>1264654710444888065</t>
  </si>
  <si>
    <t>İYİLEŞEN TOPLAM HASTA SAYISI 120 BİNE YAKLAŞTI. Yeni vaka sayısında değişkenlik öngörülen düzeyde. Yoğun bakım desteğine ihtiyaç giderek azalıyor. Riskin daha da düşmesi, güçlü tedbirle mümkün. GÜÇLÜ TEDBİR, sosyal hayatta hep birlikte alınacak tedbirdir. https://t.co/RVlhe7786O https://t.co/WotgSuqwSi</t>
  </si>
  <si>
    <t>1264603700024270855</t>
  </si>
  <si>
    <t>RT @drfahrettinkoca: Bu bayram, evde ailelerimizle birlikte ve birbirimize her zamankinden yakınız. Büyüklerimiz ve sevdiklerimizle bir ara…</t>
  </si>
  <si>
    <t>1264539024741535744</t>
  </si>
  <si>
    <t>Bu bayram, evde ailelerimizle birlikte ve birbirimize her zamankinden yakınız. Büyüklerimiz ve sevdiklerimizle bir araya gelmeyi ise biraz erteledik. En içten dileğimiz şimdi yaşayamadığımız güzellikleri çok yakında yaşamak. BAYRAMIMIZ MÜBAREK OLSUN. https://t.co/PHaCBnC4uY</t>
  </si>
  <si>
    <t>1264342588913602561</t>
  </si>
  <si>
    <t>Destek tedavisine ihtiyaç duyan, durumu ağır hasta sayımız bugün de azalmaya devam etti. Test sayısına göre öngörülebilir düzeyde yeni vakamız var. Yeni hayat tarzımız: KONTROLLÜ SOSYAL HAYAT, hep birlikte tedbir. Koşulu: Maske + 1,5 metre Sosyal Mesafe. https://t.co/RVlhe7786O https://t.co/tBOtbAY3CD</t>
  </si>
  <si>
    <t>1264235573893570563</t>
  </si>
  <si>
    <t>Başakşehir Çam ve Sakura Şehir Hastanesi Kadın Hastalıkları ve Doğum Hastanesi’nde dün İLK BEBEK DÜNYAYA GELDİ. Bebeğe biricik ablası tarafından Defne, annesi tarafından Sakura adı verildi. Hoş geldin, dünyaya umut getirdin DEFNE SAKURA. Tuğba ve Ömer Sönmez çiftini kutluyoruz. https://t.co/XIOduANFUU</t>
  </si>
  <si>
    <t>1264217940586639360</t>
  </si>
  <si>
    <t>GELECEK YIL TEKRAR KAVUŞMAK ÜZERE, on bir ayın sultanı Ramazan’ı uğurluyoruz. Son sahurunuz, son iftarınız mübarek olsun. Bu yıl ailelerimizle birlikteydik. Gönüller bir olsa da, dostlardan maalesef yoksunduk. Yakında hayatı daha fazla paylaşacağız. https://t.co/bT0VMmh4OV</t>
  </si>
  <si>
    <t>1264008453523193856</t>
  </si>
  <si>
    <t>81 İlimizin Sağlık Müdürüyle bayram öncesi online bir toplantı yaptık. İl il güncel gelişmeleri ve Koronavirüsle mücadelemizin ikinci dönemini istişare ettik. Ülkenin her noktasında yeni hayat tarzımız: KONTROLLÜ SOSYAL HAYAT, hep birlikte tedbir. https://t.co/tinswvVPqv</t>
  </si>
  <si>
    <t>1263922200656130048</t>
  </si>
  <si>
    <t>Dostumuz Pakistan’da, ülke halkını ve bizleri derinden üzen bir kaza oldu. 107 yolcu taşıyan bir uçak, Karaçi kentinde, bir yerleşim alanına düştü. İlk bilgilere göre, mürettebat dâhil kazadan sağ kurtulan yok. İyi haberler geleceğini umuyor, dost Pakistan’a başsağlığı diliyoruz.</t>
  </si>
  <si>
    <t>1263904549921787910</t>
  </si>
  <si>
    <t>Artan test sayısına rağmen YENİ VAKA SAYISI 1.000'İN ALTINDA. Destek tedavisine ihtiyaç duyanların sayısı azalıyor. Yeni hayat tarzımız: KONTROLLÜ SOSYAL HAYAT, hep birlikte tedbir. Koşulu: Maske + 1,5 metre Sosyal Mesafe. https://t.co/RVlhe7786O https://t.co/unMkjEug23</t>
  </si>
  <si>
    <t>1263875738534588416</t>
  </si>
  <si>
    <t>Gönüller bir. Mesafe makaslar arasında Bakanım. Yakında kurdeleleri daha kısa keseceğiz. https://t.co/bWSzQZTqXg</t>
  </si>
  <si>
    <t>1263663793571274752</t>
  </si>
  <si>
    <t>ŞEHİR HASTANELERİMİZ, teknoloji ve konfor yönünden hastanecilik alanında ulaşılan son merhaledir. Ancak cihazları, binaları anlamlı kılan daima insandır. Başakşehir Çam ve Sakura Şehir Hastanesine de ruhunu, mesai sınırı tanımadan hizmet veren SAĞLIK PERSONELİMİZ kazandıracaktır. https://t.co/HFJFRQ8PAx</t>
  </si>
  <si>
    <t>1263598236280991745</t>
  </si>
  <si>
    <t>BİR YENİSİNİ AÇTIĞIMIZ ŞEHİR HASTANELERİ, tehlikelere adeta çok önceden set çeken birer tedbir olmuştur. SALGINLA MÜCADELEDE yükü ağırlıklı olarak Şehir Hastanelerimiz omuzlamıştır. Bu yatırımların ne kadar isabetli yatırımlar olduğunu, süreçte hep birlikte yaşayarak gördük. https://t.co/un827GPCN3</t>
  </si>
  <si>
    <t>1263582620501204992</t>
  </si>
  <si>
    <t>RT @RTErdogan: “Kaderimiz ve kederimiz ortaktır” inancıyla elimizdeki imkânları salgına karşı tüm insanlık için seferber etmeyi sürdüreceği…</t>
  </si>
  <si>
    <t>1263564342617874441</t>
  </si>
  <si>
    <t>BAŞAKŞEHİR ÇAM VE SAKURA ŞEHİR HASTANESİ, Cumhurbaşkanımız Sn. Erdoğan tarafından, Japonya Başbakanı Bay Abe’nin online katıldığı törenle bugün hizmete açıldı. Yeni şehir hastanemiz, bünyesinde çok sayıda hastaneyi barındırıyor. GÜNDE 35.000 HASTA kabul edebilecek. Hayırlı olsun. https://t.co/UO1maUFHqi</t>
  </si>
  <si>
    <t>1263549160072110082</t>
  </si>
  <si>
    <t>RT @RTErdogan: Başakşehir Çam ve Sakura Şehir Hastanesi, kaliteli ve kapsayıcı sağlık hizmetinin değerinin çok daha iyi anlaşıldığı bir dön…</t>
  </si>
  <si>
    <t>1263514001268408320</t>
  </si>
  <si>
    <t>Artan test sayısına rağmen pozitif çıkan vaka sayısı öngörüldüğü seviyede seyrediyor. Destek tedavisine ihtiyaç duyan hasta sayısı azalıyor. Yeni hayat tarzımız: Kontrollü Sosyal Hayat, hep birlikte tedbir. Koşulu: Maske + 1,5 metre Sosyal Mesafe. https://t.co/RVlhe7786O https://t.co/A0OKZYOMsG</t>
  </si>
  <si>
    <t>1263505441805479938</t>
  </si>
  <si>
    <t>RT @RTErdogan: Başakşehir Çam ve Sakura Şehir Hastanesi Açılış Töreni https://t.co/aCINFXVHTP</t>
  </si>
  <si>
    <t>1263416351307243521</t>
  </si>
  <si>
    <t>RT @drfahrettinkoca: Başakşehir Çam ve Sakura Şehir Hastanesi, Cumhurbaşkanımız Sn. Erdoğan tarafından, Japonya Başbakanı Bay Abe’nin onlin…</t>
  </si>
  <si>
    <t>1263380671864725504</t>
  </si>
  <si>
    <t>Pandemi döneminde yeni yapılan bir Acil Durum Hastanemize PROF. MURAT DİLMENER, diğerine PROF. FERİHA ÖZ hocamızın adını verdik. Söz konusu İKİ HASTANE değil bundan sonraki işlevleri, sadece bu iki bilim insanımızın adını yaşatmak için yapılmış olsa, bu bile yeterli bir sebeptir. https://t.co/3Sebvp7jz1</t>
  </si>
  <si>
    <t>1263216409519235072</t>
  </si>
  <si>
    <t>Başakşehir Çam ve Sakura Şehir Hastanesi, Cumhurbaşkanımız Sn. Erdoğan tarafından, Japonya Başbakanı Bay Abe’nin online katılacağı törenle tüm etaplarında hizmet vermek üzere yarın saat 13.00’te açılıyor. Bu şehir hastanemiz, adeta bir hastaneler şehri. Milletimize hayırlı olsun. https://t.co/81IO47xlGP</t>
  </si>
  <si>
    <t>1263192203712659456</t>
  </si>
  <si>
    <t>MAZHAR FUAT ÖZKAN, Türk popunun ustaları, bir aradan sonra ilk ortak şarkılarında, tedbirlerin müziğini yaptı. Aralarına virgül bile giremese de maskeli, mesafeliler. Bizim söylemek istediklerimizi, sağ olsunlar, çok güzel söylüyorlar. Söz; maskeli, mesafeli, sürprizli müziğin. https://t.co/Y1bPbcrVHe</t>
  </si>
  <si>
    <t>1263178718656303105</t>
  </si>
  <si>
    <t>Süreçte, dünya bir gerçeği idrak etti. Her işin başı sağlık cümlesi, hayatın, salgın karşısında gerileyen her alanıyla ilgilidir. Ülkemizde sağlığa yapılan yatırımlar büyük bir isabettir. Bireylerin sağlık güvenliği yüksek bir haktır. Sağlık yatırımları sosyal refahın şartıdır. https://t.co/vjmX5WHuoK</t>
  </si>
  <si>
    <t>1263168106341502981</t>
  </si>
  <si>
    <t>Bayramda evimizde kalalım. Bayram kutlamalarını ziyarete giderek yapmayalım. Anne babalarımıza, büyüklerimize düşkünlüğümüz tehlikeli bir yakınlık olmasın. ONLAR İÇİN EN GÜZEL SÖZLERİ DÜŞÜNÜP, ARAYALIM. Kalbin kurduğu cümle, bir annenin elini öpmekten daha büyük yakınlık kurar. https://t.co/5ZgGxekGs2</t>
  </si>
  <si>
    <t>1263164120414765056</t>
  </si>
  <si>
    <t>Beklediğimiz yaşama hürriyetini, tedbirler getirecek. Bayramda tedbirlere uyarsak, sonrasında daha özgür olacağız. Bayramda evde kalmalıyız. Bayram günleri virüsün yeniden yayılma günleri olmamalı. BAYRAMI ESKİSİ GİBİ KUTLARSAK, hastalığın tırmanışa geçtiği günlere dönebiliriz. https://t.co/JsBZn33XrC</t>
  </si>
  <si>
    <t>1263158720441257984</t>
  </si>
  <si>
    <t>Koronavirüse karşı verdiğimiz mücadelenin karnesi her akşam ekranlardadır. Biz sağlık profesyonelleri, Bilim Kurulu ve salgınla mücadelenin strateji ekipleri olarak umutsuz tek gün yaşamadık. Gelinen noktada bu umut, TEDBİRLERİN EN AZ MEŞAKKATİ İÇERECEĞİ GÜNLERE odaklanmıştır. https://t.co/1mAPJa2h9k</t>
  </si>
  <si>
    <t>1263144650233327616</t>
  </si>
  <si>
    <t>VAKA SAYIMIZ, 1.000’İN ALTINA DÜŞTÜ. Kaybettiğimiz hasta sayısı bugün de azaldı. Virüsle artık şartları değiştirerek, daha özgür mücadele edeceğiz. Yeni hayat tarzımız: Kontrollü Sosyal Hayat, hep birlikte tedbir. Koşulu: Maske + 1,5 metre Sosyal Mesafe. https://t.co/RVlhe7786O https://t.co/axLmtRaKVE</t>
  </si>
  <si>
    <t>1263140018408783878</t>
  </si>
  <si>
    <t>Bilim Kurulu Toplantımızın ardından Koronavirüs ile ilgili son gelişmeler ve aldığımız yeni tedbirlere ilişkin basın açıklamamız.
📍SAĞLIK BAKANLIĞI BİLKENT YERLEŞKESİ / ANKARA
https://t.co/LlUwdEDgyz</t>
  </si>
  <si>
    <t>1263109845181399041</t>
  </si>
  <si>
    <t>Küçük bir etkenin, kestirilemez büyüklükte sonuçlar doğurmasına Kelebek Etkisi denir. Vuhan’da ortaya çıkan Koronavirüs’ün tüm dünyada hayatı alt üst etmesi gibi. Şimdi de küçük bir ihmal, bir uçtan bir uca tüm Türkiye’yi etkileyebilir. Risk devam ediyor. Tedbirlere uyalım. https://t.co/W6W3b8LC1a</t>
  </si>
  <si>
    <t>1262881320281276418</t>
  </si>
  <si>
    <t>Kadir Gecesi: Yüceliş gecesi. Esenlik çağrısının gecesi. Her insanın bir “acz” taşıdığını bilme gecesi. Arama sevinci bütün aya yayılsın diye, günü bir parça perdelenmiş gece. Hataları tekrarlamamaya söz verme, dünyaya gönüller yapmaya geldiğini bilme gecesi. GECENİZ KUTLU OLSUN. https://t.co/ngXMpM5cVu</t>
  </si>
  <si>
    <t>1262819336961568770</t>
  </si>
  <si>
    <t>19.19’DA, 1919 RUHUYLA, Bakanlık binamızda İstiklal Marşımızı okuduk. Tek ses olduğumuz bu anlar, yarınlarımızın ilham alacağı anlar olacak. Hayat dolu Milli Mücadele ruhu, her mücadelede bize güç versin. 19 Mayıs Atatürk’ü Anma, Gençlik ve Spor Bayramı bir kez daha kutlu olsun. https://t.co/iTP5RFAx5p</t>
  </si>
  <si>
    <t>1262815399260848128</t>
  </si>
  <si>
    <t>KÜLTÜR VE TURİZM BAKANIMIZ SN. MEHMET NURİ ERSOY’LA, bakanlığımızda bir görüşme yaptık. Şartların normale dönüşme sürecini, Türkiye'ye gelecek olan turistlerin sağlık durumları konusundaki önlemleri ele aldık. Sağlık turizmi gibi konular üzerinde de önemli istişarelerde bulunduk. https://t.co/iv2MawEYiD</t>
  </si>
  <si>
    <t>1262789912400723968</t>
  </si>
  <si>
    <t>Gençlik ve Spor Bakanımız Sn. Kasapoğlu’nun elinden BİR MEKTUP aldım. Bu mektup Koronavirüsle mücadelemizin ön saflarındaki kahramanlara yazıldı. Ve yarışmada birinci oldu. Bakanımız, 7.562 mektup daha var dedi. Biz de size minnettarız GENÇLER, TÜMÜ ADINA, MEKTUP YERİNE ULAŞACAK. https://t.co/Vm8V5bmXOE</t>
  </si>
  <si>
    <t>1262788281105887237</t>
  </si>
  <si>
    <t>Yeni vaka sayısında beklenen düzeyde bir azalma var. Yoğun bakıma ihtiyaç duyan hastalarımızın sayısı düşüyor. İyileşen hasta sayımız öngörülen seviyede. Hayat tarzımız Kontrollü Sosyal Hayat, hep birlikte tedbir. Koşulu: Maske + 1,5 metre Sosyal Mesafe. https://t.co/RVlhe7786O https://t.co/41C5V1VBKn</t>
  </si>
  <si>
    <t>1262775042347282432</t>
  </si>
  <si>
    <t>19.19’DA, 1919 RUHUYLA tüm sesler birleşiyoruz. Tek yürek, İstiklal Marşımızı okuyoruz. Yaşama enerjisiyle dolu 83 milyon, Milli Mücadelenin başladığı 19 Mayıs 1919’un yeniden diriliş ruhunu günümüze taşıyoruz. Bu ruh, salgına karşı mücadele ve yeni hayat için de bize güç versin. https://t.co/KlLnkOJg2o</t>
  </si>
  <si>
    <t>1262734329521868807</t>
  </si>
  <si>
    <t>Gençlik, toplum için yeni olan gerçeği görebilme, şartları aşma kabiliyetidir. Bandırma Vapurunun Samsun’a vardığı 19 Mayıs 1919’da bu ruha sarıldık. Milli Mücadelenin fiili başlangıcı, büyük umut gününden ilham alan 19 Mayıs Atatürk’ü Anma, Gençlik ve Spor Bayramı kutlu olsun. https://t.co/nvYGSPh6sJ</t>
  </si>
  <si>
    <t>1262612879943106561</t>
  </si>
  <si>
    <t>Kars’ın Çemçe bölgesi ve Hakkari Çukurca'da, kahraman askerimizin teröristlere düzenlediği başarılı operasyonda maalesef iki şehidimiz var. Büyük milletimizin başı sağ olsun. Yaralılarımızın tedavisi devam ediyor. Askerimize sağlık hizmeti, bizim için hizmetlerin en kutsalıdır. https://t.co/cPreDKXfdg</t>
  </si>
  <si>
    <t>1262487833199153159</t>
  </si>
  <si>
    <t>DR. NİHAT DAYANIKLI. 1949 Akhisar doğumlu. Ege Üniversitesi Tıp Fakültesi’nden mezun oldu. Uzmanlık eğitimini burada aldı. Ödemiş Devlet Hastanesinde 28 yıl görev yaptı. Mesleğini hayatı boyunca sürdürdü. Son olarak bir tıp merkezinde hasta bakıyordu. Mücadelesi için #minnettarız https://t.co/bYemVFiNSg</t>
  </si>
  <si>
    <t>1262452479704342530</t>
  </si>
  <si>
    <t>Yoğun bakıma ve solunum desteğine ihtiyaç duyan hastalarımızın sayısı azalmaya devam ediyor. Vaka sayısı öngörülebilir düzeyde seyrediyor. Koronavirüsün yayılmasına karşı verdiğimiz mücadelede evde kaldığımız günlerin rolü çok büyük. Yarın evde kalalım. https://t.co/RVlhe7786O https://t.co/miIv9n6RP1</t>
  </si>
  <si>
    <t>1262427881038327808</t>
  </si>
  <si>
    <t>RT @RTErdogan: Kabine Toplantısı Sonrası Millete Sesleniş https://t.co/5x9sSy71eb</t>
  </si>
  <si>
    <t>1262416549694111744</t>
  </si>
  <si>
    <t>Yatak kapasitesi ve teknolojileriyle sağlık alt yapımıza güç katacak olan Yeşilköy Acil Durum Hastanesi, Hadımköy Hastanesi ve Başakşehir Şehir Hastanesi’nde incelemelerde bulunduk. Bunlardan Başakşehir Şehir Hastanemizin açılışı önümüzdeki Perşembe günü. Şimdiden hayırlı olsun. https://t.co/7TF4aDm3yg</t>
  </si>
  <si>
    <t>1262157199515815943</t>
  </si>
  <si>
    <t>DR. YAVUZ KALAYCI. 1964, İstanbul doğumlu. Cerrahpaşa Tıp Fakültesi 1989 mezunu. İlk hizmet yeri Mardin’di. Hastalığa, sonradan kendi adı verilen Nişanca Aile Sağlığı Merkezi’nde yakalandı. Hayatta en çok hastalarına ve iki küçük kızına yakındı. Mücadelesi için #minnettarız https://t.co/yKDa68acla</t>
  </si>
  <si>
    <t>1262076631386112000</t>
  </si>
  <si>
    <t>Yeni vaka sayımızda beklenen düzeyde bir düşüş gerçekleşti. Bazı verilerse, genel seyir içinde olağan değişkenlikler gösterdi. Koronavirüsün yayılmasına karşı verdiğimiz mücadelede evde kaldığımız günlerin rolü çok büyük. Yarın ve ertesi gün evde kalalım. https://t.co/RVlhe7786O https://t.co/cqmx1RNuRl</t>
  </si>
  <si>
    <t>1262056775341215745</t>
  </si>
  <si>
    <t>Koronavirüse karşı başarımızda, 65 YAŞ ÜSTÜ OLARAK, evde kaldığınız günlerin rolü büyük. Çıkıp, biraz soluklanmak hakkınız. Bugün saat 12.00-18.00 arası sokaklar sizin. Kendinizi korumak için MASKE takmayı sakın ihmal etmeyin. Ve 1,5 m SOSYAL MESAFE kuralına mutlaka uyun. https://t.co/ecSJ2A4mpv</t>
  </si>
  <si>
    <t>1261923008605818881</t>
  </si>
  <si>
    <t>PROF. DR. CEMİL TAŞCIOĞLU. 1952, Rize doğumlu. Okuduğu İstanbul Tıp Fakültesi’nde 1998’de profesör oldu. İç hastalıkları alanında bir ekoldü. Onun için hekimlik insan sevgisinin tezahürüydü. Hayatını salgınla mücadele ederken aldığı virüsle kaybetti. Mücadelesi için #minnettarız https://t.co/jvKNbQqFqr</t>
  </si>
  <si>
    <t>1261710936550883329</t>
  </si>
  <si>
    <t>Yoğun bakım hasta sayımızla yoğun bakıma giren hastalarımızdan vefat edenlerin oranı azalıyor. İyileşme hızındaysa öngörülebilir bir yavaşlama var. Koronavirüsün yayılmasına karşı verdiğimiz mücadelede evde kaldığımız günlerin rolü çok büyük. Evde kalalım. https://t.co/RVlhe7786O https://t.co/uqHd3kvAqI</t>
  </si>
  <si>
    <t>1261702286818062336</t>
  </si>
  <si>
    <t>Engelsiz insan var mı ki “engelli” diyoruz? Hepimiz, belki de hiç bilmediğimiz engellere sahibiz. Daha iyi bir insan olabilmemizin önündeki her özelliğimiz aslında bir “engel”. Engelleri aşanlarsa, tıpkı Âşık Veysel gibi içindeki insana ulaşanlar. ENGELLİLER HAFTASI KUTLU OLSUN. https://t.co/DIHvJwErDD</t>
  </si>
  <si>
    <t>1261674346801741824</t>
  </si>
  <si>
    <t>Koronavirüsün yayılmasına karşı verdiğimiz başarılı mücadelede, evde kaldığımız günlerin rolü çok büyük. Riskin yeniden artmasını önlemek için 16-19 Mayıs arası yine evdeyiz. Birlikte alacağımız en güçlü tedbir bu. Lütfen uygulamanın dışına çıkmayalım. https://t.co/LKfyOzMnd0</t>
  </si>
  <si>
    <t>1261644884777340930</t>
  </si>
  <si>
    <t>Saatler sayılı da olsa, gün güzeldi. Umarım tadını çıkardınız. Bugüne kadarki desteğiniz için size teşekkür ediyorum. Sokaklar bugün genç gördü. Tedbirlere uyarsak, yakında her gün görecek.</t>
  </si>
  <si>
    <t>1261361992159203329</t>
  </si>
  <si>
    <t>Yoğun bakım ve entübe hasta sayımız azalmaya devam ediyor. Test sayımız düne göre fazla. Vaka sayımızda kısmi artış var. Yeni hayat tarzımız Kontrollü Sosyal Hayat, yani hep birlikte tedbir. Koşulu:
Maske + 1, 5 metre Sosyal Mesafe. https://t.co/RVlhe7786O https://t.co/HfEphDs3WD</t>
  </si>
  <si>
    <t>1261325487151943681</t>
  </si>
  <si>
    <t>Hekimle başlayan şifa süreci eczacıyla devam eder. Onlarca soru vardır ki, eczacıya sorulur. Muayene odasıyla eczane arasındaki mesafe çok kısadır. Hasta ve hekim bilir ki, tanı “ecza” ile şifaya döner. Eczacılarımıza sevgilerimi sunuyorum. 14 MAYIS ECZACILAR GÜNÜNÜZ KUTLU OLSUN https://t.co/4q2vgVeuyC</t>
  </si>
  <si>
    <t>1261015120513241092</t>
  </si>
  <si>
    <t>Toplam test sayısında 1,5 milyonu geçtik. Yoğun bakım ve entübe hasta sayımız azalmaya devam ediyor. Toplam vaka sayımızda iyileşme oranı %71,8. Yeni hayat tarzımız Kontrollü Sosyal Hayat, yani hep birlikte tedbir. Koşulu: Maske + 1, 5 metre Sosyal Mesafe. https://t.co/RVlhe7786O https://t.co/9SgI6QMyoR</t>
  </si>
  <si>
    <t>1260970705941934080</t>
  </si>
  <si>
    <t>Ölüm haberlerine en duyarlı olduğumuz salgın döneminde bugün şehit haberi aldık. PKK, Van’da Vefa Sosyal Destek Grubu görevlilerini taşıyan araca saldırdı. Evde kalan yaşlılarımıza yardım götüren iki kişi hayatını kaybetti. Terör, “insanlık” vasfına saldırdı. Başımız sağ olsun. https://t.co/3RRytkmPPE</t>
  </si>
  <si>
    <t>1260934227568148480</t>
  </si>
  <si>
    <t>Türkçe gibi bir gönül dili daha var mı? Varsa, onu konuşanlara ne mutlu! Çağlar boyu dilimizi geliştiren yazarların, sanatçıların, dilimizle yazıp konuşanların TÜRK DİL BAYRAMI kutlu olsun.</t>
  </si>
  <si>
    <t>1260735483434409987</t>
  </si>
  <si>
    <t>Finallerin nasıl yapılacağı üniversitelere bırakılmıştı. Hazirandaki LGS ve YKS hareketliliğe sebep olacağı için, bizde, finallerin yüz yüze yapılması hareketliliği artırır kaygısı oluştu. Bilim Kurulumuzda bunu değerlendirdik. YÖK kararı aldı. FİNALLER ONLINE OLARAK YAPILACAK. https://t.co/Q75ByLvbDl</t>
  </si>
  <si>
    <t>1260693579753828362</t>
  </si>
  <si>
    <t>MESAFE KURALININ DEVRE DIŞI kaldığını, yer yer maske takılmadığını görüyoruz. Bunların hiç olmaması gerekiyor. 83 milyonun sağlığı söz konusu. Birbirimizi uyarabiliriz. Bir salgında istediğimiz gibi hareket edemeyiz. Maske takmalıyız, asgari bir buçuk metre mesafeli durmalıyız https://t.co/gBpLfN7iJ7</t>
  </si>
  <si>
    <t>1260690732362485760</t>
  </si>
  <si>
    <t>Tedbir kabiliyeti yüksek bir toplum olarak, yeni hayatımızı hızla kurmalıyız. Yeni hayatımızda kalabalıklar, kuyruklar olmamalıdır. Tedbire dayalı yeni hayat tarzı Kontrollü Sosyal Hayattır. Bu, salgını yenecek stratejidir. KONTROLLÜ SOSYAL HAYAT HEPİMİZİN ÇABASIYLA YERLEŞECEK. https://t.co/dIP10au0e3</t>
  </si>
  <si>
    <t>1260687819632246790</t>
  </si>
  <si>
    <t>Koronavirüsle mücadelemizin ikinci dönemindeyiz. Sanayi bölgelerinde bulaşmayı önlemek için test laboratuvarları açıyoruz. İş yerlerine, pandemi risk yönetimi için tedbirler geliştiriyoruz. Ama biliyoruz ki, eski günler tam olarak geri dönmüyor. SALGIN, YENİ BİR HAYAT GETİRDİ. https://t.co/PJPr12j0SX</t>
  </si>
  <si>
    <t>1260684886391881730</t>
  </si>
  <si>
    <t>Bu salgında tek tek sizlerin sağlığından sorumluyum. İşin ciddiyetini söylemekle de yükümlüyüm. Koronavirüs küresel dünyanın küresel salgınıdır. Salgın bizi, hareketi sınırlamaya, biraz izole olmaya, aramıza fiziki mesafe koymaya zorluyor. SALGIN BİZİ KONTROLLÜ YAŞAMAYA ZORLUYOR. https://t.co/uW8BEMCUEM</t>
  </si>
  <si>
    <t>1260682044964823041</t>
  </si>
  <si>
    <t>KONTROLLÜ SOSYAL HAYAT, salgına karşı yeni hayat tarzıdır. Özü, hep birlikte tedbirdir. Pazar yerinden toplu taşımaya, AVM’den iş yerine, sınıftan sokağa, amacı, birlikte olduğumuz tüm alanlarda Koronavirüs riskini hepimiz için azalmaktır. Bir koşulu var: Maske + Sosyal Mesafe. https://t.co/h2cxyImkHX</t>
  </si>
  <si>
    <t>1260648260860956672</t>
  </si>
  <si>
    <t>DSÖ Avrupa Bölge Direktörü Dr. Kluge ile bugün bir görüşme yaptık. İyileşme oranımız, tedavi algoritmamız ve normalleşme adımları üzerinde durduk. Dr. Kluge dünyanın yararlanabilmesi için Türkiye’nin başarısının akademik yayına dönüşmesi gerektiğini vurguladı ve işbirliği önerdi. https://t.co/SummwKHNS8</t>
  </si>
  <si>
    <t>1260614243369603073</t>
  </si>
  <si>
    <t>YOĞUN BAKIMDAKİ HASTA SAYIMIZ İLK KEZ 1.000’in altına düştü. İyileşen hasta sayımız 100.000’i aştı. Toplam test sayımız yaklaşık 1,5 milyon. Virüse karşı asıl gücümüz: 
Maske + 1,5 Metre Sosyal Mesafe. Risk, en çok kalabalık ortamlarda. Uzak duralım. https://t.co/RVlhe7786O https://t.co/8Ywihrmq5V</t>
  </si>
  <si>
    <t>1260600726092480516</t>
  </si>
  <si>
    <t>Bilim Kurulu Toplantımızın ardından Koronavirüs ile ilgili son gelişmeler ve aldığımız yeni tedbirlere ilişkin basın açıklamamız.
📍SAĞLIK BAKANLIĞI BİLKENT YERLEŞKESİ / ANKARA
https://t.co/L0XwTmAn0y</t>
  </si>
  <si>
    <t>1260584438813077508</t>
  </si>
  <si>
    <t>Saat 11.00-15.00 arası, çocuklarımız ve gençlerimiz özledikleri parklara, sokaklara kavuşuyor. Yakın arkadaşlar, mesafeli şekilde buluşuyor. Eve dönmesi biraz zor. Ama önümüzde çok daha güzel günler, upuzun beraberlikler var. Sağlığımız için birazcık daha fedakârlık yapacağız. https://t.co/EEX19URi53</t>
  </si>
  <si>
    <t>1260458457729302530</t>
  </si>
  <si>
    <t>Bu salgın döneminde, şükran duygularının ifadesi zordur. Size ünlü bir sözü hatırlatacağım: “Hemşireleri ne kadar çok överseniz, gerçeği o kadar çok söylemiş olursunuz.” Bu söz, ilk kez bugünlerde, Türkiye’de söylenmeliydi. 12 MAYIS HEMŞİRELER GÜNÜNÜZ TEKRAR KUTLU OLSUN. https://t.co/svEQOsQgwX</t>
  </si>
  <si>
    <t>1260298703581167617</t>
  </si>
  <si>
    <t>RT @RTErdogan: Biz laf üstüne laf koymanın değil, taş üstüne taş koymanın çabasındayız.
18 yılda verdiğimiz her sözü tuttuğumuz gibi, Koro…</t>
  </si>
  <si>
    <t>1260292658641190912</t>
  </si>
  <si>
    <t>Yakın mesafedeki iki kişiden ikisi de maske takmış olsa, virüs maskeye rağmen birinden diğerine bulaşabilir. Ya hareketli, kalabalık yerlerde? Evden çıkarken mutlaka maske takın. Ama maske SOSYAL MESAFE olmadan Koronavirüs riskinden sizi uzak tutmaya yetmeyebilir.
Risk almayın. https://t.co/wRhP5XmB5E</t>
  </si>
  <si>
    <t>1260280982365786112</t>
  </si>
  <si>
    <t>Yeni vaka sayısındaki artış öngörülebilir sınırlarda. TOPLAM VAKALARIN %70’İ İYİLEŞMİŞ DURUMDA. Yoğun bakım hasta sayımız azalmaya devam ediyor. Maske + sosyal mesafe: Virüse karşı gücümüz bu! Risk kalabalık ortamlarda. Uzak duralım. https://t.co/RVlhe7786O https://t.co/0naqY0mszC</t>
  </si>
  <si>
    <t>1260252197260066820</t>
  </si>
  <si>
    <t>Hemşirelerimiz, kusursuz oldukları görevlerinde şimdi birer kahraman. Koronavirüse karşı mücadelede hem sağlık profesyoneli hem de adeta hasta yakını konumunda ve hastayla iletişimde daima ustalar. Duyarlı olmakta ise dünyada örnekleri yok. 12 MAYIS HEMŞİRELER GÜNÜ KUTLU OLSUN. https://t.co/TrseBtFTRu</t>
  </si>
  <si>
    <t>1260110568209383424</t>
  </si>
  <si>
    <t>Bugün, AVM önlerinde uzun kuyruklar, AVM kapılarında yığılmalar oluştu. Sosyal mesafe kuralına çoğunlukla uyulmadı. Maske takmayanlara bile rastlandı. Ne maske, ne sosyal mesafe, tek başına koruyucu değil. Tedbirler tam olmalı. Risk devam ediyor. Mecbur değilsek evde kalalım. https://t.co/I9JvtJwECa</t>
  </si>
  <si>
    <t>1259949701283172352</t>
  </si>
  <si>
    <t>RT @RTErdogan: Küresel Koronavirüs salgınına karşı 83 milyon hep birlikte verdiğimiz mücadeleyi başarıyla devam ettiriyoruz.
Sağlıkla ilgi…</t>
  </si>
  <si>
    <t>1259948307264266240</t>
  </si>
  <si>
    <t>Tedbirlere uyarsak, yeni vaka sayımız, yakında günde 1.000’den daha az olacak. Yoğun bakım ve solunum desteğine ihtiyaç duyan hastalarımızın sayısı azalmaya devam ediyor. Bugünkü vefat sayımız 55. Tedbirsizliğin bedelinin ağır olduğunu unutmayalım. https://t.co/RVlhe7786O https://t.co/hJzLXCLqoO</t>
  </si>
  <si>
    <t>1259898579470168068</t>
  </si>
  <si>
    <t>RT @RTErdogan: Kabine Toplantısı Sonrası Millete Sesleniş https://t.co/cl970OhqoG</t>
  </si>
  <si>
    <t>1259879364893736965</t>
  </si>
  <si>
    <t>Büyüğümüz hanımefendiler, beyefendiler, bugün, günlerdir özlem duydukları parklarda, sokaklardaydı. Bugün, dışarıda son günlerin en mutlu anları yaşandı. Kendilerine sabırları için teşekkür ediyorum. Hanımefendilerin Anneler Gününü kutluyorum. Sizi hep böyle iyi görmek istiyoruz. https://t.co/yc2ya1YtIR</t>
  </si>
  <si>
    <t>1259563100682031106</t>
  </si>
  <si>
    <t>Bu tabloyu 83 milyon birlikte değiştirdik. Tedbirlere ısrarla uyarak! Mücadelemizi ciddiyetle, hiç gevşetmeden sürdürelim. İyileşen hasta sayımız yakında 100 bin kişiyi bulacak. Vefat sayımız, vaka sayımız gittikçe azalacak. Biraz daha özveriye değmez mi? https://t.co/RVlhe7786O https://t.co/8dUAvwxYcL</t>
  </si>
  <si>
    <t>1259513601511096327</t>
  </si>
  <si>
    <t>Koronavirüsle mücadelemize evde kalarak büyük destek verdiniz. Beklenen gün geldi: Şehir, siz hanımefendiler ve beyefendilerle adeta yeniden tanışacak. Bu güzel günde maske takmayı ihmal etmeyin. Maske artık kıyafetimizin bir parçası olmalı. Her dakikanız güzel geçsin! https://t.co/6Lxd72PWpv</t>
  </si>
  <si>
    <t>1259372619838652416</t>
  </si>
  <si>
    <t>Koronavirüsle mücadelemize evde kalarak büyük destek verdiniz. Beklenen gün geldi: Şehir, siz hanımefendiler ve beyefendilerle adeta yeniden tanışacak. Bu güzel günde maske takmayı ihmal etmeyin. Maske artık kıyafetimizin bir parçası olmalı. Her dakikanız güzel geçsin! https://t.co/FmUgqfHPnC</t>
  </si>
  <si>
    <t>1259372592353419264</t>
  </si>
  <si>
    <t>Yurt, anayurt olurken orada “anne” var. Dil, anadil olurken... Bizi hayata ve birbirimize bağlayan annelerimize, kelimelerin tarif edemeyeceği bağlarla bağlıyız. Araya girecek küçük engeller, bağların en güçlüsünü kuran duygulardan güçlü değildir. Anneler Gününüz kutlu olsun. https://t.co/Gr2zguMCoi</t>
  </si>
  <si>
    <t>1259272949640638464</t>
  </si>
  <si>
    <t>Türkiye’nin pratik zekâsı, salgın şartlarında, sosyal hayata ilginç görüntüler kazandırmaya başladı. Göze sürpriz yapanından bir soruna çözüm olanına dek, her fikir güzel. https://t.co/Owazv5HG4q</t>
  </si>
  <si>
    <t>1259241936449343488</t>
  </si>
  <si>
    <t>Türkiye’nin pratik zekâsı, salgın şartlarında, sosyal hayata ilginç görüntüler kazandırmaya başladı. Göze sürpriz yapanından bir soruna çözüm olanına dek, her fikir güzel. (Mühim not: Fotoğraf çarşamba günü çekilmiştir.) https://t.co/i5PiknHBJP</t>
  </si>
  <si>
    <t>1259215320469790720</t>
  </si>
  <si>
    <t>Toplam iyileşen sayısı 90 bine yaklaştı. Yoğun bakım desteğine ihtiyaç duyanların sayısındaki azalma devam ediyor. Yapılan test sayısına göre, yeni tanı konan vaka sayısında düşüş devam ediyor. Tedbiri elden bırakmayalım. https://t.co/RVlhe7786O https://t.co/4PfFahNftn</t>
  </si>
  <si>
    <t>1259158008325693442</t>
  </si>
  <si>
    <t>Virüsten uzak durmanın yolu, maske ve sosyal mesafedir. Ev dışında mutlaka maske takın ve sosyal mesafeyi koruyun. Kimin virüs taşıdığını bilemezsiniz. Tedbiri elden bırakmayın. #riskigörün https://t.co/Ch4CzqTlai</t>
  </si>
  <si>
    <t>1259065780320309250</t>
  </si>
  <si>
    <t>Virüsten uzak durmanın yolu, maske ve sosyal mesafedir. Ev dışında mutlaka maske takın ve sosyal mesafeyi koruyun. Kimin virüs taşıdığını bilemezsiniz. Tedbiri elden bırakmayın. #riskigörün https://t.co/xos8qkGwAh</t>
  </si>
  <si>
    <t>1259056916090814466</t>
  </si>
  <si>
    <t>Maske ve sosyal mesafe uyarılarımız, halkımızın pratik zekâsı, hazırcevap konuşmasıyla mevzu olup yayılıyor. Pazar yerinde dikkatli olalım. Biri, para ile birlikte bir miktar Koronavirüs uzatabilir. https://t.co/KrMNYeMByb</t>
  </si>
  <si>
    <t>1258828133316296704</t>
  </si>
  <si>
    <t>Virüsten uzak durmanın yolu, maske ve sosyal mesafedir. Ev dışında mutlaka maske takın ve sosyal mesafeyi koruyun. Kimin virüs taşıdığını bilemezsiniz. Tedbiri elden bırakmayın. #riskigörün https://t.co/8C0Hehfaay</t>
  </si>
  <si>
    <t>1258803557454798848</t>
  </si>
  <si>
    <t>Toplam iyileşen hasta sayısı 85 bini aştı. Son 24 saatteki vaka, vefat, yoğun bakım, entübe hasta sayısında yine düşüş var. Tablo, virüsle mücadelemizde lehimize veriler ortaya koyuyor. Ama bunlar kesin sonuçlar değil, ciddi bir fırsat. Fırsatı kullanalım. https://t.co/RVlhe7786O https://t.co/6IKy8JoeBm</t>
  </si>
  <si>
    <t>1258797632064978944</t>
  </si>
  <si>
    <t>Örneklerini daha önce paylaştığımız şarkılardan bir yenisi daha yapıldı. “Kahraman Sağlık Ordumuza” şeklinde, gurur verici ithafla başlayan şarkı, tek tek hekimlerimize “Canlar önce Allah’a, sonra sana emanet” diyor. Emeği geçenler sağ olsun. https://t.co/cUCoS9dG9O</t>
  </si>
  <si>
    <t>1258775681619689472</t>
  </si>
  <si>
    <t>Eminönü, salgın öncesi günlerin hareketliliğine dönmüş görüntüsü verdi. Trafik sıkışıklığına kadar! Salgınla mücadelede her şey daha iyiye giderken, aceleci olmayalım. Otomobil güvenli olabilir. Ama kapıyı açıp, dışarı çıkana kadar. https://t.co/BpD93q0O84</t>
  </si>
  <si>
    <t>1258552658186530819</t>
  </si>
  <si>
    <t>“Sağlık Bakanlığımız gece demiyor, gündüz demiyor. Sağlık çalışanlarımız fedakarca, adanmış ve anıtlaşmış şekilde salgınına engel olmaya gayret ediyor.” Sn. Bahçeli, bugün salgına karşı uyarıcı bir dizi paylaşımda bulundu. Kendisine, sağlık çalışanlarımız adına teşekkür ediyorum.</t>
  </si>
  <si>
    <t>1258518653936365568</t>
  </si>
  <si>
    <t>Virüsten uzak durmanın yolu, maske ve sosyal mesafedir. Ev dışında mutlaka maske takın ve sosyal mesafeyi koruyun. Kimin virüs taşıdığını bilemezsiniz. Tedbiri elden bırakmayın. #riskigörün https://t.co/8ZgelFWhYo</t>
  </si>
  <si>
    <t>1258504029078016004</t>
  </si>
  <si>
    <t>Virüsten uzak durmanın yolu, maske ve sosyal mesafedir. Ev dışında mutlaka maske takın ve sosyal mesafeyi koruyun. Kimin virüs taşıdığını bilemezsiniz. Tedbiri elden bırakmayın. #riskigörün https://t.co/6YPzQzYKok</t>
  </si>
  <si>
    <t>1258501054863495168</t>
  </si>
  <si>
    <t>Virüsten uzak durmanın yolu, maske ve sosyal mesafedir. Ev dışında mutlaka maske takın ve sosyal mesafeyi koruyun. Kimin virüs taşıdığını bilemezsiniz. Tedbiri elden bırakmayın. #riskigörün https://t.co/j1J7uYGbXF</t>
  </si>
  <si>
    <t>1258491823422681088</t>
  </si>
  <si>
    <t>Test sayısı, yakında 1,5 milyona ulaşacak. Vaka sayısında dün göze çarpan kısmi artış, geriledi. Vefatta, yoğun bakım sayısında düne göre yine düşüş var. Virüsü, kararlı bir şekilde geriletmeli, tedbirlerle yenmeliyiz. Kanıtladık: Sonuç almak zor değil. https://t.co/RVlhe7786O https://t.co/1yBZCUK3hT</t>
  </si>
  <si>
    <t>1258432095057252353</t>
  </si>
  <si>
    <t>Bilim Kurulunun, Bakanlığımızın veya Hükümetimizin AVM’lerin kapatılmasıyla ilgili bir kararı olmamıştı.  Faaliyetlerine ara vermişlerdi. Açılan; giyimevi, dükkân vb.dir. Restoranlar, kafelerse açılmıyor. Böyle bir karar yok. https://t.co/bprOtijnyE</t>
  </si>
  <si>
    <t>1258125252405665795</t>
  </si>
  <si>
    <t>TFF, maçların devamına kendisi karar verdi. Bakanlık veya Bilim Kurulu olarak, öneride bulunmak istemediğimizi başkana ifade etmiştim. Federasyonun Sağlık Kurulunun, süreci nasıl yönetmeleri gerektiğiyle ilgili çalışma yaptığını da biliyoruz. Karar ve sorumluluk federasyonundur. https://t.co/fA2SNpmDug</t>
  </si>
  <si>
    <t>1258098355202404352</t>
  </si>
  <si>
    <t>Bakanlığımız bir mobil uygulama geliştirdi. Uygulamayı, KONTROLLÜ SOSYAL HAYAT döneminin önemli ihtiyaçlarından biri olarak görüyoruz. Uygulama ücretsizdir. Amacı, günlük hayatta karşılaşabileceğiniz riskleri azaltmaktır. Örneğin, gideceğiniz yerdeki riski görebileceksiniz. https://t.co/qLZB615Hn9</t>
  </si>
  <si>
    <t>1258077394382053383</t>
  </si>
  <si>
    <t>Yeni dönem, tipik bir normalleşme dönemi değildir. Hayatımızın, sağlığımızı garanti edecek şekilde kısmen özgürleşmesidir. Yeni dönem, tedbirlerle özlemlerin sentezidir. Başlayan günler, 11 Mart’tan bu yana gösterdiğimiz çabanın şimdiki ödülüdür. Ama bu ödül, büyük ödül değildir. https://t.co/QaP6mN2yZ0</t>
  </si>
  <si>
    <t>1258074436974120960</t>
  </si>
  <si>
    <t>Koronavirüsle mücadelemizin ikinci döneminde, yeni dönemin ilk günlerindeyiz. Bu dönemde de başarı bazı koşullara bağlıdır. Başarının garantisi tedbirlere uymaktır. Tedbirsiz davranmak, tehdidin ortadan kalktığını varsaymaktır. Tedbir zorunludur, çünkü tehdit devam etmektedir https://t.co/SJ7IN4jlbl</t>
  </si>
  <si>
    <t>1258070526641287168</t>
  </si>
  <si>
    <t>Yoğun bakıma ve solunum cihazına ihtiyaç duyan hasta sayısı azaldı. Yeni vaka sayısında, sokağa çıkma kısıtına ara verilen günlerden kaynaklanan, beklenen sınırlar içinde bir artış oldu. Virüs bulduğu her fırsatı kullanıyor. Tedbirlere mutlaka uymalıyız. https://t.co/RVlhe7786O https://t.co/bn3Wn0nAUB</t>
  </si>
  <si>
    <t>1258063992288878595</t>
  </si>
  <si>
    <t>Salgın sürecinde, 83 milyonun desteğiyle çok büyük bir mesafe alan sağlık ordumuz adına size şunu söylemekten gurur duyuyorum: Türkiye, Koronavirüse karşı mücadelesinde ilk dönemi tamamlamıştır. https://t.co/l5rWhZo7P0</t>
  </si>
  <si>
    <t>1258058834217701376</t>
  </si>
  <si>
    <t>Bilim Kurulu Toplantımızın ardından Koronavirüs ile ilgili son gelişmeler ve aldığımız yeni tedbirlere ilişkin basın açıklamamız.
📍SAĞLIK BAKANLIĞI BİLKENT YERLEŞKESİ / ANKARA
https://t.co/9BC0wbP8fk</t>
  </si>
  <si>
    <t>1258044571914829832</t>
  </si>
  <si>
    <t>Sudan'ın başkenti Hartum'da, Koronavirüs tanısı konan, solunum güçlüğüne rağmen hastanede tedavi edilmeyip, evine gönderilen 55 yaşındaki vatandaşımız Mehmet Hanefi Aydın’ı Türkiye’ye getirdik. Şu anda yoğun bakımda. Salgına karşı, dünyanın her yerinde vatandaşımızın yanındayız. https://t.co/RbGBuvXvbH</t>
  </si>
  <si>
    <t>1257943463829659648</t>
  </si>
  <si>
    <t>İSTİKLAL CADDESİ, bugün iyi bir görüntü vermedi. Bir kareye bu kadar insan girmesi için çok erken. Günlük hayattan her fotoğraf, Türkiye Günlük Koronavirüs Tablosuna destek vermeli. Evde kalmaya çalışalım. Çıkarsak maske kullanalım, sosyal mesafe kuralına uyalım. https://t.co/jAPwgT5Pk5</t>
  </si>
  <si>
    <t>1257810036556025857</t>
  </si>
  <si>
    <t>CNN International televizyonu, 3 Mayıs'taki yayınıyla, tüm dünyadaki izleyicisine Covid-19’la mücadelemizdeki başarıyı anlattı. İstanbul’da filyasyon ekiplerinin yaptığı çalışmanın adım adım izlenmesiyle hazırlanan yayında, başarımızın temelinde bu yöntemin olduğu vurgulandı. https://t.co/IxFJPx68M5</t>
  </si>
  <si>
    <t>1257793290654679045</t>
  </si>
  <si>
    <t>Sosyal mesafe uygulamasında titiz olalım. https://t.co/BNAO1jQtE2</t>
  </si>
  <si>
    <t>1257787935719636993</t>
  </si>
  <si>
    <t>TFF Başkanı Sn. Nihat Özdemir’le bugün bir görüşme yaptık. Liglerin devamının federasyonun kendi iradesiyle alacağı bir karar olduğunu belirttik. Salgında futbol coşkusunu erteleyen ve hayatta artık oyunun bazı kurallarının değiştiğini gören futbolseverlere sevgilerimi sunuyorum. https://t.co/IujZibANEY</t>
  </si>
  <si>
    <t>1257709347204993025</t>
  </si>
  <si>
    <t>Yoğun bakım hasta sayısı, entübe hasta sayısı ve vefat sayısında düşüş devam ediyor. Yeni iyileşen hasta sayısı, başarının diğer göstergesi. Vaka sayısında, seyirde görülebilecek kısmi bir artış var. Yeni bir dönemdeyiz. Salgına fırsat tanımamalıyız. https://t.co/RVlhe7786O https://t.co/0mMKkUoncL</t>
  </si>
  <si>
    <t>1257702428541140994</t>
  </si>
  <si>
    <t>Önümüzdeki Pazar saat 11:00 ile 15:00 arası parklar, sokaklar 65 yaş ve üstü büyüklerimizin. Kalabalık arkadaş grupları, parkta bile olsa, hâlâ sakıncalı. Sabrınız için teşekkür ederim. https://t.co/UO7kNkisws</t>
  </si>
  <si>
    <t>1257423100343435265</t>
  </si>
  <si>
    <t>Son 24 saatte iyileşen hasta sayısıyla yeni vaka sayısı arasındaki fark, artmaya devam etti. Test sayısında, düne göre yaklaşık 11.000 artışa rağmen, yeni tanı sayısı azaldı. Hastalığa yeni bir fırsat tanımazsak kontrol bizim elimizde. https://t.co/RVlhe7786O https://t.co/ZM4gkNPCep</t>
  </si>
  <si>
    <t>1257359346310266880</t>
  </si>
  <si>
    <t>Eskisi kadar yakın olamayız. Evde kalmaya çalışalım. https://t.co/3unWIg8dUy</t>
  </si>
  <si>
    <t>1257203125984866304</t>
  </si>
  <si>
    <t>Eskisi kadar yakın olamayız. Araya mesafe koymalıyız. https://t.co/mOdPvbnNOi</t>
  </si>
  <si>
    <t>1257072625811062786</t>
  </si>
  <si>
    <t>RT @RTErdogan: Yeşilköy ve Sancaktepe'de toplam 2 bin yatak kapasiteli iki hastanemizin yapımı hızla devam ediyor.
Projeleri inşallah en k…</t>
  </si>
  <si>
    <t>1257038278160678914</t>
  </si>
  <si>
    <t>TARIM VE ORMAN BAKANI, arkadaşım Dr. Bekir Pakdemirli’ye, başlattığı anlamlı kampanya için teşekkür ediyorum. 1.061.635 sağlık çalışanımız için birer fidan dikme kampanyasına katılalım. Ben bağışımı, bugün vefat eden hocam Prof. Dr. Murat Dilmener için yaptım. https://t.co/nSRhUJspVO</t>
  </si>
  <si>
    <t>1257019989732835328</t>
  </si>
  <si>
    <t>11 MART’TAN BU YANA, İLK KEZ BUGÜN, iyileşen hasta sayımız, mevcut Koronavirüs hasta sayımızı geçti. Tedbirlere uyuldukça, sonuç, çok daha iyi olacak. 
https://t.co/RVlhe7786O https://t.co/VrwmnqiguO</t>
  </si>
  <si>
    <t>1256978103034875909</t>
  </si>
  <si>
    <t>Prof. Dr. Murat Dilmener, birçok kuşaktan hekim ve bilim insanının hocası, gençlerimiz içinse Enfeksiyon alanında hocaların hocasıydı. Dersleri ve hastalara yaklaşımıyla ünlü hocamızı Koronavirüs sebebiyle kaybettik. Kendisine Allah’tan rahmet, sevenlerine başsağlığı diliyorum.</t>
  </si>
  <si>
    <t>1256959127085109251</t>
  </si>
  <si>
    <t>Halkımızın ekrandan tanıyıp, sevdiği, değerli İlahiyatçı ve Yazar Ömer Döngeloğlu Beyefendi’yi tedavi olduğu Koronavirüs sebebiyle maalesef kaybettik. Kendisine Allah’tan rahmet, ailesine ve sevenlerine başsağlığı diliyorum. Mekânı cennet olsun.</t>
  </si>
  <si>
    <t>1256949918473818112</t>
  </si>
  <si>
    <t>Milletimiz, PKK terör örgütüyle mücadelesinde iki şehit verdi. Bitlis’in Sehi bölgesi yakınlarında çıkan çatışmada hayatını kaybeden iki Jandarma Uzman Çavuşumuza Allah’tan rahmet, yakınlarına sabır diliyorum. Hafif yaralı dört askerimizin hizmetindeyiz. https://t.co/p7tjpU9Qtt</t>
  </si>
  <si>
    <t>1256704516180885507</t>
  </si>
  <si>
    <t>“Yeniden sarılırız zamanı gelince
Isınır yer gök bizi görünce”
Bu şarkıdan önce, bu ses, hastane koridorlarında, servislerde duyar gibi olduğumuz sesti. Şimdi 83 milyon duyacak. Sağlık çalışanlarımızın ve toplumun özlemlerini dile getiren Murat Çorak’a teşekkür ederim. https://t.co/njNBIghXIS</t>
  </si>
  <si>
    <t>1256673109618327553</t>
  </si>
  <si>
    <t>NORMALLEŞME SÜRECİNDE SANAYİ ÜRETİMİNİN, COVID-19 tedbirlerine uygun, güvenle devamı için çalışmalarımızı başlattık. Sanayi ve Teknoloji Bakanlığımız ve Kocaeli Sanayi Odası’nın organizasyon desteğiyle GEBZE’DE, günlük 5.000 test kapasiteli bir laboratuvar kurduk. Devamı gelecek. https://t.co/jIkB5XQAiW</t>
  </si>
  <si>
    <t>1256663861362593793</t>
  </si>
  <si>
    <t>30 Mart’tan bu yana ilk kez, günlük vaka sayısı 2.000’in altına düştü. Yeni iyileşen hasta sayımız, bunun iki buçuk katına yakın. 
https://t.co/RVlhe7786O https://t.co/mIfkoJANto</t>
  </si>
  <si>
    <t>1256620750045351940</t>
  </si>
  <si>
    <t>Son 24 saatte iyileşenler, yeni tanı konan hastaların 2,25 katı. Toplam iyileşen sayısı 53 bin. Bu sayı bugüne kadarki toplam vaka sayısının %45’ine yakın. Yoğun bakım hasta sayısı azalıyor. Tedbirde dikkatli olalım. Dışarıdaki hava tabloyu değiştirebilir.
https://t.co/RVlhe7786O https://t.co/Id5p85tJSe</t>
  </si>
  <si>
    <t>1256255828459487233</t>
  </si>
  <si>
    <t>Türk-İş Sendikası, bu yıl, 1 Mayıs Emek ve Dayanışma Günü’nü, yayımladığı bildiri ile sağlık çalışanlarımıza ithaf etti. Bütün çalışma arkadaşlarım adına kendilerine teşekkür ediyorum. Bu çok zarif, kıymet bilir davranışla bugün yorgunluklar biraz azalacak. Sağ olsunlar.</t>
  </si>
  <si>
    <t>1256191681998831619</t>
  </si>
  <si>
    <t>1 Mayıs Emek ve Dayanışma Günü Kutlu Olsun. https://t.co/vCJ0MOEfp5</t>
  </si>
  <si>
    <t>1256123688501592069</t>
  </si>
  <si>
    <t>İstanbul, dünyada salgının görüldüğü kentlerden çok farklı özelliklere sahip. 20 Milyon. Yoğun bir yerleşim yapısı var. Birkaç kuşak iç içe yaşıyor. Buna rağmen, 5. haftada, vakaların %60’ının görüldüğü İstanbul’u kontrol altına aldık. Bu, 83 milyon için büyük önem taşıyor. https://t.co/9Oj31dTldB</t>
  </si>
  <si>
    <t>1256008757865308162</t>
  </si>
  <si>
    <t>Türkiye’deki yatak oranı 10 binde 28. Adana’da 32. Türkiye ortalamasının üzerinde. Yoğun bakım yatağında oran ne? Türkiye’de 100 bin kişiye düşen yoğun bakım yatak sayısı 49 iken, Adana’da 63. Adana, avantajlı. Konu gündeme taşınırken bu açık bilgiler maalesef ihmal edilmiştir. https://t.co/ZGwOT3fNwT</t>
  </si>
  <si>
    <t>1255990542577610754</t>
  </si>
  <si>
    <t>Hava ambulans hizmetinde ne bir eksiklik yaşadık, ne bir eksiklik yaşattık.</t>
  </si>
  <si>
    <t>1255969065744715779</t>
  </si>
  <si>
    <t>İsviçre’de yaşayan, 7 Nisan’da COVID-19 tanısı konan hanımefendi ve ailesinin durumu, talimatımızla, konsolosluğumuzca takip edilmiştir. Görevlendirilen Türk hekimi, hastalığın pek çok örnekte olduğu gibi, tıbben hafif seyrettiğini tespit etmiş ve evde tedaviyi uygun görmüştür. https://t.co/UCptJBAED4</t>
  </si>
  <si>
    <t>1255968967329488896</t>
  </si>
  <si>
    <t>ABD Sağlık ve Sosyal Hizmetler Bakanı Sn. Alex Azar ile bugün bir telefon görüşmesi yaptık. Cumhurbaşkanımızın talimatıyla ABD'ye yapılan tıbbi malzeme yardımı için teşekkürlerini iletti. Türkiye’nin aldığı tedbirlerle tedavide geliştirdiğimiz yöntemleri detaylı olarak anlattık. https://t.co/d9FA0yPVts</t>
  </si>
  <si>
    <t>1255949684071374848</t>
  </si>
  <si>
    <t>DSÖ Genel Direktörü Sn. @DrTedros Başkanlığında yapılan haftalık bilgilendirme toplantısında, COVID-19’la mücadelemizin sonuçlarını sunduk. Salgına yaklaşım stratejimizi, elde ettiğimiz başarıları ve tecrübelerimizi katılımcı ülkelerle paylaştık. Türkiye’nin sunumu ilgi gördü. https://t.co/JPJMtzNUFz</t>
  </si>
  <si>
    <t>1255943901027983360</t>
  </si>
  <si>
    <t>Eskisi kadar yakın olamayız. Araya mesafe koymalıyız. https://t.co/8Abf6IpSNV</t>
  </si>
  <si>
    <t>1255922394402828288</t>
  </si>
  <si>
    <t>Eskisi kadar yakın olamayız. Araya mesafe koymalıyız. https://t.co/Y0HHDnbGCX</t>
  </si>
  <si>
    <t>1255922149770039297</t>
  </si>
  <si>
    <t>Test sayısında 1 milyonu geçtik. Vaka sayısında artış öngörülebilir seyirde. Solunum desteğine ve yoğun bakıma ihtiyaç duyan hasta sayısında düşüş, iyileşen hasta sayısında ise artış devam ediyor. Bu noktaya gelmek kolay olmadı. Tedbirde ısrarcı olalım. 
https://t.co/RVlhe7786O https://t.co/rgs7DcWSF1</t>
  </si>
  <si>
    <t>1255889662478032899</t>
  </si>
  <si>
    <t>Hasta vatandaşına, dünyanın neresinde olursa olsun, ücreti devlet tarafından karşılanarak hava ambulansı hizmeti veren tek ülkeyiz. Nokta. https://t.co/Ar8YeTO78g</t>
  </si>
  <si>
    <t>1255645757497106439</t>
  </si>
  <si>
    <t>Salgınla mücadele siyaset üstüdür. Basit bir sağlık sorunu bile ayrıma izin vermez. 83 milyon aynı tarafta yer almalıyız. Kimsenin mücadelenin dışında kalmaya hakkı da yoktur. Sorumluluğumuzu yerine getirme çabası içinde olmalıyız. Siyasete malzeme edilirse, sağlık, kaybeder. https://t.co/rXLnfgmq3i</t>
  </si>
  <si>
    <t>1255628086911160329</t>
  </si>
  <si>
    <t>Ölüm üzerinden siyaset yapılıyor. Her rakamın bir cana karşılık geldiğini unutmayalım. Bu mücadelede bilgi gizlenemez. Bilgi gizleyip tedbir isteyemezsiniz. Ölüm raporlarını hazırlayanlar, gurur kaynağımız hekimlerimizdir. Hekimlerimize güvenmiyor muyuz? Vefat sayıları şeffaftır. https://t.co/OMKJKKVr8L</t>
  </si>
  <si>
    <t>1255618508249018369</t>
  </si>
  <si>
    <t>11 Mart’tan bugüne, geldiğimiz nokta, kesin başarı noktası değildir. Başarı, tedbirlere sarılmamızı gerektiren bir başarıdır. Aramızda halen virüsü taşıyanlar var. Hastalık bitmedi. O halde, bu mücadele, devam etmelidir. İnanıyoruz ki, her gün, bir önceki günden iyi olacak. https://t.co/z2D0MrIvUx</t>
  </si>
  <si>
    <t>1255615742252388355</t>
  </si>
  <si>
    <t>Hastane ihtiyacımızı sürecin başında planladık. Olası yatak, yoğun bakım ihtiyacını göz önünde tutarak, altyapısı yeterli tüm hastanelerimizi birer Pandemi hastanesi olarak görevlendirdik. Sağlık altyapısındaki bu hazırlık, bize bugüne dek kontrolü elimizde tutma gücünü verdi. https://t.co/8bpFqqdUZn</t>
  </si>
  <si>
    <t>1255613849539162117</t>
  </si>
  <si>
    <t>Ramazanı alışık olmadığımız bir şekilde yaşıyoruz. Eskiden olduğu gibi aileler, dostlar bir araya gelemiyor. Sakin iftar sofraları kuruluyor. Fakat bu Ramazanın da benzersiz bir yanı var. Hastalığa karşı birbirinden iyi haberler alıyorsunuz. Bu duygularla Ramazanınızı kutluyorum. https://t.co/aBUgFl2s2m</t>
  </si>
  <si>
    <t>1255609788119093252</t>
  </si>
  <si>
    <t>Çin’de başlayan süreçte, muhtemel bir riske karşı, OPERASYON MERKEZİNİ 10 Ocak’ta kurduk. Bilim Kurulumuzu da aynı gün, 10 Ocak 2020’de kurduk. DSÖ, hastalığı Pandemi olarak ilan etmeden tam 31 gün önce. Başarımızı üç maddeyle sıralayabilirim: Tedbir, tespit, hızlı tedavi. https://t.co/8zZv458m1V</t>
  </si>
  <si>
    <t>1255595601196089350</t>
  </si>
  <si>
    <t>İyi haberler bekleyen ülkem! Koronavirüs’le mücadelende beklediğin haberleri almaya başladın. Tehdit, giderek zayıflıyor. Başarı, 83 milyonun. Hepimiz çok iyi biliyoruz: Mücadelemiz henüz bitmedi. Mücadele, muntazam devam etmelidir. TAVİZ VERMEZSEK, sonucu kısa sürede alabiliriz. https://t.co/nzar5DILrU</t>
  </si>
  <si>
    <t>1255593147146608641</t>
  </si>
  <si>
    <t>Test sayısındaki artışa kıyasla vaka sayısındaki artış öngörülebilir düzeyde. İyileşen hastalarımızın sayısı 44.000'i, toplam vaka sayımızın da üçte birini geçti. Yoğun bakıma ihtiyaç duyan hasta sayımız azalmaya devam ediyor. Tedbirde ısrarcı olalım. 
https://t.co/RVlhe7786O https://t.co/0iwtIFX5iN</t>
  </si>
  <si>
    <t>1255527284653600768</t>
  </si>
  <si>
    <t>Bilim Kurulu Toplantımızın ardından Koronavirüs ile ilgili son gelişmeler ve aldığımız yeni tedbirlere ilişkin basın açıklamamız.
📍SAĞLIK BAKANLIĞI BİLKENT YERLEŞKESİ / ANKARA https://t.co/VuPORdBc2e</t>
  </si>
  <si>
    <t>1255501394284613633</t>
  </si>
  <si>
    <t>Türkiye, hava ambulans hizmetini 2008’den beri veriyor. Ve bu hizmeti kendi kaynakları ile ücretsiz sunan tek devlettir. Sadece bu yıl 453 hasta hava, 211 hasta uçak ambulansla taşınmıştır. Benzer sağlık operasyonlarının ancak filmlerde olabileceğini düşünenler ülkemize inanmalı.</t>
  </si>
  <si>
    <t>1255219185082392584</t>
  </si>
  <si>
    <t>TÜRK KONSEYİ SAĞLIK BAKANLARI TOPLANTILARININ ilkini yaptık. Altı ülkenin bakanıyla, DSÖ Avrupa Direktörü ve Türk Konseyi Genel Sekreterinin katıldığı toplantı video konferansla gerçekleşti. Toplantıda salgına karşı alınacak küresel ve bölgesel tedbirlerin önemi üzerinde durduk. https://t.co/vCWh8PgwqH</t>
  </si>
  <si>
    <t>1255196977672916997</t>
  </si>
  <si>
    <t>Eskisi kadar yakın olamayız. Araya mesafe koymalıyız. https://t.co/DLuUNQi5NX</t>
  </si>
  <si>
    <t>1255173173819199489</t>
  </si>
  <si>
    <t>Son 24 saatte 5.000’den fazla hastamız iyileşti. İyileşen toplam hasta sayımız 40.000’e yaklaştı. Yoğun bakım ve entübe sayısında düşüş sürüyor. Yeni vaka sayısı öngörülen seyirde. Çok yakında 1 milyon testi aşmış olacağız. Bu başarıyı riske atmayalım. 
https://t.co/RVlhe7786O https://t.co/J33oSpzuH1</t>
  </si>
  <si>
    <t>1255164902060240903</t>
  </si>
  <si>
    <t>Rusya’da tıp öğrencisi olan akciğer hastası Haluk Hasan Seyithanoğlu’nu ambulans uçakla ülkesine getirdik. Koronavirüs salgını sebebiyle Rusya’da ameliyatı yapılamayan kardeşimiz, Cumhurbaşkanımızın talimatıyla tedavi altına alındı. Kendisine geçmiş olsun diyorum. https://t.co/Tn67tZW7ep</t>
  </si>
  <si>
    <t>1255107602159144960</t>
  </si>
  <si>
    <t>Eskisi kadar yakın olamayız. Araya mesafe koyalım. https://t.co/ZD28tYr0Te</t>
  </si>
  <si>
    <t>1254918589544632328</t>
  </si>
  <si>
    <t>Bir gün içinde iyileşen en yüksek hasta sayısına ulaştık. Temaslı sayısı ve temas ortamı azaldığı için, ihtiyaç duyulan test sayısında azalma bugün de devam etti. Yoğun bakım ve entübe hasta sayısında düşüş sürüyor. Bu başarıyı riske atmayalım. 
https://t.co/RVlhe7786O https://t.co/ZwBVeHSHoG</t>
  </si>
  <si>
    <t>1254819120807325699</t>
  </si>
  <si>
    <t>Kalabalık iftar sofralarından uzak duralım. Hayırlı iftarlar. https://t.co/IcskCulXwd</t>
  </si>
  <si>
    <t>1254816434846302213</t>
  </si>
  <si>
    <t>RT @RTErdogan: Kabine Toplantısı Sonrası Millete Sesleniş https://t.co/qgSvd1QlSd</t>
  </si>
  <si>
    <t>1254798209374961664</t>
  </si>
  <si>
    <t>COVID-19 hastası vatandaşımız Emrullah Bey’in durumundan Türkiye sabah 04’te haberdar oldu. Ambulans uçağımız, Cumhurbaşkanımızın talimatıyla 09.10’da İsveç’in Malmö kentindeydi. Hastamız, iki çocuğuyla, öğlen saatlerinde Ankara’da tedavi altına alındı. Gücünü bil ülkem! https://t.co/l4wVKwlsXu</t>
  </si>
  <si>
    <t>1254515130433486850</t>
  </si>
  <si>
    <t>Biri tuz yerine Koronavirüs uzatabilir. Kalabalık iftarları gelecek yıl yapalım. Hayırlı iftarlar. https://t.co/JxQVhFfIkG</t>
  </si>
  <si>
    <t>1254449161430319105</t>
  </si>
  <si>
    <t>Temaslı sayısı ve temas ortamı azaldığı için 50.000’e varan günlük test kapasitemizin 30.000’i kullanıldı. Son 20 gün içinde yeni vaka sayısının en düşük olduğu gün, bugün oldu. Yoğun bakım desteği alan hastalarımızın sayısındaki azalma devam etti. https://t.co/RVlhe7786O https://t.co/OwvvlGYiLm</t>
  </si>
  <si>
    <t>1254446418145808384</t>
  </si>
  <si>
    <t>RT @RTErdogan: Bugün İsveç'ten uçak ambulans ile ülkemize getirdiğimiz Emrullah Bey'in kızı Leyla kardeşimle telefonda görüştüm. Yaşadığı m…</t>
  </si>
  <si>
    <t>1254439305176547328</t>
  </si>
  <si>
    <t>Bir kız evlat, COVID-19 hastası babası için hiçbirimizin unutamayacağı bir şey yaptı. Ülkemiz harekete geçti. Ambulans uçağımız sabah İsveç’ten hastamızı aldı. Birazdan Ankara’da olacak. (Sevgili Leyla, biz 25 bin hastamızı iyileştirdik. İnşallah Emrullah Bey de iyileşecek.) https://t.co/J5xvaOFZHg</t>
  </si>
  <si>
    <t>1254349419509579776</t>
  </si>
  <si>
    <t>Sevgili Leyla, sesini duyduk. Ambulans uçağımız saat 06'da havalanıyor, İsveç’e geliyoruz. Tüm Türkiye, böyle bir dönemde, uzakta olmanıza üzüldük. Baban için hastanemiz, hekimlerimiz hazır. Cumhurbaşkanımızın, bütün halkımızın geçmiş olsun dileklerini iletiyorum. Çok sevgiler. https://t.co/y4vUOQMGNl</t>
  </si>
  <si>
    <t>1254244292312420354</t>
  </si>
  <si>
    <t>Eskisi kadar yakın olamayız. https://t.co/oAqDg5qzRu</t>
  </si>
  <si>
    <t>1254139437665136642</t>
  </si>
  <si>
    <t>Eskisi kadar yakın olamayız. https://t.co/sLJKX51aUS</t>
  </si>
  <si>
    <t>1254138227029676033</t>
  </si>
  <si>
    <t>Yakın yıllarda hiçbir ülke sağlığa bu kadar dikkat etmedi. Ülkemle gurur duyuyorum. #ÜlkemleGururDuyuyorum https://t.co/ZKPmjoE631</t>
  </si>
  <si>
    <t>1254135306883944450</t>
  </si>
  <si>
    <t>Gelecek yıl dostluklar daha yakın olacak. İftar davetlerini gelecek yıla erteleyelim. Hayırlı iftarlar. https://t.co/XM9Q6sJcCn</t>
  </si>
  <si>
    <t>1254087109629169666</t>
  </si>
  <si>
    <t>Son 24 saatte 3.845 hasta taburcu edildi, 2.861 yeni tanı kondu. Taburcu olanların sayısı yeni hastaların sayısından 984 fazla. Şifa bulanların toplam sayısı ise 25.000'i geçti. Testlerin pozitif çıkma oranı azalıyor. Bu tabloya tedbirle destek şart. 
https://t.co/RVlhe7786O https://t.co/3rRBHfP0HN</t>
  </si>
  <si>
    <t>1254080782794178561</t>
  </si>
  <si>
    <t>Sağ olun gençler. Sabrınızla Korona’ya karşı çok yol aldık. https://t.co/WGW0rLRt2T</t>
  </si>
  <si>
    <t>1253805482780897290</t>
  </si>
  <si>
    <t>Tarım ve Orman Bakanımız, arkadaşım Bekir Pakdemirli ile bugün bir toplantı yaptık. Görüşmemizde, tedbirler, salgının tarım ve hayvancılık üzerindeki etkileri, normalleşme sürecinin koordinasyonu, önümüzdeki süreçte tarım üretiminin seyri ve gıda arz güvenliği ele alındı. https://t.co/X3gdRoTkVV</t>
  </si>
  <si>
    <t>1253755080102338560</t>
  </si>
  <si>
    <t>Son 24 saat içinde taburcu olan hasta sayısı, bugüne kadar iyileşen toplam hasta sayısının yaklaşık %15’ini oluşturuyor. Taramada, erken tanı ve tedavide başarılıyız. BU NOKTADAN GERİ DÖNÜŞ OLMAMALI. Alınan sonuçlara tedbirle destek şart. Bize güç verin. 
https://t.co/RVlhe7786O https://t.co/98GfL0iq2u</t>
  </si>
  <si>
    <t>1253717449746374657</t>
  </si>
  <si>
    <t>Umut göründü. Hilal göründü. Güzel günler yaklaşıyor. Ramazanınız kutlu olsun. https://t.co/FuInkIsFcu</t>
  </si>
  <si>
    <t>1253409625820422146</t>
  </si>
  <si>
    <t>Saat 21:00’da, başta Sayın Cumhurbaşkanımız olmak üzere tek ses olduk. İstiklal Marşımızı 83 milyon birlikte okuduk. O an görevinin başında olan sağlık çalışanlarımız adına, bu görkemli koroya bizler Bakanlık Binamızın önüne çıkarak katıldık. Meclisimizin 100. yılı kutlu olsun. https://t.co/wZ1HLWFKEH</t>
  </si>
  <si>
    <t>1253407438688202755</t>
  </si>
  <si>
    <t>İSTİKLAL MARŞIMIZ İÇİN DÜNYANIN EN BÜYÜK KOROSU KURULUYOR. Meclisimizin açılışının 100. yılında, bu akşam 21:00’da, 83 milyon pencerelerde, balkonlardayız. İstiklal Marşımızı, görev başındaki sağlık çalışanlarımız adına da okuyalım. Coşkumuz büyük, sesimiz gür olsun. https://t.co/NH3pfbNUEy</t>
  </si>
  <si>
    <t>1253375578201358337</t>
  </si>
  <si>
    <t>RT @RTErdogan: Türkiye Büyük Millet Meclisi’mizin açılışının 100. yılında bir kez daha tüm dünyaya haykırıyoruz ki;
Hâkimiyet Bilakayduşar…</t>
  </si>
  <si>
    <t>1253374965258346496</t>
  </si>
  <si>
    <t>Bugün, dünden daha iyi durumdayız. Bu noktaya, biri bile tesadüfen yapılmamış toplam 791.906 testle geldik. Tanı konanların her birinin temaslı taraması ya yapıldı ya da devam ediyor. Alınan sonuca tedbirle destek şart. Bize güç verin. 
https://t.co/RVlhe7786O https://t.co/8PhcNL9jAb</t>
  </si>
  <si>
    <t>1253368061157138432</t>
  </si>
  <si>
    <t>Sevincin sesi bugün hepimize ulaştı. 23 Nisan kutlu olsun. #23NisanKutluOlsun 🇹🇷 https://t.co/QoJNnSzHLe</t>
  </si>
  <si>
    <t>1253323324479819778</t>
  </si>
  <si>
    <t>100 bine yakın hastamıza rağmen vefat sayımız az. Çünkü hekimlerimiz tedavide başarılı. Yoğun bakım hasta sayımız az. Yatak doluluk oranı %30. Türkiye, salgında imkânlarının hepsine ihtiyaç duymuyor. Ölüm oranının düşüklüğü beklenen sonuç. Aksi için neden yok. GERÇEK BİZDEN YANA. https://t.co/izOX3lNfHe</t>
  </si>
  <si>
    <t>1253310024014794758</t>
  </si>
  <si>
    <t>Tedbirlerin önemi azalmıyor, artıyor. Başa dönüş riski, ikinci bir dalga göze alınamaz. Temastan kaçınmalıyız. Sosyal mesafe kuralını bir an bile ihlal etmemeliyiz. İzolasyondan ödün vermemeliyiz. Her adımı dikkatli atarsak, önümüzdeki takvim netleşir. Ertelediğimiz hayat başlar. https://t.co/9y16Fa75oM</t>
  </si>
  <si>
    <t>1253308309538570241</t>
  </si>
  <si>
    <t>Amerikan basınında, amacı bu şeffaf mücadeleyi karalamak gibi görünen bir haber yapıldı. Habere göre, Türkiye’de başka birçok ölümün sebebi virüs olabilirmiş. Dünya Sağlık Örgütü’yle bilgi paylaşırken kriterimiz açık. PCR yapan bir ülkeyiz. Tahmini değil tanıyı baz alıyoruz! https://t.co/y2nJGoe3ml</t>
  </si>
  <si>
    <t>1253299367177584640</t>
  </si>
  <si>
    <t>İstanbul’da, mezarlıklarda kalabalıklar oluştuğu söylendi. Bu doğrudur. Hıfzıssıhha Kurulu ve İller İdaresi, her ne sebeple olursa olsun, İstanbul’da vefat eden herkesin İstanbul’da defnedilmesi kararı aldı. Tedbir, salgının yayılımına karşı alınmıştır. https://t.co/ApPYo7J0nb</t>
  </si>
  <si>
    <t>1253292850596511745</t>
  </si>
  <si>
    <t>Sn. Cumhurbaşkanımızın belirttiği gibi, hayatın kademeli şekilde normalleşmesi, kuralların uygulanmasıyla mümkündür. Hastalık, öngördüğümüz şekilde seyrediyor. Bilinçli olursak, normalleşme gecikmeyecektir. Umut, en doğru kelime. Fakat bu umut tedbirsizlikle tehdide dönüşmemeli. https://t.co/PMcaHUdGDw</t>
  </si>
  <si>
    <t>1253209688507854850</t>
  </si>
  <si>
    <t>Ramazanın özelliği, insana alışkanlıklarının dışına çıkma gücü vermesidir. Oruç, bir karara uyma veya onu bozma sınavıdır. Ramazan, tedbirleri esnetmenin bahanesi olmamalı. Kalabalık iftarları, sohbetleri gelecek yıla erteleyelim. Rahmet ayı, hastalıklarla sonuçlanmasın. https://t.co/zvL7KivDDf</t>
  </si>
  <si>
    <t>1253203230181543936</t>
  </si>
  <si>
    <t>Erken tanı ve tedavideki başarımızla vefat oranlarımız her geçen gün düşüyor. Yoğun bakım hasta sayımız azalıyor. Hazırlıklı olmasaydık, tablo, ABD ve Avrupa’dakine benzeyecekti. Bulunduğumuz nokta toplumun ortak başarısıdır. Daha iyi bir sonucun mümkün olduğunun kanıtıdır. https://t.co/bZDJtXxMYp</t>
  </si>
  <si>
    <t>1253105855039442947</t>
  </si>
  <si>
    <t>Güven olmadan böylesine bir salgının üstesinden kimse gelemez. Mücadelenin şeffaf bilgiyle yürütüldüğünü bilen sizlere müteşekkiriz. Bugünkü imkânlar yine olsa, fakat toplumda güven eksik kalsaydı, bu noktaya varamazdık. Mücadeleye güven duyanlar, umudu hep diri tutanlardır. https://t.co/ItSXDYHh6e</t>
  </si>
  <si>
    <t>1253099021369053184</t>
  </si>
  <si>
    <t>İstersek başarırız! Tarihimiz buna şahittir. Yeter ki düşünceli ve bilinçli hareket etmekten taviz vermeyelim. Ulaşacağımız güzel yarınlar bugün alınan tedbirler sayesinde olacaktır. Sorumluluklarımızı unutmayalım: Temas, Mesafe, İzolasyon. 
https://t.co/RVlhe7786O https://t.co/nT4YDALpId</t>
  </si>
  <si>
    <t>1253003717986656257</t>
  </si>
  <si>
    <t>Bilim Kurulu Toplantımızın ardından Koronavirüs ile ilgili son gelişmeler ve aldığımız yeni tedbirlere ilişkin basın açıklamamız.
📍SAĞLIK BAKANLIĞI BİLKENT YERLEŞKESİ / ANKARA
https://t.co/5B3opfpurX</t>
  </si>
  <si>
    <t>1253003333549330439</t>
  </si>
  <si>
    <t>Birkaç gün öncesine dek, bu tabelada, İstanbul Eyüpsultan Nişanca Aile Sağlığı Merkezi yazıyordu. Hastalarına son olarak burada hizmet eden doktor arkadaşımız Yavuz Kalaycı’yı COVID-19 sebebiyle kaybedene dek. İnsana sevgisi çok olan, çok sevilir. Tıpkı Dr. Yavuz gibi. https://t.co/iepcIN2626</t>
  </si>
  <si>
    <t>1252944054565908480</t>
  </si>
  <si>
    <t>Anneler ve çocukları için hayat boyu biricik kalan ebelerimizin Ebeler Haftasını, mensubu oldukları sağlık camiamız ve anne babalar adına kutlarım. https://t.co/9voAkRZu6b</t>
  </si>
  <si>
    <t>1252844796021837824</t>
  </si>
  <si>
    <t>Veriler bize şunu söylüyor: Ümitsiz olma, rehavete kapılma. Unutmayalım ki bu ikisi virüsten daha tehlikeli. Tedbirlere ısrarla uymaya devam edelim. Temas, mesafe, izolasyon. https://t.co/RVlhe7786O https://t.co/TZt5DyV2mX</t>
  </si>
  <si>
    <t>1252628973831495680</t>
  </si>
  <si>
    <t>Yeni açılan İstanbul Başakşehir Şehir Hastanesi Avrupa’nın en çok yoğun bakım kapasitesine sahip hastanesidir. Sekiz ayrı hastaneyi bünyesinde barındıran yapı, ileri seviye imkanlarıyla sağlık sistemimize güç katacaktır. Şehir Hastaneleri hayata hayat katan bir sağlık devrimidir. https://t.co/zgulLqHCdE</t>
  </si>
  <si>
    <t>1252331298657615874</t>
  </si>
  <si>
    <t>RT @RTErdogan: Sağlık alanında yaptığımız reformlarla hem altyapıyı hem sistemi güçlendirdik. Bununla kalmadık, hayalimiz olan şehir hastan…</t>
  </si>
  <si>
    <t>1252328582229131266</t>
  </si>
  <si>
    <t>Bugün 1454 hastamız daha şifa buldu. En az virüs kadar ısrarcı olmalıyız. Bu savaşı; sağlık ordumuzun özverisi ve tedbirlere bağlılıktaki ısrarımızla kazanacağız.
https://t.co/RVlhe7786O https://t.co/9THb7A70D9</t>
  </si>
  <si>
    <t>1252287311368380416</t>
  </si>
  <si>
    <t>Henüz hastalık sınırlarımızdan girmeden ihtiyacı görüp yerli ve milli imkanlara güvenerek başlattığımız solunum cihazı projemiz bugün seri üretimden çıktı. Emeği geçen herkese teşekkürler.
@varank @Baykar_Savunma @arcelik @aselsan @Biyovent</t>
  </si>
  <si>
    <t>1252286496805093376</t>
  </si>
  <si>
    <t>Bugün, büyük bir hayali daha gerçekleştirdik. Bu hayalimize öncülük eden, bu ufku milletimize gösteren, Sayın Cumhurbaşkanımız @RTErdogan’a aziz milletimiz adına teşekkür ediyorum. #BaşakşehirŞehirHastanesi https://t.co/tIZiEhfr0D</t>
  </si>
  <si>
    <t>1252279001864900608</t>
  </si>
  <si>
    <t>RT @RTErdogan: Kabine Toplantısı Sonrası Millete Sesleniş https://t.co/DjKLZnjmMu</t>
  </si>
  <si>
    <t>1252269615389999106</t>
  </si>
  <si>
    <t>Sayın Cumhurbaşkanımız @RTErdogan’ın (video konferans)
teşrifleriyle gerçekleştirilen Başakşehir Şehir Hastanemizi hizmete açıyoruz.
📍BAŞAKŞEHİR / İSTANBUL https://t.co/1db29dndQW</t>
  </si>
  <si>
    <t>1252166103251529729</t>
  </si>
  <si>
    <t>Tedbirlere gösterdiğimiz özen meyvelerini veriyor. Biz günlük test imkanlarını artırırken, sorumlu davranışlarınız da yeni vaka sayılarını azaltacak. Sağlık ordumuza ve sağlık sistemimizin gücüne güvenin. Tedbiri elden bırakmayın.
https://t.co/RVlhe7786O https://t.co/3pg0WRQuey</t>
  </si>
  <si>
    <t>1251903394429763589</t>
  </si>
  <si>
    <t>Nisan ayındayız. Güneşin, sokakların çekiciliğine direnmek zorundayız. Şu ana kadar elde ettiğimiz kazanımı kaybetmemeliyiz. Biz daha büyük bir baharı bekliyoruz. Sabırlı olalım. Evde kalalım. https://t.co/83Iu65lYrZ</t>
  </si>
  <si>
    <t>1251873984154664962</t>
  </si>
  <si>
    <t>Türkiye büyük sağlık yatırımlarına devam ediyor. Avrupa’nın en büyük yoğun bakım kapasitesine sahip hastanelerinden İstanbul Başakşehir Şehir Hastanesi’nin ilk etabı 20 Nisan’da açılıyor. Sekiz ayrı hastaneden oluşan dev sağlık kompleksi sağlık sistemimizin gücüne güç katacak. https://t.co/dyS36EDFfV</t>
  </si>
  <si>
    <t>1251604595656318976</t>
  </si>
  <si>
    <t>Şifa bulan hasta sayımız 10.000'in üzerine çıktı. Tedavide önemli üstünlüklerimiz var. Artan test sayımıza rağmen yeni eklenen vaka sayısında düşüş var. İki gücümüz var: Tedbir, tedavi. Gücümüzü kullanalım.
https://t.co/RVlhe7786O https://t.co/JlmrSmkUyf</t>
  </si>
  <si>
    <t>1251554140163112960</t>
  </si>
  <si>
    <t>İstanbul’u her iki yakasıyla afetlere hazır hale getireceğiz. Yeşilköy’de inşa ettiğimiz çok amaçlı hastane; salgın, deprem ve her türlü afette güçlü bir sağlık alt yapısı oluşturacak. Her odası yoğun bakıma dönüştürülebilen hastanemiz toplamda 1008 yataklı. https://t.co/rm45iXUer1</t>
  </si>
  <si>
    <t>1251505549050556423</t>
  </si>
  <si>
    <t>Sancaktepe’deyiz. Salgın, deprem ve afet hastanemiz hızla inşa ediliyor. 432’si yoğun bakım olmak üzere toplam 1008 yataktan oluşan çok amaçlı hastanemiz her türlü ihtiyaç halinde tam kapasite hizmet verecek. Türkiye, sağlık sistemiyle dünyada fark yaratmaya devam edecek. https://t.co/znmzTzJ9fw</t>
  </si>
  <si>
    <t>1251502927723868167</t>
  </si>
  <si>
    <t>Sağlık kuruluşlarımızın hasta yükü artık belli bir kapasitenin üstüne çıkmıyor. %60’ları aşan bir doluluk yok. Avrupa, Amerika hasta seçerken, Türkiye 5. haftaya girdiği dönemde, yoğun bakımda doluluk %60’larda. Servis doluluk oranı %50’yi geçmedi. Bu Türkiye’nin başarısıdır. https://t.co/vEpAEqp5Na</t>
  </si>
  <si>
    <t>1251302588240334849</t>
  </si>
  <si>
    <t>#GeceninErdoğanFotoğrafı https://t.co/wb4K3TZhax</t>
  </si>
  <si>
    <t>1251298504955228160</t>
  </si>
  <si>
    <t>Mücadelede çok önemli üç unsur var. 1: Vakayı tespit edip, filyasyonu yapmak. 2: Tedavide güçlü olmak. Bu iki konuda sorunumuz yok. Çok ilerideyiz. 3: İzolasyon, teması önlemek, sosyal mesafeyi korumak. Bu sağlanırsa, yeni bir dalganın oluşumu önlenir, hayat erken normale döner. https://t.co/6CiRSD18xN</t>
  </si>
  <si>
    <t>1251286950658662403</t>
  </si>
  <si>
    <t>Ülkemize güvenelim. Hekimlerimize, sağlık ordumuza güvenelim. Ölüm oranlarımızdaki düşüş, sağlık çalışanlarımızın tedaviye farklı yaklaşımından, yoğun bakımdaki uygulamalardan, ilaç kullanımından, sistemden kaynaklanıyor. Bunu yayınlarla dünyaya da göstermek istiyoruz. https://t.co/8ZRfpnWJiI</t>
  </si>
  <si>
    <t>1251284472428986369</t>
  </si>
  <si>
    <t>“Devlet millet içindir, millet devlet için değildir!”
İlk sivil Cumhurbaşkanımızı rahmetle anıyoruz. https://t.co/LfZMq222Uz</t>
  </si>
  <si>
    <t>1251267733599260675</t>
  </si>
  <si>
    <t>İyileşen hasta sayımız yakında 10.000'in üzerine çıkacak. Yatan hasta sayısı ile taburcu edilen hasta sayısı arasında denge oluşmuş durumda. Vaka sayısı artış hızı beklediğimiz şekilde azalıyor. İki gücümüz var: Tedbir, tedavi. Gücümüzü kullanalım.
https://t.co/RVlhe7oIYm https://t.co/JqPKqkeZL6</t>
  </si>
  <si>
    <t>1251158202915287048</t>
  </si>
  <si>
    <t>Bilim Kurulu Toplantımızın ardından Koronavirüs ile ilgili son gelişmeler ve aldığımız yeni tedbirlere ilişkin basın açıklamamız.
📍SAĞLIK BAKANLIĞI BİLKENT YERLEŞKESİ / ANKARA
 https://t.co/cCTee2VbV9</t>
  </si>
  <si>
    <t>1251157711938400256</t>
  </si>
  <si>
    <t>Günde 40.000 test hedefini aştık. Vaka sayısında artış öngörülebilir düzeyde kaldı. Yoğun bakım desteğine ihtiyaç duyan hastalarda seyir kontrol altında. Yeni iyileşen hasta sayımız 1.000'in üzerinde. İki gücümüz var: Tedbir, tedavi. Gücümüzü kullanalım.
https://t.co/RVlhe7786O https://t.co/if79hgmejb</t>
  </si>
  <si>
    <t>1250823838478356481</t>
  </si>
  <si>
    <t>Sağlıkta Şiddetin Önlenmesi Yasası Teklifi, Yüce Meclisimizde grubu olan tüm partilerin mutabakatı ile gündeme alınıp, yasalaştı. Sağlık çalışanlarını şiddetten korumaya yönelik, bugüne dek en kapsamlı yasanın çıkmasında katkısı olan tüm vekillerimize teşekkür ediyorum.</t>
  </si>
  <si>
    <t>1250533859831185409</t>
  </si>
  <si>
    <t>Vaka sayısındaki artış hızı, yoğun bakım ve solunum desteği ihtiyacı olan hastaların sayısındaki artış hızı sabit kalma eğiliminde. 875’i son 24 saatte olmak üzere 5.674 hastamız taburcu edildi. İki gücümüz var: Tedbir, tedavi. Gücümüzü kullanalım.
https://t.co/RVlhe7786O https://t.co/IVrPbk8n2f</t>
  </si>
  <si>
    <t>1250468989316280323</t>
  </si>
  <si>
    <t>Vaka tespitinde başarılıyız. Hasta tedavisinde, yoğun bakımda başarılıyız. Yüksek bir motivasyona sahibiz. Mücadelede üstün güç biziz. Bizi sonuca götürecek kural açık: HAREKETİ AZALT, İZOLASYONU ARTIR! Bu kuralı ısrarla uygularsak özlediğimiz hayata kısa zamanda kavuşacağız! https://t.co/1mA9RgfD1a</t>
  </si>
  <si>
    <t>1250333107099553792</t>
  </si>
  <si>
    <t>TÜRKİYE TEDAVİDE FARKLI BİR YAKLAŞIMA SAHİP. Hiçbir ülke pozitif, şüpheli tüm vakalarda Hidroksiklorokin ilacını erken dönemde kullanmadı. Biz bu ilaçtan daha vaka görülmeden 1 milyon kutu alıp depoladık. Çin’den getirilen Favipiravir’ini de bizdeki yaklaşımla kullanan ülke yok. https://t.co/AlCO3hrQ0T</t>
  </si>
  <si>
    <t>1250318172957208576</t>
  </si>
  <si>
    <t>FİLYASYON, BU SİSTEMLİ MÜCADELE gözle görülür sonuçlar veriyor. Tablolar, bize, üstesinden geleceksiniz, direnin diyor. Vaka tespitinde, hasta tedavisinde, yoğun bakımda başarılıyız. Mücadelede üstün güç biziz. Bizi sonuca götürecek kural açık: Hareketi azalt, izolasyonu artır! https://t.co/g9VifL0lQs</t>
  </si>
  <si>
    <t>1250188780293836802</t>
  </si>
  <si>
    <t>SALGININ ÖNÜNÜ KESMENİN YOLU FİLYASYONDUR! Hasta kaybı artış oranı hızında da, vaka artış hızındaki düşüşe benzer bir veriye sahibiz: Türkiye’de ölüm artış hızındaki yavaşlama 5. haftada gerçekleşmiştir. Türkiye, ölüm artış hızındaki yavaşlamayı en erken yakalayan ülkedir. https://t.co/MPPxPn5nTM</t>
  </si>
  <si>
    <t>1250185832591491080</t>
  </si>
  <si>
    <t>Hastalık bir haftada görülen maksimum vaka sayısına Amerika’da 11, Çin’de 7. haftada ulaştı. Bizde ise en çok vaka sayısına 4. haftada ulaştı. 4. haftada Türkiye’de vaka artış hızı düşüşe geçti! ŞU ANKİ VERİLERLE, YAYILMA HIZINI KONTROL ALTINA ALMAYA BAŞLAMIŞ DURUMDAYIZ. https://t.co/xMvRq5g9RP</t>
  </si>
  <si>
    <t>1250177079443890176</t>
  </si>
  <si>
    <t>Vaka sayısı artış hızı, test sayısındaki artışa rağmen sabit kalma eğiliminde. Şifa bulan hasta sayısı giderek büyüme gösteriyor. Solunum desteği ve yoğun bakım ihtiyacında artış hızı düşük seyrediyor. İki gücümüz var: Tedbir, tedavi. Gücümüzü kullanalım.
https://t.co/RVlhe7786O https://t.co/yEVglrQTcZ</t>
  </si>
  <si>
    <t>1250107876296871937</t>
  </si>
  <si>
    <t>Bilim Kurulu Toplantımızın ardından Koronavirüs ile ilgili son gelişmeler ve aldığımız yeni tedbirlere ilişkin basın açıklamamız.
📍SAĞLIK BAKANLIĞI BİLKENT YERLEŞKESİ / ANKARA https://t.co/DED3O8iy5h</t>
  </si>
  <si>
    <t>1250104216556896256</t>
  </si>
  <si>
    <t>Solunum yolu, kalp, tansiyon, diyabet gibi kronik rahatsızlığınız varsa, Koronavirüs karşısında zayıf olduğunuzu unutmamalısınız. Siz tedbirli olacaksınız, biz destek vereceğiz. Koronavirüs'ü işte böyle yeneceğiz. #BirlikteYeneceğiz https://t.co/A3y60wELWV</t>
  </si>
  <si>
    <t>1250046990425227266</t>
  </si>
  <si>
    <t>Biz, hastanelerde risk altındayız, maske kullanmak zorundayız. Ama risk artık yaygın. Dışarı çıkarken siz de maske kullanmalısınız. Koronavirüs'ü işte böyle yeneceğiz. #BirlikteYeneceğiz https://t.co/nHVSVX30tL</t>
  </si>
  <si>
    <t>1250016333007335430</t>
  </si>
  <si>
    <t>Biz, hastanelerde görevimizin başındayız. Siz, evde kalmalısınız. Biz hastaları tedavi ederek, siz evde kalarak, birlikte aynı amaca hizmet ediyoruz. Koronavirüs'ü işte böyle yeneceğiz. #BirlikteYeneceğiz https://t.co/I0NoaW4aIU</t>
  </si>
  <si>
    <t>1249985879587856389</t>
  </si>
  <si>
    <t>Sosyal mesafe, Koronavirüs’le aranıza koyduğunuz mesafedir. Sosyal mesafe kuralına uyarak, mücadelede yanımızda yer alacaksınız. Koronavirüs'ü işte böyle yeneceğiz. #BirlikteYeneceğiz https://t.co/jADXsbEg24</t>
  </si>
  <si>
    <t>1249955715588001794</t>
  </si>
  <si>
    <t>Biz, hastalarımızı tedavi edeceğiz. Siz, sosyal ortamlardan uzak durup, evde kalarak hastalığa yakalanmayacaksınız. Koronavirüs'ü işte böyle yeneceğiz. #BirlikteYeneceğiz https://t.co/bC6hmiLvA1</t>
  </si>
  <si>
    <t>1249833613904031748</t>
  </si>
  <si>
    <t>Çocuklar, sizden büyüğü yok! Bugün bile dışarı çıkmadınız. Çıkmazsınız da. Sabrınız için gözlerinizden öpüyorum. https://t.co/zpZlFLNyzc</t>
  </si>
  <si>
    <t>1249744193825771521</t>
  </si>
  <si>
    <t>Test sayımız yakında 500 bine ulaşacak. Artan test sayısına kıyasla beklenen vaka sayısındaki artış, hız olarak azalmaktadır. Erken tanı ve tedavi, iyileşen hasta sayımızı artırıyor.
https://t.co/RVlhe7786O https://t.co/tLkps8LFWK</t>
  </si>
  <si>
    <t>1249733620656373760</t>
  </si>
  <si>
    <t>RT @RTErdogan: Kabine Toplantısı Sonrası Millete Sesleniş 
https://t.co/XE0hX0xNvS</t>
  </si>
  <si>
    <t>1249724495696453637</t>
  </si>
  <si>
    <t>Yoğun bakıma geçişte azalma eğilimi sürüyor. Entübe edilen hasta sayısında düşüş var. Daha çok test yaptıkça, öngörülebilir şekilde daha çok vaka tespit ve izole ediliyor. Tedavide güçlüyüz. Fakat bu mücadele hastanelerde değil, evde kalarak kazanılır!
https://t.co/RVlhe7786O https://t.co/ndEo8NAufH</t>
  </si>
  <si>
    <t>1249375511148666880</t>
  </si>
  <si>
    <t>81 ilimizin İl Sağlık Müdürleriyle, Bakan Yardımcılarımız ve Genel Müdürlerimizin de katıldığı bir telekonferans görüşmesi yaptık. Mevcut ve ortaya çıkabilecek ihtiyaçları ele aldık. Bilim Kurulumuzun, Üniversite Rektörlerimizin tedavideki tecrübe ve tavsiyelerini paylaştık. https://t.co/adfSXhecRt</t>
  </si>
  <si>
    <t>1249114228834930689</t>
  </si>
  <si>
    <t>Koronavirüs hastalarının tedavi tablosunda bugün yeni bir gelişme var. Türkiye ölçeğinde yoğun bakım toplam hasta sayımız İLK KEZ azaldı. 6 üniversitemizden bilim insanlarımız aynı kanıda: Bu izlenen tedaviyle, tedbirlerin sonucudur. Tedbirlerle alacağımız sonuç nettir. https://t.co/SHEZg1JL4M</t>
  </si>
  <si>
    <t>1249102427116032005</t>
  </si>
  <si>
    <t>Vaka sayımız, test sayısındaki artışla birlikte, öngörülebilir düzeyde artıyor. Bu artış, yoğun bakım sayısında gerçekleşmiyor. Tanıda daha hızlıyız, tedavi erken başlıyor. Türkiye tedavide ciddi başarı gösteriyor. Asıl başarı virüsten korunabilmekte.
https://t.co/RVlhe7786O https://t.co/bE3UbFG1xY</t>
  </si>
  <si>
    <t>1249017437443502080</t>
  </si>
  <si>
    <t>Hikmetli bir söz, hepimiz birbirimizin eli, ayağı, gözü, kalbiyiz der. Kendimizi korumanın yolu, başkasına dikkat ve özenden geçer. Toplumumuz bu dikkate sahip. Toplumumuzda yüksek bir duyarlılık var. Hepimiz emin olalım: Millet-Devlet el birliğiyle, Koronayı mutlaka yeneceğiz. https://t.co/NMR6xFPrxh</t>
  </si>
  <si>
    <t>1249015918463799297</t>
  </si>
  <si>
    <t>Genç arkadaşlardan isteğim şu: Belirti olmaması sizi yanıltmasın. Virüsü yenemeyecek kişilere virüs bulaştırma ihtimaliniz olduğunu unutmayın. Hareketli günlere mola verin, bu molada kararlı olun. Mücadelede siz hangi tarafta yer alırsanız, şans o tarafta olacak, bunu unutmayın. https://t.co/JucBPibgpl</t>
  </si>
  <si>
    <t>1249014623187189764</t>
  </si>
  <si>
    <t>Yüce Meclisimiz, Sağlıkta Şiddetin Önlenmesi Yasa Teklifi ile beklediğimiz adımı attı. Sağlık çalışanlarımızın salgınla mücadele ettiği günlerde bu zamanlama çok anlamlıdır. DEĞERLİ VEKİLLERİMİZ sizlerden istirhamımız, tasarının Meclis’in tümünün Evet oyuyla hemen yasalaşmasıdır. https://t.co/WGuDMvS0HS</t>
  </si>
  <si>
    <t>1249013568542068737</t>
  </si>
  <si>
    <t>Ülkemiz, virüsün dünya kamuoyuna duyurulduğu 31 Aralık 2019’dan itibaren, bu tehdidi, sözün bilime ve bilim insanlarına bırakılacağı bir sağlık sorunu olarak ele almıştır. Bir halk sağlığı tehdidini diğer tüm konulardan ayıran stratejiye güvenin. https://t.co/idoxK8x53Z</t>
  </si>
  <si>
    <t>1249012169003470850</t>
  </si>
  <si>
    <t>31 Aralık’tan bu yana sürdürdüğümüz mücadeleden ödün vermemekte kararlıyız. Uyarılarımızın istisnasız her koşulda geçerli olduğunu unutmayın. Süreci birlikte, sağduyu içinde, başarıyla tamamlayacağız. Bu inançtan taviz vermeyelim. Mücadelemizin sonucuna odaklanalım.</t>
  </si>
  <si>
    <t>1248996969701429248</t>
  </si>
  <si>
    <t>Günlük test sayısında 30.000’i aştık. Laboratuvar sayımız 106’ya çıktı. Yoğun bakıma giren hasta oranımız düşmeye devam ediyor. İyileşme hızında başarı grafiğimizi koruyoruz. Veriler, önümüzdeki günlerde iyileşme hızında artış olacağını gösteriyor.
https://t.co/RVlhe7786O https://t.co/ss1gmYVOXY</t>
  </si>
  <si>
    <t>1248653319775584258</t>
  </si>
  <si>
    <t>Bilim Kurulu Toplantımızın ardından Koronavirüs ile ilgili son gelişmeler ve aldığımız yeni tedbirlere ilişkin basın açıklamamız.
📍SAĞLIK BAKANLIĞI BİLKENT YERLEŞKESİ / ANKARA https://t.co/3eaQXRk8dd</t>
  </si>
  <si>
    <t>1248650398761697280</t>
  </si>
  <si>
    <t>Evde olduğunuz için teşekkür ederiz. https://t.co/sRmu6dYlmd</t>
  </si>
  <si>
    <t>1248632090779889667</t>
  </si>
  <si>
    <t>Bu filmin kahramanları günü evde geçirenlerdir. https://t.co/GLuytiR4Zq</t>
  </si>
  <si>
    <t>1248352552879603715</t>
  </si>
  <si>
    <t>Hastalarımızdan 296’sı daha şifa buldu. Taburcu olan toplam hasta sayımız 2.142’ye ulaştı. Günlük 30.000 test hedefimize ulaşmak üzereyiz. Artan test sayımıza rağmen vaka artış hızı düşme eğiliminde. Virüs, gücünü temas ortamından alıyor. Evde kalalım.
https://t.co/RVlhe7786O https://t.co/5BNqcJGzAp</t>
  </si>
  <si>
    <t>1248284493250789378</t>
  </si>
  <si>
    <t>829 sismik izolatörle güçlendirilen MARMARA ÜNİVERSİTESİ PENDİK BAŞIBÜYÜK EĞİTİM VE ARAŞTIRMA HASTANESİ yenilenen özellikleriyle hizmete açıldı. 60 odası yoğun bakıma ayrılan hastanemiz, toplamda 535 yatak kapasitesine sahip. Milletimize hayırlı olsun. https://t.co/05Q5TmYhbY</t>
  </si>
  <si>
    <t>1247996954614865921</t>
  </si>
  <si>
    <t>Hastalarımızdan 264’ü daha iyileşti. Yoğun bakım ve entübe hasta sayımızdaki artış hızı düşme eğiliminde. Başarımız izolasyona bağlı. Virüs, gücünü temas ortamından alıyor. Virüse bu fırsatı tanımayalım. Evde kalalım.
https://t.co/RVlhe7786O https://t.co/JukrzwanOm</t>
  </si>
  <si>
    <t>1247932933056462849</t>
  </si>
  <si>
    <t>RT @fahrettinaltun: Koronavirüsle mücadelemize yeni tedbirler eklemeye devam ediyoruz. 
En yeni adımımız, Sağlık Bakanlığımız tarafından g…</t>
  </si>
  <si>
    <t>1247917541747539969</t>
  </si>
  <si>
    <t>Değerli vekillerim,
Sağlıkta Şiddetin Önlenmesi Yasa Teklifi ile 1 milyon 100 bini aşkın sağlık personelimize güvence sunma hazırlığında olan Yüce Meclisimize şükran borçluyuz. Teklifin istisnasız her vekilimizin desteği ile en kısa sürede yasalaşacağına inanıyoruz.</t>
  </si>
  <si>
    <t>1247890548737724416</t>
  </si>
  <si>
    <t>Terör, acılı günlerimizi fırsat bildi. Diyarbakır’ımızın Kulp ilçesinde orman işçisi beş vatandaşımız, sabah erken saatte işe giderken PKK tarafından şehit edildi. Kendilerine Allah’tan rahmet diliyorum. Milletimizin başı sağ olsun. HAYAT DAİMA GALİP GELİR, HAYATA KIYAN YENİLİR.</t>
  </si>
  <si>
    <t>1247889072812511235</t>
  </si>
  <si>
    <t>AŞI ÇALIŞMALARI İÇİN öncelikle başarılması gereken, virüsün izole edilmesiydi. İki bilim adamımız bunu başarmış durumdalar. Erciyes Üniversitesi’nden Prof. Dr. AYKUT ÖZDARENDELİ Hocamızı, Ankara Üniversitesi’nden Prof. Dr. AYKUT ÖZKUL Hocamızı halkımız adına kutluyorum. https://t.co/PGYCsVosxw</t>
  </si>
  <si>
    <t>1247796413192265729</t>
  </si>
  <si>
    <t>Vakaları, vaka teması olanları, şüpheli vakaları takip etmek için kullanımı zorunlu bir APLİKASYON geliştirdik. Evde izolasyon kuralına uyulup uyulmadığını tespit edeceğiz. İzolasyon ihlalinin yaptırımı olacak. Sistem bir iki gün içinde devreye girecek. https://t.co/nljlSSL4O6</t>
  </si>
  <si>
    <t>1247788890271789060</t>
  </si>
  <si>
    <t>ŞEHİR HASTANELERİMİZ, izolasyonun zorunlu, yoğun bakım ihtiyacının yüksek olduğu bu hastalıkta bize büyük olanaklar sunuyor. Bu hastanelerimiz, HER ODANIN BİR YOĞUN BAKIM ODASINA DÖNÜŞEBİLECEĞİ teknik altyapıya sahip. Sistem, dünyada nadirdir. https://t.co/Cju2vfNXWH</t>
  </si>
  <si>
    <t>1247647489248956416</t>
  </si>
  <si>
    <t>AÇILACAK İKİ YENİ HASTANE var. Her odada birer yatak olmak üzere biner odalı hastaneler şeklinde planlandılar. Biri Atatürk Havalimanı’nda, diğeri Sancaktepe’de kuruluyor. Ameliyathaneleri de olacak. Her oda gerektiğinde yoğun bakım odasına çevrilecek. Hastaneler kalıcı olacak. https://t.co/lkp0nISjth</t>
  </si>
  <si>
    <t>1247634896950112256</t>
  </si>
  <si>
    <t>Hastalarımızda akciğer enfeksiyonuna geçiş oranında azalma sağladık. İLAÇ TEDAVİSİNE ERKEN BAŞLAMAMIZIN bunda büyük rolü olduğunu düşünüyoruz. Biz, ilk bulgularımıza dayanarak, ilacı erkenden temin edip, kullanmaya başladık. Şimdi birçok ülke aynı ilacı temin etme uğraşı veriyor. https://t.co/NwSXyUvnzc</t>
  </si>
  <si>
    <t>1247623970758721538</t>
  </si>
  <si>
    <t>Hastalığa karşı daha iyi organize olabilmek için bazı ihtiyaçlar ortaya çıktı. Toplumsal konularda alınacak tavsiye kararlarına, yapılacak yönlendirmelere gerek duyuyoruz. Bu amaçla TOPLUM BİLİMLERİ KURULU adını verdiğimiz yeni bir kurul oluşturduk. Uygulama dünyada bir ilktir. https://t.co/RqadcKbxrS</t>
  </si>
  <si>
    <t>1247614142745399296</t>
  </si>
  <si>
    <t>7 Nisan, Dünya Sağlık Günü. Birleşmiş Milletler’in 1945’te aldığı bir kararla başlayan bu kutlama, ilk kez bu yaygınlıkta bir sağlık sorununa denk geldi. İnsanlığın bu zorluğu aşacağına inanıyoruz. Sağlığınıza dikkat edin. Gelecek yıl bugün, her şey şimdikinden çok farklı olsun.</t>
  </si>
  <si>
    <t>1247604651987546114</t>
  </si>
  <si>
    <t>Berat Kandilinizi kutluyor, bu mübarek gecenin aramızdaki dayanışmanın artmasına, umutların tazelenmesine, yarınlara inancımızın güçlenmesine vesile olmasını temenni ediyorum.</t>
  </si>
  <si>
    <t>1247577961441701888</t>
  </si>
  <si>
    <t>Şifa bulan hastalarımızın sayısı artıyor. Test sayısı ve pozitif vakalara bağlı taramalar arttıkça tanı sayısında da artış oluyor. Virüs, gücünü temas ortamından alıyor. Virüse bu fırsatı tanımayalım. Evde kalalım.
https://t.co/RVlhe7786O https://t.co/IO8q3nstOK</t>
  </si>
  <si>
    <t>1247565540417245196</t>
  </si>
  <si>
    <t>Bilim Kurulu Toplantımızın ardından Koronavirüs ile ilgili son gelişmeler ve aldığımız yeni tedbirlere ilişkin basın açıklamamız.
📍SAĞLIK BAKANLIĞI BİLKENT YERLEŞKESİ / ANKARA https://t.co/LtRTnXuvLm</t>
  </si>
  <si>
    <t>1247562608766525444</t>
  </si>
  <si>
    <t>Video, Koronavirüse karşı alınan tedbirleri, Avrupa bazında gün gün gösteriyor. Avrupa ülkeleri içinde tedbirleri en erken alan biziz. İzolasyonda başarılı olursak, erken tedbir avantajından tam olarak yararlanabiliriz. https://t.co/l9LefWqJGT</t>
  </si>
  <si>
    <t>1247280431386570752</t>
  </si>
  <si>
    <t>ANADOLU AJANSI, 100 YIL ÖNCE BUGÜN Milli Mücadele’nin ön saflarında yer alan iki aydınımızın önerisiyle Mustafa Kemal Paşa tarafından kuruldu, Milli Mücadele’nin haber kaynağı oldu. Kuruluşunun 100. yılında benzer bir görev üstleniyor. Yürekten kutluyoruz. https://t.co/J7ledYJcxa</t>
  </si>
  <si>
    <t>1247210013267025921</t>
  </si>
  <si>
    <t>Günlük test sayımız yakında 30.000’i bulacak. İyileşen hasta sayımızdaki artış hızı devam ediyor. Artan test sayısına göre vaka sayısındaki artış düşük seyrediyor. Virüs, gücünü temas ortamından alıyor. Virüse bu fırsatı tanımayalım. Evde kalalım.
https://t.co/RVlhe7786O https://t.co/WQtAifsNF2</t>
  </si>
  <si>
    <t>1247203884076072961</t>
  </si>
  <si>
    <t>RT @RTErdogan: Kabine Toplantısı Sonrası Millete Sesleniş https://t.co/g6kzRgTaDy</t>
  </si>
  <si>
    <t>1247199745371709442</t>
  </si>
  <si>
    <t>COVID-19 vakalarının en çok görüldüğü İstanbul için İl Sağlık Müdürlüğü yetkilileri, kamu ve üniversite hastaneleri başhekimleri ile video konferans gerçekleştirdik. Hastaların durumuyla, yoğun bakım ve servislerin doluluk oranını, tedavi protokolleri ve ihtiyaçları ele aldık. https://t.co/bLZkyXxOpS</t>
  </si>
  <si>
    <t>1246939476804472835</t>
  </si>
  <si>
    <t>RT @fahrettinaltun: Cumhurbaşkanımız @RTErdogan’ın talimatıyla, Sağlık ve Ulaştırma Altyapı Bakanlığı’nın koordinasyonunda 20-65 yaş arası…</t>
  </si>
  <si>
    <t>1246860509456072704</t>
  </si>
  <si>
    <t>Test sayısında 20.000’i aştık. İyileşen toplam hasta sayımız 1.000’i geçti. Virüs, gücünü temas ortamından alıyor. Virüse bu fırsatı tanımayalım. Evde kalalım. Yeni uygulamada davranışlarıyla herkese örnek olan gençlere teşekkür ediyorum.
https://t.co/RVlhe7786O https://t.co/Anu01vZPU8</t>
  </si>
  <si>
    <t>1246845032436510726</t>
  </si>
  <si>
    <t>Sokağa çıkma konusunda 20 yaş ve altı için getirilen uygulamada davranışlarıyla örnek olan gençlerimize, çocuklarımıza teşekkür ediyorum. Sabırlı olursak, hareketli günlerimize erken döneriz.</t>
  </si>
  <si>
    <t>1246508638954496000</t>
  </si>
  <si>
    <t>Bugüne kadar yapılan 161.380 testin %12,18’i son 24 saat içinde gerçekleşti. İyileşen hasta sayımızda önemli artış oldu. Dün toplam 484 olan iyileşen hasta sayımız bugün 786’ya ulaştı. Virüs gücünü temas ortamından alıyor. Virüse bu fırsatı tanımayalım.
https://t.co/RVlhe7786O https://t.co/HHC6gg5NRn</t>
  </si>
  <si>
    <t>1246487664154509313</t>
  </si>
  <si>
    <t>Çin’den gelen ilacı, yoğun bakım öncesi dönem dahil olmak üzere, tedavinin önceki aşamalarında kullanmanın daha büyük fayda sağlayacağı yönünde bir kanaatimiz var. Uygulama da bu şekilde belirlendi. https://t.co/ESmRsDQjnj</t>
  </si>
  <si>
    <t>1246190725731139584</t>
  </si>
  <si>
    <t>Sosyal izolasyon konusunda çok çağrı yapmamıza rağmen, yeterince başarılı olduğumuzu düşünmüyorum. Şehirler arası hareketliliği daha fazla kısıtlayıcı tedbirlere ihtiyaç var. Başta İstanbul olmak üzere, büyük şehirlerimizde sokak hareketliliği maalesef beklenen düzeye inmedi. https://t.co/kTOeu8eEVP</t>
  </si>
  <si>
    <t>1246186788017836032</t>
  </si>
  <si>
    <t>Önümüzdeki günlerde salgını ve tedbirleri çok farklı yönlerden ele alacağımız, Bilim Kurulu’na benzer, niteliği ayrı ikinci bir Bilim Kurulu kurmuş olacağız. Bu kurulda, olayın psikolojik, sosyolojik, istatistiksel… boyutları değerlendirilecek. Yeni yaklaşımlar arayacağız. https://t.co/vOzsrGWeC6</t>
  </si>
  <si>
    <t>1246182834290769922</t>
  </si>
  <si>
    <t>Temas ve sosyal hareketlilik azalmazsa başarıya ulaşamayız. Gençlerimizin bizi anlayacağından emin olmak istiyorum: Bilim Kurulumuz, salgının riskle seyrettiği yerlerde hareketliliği kısıtlayıcı, daha sıkı tedbirler alınması yönünde tavsiye kararı aldı. https://t.co/LMO4khaNvR</t>
  </si>
  <si>
    <t>1246179073983995906</t>
  </si>
  <si>
    <t>Cemil Hocamızı Perşembe günü ebediyete uğurladık. Yolunu izleyecek öğrencileri ve bilimsel çalışmalarıyla yaşayacak. İsmi, Okmeydanı Eğitim ve Araştırma Hastanemize verildi. Hastanemizin ismi artık Prof. Dr. CEMİL TAŞÇIOĞLU ŞEHİR HASTANESİ. Hep iyilikle anılsın.</t>
  </si>
  <si>
    <t>1246174959594016769</t>
  </si>
  <si>
    <t>RT @RTErdogan: Basın Açıklaması https://t.co/gWvBLs3DWE</t>
  </si>
  <si>
    <t>1246127123569487874</t>
  </si>
  <si>
    <t>İyileşen 69 hastamız daha var. Kayıp sayımız düne kıyasla az. Tablonun bütünü ise bize şunu söylüyor: Temas içinde olmamalıyız, araya mesafe koymalıyız, kendimizi izole etmeliyiz. Virüsün yayılmasını tedbirleri uygulayarak durdurabiliriz
🔍 https://t.co/RVlhe7786O https://t.co/I2PH5la906</t>
  </si>
  <si>
    <t>1246112826311225348</t>
  </si>
  <si>
    <t>Bilim Kurulu Toplantımızın ardından Koronavirüs ile ilgili son gelişmeler ve aldığımız yeni tedbirlere ilişkin basın açıklamamız.
📍SAĞLIK BAKANLIĞI BİLKENT YERLEŞKESİ / ANKARA https://t.co/wNgMII0ZsB</t>
  </si>
  <si>
    <t>1246112351436365826</t>
  </si>
  <si>
    <t>DÜNYA SAĞLIK ÖRGÜTÜ Avrupa Bölge Direktörü Sn. Hans Kluge ile telekonferans görüşmesi yaptık. Avrupa’da pandemi politikalarının gözden geçirilmesi gerektiğini belirttik. Sn. Kluge, veri paylaşımına değindi, DSÖ’nün Türkiye’nin uygulamasını emsalsiz bulduğunu söyledi. https://t.co/ZIcljLGIyV</t>
  </si>
  <si>
    <t>1245792246756184071</t>
  </si>
  <si>
    <t>Test sayımız düne göre 4.000’in üstünde artış gösterdi. Test sayısına oranla pozitif vaka sayımız ise azaldı. İyileşen 82 yeni hastamız var. Son 24 saat içinde kaybettiğimiz hastaların %82’sinin 60 yaşını aşmış kişiler olması yine dikkat çekici.
🔍 https://t.co/RVlhe7786O https://t.co/hQ1wSitTIQ</t>
  </si>
  <si>
    <t>1245749975730065412</t>
  </si>
  <si>
    <t>COVID-19, çok sayıda hekim yetiştirmiş bir hocamızı bizden aldı. Cerrahpaşa Tıp Fakültesi emekli öğretim üyelerinden Prof. Dr. Feriha Öz’ü kaybettik. Kendisine Allah’tan rahmet diliyorum. Ailesinin, Tıp Camiamızın başı sağ olsun.</t>
  </si>
  <si>
    <t>1245737756619345920</t>
  </si>
  <si>
    <t>VAKALARIMIZDAKİ ÖLÜM ORANI şu an %1,58. Bu oran birçok ülkedeki orandan düşük. Almanya, Güney Kore gibi ülkelerde de düşük olan oran, son günlerde artış gösterdi. Yeni hayatlar kaybedebiliriz, fakat biz bu ORANI %1,58’İN ALTINA ÇEKMEK İÇİN ısrarla çalışacağız. https://t.co/WbAjfhgS4o</t>
  </si>
  <si>
    <t>1245632705527599106</t>
  </si>
  <si>
    <t>VİRÜS ARTIK 81 İLİMİZDE. Düne kadar vakaya rastlanmayan ilimiz vardı. Şimdi ise virüsün görülmediği şehir yok. İki yeni tanı tabloyu değiştirdi. Tüm şehirlerimizde hareketliliği azaltmak zorundayız. Evde kalmak istisnasız her yerde önemli. https://t.co/l4RKsESya3</t>
  </si>
  <si>
    <t>1245628844456869889</t>
  </si>
  <si>
    <t>HAYATINI KAYBEDENLERİN %80’i 60 yaş üstünde. %75’inin kronik rahatsızlığı vardı. Örneğin %68’i tansiyon hastasıydı. Halen yoğun bakımda olanların %75’i de 60 yaş üstünde, %63’ü tansiyon hastası. 60 yaş ve üstünün evden çıkmamalarını istiyoruz. Bunun apaçık nedenleri var. https://t.co/SD1wC8dvdl</t>
  </si>
  <si>
    <t>1245624414017732613</t>
  </si>
  <si>
    <t>TARAMA çalışmaları hastalığın çok kolay ve hızlı yayıldığını kanıtlıyor. Örnek vereyim: BİR KİŞİ VİRÜSÜ EN AZ 30 KİŞİYE BULAŞTIRDI. Bunları tespit ettik. Bu kişi virüsten etkilenmedi ama pek çok acıya yol açtı. Birinin sağlıklı görünmesi virüsü taşımadığı anlamına gelmiyor. https://t.co/M07fmh0nBI</t>
  </si>
  <si>
    <t>1245620132178587649</t>
  </si>
  <si>
    <t>GÜNLÜK TEST SAYIMIZ 15.000’i buldu. ÖNÜMÜZDEKİ HAFTA 25.000’i bulacak. ON GÜN SONRA ise sayı 30.000’e ulaşacak. Şu an itibariyle test 71 MERKEZDE yapılıyor. BİRKAÇ GÜN İÇİNDE test merkezi sayımız 89’a ulaşacak. Sayıyı artırırken testi yapabilecek tüm merkezlere de izin veriyoruz. https://t.co/tA2SSvOgUj</t>
  </si>
  <si>
    <t>1245494454909362176</t>
  </si>
  <si>
    <t>VİRÜSÜN BÜTÜN GÜCÜ, YAYILMA FIRSATIDIR. Bu savaşta virüse bu gücü tanımayalım. Bunu hayatınızı koruyarak, kendinizi izole ederek yapacaksınız. Eğer bunu başaramazsak kayıplarımız artacak. Akşam, günün tablosu karşımıza çıktığında daha fazla üzüleceğiz. https://t.co/LoM5QkaFcp</t>
  </si>
  <si>
    <t>1245490652047126528</t>
  </si>
  <si>
    <t>TEMAS içinde olmayacağız, araya MESAFE koyacağız, kendimizi İZOLE edeceğiz. Birimizin tavizi, hepimizi ilgilendirecek ciddi sonuçlar demektir. Stratejimiz sabit hayat olmalıdır. YUVAMIZ, GÜCÜMÜZDÜR. Şehirlerde hareketlilik ne kadar azalırsa o kadar hızlı galip geliriz. https://t.co/KrAK4ukqI5</t>
  </si>
  <si>
    <t>1245473621251895297</t>
  </si>
  <si>
    <t>Cemil Taşçıoğlu Hocamızı kaybettik. Sağlık camiamız, onu hastalığı sırasında tanıyan halkımız üzgün. Dostu olmaktan gurur duyduğum bir hekimdi. Ailesinin, bilim dünyamızın başı sağ olsun. Allah rahmet etsin. Türkiye, bu değerli insanı elinden alan hastalığı yenecek. https://t.co/V35aaAz30O</t>
  </si>
  <si>
    <t>1245469796126384133</t>
  </si>
  <si>
    <t>Bilim Kurulu Toplantımızın sonunda açıkladığım günlük Koronavirüs tablosunu burada ve aşağıda paylaştığım linkte bulabilirsiniz.
🔍 https://t.co/RVlhe7786O https://t.co/3YCeDUhpcD</t>
  </si>
  <si>
    <t>1245393439241404419</t>
  </si>
  <si>
    <t>Bilim Kurulu Toplantımızın ardından Koronavirüs ile ilgili son gelişmeler ve aldığımız yeni tedbirlere ilişkin basın açıklamamız.
📍SAĞLIK BAKANLIĞI BİLKENT YERLEŞKESİ / ANKARA https://t.co/ZtUpgFcfe4</t>
  </si>
  <si>
    <t>1245392252115079169</t>
  </si>
  <si>
    <t>TEST sayımız düne oranla %25,2 arttı. TEST MERKEZİ sayımız 75’e ulaştı. Pozitif vakaların tespitinde daha hızlı ve avantajlıyız. Sosyal izolasyondan taviz vermeyelim. Temas=Risk. Lütfen unutmayalım.
🔍 https://t.co/RVlhe7786O https://t.co/QvrMR5FKsl</t>
  </si>
  <si>
    <t>1245030998762500096</t>
  </si>
  <si>
    <t>KORONAVİRÜSE KARŞI HEPİMİZ EŞİT ŞARTLARDA DEĞİLİZ. 
Maddi desteğe ihtiyaç duyanları lütfen destekleyin.
#BizBizeYeterizTürkiyem https://t.co/nVj5z04Qhl</t>
  </si>
  <si>
    <t>1244903762856161280</t>
  </si>
  <si>
    <t>Dün, İSTANBUL Okmeydanı Şehir Hastanemizin ilk etabını hizmete açtık. Kartal Şehir Hastanemiz daha önce hizmete açılmıştı. Mayısta İkitelli, eylülde ise Göztepe Şehir Hastanelerimiz açılıyor. YENİ ŞEHİR HASTANELERİMİZLE İSTANBUL’DA YATAK KAPASİTEMİZ TOPLAMDA 5.452 ARTIYOR. https://t.co/KkN0Z9j0B2</t>
  </si>
  <si>
    <t>1244890048757194752</t>
  </si>
  <si>
    <t>RT @RTErdogan: Kabine Toplantısı Sonrası Millete Sesleniş https://t.co/WbHJBcM8b4</t>
  </si>
  <si>
    <t>1244686265456492546</t>
  </si>
  <si>
    <t>Ülkemizin mevcut Koronavirüs tablosunu burada ve aşağıda paylaştığım linkte bulabilirsiniz.
🔍 https://t.co/RVlhe7786O https://t.co/dJX0NPTFI1</t>
  </si>
  <si>
    <t>1244656165482528769</t>
  </si>
  <si>
    <t>Sağlık alanında önemli bir sınav verdiğimiz bu günlerde hizmet kapasitemizi bir adım daha ileri taşıdık. Koronavirüs hastalarımıza da hizmet sunacak olan Okmeydanı Eğitim ve Araştırma Hastanemizin 600 yataklı ilk etabını bugün itibariyle hizmete açtık. Milletimize hayırlı olsun. https://t.co/q4vsZCx48E</t>
  </si>
  <si>
    <t>1244635928603365377</t>
  </si>
  <si>
    <t>Sosyal medyada yer alan, açıkladığımız verilerde tutarsızlık olduğu yönündeki iddialar tamamen asılsızdır. Açıklanan sayısal veriler, kanıta dayalıdır. Doğrudan COVİD-19 tanısını esas almıştır. Veriler, anlık gerçek verilerdir. Gerçekleri çarpıtmanın kimseye faydası yoktur.</t>
  </si>
  <si>
    <t>1244399174487019525</t>
  </si>
  <si>
    <t>Sağ ol Türkiye.
Yarını tedbirlere daha sıkı uyarak geçirelim. https://t.co/pdD4CC0IPB</t>
  </si>
  <si>
    <t>1244371480021995527</t>
  </si>
  <si>
    <t>Türkiye'nin Günlük Koronavirüs Tablosu’nu, her akşam yenilenen verilerle AŞAĞIDA PAYLAŞTIĞIM LİNKTEN ve buradan görebilirsiniz
🔍 https://t.co/RVlhe7786O https://t.co/R4gxYPD6Kj</t>
  </si>
  <si>
    <t>1244295237981396992</t>
  </si>
  <si>
    <t>Tedbirlere uyarak evinde kalan HALKIMIZA TEŞEKKÜR EDERİM. ÇOK İYİ BAŞLADIK. Aynı ciddiyetle devam edelim. https://t.co/tsQAyrsoGD</t>
  </si>
  <si>
    <t>1243995089606713344</t>
  </si>
  <si>
    <t>HERKES, KENDİSİ VİRÜSÜ TAŞIYORMUŞ GİBİ DAVRANMALI. Başkalarıyla temasını bu varsayıma göre sınırlandırmalı. Bu dönemde, mümkün mertebe kendimizi evde izole etmeliyiz. https://t.co/TbZ4wYqWe5</t>
  </si>
  <si>
    <t>1243950213208948737</t>
  </si>
  <si>
    <t>ARTIK YENİ BİR MÜCADELE YÖNTEMİ HAYATA GEÇİYOR. Hastalığın önünü keseceğimize inanıyorum. Halkımızın, alınan tedbirlere uyması, işin üstesinden gelmemizi kolaylaştıracaktır. https://t.co/PxPqFKc5pv</t>
  </si>
  <si>
    <t>1243948938597629952</t>
  </si>
  <si>
    <t>BİLİM KURULUMUZLA SÜRECİN BELKİ DE EN ÖNEMLİ TOPLANTISINI YAPTIK. Geliştirdiğimiz yaklaşım şu olmuştur: Hastalık, bulunduğu sınırlar içinde tecrit edilmeli, sosyal hareketlilik en alt düzeye inmelidir. 83 Milyon için önerdiğimiz tedbir, sınırlar konmuş bir hayat tarzıdır. https://t.co/uOE9QfJM9X</t>
  </si>
  <si>
    <t>1243947396503162881</t>
  </si>
  <si>
    <t>Türkiye'nin Günlük Koronavirüs Tablosu’nu, HER AKŞAM YENİLENEN VERİLERLE burada ve aşağıda paylaştığım linkte görebilirsiniz. Doğru ve detaylı bilgi bu iki kaynakta.
🔍 https://t.co/RVlhe7786O https://t.co/dgCxPkSNMs</t>
  </si>
  <si>
    <t>1243942377913495552</t>
  </si>
  <si>
    <t>Türkiye'nin Günlük Koronavirüs Tablosu’nu, her gün yenilenen detaylı verilerle, aşağıda paylaştığım linkten takip edebilirsiniz. 
🔍 https://t.co/RVlhe7786O https://t.co/AB5mSAW8tT</t>
  </si>
  <si>
    <t>1243636810745511937</t>
  </si>
  <si>
    <t>Koronavirüsle mücadelemizde toplumun güç kazandığı bir döneme girdik. SN. CUMHURBAŞKANIMIZ, Bilim Kurulumuzun önerdiği yaklaşımı da değerlendirerek yeni kararlar açıkladı. Kendilerine şükranlarımı arz ediyorum.</t>
  </si>
  <si>
    <t>1243628562218917895</t>
  </si>
  <si>
    <t>RT @RTErdogan: Basın Açıklaması https://t.co/c6ZREPkW1I</t>
  </si>
  <si>
    <t>1243626936234135552</t>
  </si>
  <si>
    <t>Bilim Kurulu Toplantımızın ardından Koronavirüs ile ilgili son gelişmeler ve aldığımız yeni tedbirlere ilişkin basın açıklamamız.
📍SAĞLIK BAKANLIĞI BİLKENT YERLEŞKESİ / ANKARA https://t.co/jC0zmUM5O1</t>
  </si>
  <si>
    <t>1243578270714679301</t>
  </si>
  <si>
    <t>ÜLKEMİZİN 81 İLİNİN İL SAĞLIK MÜDÜRÜYLE dün telekonferans üzerinden bir toplantı yaptık. Riskleri, mücadele yöntemini değerlendirdik. Koronavirüs tehdidine karşı tüm illerimizde teyakkuz halindeyiz. https://t.co/MShkQITa0T</t>
  </si>
  <si>
    <t>1243425098905694208</t>
  </si>
  <si>
    <t>Test sayımız dün 5.035’ti. BUGÜN 7.286 olarak gerçekleşti. 1.196 yeni tanı kondu. Hastalar ve temas çevreleri izole edildi. 16 hastamızı kaybettik. Bu sonuçlarla can kaybımız 75’e, hasta sayımız 3.629’a ulaştı. Sizi ısrarla tedbirleri uygulamaya davet ediyorum.</t>
  </si>
  <si>
    <t>1243260712899825664</t>
  </si>
  <si>
    <t>N95 MASKESİ VE TULUM dâhil olmak üzere hastanelerimizin malzeme ihtiyacını karşılıyoruz. Maske konusunda ülkemiz yeterli ÜRETİM kapasitesine sahip. Vatandaşımızı, sağlık çalışanımızı malzemesiz bırakmamız söz konusu bile değil. SORUN ÇIKARAN karşısında devletimizi bulacaktır. https://t.co/pu4fwMNWFp</t>
  </si>
  <si>
    <t>1243190180812673024</t>
  </si>
  <si>
    <t>KİMLERE TEST YAPILMALI? “Testin gerekliliğine, şikayetlere bakarak, hekim karar verir. Siz, yaptırdığınız testin sonucuna güvenerek bilmeden risk oluşturabilirsiniz. Test yaptırmak yerine ne yapmalı? Herkes kendini virüs taşıyıcısı kabul ederek davranmalı.” DETAYLI CEVAP VİDEODA. https://t.co/gK5bfO7Jd8</t>
  </si>
  <si>
    <t>1243187699319701512</t>
  </si>
  <si>
    <t>Anneler, babalar, çocuklar, gençler, büyükler… SİZİ, İMKANSIZ OLANI YAPMAYA DAVET ETMİYORUM. Sizi çok basit tedbirleri uygulamaya davet ediyorum. Unutmayın: Aldığımız tedbir kadar güçlüyüz. https://t.co/0Btw72hzkz</t>
  </si>
  <si>
    <t>1243169168779862016</t>
  </si>
  <si>
    <t>Kuralları biliyoruz. İRADEMİZİ ORTAYA KOYMALIYIZ. Virüsün başkasından bize bulaşmasını, bizden yayılmasını önlemek kendi davranışımıza bağlıdır. HİÇBİR SAĞLIK KURUMU, HİÇBİR HEKİM virüsün size bulaşmasını önleyemez. Bunu siz önleyebilirsiniz. Lütfen mesajı RETWEET EDELİM. https://t.co/tYxceJxXFi</t>
  </si>
  <si>
    <t>1243152031495467009</t>
  </si>
  <si>
    <t>SON 24 SAATTE 5.035 test sonuçlandı. 561 tanı kondu. 15 hastamız hayata veda etti. Bugüne dek kaybettiğimiz hasta sayısı 59. Toplam hasta sayımız 2.433. SAYILAR, KAYIP ACISINI, ENDİŞEYİ İFADE EDEMEZ. Sıfır riskle yaşamaya çalışalım. Bizi hayata tedbir bağlar.</t>
  </si>
  <si>
    <t>1242914433325817859</t>
  </si>
  <si>
    <t>Dünya çapındaki bestecimiz Fazıl Say, Hayat Eve Sığar diyor. Kampanyamıza katıldığı için kendisine teşekkür ediyorum. Müziğin olduğu her yerde hayat güzeldir.</t>
  </si>
  <si>
    <t>1242895816286707713</t>
  </si>
  <si>
    <t>Hayat Eve Sığar  #HayatEveSığar https://t.co/v2hRUV3SUJ</t>
  </si>
  <si>
    <t>1242889527137570817</t>
  </si>
  <si>
    <t>Burak Özçivit ve Fahriye Evcen, Hayat Eve Sığar diyor. Kampanyamıza verdikleri destek için kendilerine teşekkür ediyorum.</t>
  </si>
  <si>
    <t>1242888176366227456</t>
  </si>
  <si>
    <t>Bilim Kurulu Toplantımızın ardından Koronavirüs ile ilgili son gelişmeleri ve aldığımız ortak tedbirleri Sayın Bakanımız Ziya Selçuk ile değerlendiriyoruz. 
📍SAĞLIK BAKANLIĞI BİLKENT YERLEŞKESİ / ANKARA https://t.co/aRKJBMpj17</t>
  </si>
  <si>
    <t>1242847914872975362</t>
  </si>
  <si>
    <t>Hayat Eve Sığar  #HayatEveSığar https://t.co/GthtrBsdnD</t>
  </si>
  <si>
    <t>1242824581066473472</t>
  </si>
  <si>
    <t>Bayrağına ve milletine olan sevdasıyla Türk siyaseti adına önemli bir değerdi. Acı kaybımızın yıl dönümünde Merhum Muhsin Yazıcıoğlu'nu saygı ve rahmetle anıyorum. https://t.co/uab9mARsFI</t>
  </si>
  <si>
    <t>1242808707341340678</t>
  </si>
  <si>
    <t>Kaç kişi? 195 ülkede her gün bu soruluyor. Kayıplar versek de Türkiye için geç değil. Tedbir, artışın önünü kesebilir. SON 24 SAATTE toplam 3.952 test yapıldı. 343 yeni tanı var. 7 hastamızı kaybettik. Biri KOAH hastasıydı. Altısı ileri yaştaydı. Aldığımız tedbir kadar güçlüyüz.</t>
  </si>
  <si>
    <t>1242528779148328960</t>
  </si>
  <si>
    <t>Mazhar Alanson, Hayat Eve Sığar dedi ve kampanyamıza katıldı. Desteği için kendisine teşekkür ediyorum. #HayatEveSığar</t>
  </si>
  <si>
    <t>1242518658880069635</t>
  </si>
  <si>
    <t>Hayat Eve Sığar  #HayatEveSığar https://t.co/r4C4N888hY</t>
  </si>
  <si>
    <t>1242495883381440513</t>
  </si>
  <si>
    <t>Saygıdeğer Binali Yıldırım’la eşi saygıdeğer Semiha Yıldırım Hanımefendi’nin üzüntülerini paylaşıyorum. Vefat eden kayınvalide ve anne Havva Hanım’a Allah’tan rahmet, geride kalanlara sağlıklı, uzun ömürler diliyorum.</t>
  </si>
  <si>
    <t>1242478751838916610</t>
  </si>
  <si>
    <t>Japonya’nın Ankara Büyükelçisi Bay Akio Miyajima ile Bakanlığımızda bir araya geldik. Koronavirüs tehdidine karşı yapılacak çalışmalar başta olmak üzere, insanlığın ortak yararı ilkesiyle geliştirebileceğimiz çalışmaları ele aldık. Bilgide, tecrübede birliktelik içinde olacağız. https://t.co/xcmKgpJDFU</t>
  </si>
  <si>
    <t>1242476948489560064</t>
  </si>
  <si>
    <t>BAKANLIĞIMIZIN AŞI ENSTİTÜSÜ, bilim dünyamızın COVID-19’a karşı AŞI GELİŞTİRMESİ İÇİN harekete geçti. Umut verici her bilimsel çabayı destekleyeceğiz. Maliye Bakanlığımız FON oluşturmaya hazır. https://t.co/LMWeKJsgZD</t>
  </si>
  <si>
    <t>1242447547479797762</t>
  </si>
  <si>
    <t>SOLUNUM CİHAZI, dünyanın bu salgında en çok ihtiyaç duyduğu tıbbi malzemelerden biri oldu. TÜRKİYE, olası bir durumda eksikliğini yaşamayalım diye yerli cihaz için seri ÜRETİME BAŞLIYOR. https://t.co/R79VoxEAQh</t>
  </si>
  <si>
    <t>1242444991995273216</t>
  </si>
  <si>
    <t>SAĞLIK ÇALIŞANLARIMIZIN MADDİ KOŞULLARINI daha iyi hale getirmek için harekete geçtik. Cumhurbaşkanımıza ve Maliye Bakanımıza bu konudaki hassasiyetleri için teşekkür ediyorum. BİR ÖNEMLİ GELİŞME DAHA: 32.000 sağlık profesyonelini işe alıyoruz. https://t.co/DJGflUhdMF</t>
  </si>
  <si>
    <t>1242386312285622272</t>
  </si>
  <si>
    <t>Mücadele şeklimizin parolası şu: TEK TEK, HEP BİRLİKTE! Tedbirleri her birimiz TEK TEK uyguluyoruz. Şahıs şahıs yaptıklarımızı bütün bir Türkiye, 83 Milyon HEP BİRLİKTE yapıyoruz. Yalnız değiliz. Bir araya gelmeden birlikteyiz. https://t.co/BMCxDYCk4P</t>
  </si>
  <si>
    <t>1242213572199043077</t>
  </si>
  <si>
    <t>“BÜYÜKLERİMİZE SESLENMEK İSTİYORUM: Bu toplumun sizin hayat tecrübenize ihtiyacı var. Evlatlarınızın vereceğiniz tavsiyelere ihtiyacı var. Torunlarınızın sevgi ve ilginize ihtiyacı var. Bunları hastayken yapamazsınız. Hayatınızı riske atmayın. Tedbirlere uyun.” HAYAT EVE SIĞAR. https://t.co/BXIBkrNx93</t>
  </si>
  <si>
    <t>1242201913774542848</t>
  </si>
  <si>
    <t>Hayat Eve Sığar. #HayatEveSığar https://t.co/TaLWe1Uhwl</t>
  </si>
  <si>
    <t>1242198043644121092</t>
  </si>
  <si>
    <t>Hayat Eve Sığar. #HayatEveSığar https://t.co/4vkafzU1KK</t>
  </si>
  <si>
    <t>1242196502275076097</t>
  </si>
  <si>
    <t>ŞİMDİKİ GENÇLER… Söze böyle başlayanların eline bugünlerde koz veriyorsunuz :) Koronavirüs konusunda fazlasıyla dikkatli olmanızı bekliyorum. Hayat demek, hareket demek. Eyvallah. Fakat bir süreliğine başka bir moda geçiyoruz. Özgürlük evimizde. HAYAT EVE SIĞAR.</t>
  </si>
  <si>
    <t>1242193842339790850</t>
  </si>
  <si>
    <t>SON 24 SAATTE 3.672 test sonuçlandı. 293 yeni tanı kondu. Çabalarımıza rağmen, hastalığa yenik düşen 7 insanımız daha oldu. GENÇLERE UYARIMIZ VAR: Salgının dışında değilsiniz. Hayatınızı yavaşlatın. Risk ortamına girmeyin. Riski evinize taşımayın. Evde kalın. Hayat eve sığar.</t>
  </si>
  <si>
    <t>1242185496715018241</t>
  </si>
  <si>
    <t>BUGÜN, ÇİN HALK CUMHURİYETİ’NİN ANKARA BÜYÜKELÇİSİ Sn. Deng Li ile bir araya geldik. Dünyayı tehdit eden Koronavirüs salgınına karşı iş birliğimizi artırma, dayanışmayı geliştirme konusunu ele aldık. İnsanlık bu sorunu bilgiyi ve deneyimi paylaşarak yenecek. https://t.co/EoapEe4nda</t>
  </si>
  <si>
    <t>1242163677463224321</t>
  </si>
  <si>
    <t>Bilim Kurulu Toplantımızın ardından Koronavirüs ile ilgili son gelişmeler ve aldığımız yeni tedbirlere ilişkin basın açıklamamız.
📍SAĞLIK BAKANLIĞI BİLKENT YERLEŞKESİ / ANKARA https://t.co/f9Uh92qyoD</t>
  </si>
  <si>
    <t>1242124881908678667</t>
  </si>
  <si>
    <t>BUGÜNE KADAR toplam 20.345 test yapıldı, 1.236 tanı kondu, hepsi yaşlı 30 hastamızı kaybettik. Hastalık ülkemizde yokken, “yok” dedik. Şimdi gün gün durumu açıklıyoruz. Şeffaflığımızla sizi tedbire de davet ediyoruz. Tedbirli olalım. Bu ülke, bu tehdide yenik düşmeyecek.</t>
  </si>
  <si>
    <t>1241806899215061009</t>
  </si>
  <si>
    <t>Yeni hayatlar kaybediyoruz. Vaka sayıları artıyor. Fakat mümkün olduğunca çok sayıda test yaptığımız unutulmamalı. Tedavi altına alınmış her hastayla, salgının önünü kesmiş oluyoruz. BUGÜN 9 YENİ VEFAT, 289 YENİ TANI VAR. Evimizde kalalım. Risk almayalım. Hayat eve sığar.</t>
  </si>
  <si>
    <t>1241803045907894272</t>
  </si>
  <si>
    <t>Hayat Eve Sığar. #HayatEveSığar https://t.co/o98SjNF6kC</t>
  </si>
  <si>
    <t>1241794721959329793</t>
  </si>
  <si>
    <t>Hayat Eve Sığar. #HayatEveSığar https://t.co/4F4Yt6jDVl</t>
  </si>
  <si>
    <t>1241790841879961600</t>
  </si>
  <si>
    <t>Hayat Eve Sığar. #HayatEveSığar https://t.co/kLVWPqvcjD</t>
  </si>
  <si>
    <t>1241787183859732486</t>
  </si>
  <si>
    <t>Bu mesaj Samsun’dan geldi. Mesajı herkes alsın istedik. https://t.co/LHKSX9rdfa</t>
  </si>
  <si>
    <t>1241729818615590912</t>
  </si>
  <si>
    <t>RT @fahrettinaltun: Söylentiler, kehanetler, komplo teorileri, kaynaksız ses kayıtları, duyumlar...
Koronavirüs ile ilgili medya mecraları…</t>
  </si>
  <si>
    <t>1241689661120163842</t>
  </si>
  <si>
    <t>RT @RTErdogan: Aziz vatandaşlarım, 
Müsterih olunuz. Devletimiz tüm kurumlarıyla görevinin başında, zaman mefhumu gözetmeksizin Milletinin…</t>
  </si>
  <si>
    <t>1241483390227972097</t>
  </si>
  <si>
    <t>Son 24 saatte 2.953 ŞÜPHELİYE TEST yapıldı. 277’si POZİTİF ÇIKTI. Hasta sayımız 947’ye ulaştı. Yaşlı hastalarımızdan 12’sini KAYBETTİK. Bugüne dek toplam 21 can kaybımız var. Yaşlılarımızı uyaralım. Sokağa çıkma sınırlandırmasına uysunlar. Ölüm riski, yaş yükseldikçe çok artıyor.</t>
  </si>
  <si>
    <t>1241454374284677121</t>
  </si>
  <si>
    <t>3. ALKIŞ İÇİN SAĞ OL TÜRKİYE! Sağlık çalışanlarımıza desteğimizi her fırsatta gösterelim. https://t.co/mdvXZDZU7i</t>
  </si>
  <si>
    <t>1241435864120594438</t>
  </si>
  <si>
    <t>SAAT 21.00 ALKIŞI İÇİN BALKONLARDAYIZ!
Sağlık çalışanlarımıza minnettarlığımızı hep birlikte gösterelim. Verdiğin destek için sağ ol Türkiye!</t>
  </si>
  <si>
    <t>1241423745836875776</t>
  </si>
  <si>
    <t>Koronavirüs salgınında ölüm riski, yaş yükseldikçe çok artıyor. https://t.co/CYhylO4qXK</t>
  </si>
  <si>
    <t>1241423492668698626</t>
  </si>
  <si>
    <t>Koronavirüs salgınında ölüm riski, yaş yükseldikçe çok artıyor. https://t.co/cORQzua4RF</t>
  </si>
  <si>
    <t>1241423158676271104</t>
  </si>
  <si>
    <t>Koronavirüs salgınında ölüm riski, yaş yükseldikçe çok artıyor. https://t.co/sUUs9uILzB</t>
  </si>
  <si>
    <t>1241422801690640387</t>
  </si>
  <si>
    <t>Bu kutlu gecede insanlığın önderi peygamberimiz Hz. Muhammed’i (SAV) saygı ve bağlılıkla anıyoruz. O, Miraçla, bizlere ruhen yücelme kapılarını sonuna kadar açmıştı. Kandiliniz kutlu, dualarınız kabul olsun.</t>
  </si>
  <si>
    <t>1241421278684291073</t>
  </si>
  <si>
    <t>Kız kardeşi Fikriye Dalgıç Hanımefendi’yi kaybeden CHP Genel Başkanı Sn. Kemal Kılıçdaroğlu'na başsağlığı diliyor, acısını paylaşıyorum. Bu kutlu gecede Allah tüm ölülerimize rahmet etsin.</t>
  </si>
  <si>
    <t>1241414261076832257</t>
  </si>
  <si>
    <t>Siyami Ersek Hastanesi’nde Koordinasyon Toplantımızı gerçekleştirdik. Bizler sahada ülkemiz için önlemler alırken, vatandaşlarımızın da aynı hassasiyetle evlerinde kalarak önlemlerini almalarını önemle rica ediyorum. https://t.co/EbbKIiEIVY</t>
  </si>
  <si>
    <t>1241389189188521984</t>
  </si>
  <si>
    <t>Son 24 saatte 3656 ŞÜPHELİYE TEST yapıldı. 311’i POZİTİF ÇIKTI. Hasta sayımız 670’e ulaştı. Yaşlı ve direnci zayıf 5 HASTAMIZI KAYBETTİK. Bugüne dek toplam 9 can kaybımız var. Tamamı yaşlılarımızdan. Yaşlılarımızı koruyalım. MÜCADELEMİZDE BİR AN BİLE ESNEKLİK GÖSTERMEYELİM.</t>
  </si>
  <si>
    <t>1241095676529958912</t>
  </si>
  <si>
    <t>ALKIŞLARIN EN BÜYÜĞÜ SN. CUMHURBAŞKANIMIZDAN GELDİ. Tüm sağlık çalışanlarımız adına kendisine şükranlarımızı sunuyorum.</t>
  </si>
  <si>
    <t>1241088218629537794</t>
  </si>
  <si>
    <t>RT @RTErdogan: Koronavirüs ile mücadelemizin özverili ve fedakar kahramanlarına, her türlü zorluğa ve sıkıntıya göğüs geren tüm sağlık çalı…</t>
  </si>
  <si>
    <t>1241084507182301185</t>
  </si>
  <si>
    <t>EN GÜÇLÜ ALKIŞ AYNI SAATTE YARIN! https://t.co/foibwMbVey</t>
  </si>
  <si>
    <t>1241082635985850375</t>
  </si>
  <si>
    <t>SAAT 21.00 ALKIŞI İÇİN SAĞ OL TÜRKİYE! Özverili sağlık çalışanlarımıza güç verdin. En güçlü alkış aynı saatte yarın!</t>
  </si>
  <si>
    <t>1241070207008980995</t>
  </si>
  <si>
    <t>SAAT 21.00 ALKIŞINDA BULUŞALIM
Sağlık çalışanlarımızın mesaisi gece gündüz devam ediyor. Saat 21.00’da, haydi bir alkış daha! Minnettarlığımızın sesini bu akşam ve yarın bir kez daha duyuralım.</t>
  </si>
  <si>
    <t>1241060211206557696</t>
  </si>
  <si>
    <t>Son 24 saatte yapılan 1.981 TESTTEN 168’İ POZİTİF ÇIKTI. 191 olan hasta sayımız 359’a ulaştı. Hastalarımızdan 85 yaşındaki bir hanımefendiyi kaybettik. Daha önce vefat eden bir hasta COVID-19 olarak değerlendirildi. Toplam kaybımız maalesef 4 oldu. Acımız arttı ama başaracağız.</t>
  </si>
  <si>
    <t>1240743510476640256</t>
  </si>
  <si>
    <t>SAAT 21.00 ALKIŞI İÇİN SAĞ OL TÜRKİYE!
Sağlık çalışanlarımıza minnettarlığımızın sesi yarın, ertesi gün aynı saatte tekrar duyulsun! (İstanbul) https://t.co/W4ywBeErDA</t>
  </si>
  <si>
    <t>1240741075611942914</t>
  </si>
  <si>
    <t>SAAT 21.00 ALKIŞI İÇİN SAĞ OL TÜRKİYE!
Sağlık çalışanlarımıza minnettarlığımızın sesi yarın, ertesi gün aynı saatte tekrar duyulsun! (Van) https://t.co/yPFRmnLuzg</t>
  </si>
  <si>
    <t>1240739747057807365</t>
  </si>
  <si>
    <t>SAAT 21.00 ALKIŞI İÇİN SAĞ OL TÜRKİYE!
Sağlık çalışanlarımıza minnettarlığımızın sesi yarın, ertesi gün aynı saatte tekrar duyulsun! (Konya) https://t.co/JrMmN41Xrl</t>
  </si>
  <si>
    <t>1240737313778536453</t>
  </si>
  <si>
    <t>SAAT 21.00 ALKIŞI İÇİN SAĞ OL TÜRKİYE! Şehir şehir, ev ev çağrımıza uydun. Özverili sağlık çalışanlarımıza alkışınla güç verdin. Yarın, ertesi gün aynı saatte minnettarlığımızın sesi tekrar duyulsun! ÜST ÜSTE ÜÇ GÜN ALKIŞLAYALIM!</t>
  </si>
  <si>
    <t>1240717932239470600</t>
  </si>
  <si>
    <t>ALKIŞLAYALIM! NE KADAR ALKIŞLASAK AZDIR! Bugün saat 14’te Meclis’teki konuşmamda milletimin temsilcilerini özverili Sağlık Çalışanlarımızı alkışlamaya davet ettim. Şimdi tam 21.00’da milletimizi, bu alkış sesini Türkiye çapında, balkonlardan yükseltmeye davet ediyorum. https://t.co/Q0XBlxaJwF</t>
  </si>
  <si>
    <t>1240699520691757056</t>
  </si>
  <si>
    <t>Türkiye Büyük Millet Meclisi Genel Kurulu'nda Koronavirüs vakası ile ilgili konuşmamızın ardından milletvekillerimizin sorularını yanıtlıyoruz. 
📍TBMM https://t.co/E7HdV6pg3h</t>
  </si>
  <si>
    <t>1240634966092009479</t>
  </si>
  <si>
    <t>Türkiye Büyük Millet Meclisi Genel Kurulu'nda Koronavirüs vakası ile ilgili milletvekillerimizi ve kamuoyunu bilgilendiriyoruz.
📍TBMM https://t.co/RDjRtWZihb</t>
  </si>
  <si>
    <t>1240595930023411712</t>
  </si>
  <si>
    <t>61 YAŞINDA erkek bir hastamızı kaybettik. Kendisine Allah’tan rahmet diliyorum. Bugün sonuçlanan testler, tedbirlerin çok zorunlu olduğunu gösteriyor. Tanı konup tedavilerine başlanan 93 YENİ VAKAMIZ var. Hasta sayımız 191’e ulaştı. Riskin önünü birlikte keselim.</t>
  </si>
  <si>
    <t>1240369082916057089</t>
  </si>
  <si>
    <t>Bugüne kadar mücadelesini verip de başaramadığımız bir şey olmadı.
Çanakkale Zaferi’nin 105. Yılı kutlu olsun. https://t.co/zpd1nG8GtB</t>
  </si>
  <si>
    <t>1240325092418215936</t>
  </si>
  <si>
    <t>RT @RTErdogan: Koronavirüsle Mücadele Eşgüdüm Toplantısı https://t.co/SUrASNpPbW</t>
  </si>
  <si>
    <t>1240296356998242304</t>
  </si>
  <si>
    <t>“Bu cümleyi bu toplumun Sağlık Bakanı olmak yanında bir hekim olarak da kuruyorum: Koronavirüsle mücadelemizde bugün ilk kez bir hastamı kaybettim. Kendisi 89 yaşındaydı. Virüsü, Çin temaslı bir çalışanından aldı. İLK KAYBIMIZ OLAN beyefendiye Allah’tan rahmet diliyorum.” https://t.co/Y0zkghFbaI</t>
  </si>
  <si>
    <t>1240075816798769160</t>
  </si>
  <si>
    <t>“BUGÜN yapılan testlerde POZİTİF SONUÇ 51’dir. TOPLAM HASTA SAYIMIZ 98 olmuştur. Hastalığın ağır seyrettiği kişiler, direnci düşük ve başka hastalığı olan kişilerdir. Yaşlılar yüksek risk grubundandır. Herkesi tedbirlere harfiyen uymaya davet ediyorum.” (17 Mart 2020) https://t.co/hC2GoVGHP2</t>
  </si>
  <si>
    <t>1240072588933705730</t>
  </si>
  <si>
    <t>Koronavirüs vakası ile ilgili son gelişmeleri paylaşıyoruz. 
📍SAĞLIK BAKANLIĞI BİLKENT YERLEŞKESİ / ANKARA  https://t.co/RAb8agQ6FB</t>
  </si>
  <si>
    <t>1240019772651311105</t>
  </si>
  <si>
    <t>6 ülkeyle daha aramıza UÇUŞ YASAĞI kondu: İNGİLTERE, İRLANDA, İSVİÇRE, SUUDİ ARABİSTAN, MISIR, BİRLEŞİK ARAP EMİRLİKLERİ. Aramıza uçuş yasağı konan ülke sayısı bu sabah sekiz itibariyle 14’ten 20’YE ÇIKTI. Siz de tedbirleri sıkı tutun! https://t.co/zNwzLiuIk6</t>
  </si>
  <si>
    <t>1239929127261650945</t>
  </si>
  <si>
    <t>Salgın vakalarında olayların KONTROLDEN ÇIKMASININ BELLİ BAŞLI FAKTÖRLERİNDEN BİRİ PANİKTİR. Tedbir ve panik, birbirinin zıddıdır. Tedbirlere uyarsak HASTALIĞIN YAYILIMINI KONTROL ALTINA ALABİLİRİZ. Virüsle temas ihtimallerini sıfırlamak zorundayız. https://t.co/ou0MRlFNij</t>
  </si>
  <si>
    <t>1239925900537446401</t>
  </si>
  <si>
    <t>TESPİT EDİLEN HER VAKA TOPLUM İÇİN RİSK OLMAKTAN ÇIKMIŞTIR. Her yeni tanı üzücü fakat sizin için bir güvencedir. Salgınlarda olaylar panikle kontrolden çıkar. Tedbir ve panik, birbirinin zıttıdır. Tedbirleri SIKI tutalım. Virüsle temas ihtimalini SIFIRLAYALIM.</t>
  </si>
  <si>
    <t>1239673869960708109</t>
  </si>
  <si>
    <t>Bugün 29 yeni tanı kondu. Yeni tanı konanlarla birlikte toplam hasta sayımız 47 oldu. Son 29 vakanın tamamı doğrudan veya dolaylı olarak ABD, Ortadoğu ve Avrupa temaslıdır, 3’ü Umreden döndü. Yurt dışı teması risk olmaya devam edecek. Tedbirleri sıkı uygulayalım.</t>
  </si>
  <si>
    <t>1239654954475884550</t>
  </si>
  <si>
    <t>RT @fahrettinaltun: Sayın Cumhurbaşkanımız @RTErdogan Çarşamba günü yeni tip Koronavirüs ile mücadele çerçevesinde kapsamlı bir eşgüdüm top…</t>
  </si>
  <si>
    <t>1239651274943070215</t>
  </si>
  <si>
    <t>TANER ÖLMEZ de bizim söylediklerimizi söylüyor.
Koronavirüs Riskinden Korunmak İçin 14 Kural
RETWEET’LEYİN, Koronavirüsün yayılmasını önleyin. https://t.co/t8tQ7dywqt</t>
  </si>
  <si>
    <t>1239619552662761474</t>
  </si>
  <si>
    <t>TİMUÇİN ESEN de bizim söylediklerimizi söylüyor:
Yurt Dışından Dönüşlerde 14 Gün Kuralı
RETWEET’LEYİN, Koronavirüsün yayılmasını önleyin. https://t.co/HcVVIsnj80</t>
  </si>
  <si>
    <t>1239616934741762048</t>
  </si>
  <si>
    <t>Bilim Kurulu toplantımızın ardından Koronavirüs ile ilgili aldığımız yeni tedbirler ve gelişmeler hakkında basın açıklamamız. 
📍SAĞLIK BAKANLIĞI BİLKENT YERLEŞKESİ / ANKARA https://t.co/1SVt17wwbR</t>
  </si>
  <si>
    <t>1239598018959204353</t>
  </si>
  <si>
    <t>Sosyal medya ve Whatsapp’tan yayılan “GİZLİ” belge GERÇEK DIŞIDIR. Panik yaratacağı bilinerek UYDURULMUŞTUR. Güven kaybına yol açarak, 82 milyonun zaafa düşmesini amaçlayanlar var. Hassasiyetinizle oynayanlar var. Şans tanımayın. DOĞRU HABER, RESMEN YAPILAN AÇIKLAMADIR. https://t.co/JX14WEFz6f</t>
  </si>
  <si>
    <t>1239477968403120129</t>
  </si>
  <si>
    <t>Az önce açıklanan ve yeni olan vaka sayısı, toplam 12’dir. Bunlardan 2’si ilk vakamızın temas çevresindendir. Şu ana kadar toplam vaka sayımızsa 18’dir. Vaka sayısı bilgisi açık, tam olarak bu şekildedir.</t>
  </si>
  <si>
    <t>1239302574030958593</t>
  </si>
  <si>
    <t>Açıkladığımız ilk vakanın gözlem altında tutulan çevresindeki iki kişiye tanı konmuştur. Avrupa ülkelerinden gelmiş yedi, Amerika’dan gelmiş üç vakamız var. Durum üzücü ama… Tespit edilmiş her vaka, her izolasyon hepimiz için emniyettir.</t>
  </si>
  <si>
    <t>1239293717611151360</t>
  </si>
  <si>
    <t>UMREDEN DAHA ÖNCE DÖNENLER tıpkı şimdi dönenler gibi sağlık taramasından geçirildi. Şüphelilerin testleri yapıldı. Umre ziyaretçileri virüse karşı tedbirlerini ise seyahatlerinde SAĞLIK EKİPLERİMİZİN VERDİĞİ EĞİTİMLE aldı. Ülkede İlk 14 Günü henüz doldurmayanları TAKİP EDİYORUZ.</t>
  </si>
  <si>
    <t>1239155473082986496</t>
  </si>
  <si>
    <t>UMREDEN dün geceden itibaren dönen tüm yolcular, Ankara ve Konya’daki ÖĞRENCİ YURTLARINDA KARANTİNA MANTIĞIYLA ayrı odalara yerleştirilmektedir. Şüpheli bulunanlar gelir gelmez hastaneye kaldırılıp, testleri yapılmaktadır. Tedbirlerde hep birlikte tavizsiz olalım!</t>
  </si>
  <si>
    <t>1239119161718169600</t>
  </si>
  <si>
    <t>UMREDEN YENİ DÖNDÜYSENİZ 14 Gün Kuralına uymanızı ısrarla istiyoruz. Son bir hafta içinde dönen bir yurttaşımızın testi MAALESEF POZİTİF çıktı. Yeni vakalardan endişeliyiz. Lütfen ziyaretçi kabul etmeyin. Sağlık taramasından geçmiş olmak sıfır risk anlamına gelmez.</t>
  </si>
  <si>
    <t>1238931031442575366</t>
  </si>
  <si>
    <t>Sağlık Bakanlığı, Koronavirüs risk taramasını çat kapı değil, planlayarak yapmaktadır. Sizi 184’ten arayıp bilgilendiriyor, ondan sonra geliyoruz. SABİM-184’ten size TELEFON GELMEMİŞSE, test amacıyla geldiğini söyleyenleri içeri almayın. KÖTÜ NİYETLİLERE KARŞI DA TEDBİRLİ OLALIM!</t>
  </si>
  <si>
    <t>1238882285199523841</t>
  </si>
  <si>
    <t>Size benzemek istemeyen biri var mı?
14 Mart Tıp Bayramınız kutlu olsun. https://t.co/XPG39BUF9Q</t>
  </si>
  <si>
    <t>1238774258588954624</t>
  </si>
  <si>
    <t>Sizi ve Türkiye'yi Koronavirüs riskinden koruyacak 14 Kural. İZLEYİN, RETWEET’LEYİN. https://t.co/dq18Nk5ti3</t>
  </si>
  <si>
    <t>1238732243796983808</t>
  </si>
  <si>
    <t>Koronavirüs riskine karşı yurt dışından dönüşlerde 14 Gün Kuralı. İZLEYİN, RETWEET’LEYİN. https://t.co/oFGsM1eCcr</t>
  </si>
  <si>
    <t>1238729184836489217</t>
  </si>
  <si>
    <t>YURT DIŞINA GİDİŞ DÖNÜŞ UYARIMIZDA KESİNLİKLE ISRARCIYIZ. 1 seyahat, 1 kişi ve 1 tek risk değildir. Sonucu 82 milyonu etkileyebilecek bir risktir. Mümkünse hiçbir ülkeye gitmeyelim. Yurt dışındaysak orada tedbir alalım. TEDBİRLERİ NE KADAR SIKI TUTARSAK, TEHDİT O KADAR ZAYIFLAR. https://t.co/WjZh0wcAtB</t>
  </si>
  <si>
    <t>1238698887449362432</t>
  </si>
  <si>
    <t>ÖNÜMÜZDEKİ 4-5 HAFTA son derece önemli. Bu dönemde virüsten korunma kurallarını çok sıkı bir şekilde uygulamak zorundayız. Bunu yaparsak tablo değişecektir. TEDBİRLERİ NE KADAR SIKI TUTARSAK, TEHDİT O KADAR ZAYIFLAR. https://t.co/7XkWPHQCWZ</t>
  </si>
  <si>
    <t>1238581182142521346</t>
  </si>
  <si>
    <t>ABD, 54 ÜLKEYE SEYAHAT KISITLAMASI koyarken, Türkiye konusunda kaygısı yok. Riskli ülke listesinde yer almıyoruz. Tabi, bu süreçte, eskisi kadar konuksever olmayabiliriz. Kapımız, dünyadan her gelene açık değil. TEDBİRLERİ NE KADAR SIKI TUTARSAK, TEHDİT O KADAR ZAYIFLAR. https://t.co/wwcJbWnxkD</t>
  </si>
  <si>
    <t>1238578682702237696</t>
  </si>
  <si>
    <t>SON 24 SAAT İÇİNDE AVRUPA’DA yeni vakalar: İspanya: 825, Hollanda: 111, Danimarka: 232, İtalya: 2.651, Belçika: 47, Norveç: 85, Avusturya: 179, Fransa: 591, Almanya: 802… Gidiş-dönüş yasak kapsamını genişletiyoruz. TEDBİRLERİ NE KADAR SIKI TUTARSAK, TEHDİT O KADAR ZAYIFLAR. https://t.co/TKWHVctB4s</t>
  </si>
  <si>
    <t>1238576054010249229</t>
  </si>
  <si>
    <t>Bilim Kurulu Toplantımızın ardından Koronavirüs ile ilgili son gelişmeleri ve aldığımız ortak tedbirleri Sayın Bakanlarımızla değerlendiriyoruz. 
📍SAĞLIK BAKANLIĞI BİLKENT YERLEŞKESİ / ANKARA https://t.co/sOfOCbu3cS</t>
  </si>
  <si>
    <t>1238484199079804931</t>
  </si>
  <si>
    <t>RETWEET edin, Koronavirüsten korunmanın 14 Kuralı yayılsın. https://t.co/Dl8kT6jQJJ</t>
  </si>
  <si>
    <t>1238444754674876416</t>
  </si>
  <si>
    <t>RETWEET edin, yurt dışından dönüşlerde 14 Gün Kuralı yayılsın. https://t.co/YnNsFcyNe7</t>
  </si>
  <si>
    <t>1238443247472705541</t>
  </si>
  <si>
    <t>DÜN AKŞAM sonuçlanan test, üzücü bir öngörüyü doğruladı. Bir hastamız daha var. İlk hastamızın, tanı konur konmaz takibe alınan çevresindendir. Virüsün olası yayılımını bu sınırlar içinde tutabilmek için gerekli tedbirlere başvurduk. Sorunun üstesinden birlikte geleceğiz.</t>
  </si>
  <si>
    <t>1238336845131534336</t>
  </si>
  <si>
    <t>SAYIN CUMHURBAŞKANIMIZIN BAŞKANLIĞINDA, gün içinde bir zirve gerçekleştirdik. Küresel Koronavirüs salgınına karşı yeni ulusal tedbirleri karara bağladık. Türkiye’nin risklere karşı güven düzeyi daha da artacak. Tedbirleri sıkı tutalım. Sorun kontrolümüz altında kalsın. https://t.co/5v3Sv5zJ0s</t>
  </si>
  <si>
    <t>1238224165011951618</t>
  </si>
  <si>
    <t>2 AY DİRENELİM. YAZIN VİRÜSÜN ETKİSİ AZALIYOR. Bilim Kurulumuzun öngörüsü bu yöndedir. Bu hastalık daha çok bir kış enfeksiyonu. Tedbir alırsak, yayılmayı önlersek, büyük olasılıkla, 2 ayda hayat normale döner. https://t.co/6ewRJ9arpd</t>
  </si>
  <si>
    <t>1238042198714847233</t>
  </si>
  <si>
    <t>MEDYA, BU ULUSAL MÜCADELENİN ANA AKTÖRLERİNDEN BİRİDİR. Biz süreci bugüne dek birlikte yürüttük. Şeffaf davrandık, destek kazandık. İş birliğimiz aynı ilkelerle devam edecek. Güvenilir bilginin aracı saygın medyadır. Medyanın saygın mensuplarıdır. Sizlersiniz. https://t.co/ETQXYO56Rr</t>
  </si>
  <si>
    <t>1237997706037145600</t>
  </si>
  <si>
    <t>Süreci, Bilim Kurulumuzda aldığımız kararlarla yönetiyoruz. Konu siyaset üstüdür. Çözüm, dayanışmadır. Mücadelenin koşulu tedbirdir. Stratejimiz şeffaflıktır. SAĞLIK SİSTEMİMİZE, BİLİM İNSANLARIMIZA GÜVENELİM. https://t.co/S7Ry2jlZws</t>
  </si>
  <si>
    <t>1237834132157345793</t>
  </si>
  <si>
    <t>Herhangi bir virüse karşı etkili olabilen antibiyotik veya ilaç yok. Karşı karşıya olduğumuz olayda, virüse karşı öncelikli, etkili ilaç; hastalığın bulaşmasını, yayılmasını önleyecek güvenilir bilgidir. DOĞRU BİLGİ, İLAÇ DEĞERİNDEDİR. https://t.co/dzx9cqaehj</t>
  </si>
  <si>
    <t>1237831227203375104</t>
  </si>
  <si>
    <t>Dün, ilk kez bir basın toplantısını gece saatlerinde yaptık. Geçen 90 gün boyunca tereddütsüz gösterdiğimiz şeffaflığın gereğini yerine getirdik. Devletimiz, pozitif tanı bilgisini kamuoyuna vermekte tereddüt etmedi. BU MÜCADELEDE ŞEFFAFLIK ŞARTTIR. https://t.co/oyS3SIyHYW</t>
  </si>
  <si>
    <t>1237828438553178114</t>
  </si>
  <si>
    <t>Bilim Kurulu Toplantımızın ardından Koronavirüs ile ilgili son gelişmeleri ve aldığımız ortak tedbirleri Sayın Bakanlarımızla değerlendiriyoruz. 
📍SAĞLIK BAKANLIĞI BİLKENT YERLEŞKESİ / ANKARA https://t.co/MA5L3ADeRa</t>
  </si>
  <si>
    <t>1237744018697658368</t>
  </si>
  <si>
    <t>Hızlı yayılan bulaşıcı hastalıklara karşı başarıyı 4 şey tesis eder. Güçlü tedbir, süratli müdahale, yaygın sağlık altyapısı, güven verici bilgilendirme. Bu 4'üne de sahibiz. Tedbirde birlikteyiz. Mücadeleyi birlikte vereceğiz. HER ÖNEMLİ OLAYI SİZE TİTİZLİKTE BİLDİRECEĞİZ.</t>
  </si>
  <si>
    <t>1237723990858305536</t>
  </si>
  <si>
    <t>Cumhurbaşkanımız Sayın @RTErdogan, bugünkü AK Parti Grup Toplantısı’nda yaptığı konuşmaya, ülkemizdeki Koronavirüs gündemini ele alarak başladı. Yarın, ilgili bakanlar ve kurumlarımızla, kendilerinin başkanlığında bir toplantı yapacağız. https://t.co/hkTbiG5FkD</t>
  </si>
  <si>
    <t>1237702176899825664</t>
  </si>
  <si>
    <t>Bir veya birkaç vaka, salgın değildir. Durum sadece virüsün ülkemiz sınırlarına girdiği anlamına gelir. İzole edilmiş vakada tek anlam budur. Yapmamız gereken, hayatımızı tedbirler doğrultusunda düzene sokmaktır. KORONAVİRÜS, ALACAĞIMIZ TEDBİRLERDEN DAHA GÜÇLÜ DEĞİLDİR. https://t.co/iJEeMTd3NW</t>
  </si>
  <si>
    <t>1237669168738193408</t>
  </si>
  <si>
    <t>Ülkemiz, olası vaka için tedbirlerini önceden almıştı. Hastalığın herhangi bir yerde görülmesi durumuna karşı sağlık personeli eğitilmiştir. Hastane, karantina hazırlıkları tamamlanmıştır. Bir veya birkaç vaka, salgın değildir. KARANTİNAYA ALINMIŞ HASTA, TOPLUMU TEHDİT EDEMEZ. https://t.co/uJbdTitu12</t>
  </si>
  <si>
    <t>1237653291649183745</t>
  </si>
  <si>
    <t>Dün, bir vatandaşımızın test sonucu pozitif çıktı. Virüsü, Avrupa teması üzerinden aldığı bilinmektedir. Dış dünyadan izole edilmiştir. Ailesi gözetim altındadır. Karantinaya alınmış hasta, toplumu tehdit edemez. HABER ÜZÜCÜDÜR, KORKUTUCU DEĞİLDİR. https://t.co/NsmG8hqIfw</t>
  </si>
  <si>
    <t>1237637571410309120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</si>
</sst>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Arial"/>
    </font>
    <font>
      <sz val="10"/>
      <color theme="1"/>
      <name val="Arial"/>
    </font>
    <font>
      <sz val="11"/>
      <color theme="1"/>
      <name val="Calibri"/>
    </font>
    <font>
      <u/>
      <sz val="10"/>
      <color rgb="FF0000FF"/>
      <name val="Arial"/>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applyAlignment="1"/>
    <xf numFmtId="164" fontId="1" fillId="0" borderId="0" xfId="0" applyNumberFormat="1"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co/4zP3urNZwg" TargetMode="External"/><Relationship Id="rId18" Type="http://schemas.openxmlformats.org/officeDocument/2006/relationships/hyperlink" Target="https://t.co/3tt1w2fncx" TargetMode="External"/><Relationship Id="rId26" Type="http://schemas.openxmlformats.org/officeDocument/2006/relationships/hyperlink" Target="https://t.co/Pa26HqmVMT" TargetMode="External"/><Relationship Id="rId39" Type="http://schemas.openxmlformats.org/officeDocument/2006/relationships/hyperlink" Target="https://t.co/yQvwEcQ6pE" TargetMode="External"/><Relationship Id="rId21" Type="http://schemas.openxmlformats.org/officeDocument/2006/relationships/hyperlink" Target="https://t.co/YZi25Gedyp" TargetMode="External"/><Relationship Id="rId34" Type="http://schemas.openxmlformats.org/officeDocument/2006/relationships/hyperlink" Target="https://t.co/IDHckYOHwq" TargetMode="External"/><Relationship Id="rId42" Type="http://schemas.openxmlformats.org/officeDocument/2006/relationships/hyperlink" Target="https://t.co/GrnD12YZTY" TargetMode="External"/><Relationship Id="rId47" Type="http://schemas.openxmlformats.org/officeDocument/2006/relationships/hyperlink" Target="https://t.co/j1nfEgEdAw" TargetMode="External"/><Relationship Id="rId50" Type="http://schemas.openxmlformats.org/officeDocument/2006/relationships/hyperlink" Target="https://t.co/B36iearZZu" TargetMode="External"/><Relationship Id="rId55" Type="http://schemas.openxmlformats.org/officeDocument/2006/relationships/hyperlink" Target="https://t.co/qS6u7kVIOl" TargetMode="External"/><Relationship Id="rId7" Type="http://schemas.openxmlformats.org/officeDocument/2006/relationships/hyperlink" Target="https://t.co/2TXWyHb67h" TargetMode="External"/><Relationship Id="rId12" Type="http://schemas.openxmlformats.org/officeDocument/2006/relationships/hyperlink" Target="https://t.co/Er4nSJURuL" TargetMode="External"/><Relationship Id="rId17" Type="http://schemas.openxmlformats.org/officeDocument/2006/relationships/hyperlink" Target="https://t.co/bw8d2mckK7" TargetMode="External"/><Relationship Id="rId25" Type="http://schemas.openxmlformats.org/officeDocument/2006/relationships/hyperlink" Target="https://t.co/AEeyXpiyA1" TargetMode="External"/><Relationship Id="rId33" Type="http://schemas.openxmlformats.org/officeDocument/2006/relationships/hyperlink" Target="https://t.co/dbYdruJaaC" TargetMode="External"/><Relationship Id="rId38" Type="http://schemas.openxmlformats.org/officeDocument/2006/relationships/hyperlink" Target="https://t.co/bTV4ZSrUoq" TargetMode="External"/><Relationship Id="rId46" Type="http://schemas.openxmlformats.org/officeDocument/2006/relationships/hyperlink" Target="https://t.co/QyyvwnvMmK" TargetMode="External"/><Relationship Id="rId2" Type="http://schemas.openxmlformats.org/officeDocument/2006/relationships/hyperlink" Target="https://t.co/MOvzPARvQs" TargetMode="External"/><Relationship Id="rId16" Type="http://schemas.openxmlformats.org/officeDocument/2006/relationships/hyperlink" Target="https://t.co/tfsJcl03zP" TargetMode="External"/><Relationship Id="rId20" Type="http://schemas.openxmlformats.org/officeDocument/2006/relationships/hyperlink" Target="https://t.co/3XvMJZcCQj" TargetMode="External"/><Relationship Id="rId29" Type="http://schemas.openxmlformats.org/officeDocument/2006/relationships/hyperlink" Target="https://t.co/WdCcXU71bC" TargetMode="External"/><Relationship Id="rId41" Type="http://schemas.openxmlformats.org/officeDocument/2006/relationships/hyperlink" Target="https://t.co/EHMoWGk6NJ" TargetMode="External"/><Relationship Id="rId54" Type="http://schemas.openxmlformats.org/officeDocument/2006/relationships/hyperlink" Target="https://t.co/FxBqugicnw" TargetMode="External"/><Relationship Id="rId1" Type="http://schemas.openxmlformats.org/officeDocument/2006/relationships/hyperlink" Target="https://t.co/ZkBT2pfn7f" TargetMode="External"/><Relationship Id="rId6" Type="http://schemas.openxmlformats.org/officeDocument/2006/relationships/hyperlink" Target="https://t.co/1olZiwiXtH" TargetMode="External"/><Relationship Id="rId11" Type="http://schemas.openxmlformats.org/officeDocument/2006/relationships/hyperlink" Target="https://t.co/Ga4YX99Hlh" TargetMode="External"/><Relationship Id="rId24" Type="http://schemas.openxmlformats.org/officeDocument/2006/relationships/hyperlink" Target="https://t.co/IKCNLnTGYZ" TargetMode="External"/><Relationship Id="rId32" Type="http://schemas.openxmlformats.org/officeDocument/2006/relationships/hyperlink" Target="https://t.co/RYJk9o2kSd" TargetMode="External"/><Relationship Id="rId37" Type="http://schemas.openxmlformats.org/officeDocument/2006/relationships/hyperlink" Target="https://t.co/hYcFfznaHx" TargetMode="External"/><Relationship Id="rId40" Type="http://schemas.openxmlformats.org/officeDocument/2006/relationships/hyperlink" Target="https://t.co/EYw0cxHQs1" TargetMode="External"/><Relationship Id="rId45" Type="http://schemas.openxmlformats.org/officeDocument/2006/relationships/hyperlink" Target="https://t.co/pQl3wYpLbM" TargetMode="External"/><Relationship Id="rId53" Type="http://schemas.openxmlformats.org/officeDocument/2006/relationships/hyperlink" Target="https://t.co/fRF00sjzbz" TargetMode="External"/><Relationship Id="rId5" Type="http://schemas.openxmlformats.org/officeDocument/2006/relationships/hyperlink" Target="https://t.co/h9zwxCvy7v" TargetMode="External"/><Relationship Id="rId15" Type="http://schemas.openxmlformats.org/officeDocument/2006/relationships/hyperlink" Target="https://t.co/3p4fcUvLGv" TargetMode="External"/><Relationship Id="rId23" Type="http://schemas.openxmlformats.org/officeDocument/2006/relationships/hyperlink" Target="https://t.co/LiSZtqQikV" TargetMode="External"/><Relationship Id="rId28" Type="http://schemas.openxmlformats.org/officeDocument/2006/relationships/hyperlink" Target="https://t.co/jZimdpn5os" TargetMode="External"/><Relationship Id="rId36" Type="http://schemas.openxmlformats.org/officeDocument/2006/relationships/hyperlink" Target="https://t.co/fV08OkP27B" TargetMode="External"/><Relationship Id="rId49" Type="http://schemas.openxmlformats.org/officeDocument/2006/relationships/hyperlink" Target="https://t.co/RhJyFStDd8" TargetMode="External"/><Relationship Id="rId10" Type="http://schemas.openxmlformats.org/officeDocument/2006/relationships/hyperlink" Target="https://t.co/7MJj9UlN0B" TargetMode="External"/><Relationship Id="rId19" Type="http://schemas.openxmlformats.org/officeDocument/2006/relationships/hyperlink" Target="https://t.co/OPTh4noYEe" TargetMode="External"/><Relationship Id="rId31" Type="http://schemas.openxmlformats.org/officeDocument/2006/relationships/hyperlink" Target="https://t.co/v29BsHbmtr" TargetMode="External"/><Relationship Id="rId44" Type="http://schemas.openxmlformats.org/officeDocument/2006/relationships/hyperlink" Target="https://t.co/BnJ6lcrsnz" TargetMode="External"/><Relationship Id="rId52" Type="http://schemas.openxmlformats.org/officeDocument/2006/relationships/hyperlink" Target="https://t.co/GJmiPmvaei" TargetMode="External"/><Relationship Id="rId4" Type="http://schemas.openxmlformats.org/officeDocument/2006/relationships/hyperlink" Target="https://t.co/9PCD7DnGUE" TargetMode="External"/><Relationship Id="rId9" Type="http://schemas.openxmlformats.org/officeDocument/2006/relationships/hyperlink" Target="https://t.co/guYZK0aPum" TargetMode="External"/><Relationship Id="rId14" Type="http://schemas.openxmlformats.org/officeDocument/2006/relationships/hyperlink" Target="https://t.co/ACx7jWi4qj" TargetMode="External"/><Relationship Id="rId22" Type="http://schemas.openxmlformats.org/officeDocument/2006/relationships/hyperlink" Target="https://t.co/kC9FhECGYf" TargetMode="External"/><Relationship Id="rId27" Type="http://schemas.openxmlformats.org/officeDocument/2006/relationships/hyperlink" Target="https://t.co/TXbwfZ8voL" TargetMode="External"/><Relationship Id="rId30" Type="http://schemas.openxmlformats.org/officeDocument/2006/relationships/hyperlink" Target="https://t.co/AAB2kpShkG" TargetMode="External"/><Relationship Id="rId35" Type="http://schemas.openxmlformats.org/officeDocument/2006/relationships/hyperlink" Target="https://t.co/pfL3TH4s4L" TargetMode="External"/><Relationship Id="rId43" Type="http://schemas.openxmlformats.org/officeDocument/2006/relationships/hyperlink" Target="https://t.co/ts3CmRwYUN" TargetMode="External"/><Relationship Id="rId48" Type="http://schemas.openxmlformats.org/officeDocument/2006/relationships/hyperlink" Target="https://t.co/5AiAAWtzPc" TargetMode="External"/><Relationship Id="rId56" Type="http://schemas.openxmlformats.org/officeDocument/2006/relationships/hyperlink" Target="https://t.co/IuGiNSG4Qz" TargetMode="External"/><Relationship Id="rId8" Type="http://schemas.openxmlformats.org/officeDocument/2006/relationships/hyperlink" Target="https://t.co/UriHdxLrNT" TargetMode="External"/><Relationship Id="rId51" Type="http://schemas.openxmlformats.org/officeDocument/2006/relationships/hyperlink" Target="https://t.co/MNRIw62u6z" TargetMode="External"/><Relationship Id="rId3" Type="http://schemas.openxmlformats.org/officeDocument/2006/relationships/hyperlink" Target="https://t.co/XnnO2neYd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01"/>
  <sheetViews>
    <sheetView tabSelected="1" workbookViewId="0">
      <selection activeCell="E2" sqref="E2"/>
    </sheetView>
  </sheetViews>
  <sheetFormatPr defaultColWidth="12.625" defaultRowHeight="15" customHeight="1" x14ac:dyDescent="0.2"/>
  <cols>
    <col min="1" max="1" width="17.75" customWidth="1"/>
    <col min="2" max="2" width="10" customWidth="1"/>
    <col min="3" max="3" width="15.875" customWidth="1"/>
    <col min="4" max="4" width="17.75" customWidth="1"/>
    <col min="5" max="5" width="65.25" customWidth="1"/>
    <col min="6" max="26" width="7.625" customWidth="1"/>
  </cols>
  <sheetData>
    <row r="1" spans="1:5" x14ac:dyDescent="0.25">
      <c r="A1" s="1" t="s">
        <v>0</v>
      </c>
      <c r="B1" s="1" t="s">
        <v>1</v>
      </c>
      <c r="C1" s="1" t="s">
        <v>2</v>
      </c>
      <c r="D1" s="1" t="s">
        <v>3</v>
      </c>
      <c r="E1" s="2" t="s">
        <v>4</v>
      </c>
    </row>
    <row r="2" spans="1:5" x14ac:dyDescent="0.25">
      <c r="A2" s="1" t="s">
        <v>5</v>
      </c>
      <c r="B2" s="1">
        <v>0</v>
      </c>
      <c r="C2" s="3">
        <v>44550.699571759258</v>
      </c>
      <c r="D2" s="1" t="s">
        <v>6</v>
      </c>
      <c r="E2" s="4" t="str">
        <f ca="1">IFERROR(__xludf.DUMMYFUNCTION("GOOGLETRANSLATE(A2 , ""tr"" , ""en"")"),"RT @rterdogan: Shouting to Nation After Cabinet Meeting https://t.co/lfse61xozs")</f>
        <v>RT @rterdogan: Shouting to Nation After Cabinet Meeting https://t.co/lfse61xozs</v>
      </c>
    </row>
    <row r="3" spans="1:5" x14ac:dyDescent="0.25">
      <c r="A3" s="1" t="s">
        <v>7</v>
      </c>
      <c r="B3" s="1">
        <v>4027</v>
      </c>
      <c r="C3" s="3">
        <v>44550.681932870371</v>
      </c>
      <c r="D3" s="1" t="s">
        <v>8</v>
      </c>
      <c r="E3" s="4" t="str">
        <f ca="1">IFERROR(__xludf.DUMMYFUNCTION("GOOGLETRANSLATE(A3 , ""tr"" , ""en"")"),"Our ministry informs us that our citizens over 3 months over the designated vaccine calendar are informed of the phone message to make reminder dose. Reminder dose-time arrivals get their vaccinations immediately. Protects the vaccine in time more. https:"&amp;"//t.co/mqt95vum5b")</f>
        <v>Our ministry informs us that our citizens over 3 months over the designated vaccine calendar are informed of the phone message to make reminder dose. Reminder dose-time arrivals get their vaccinations immediately. Protects the vaccine in time more. https://t.co/mqt95vum5b</v>
      </c>
    </row>
    <row r="4" spans="1:5" x14ac:dyDescent="0.25">
      <c r="A4" s="1" t="s">
        <v>9</v>
      </c>
      <c r="B4" s="1">
        <v>8900</v>
      </c>
      <c r="C4" s="3">
        <v>44549.91578703704</v>
      </c>
      <c r="D4" s="1" t="s">
        <v>10</v>
      </c>
      <c r="E4" s="4" t="str">
        <f ca="1">IFERROR(__xludf.DUMMYFUNCTION("GOOGLETRANSLATE(A4 , ""tr"" , ""en"")"),"Ceeded by catching up! In the Didim State Hospital, the person who has violent violent physician was caught on camera records and new evidence. We thank Söke Republic Prosecutor's Prosecutor of Söke.")</f>
        <v>Ceeded by catching up! In the Didim State Hospital, the person who has violent violent physician was caught on camera records and new evidence. We thank Söke Republic Prosecutor's Prosecutor of Söke.</v>
      </c>
    </row>
    <row r="5" spans="1:5" x14ac:dyDescent="0.25">
      <c r="A5" s="1" t="s">
        <v>11</v>
      </c>
      <c r="B5" s="1">
        <v>3157</v>
      </c>
      <c r="C5" s="3">
        <v>44549.678611111114</v>
      </c>
      <c r="D5" s="1" t="s">
        <v>12</v>
      </c>
      <c r="E5" s="4" t="str">
        <f ca="1">IFERROR(__xludf.DUMMYFUNCTION("GOOGLETRANSLATE(A5 , ""tr"" , ""en"")"),"We are in a period that the outlays cannot be measured by the data in the daily table. Unhealthy effects of Covid-19 affecting the whole of life were already envisaged. The society is to know that this critical struggle means that this critical struggle m"&amp;"eans to defend the life quickly. https://t.co/au8hqhhmfu")</f>
        <v>We are in a period that the outlays cannot be measured by the data in the daily table. Unhealthy effects of Covid-19 affecting the whole of life were already envisaged. The society is to know that this critical struggle means that this critical struggle means to defend the life quickly. https://t.co/au8hqhhmfu</v>
      </c>
    </row>
    <row r="6" spans="1:5" x14ac:dyDescent="0.25">
      <c r="A6" s="1" t="s">
        <v>13</v>
      </c>
      <c r="B6" s="1">
        <v>11005</v>
      </c>
      <c r="C6" s="3">
        <v>44549.654965277776</v>
      </c>
      <c r="D6" s="1" t="s">
        <v>14</v>
      </c>
      <c r="E6" s="4" t="str">
        <f ca="1">IFERROR(__xludf.DUMMYFUNCTION("GOOGLETRANSLATE(A6 , ""tr"" , ""en"")"),"In Didim State Hospital, he was treated with severe violence crime by a person who was brought to the hospital police to the hospital for legal control, and four stitches were thrown to our friend. The release of the perpetrator has injured all of us. We "&amp;"will be a stable follower of the legal process to start.")</f>
        <v>In Didim State Hospital, he was treated with severe violence crime by a person who was brought to the hospital police to the hospital for legal control, and four stitches were thrown to our friend. The release of the perpetrator has injured all of us. We will be a stable follower of the legal process to start.</v>
      </c>
    </row>
    <row r="7" spans="1:5" x14ac:dyDescent="0.25">
      <c r="A7" s="1" t="s">
        <v>15</v>
      </c>
      <c r="B7" s="1">
        <v>4274</v>
      </c>
      <c r="C7" s="3">
        <v>44548.92759259259</v>
      </c>
      <c r="D7" s="1" t="s">
        <v>16</v>
      </c>
      <c r="E7" s="4" t="str">
        <f ca="1">IFERROR(__xludf.DUMMYFUNCTION("GOOGLETRANSLATE(A7 , ""tr"" , ""en"")"),"18 people injured in an İzmir KINIK in a mine quarter in a mineral incident, 6 people are under treatment in Bergama, 21 people in Soma State Hospital. We fix the injured number 45 14 ambulances at the scene are assigned to a total of 48 health personnel "&amp;"with 2 Umke Timi.")</f>
        <v>18 people injured in an İzmir KINIK in a mine quarter in a mineral incident, 6 people are under treatment in Bergama, 21 people in Soma State Hospital. We fix the injured number 45 14 ambulances at the scene are assigned to a total of 48 health personnel with 2 Umke Timi.</v>
      </c>
    </row>
    <row r="8" spans="1:5" x14ac:dyDescent="0.25">
      <c r="A8" s="1" t="s">
        <v>17</v>
      </c>
      <c r="B8" s="1">
        <v>4738</v>
      </c>
      <c r="C8" s="3">
        <v>44548.863263888888</v>
      </c>
      <c r="D8" s="1" t="s">
        <v>18</v>
      </c>
      <c r="E8" s="4" t="str">
        <f ca="1">IFERROR(__xludf.DUMMYFUNCTION("GOOGLETRANSLATE(A8 , ""tr"" , ""en"")"),"In a mineral in Izmir Kınığ, 9 people were injured in the post-bangs, the injured people were transported to hospitals with 8 emergency ambulance. According to the initial fastening injuries are slightly. We offer Izmir our wishes to get all our people.")</f>
        <v>In a mineral in Izmir Kınığ, 9 people were injured in the post-bangs, the injured people were transported to hospitals with 8 emergency ambulance. According to the initial fastening injuries are slightly. We offer Izmir our wishes to get all our people.</v>
      </c>
    </row>
    <row r="9" spans="1:5" x14ac:dyDescent="0.25">
      <c r="A9" s="1" t="s">
        <v>19</v>
      </c>
      <c r="B9" s="1">
        <v>3378</v>
      </c>
      <c r="C9" s="3">
        <v>44548.679791666669</v>
      </c>
      <c r="D9" s="1" t="s">
        <v>20</v>
      </c>
      <c r="E9" s="4" t="str">
        <f ca="1">IFERROR(__xludf.DUMMYFUNCTION("GOOGLETRANSLATE(A9 , ""tr"" , ""en"")"),"We will determine the course of the epidemic in our country. Together with the vaccine and we will reduce our losses by compliance with the measures. There is no virus ignoring but it will be no measure and vaccine. Do not neglect the reminder dose. https"&amp;"://t.co/ifgdxghwrp")</f>
        <v>We will determine the course of the epidemic in our country. Together with the vaccine and we will reduce our losses by compliance with the measures. There is no virus ignoring but it will be no measure and vaccine. Do not neglect the reminder dose. https://t.co/ifgdxghwrp</v>
      </c>
    </row>
    <row r="10" spans="1:5" x14ac:dyDescent="0.25">
      <c r="A10" s="1" t="s">
        <v>21</v>
      </c>
      <c r="B10" s="1">
        <v>1764</v>
      </c>
      <c r="C10" s="3">
        <v>44548.552476851852</v>
      </c>
      <c r="D10" s="1" t="s">
        <v>22</v>
      </c>
      <c r="E10" s="4" t="str">
        <f ca="1">IFERROR(__xludf.DUMMYFUNCTION("GOOGLETRANSLATE(A10 , ""tr"" , ""en"")"),"The case density between 4-10 years is the most increased by the previous week: Edirne, Artvin, Tekirdag, Army, Trabzon, Kırklareli, Yozgat, Rize, Isparta. https://t.co/oeerzplss6")</f>
        <v>The case density between 4-10 years is the most increased by the previous week: Edirne, Artvin, Tekirdag, Army, Trabzon, Kırklareli, Yozgat, Rize, Isparta. https://t.co/oeerzplss6</v>
      </c>
    </row>
    <row r="11" spans="1:5" x14ac:dyDescent="0.25">
      <c r="A11" s="1" t="s">
        <v>23</v>
      </c>
      <c r="B11" s="1">
        <v>2771</v>
      </c>
      <c r="C11" s="3">
        <v>44548.547256944446</v>
      </c>
      <c r="D11" s="1" t="s">
        <v>24</v>
      </c>
      <c r="E11" s="4" t="str">
        <f ca="1">IFERROR(__xludf.DUMMYFUNCTION("GOOGLETRANSLATE(A11 , ""tr"" , ""en"")"),"What was the total number of new Covid-19 Cases in 100,000 people in 100,000 Information on the Weekly Insidans map. https://t.co/vqxbm9hhcz")</f>
        <v>What was the total number of new Covid-19 Cases in 100,000 people in 100,000 Information on the Weekly Insidans map. https://t.co/vqxbm9hhcz</v>
      </c>
    </row>
    <row r="12" spans="1:5" x14ac:dyDescent="0.25">
      <c r="A12" s="1" t="s">
        <v>25</v>
      </c>
      <c r="B12" s="1">
        <v>2793</v>
      </c>
      <c r="C12" s="3">
        <v>44547.800324074073</v>
      </c>
      <c r="D12" s="1" t="s">
        <v>26</v>
      </c>
      <c r="E12" s="4" t="str">
        <f ca="1">IFERROR(__xludf.DUMMYFUNCTION("GOOGLETRANSLATE(A12 , ""tr"" , ""en"")"),"Ex-Prime Minister Assistant Professor Dr. EMRULLAH Things Brain Father Abdullah Things Gentlemanly treated in Ankara City Hospital. I wish my condolences to the family, friendly surroundings, especially for us. May Allah be the mercy, be heaven.")</f>
        <v>Ex-Prime Minister Assistant Professor Dr. EMRULLAH Things Brain Father Abdullah Things Gentlemanly treated in Ankara City Hospital. I wish my condolences to the family, friendly surroundings, especially for us. May Allah be the mercy, be heaven.</v>
      </c>
    </row>
    <row r="13" spans="1:5" x14ac:dyDescent="0.25">
      <c r="A13" s="1" t="s">
        <v>27</v>
      </c>
      <c r="B13" s="1">
        <v>1521</v>
      </c>
      <c r="C13" s="3">
        <v>44547.770613425928</v>
      </c>
      <c r="D13" s="1" t="s">
        <v>28</v>
      </c>
      <c r="E13" s="4" t="str">
        <f ca="1">IFERROR(__xludf.DUMMYFUNCTION("GOOGLETRANSLATE(A13 , ""tr"" , ""en"")"),"3. At the summit of Turkey-African Partnership, the Health Session followed by Sierra Leone, South Sudan, Libya, Ivory and Djibouti Health Ministry with bilateral interviews. We addressed health solidarity, help, cooperation issues. The pandem taught the "&amp;"world to the world that health was a common matter. https://t.co/cz0euwwlan")</f>
        <v>3. At the summit of Turkey-African Partnership, the Health Session followed by Sierra Leone, South Sudan, Libya, Ivory and Djibouti Health Ministry with bilateral interviews. We addressed health solidarity, help, cooperation issues. The pandem taught the world to the world that health was a common matter. https://t.co/cz0euwwlan</v>
      </c>
    </row>
    <row r="14" spans="1:5" x14ac:dyDescent="0.25">
      <c r="A14" s="1" t="s">
        <v>29</v>
      </c>
      <c r="B14" s="1">
        <v>1818</v>
      </c>
      <c r="C14" s="3">
        <v>44547.731874999998</v>
      </c>
      <c r="D14" s="1" t="s">
        <v>30</v>
      </c>
      <c r="E14" s="4" t="str">
        <f ca="1">IFERROR(__xludf.DUMMYFUNCTION("GOOGLETRANSLATE(A14 , ""tr"" , ""en"")"),"3. Turkey-African Partnership Summit Summit Health Session. The session of the potential for African health needs after the period of Pandemia and the African CDC emergency operation center chairman of the African CDC emergency operation center, 17 countr"&amp;"ies participated in the health ministers and DSÖ representatives. https://t.co/upwhaqwh8t")</f>
        <v>3. Turkey-African Partnership Summit Summit Health Session. The session of the potential for African health needs after the period of Pandemia and the African CDC emergency operation center chairman of the African CDC emergency operation center, 17 countries participated in the health ministers and DSÖ representatives. https://t.co/upwhaqwh8t</v>
      </c>
    </row>
    <row r="15" spans="1:5" x14ac:dyDescent="0.25">
      <c r="A15" s="1" t="s">
        <v>31</v>
      </c>
      <c r="B15" s="1">
        <v>4146</v>
      </c>
      <c r="C15" s="3">
        <v>44547.684641203705</v>
      </c>
      <c r="D15" s="1" t="s">
        <v>32</v>
      </c>
      <c r="E15" s="4" t="str">
        <f ca="1">IFERROR(__xludf.DUMMYFUNCTION("GOOGLETRANSLATE(A15 , ""tr"" , ""en"")"),"Reminder dose started to be applied early in Turkey and sudden cases were not experienced. This dose also increases the effects of vaccines against new variants. We suggest that our citizens passed for over 3 months over the specified vaccine calendar. ht"&amp;"tps://t.co/8rndpxmunr")</f>
        <v>Reminder dose started to be applied early in Turkey and sudden cases were not experienced. This dose also increases the effects of vaccines against new variants. We suggest that our citizens passed for over 3 months over the specified vaccine calendar. https://t.co/8rndpxmunr</v>
      </c>
    </row>
    <row r="16" spans="1:5" x14ac:dyDescent="0.25">
      <c r="A16" s="1" t="s">
        <v>33</v>
      </c>
      <c r="B16" s="1">
        <v>1795</v>
      </c>
      <c r="C16" s="3">
        <v>44546.83556712963</v>
      </c>
      <c r="D16" s="1" t="s">
        <v>34</v>
      </c>
      <c r="E16" s="4" t="str">
        <f ca="1">IFERROR(__xludf.DUMMYFUNCTION("GOOGLETRANSLATE(A16 , ""tr"" , ""en"")"),"During our council of guard, we have received their demands with our friends in various locators in various locations, and we benefited from their suggestions and criticism. Our sense of responsibility with our duty under the roof of the Supreme Council i"&amp;"s once again renewed. https://t.co/22lnxcti7r")</f>
        <v>During our council of guard, we have received their demands with our friends in various locators in various locations, and we benefited from their suggestions and criticism. Our sense of responsibility with our duty under the roof of the Supreme Council is once again renewed. https://t.co/22lnxcti7r</v>
      </c>
    </row>
    <row r="17" spans="1:5" x14ac:dyDescent="0.25">
      <c r="A17" s="1" t="s">
        <v>35</v>
      </c>
      <c r="B17" s="1">
        <v>2261</v>
      </c>
      <c r="C17" s="3">
        <v>44546.7655787037</v>
      </c>
      <c r="D17" s="1" t="s">
        <v>36</v>
      </c>
      <c r="E17" s="4" t="str">
        <f ca="1">IFERROR(__xludf.DUMMYFUNCTION("GOOGLETRANSLATE(A17 , ""tr"" , ""en"")"),"Ankara Deputy Sadir No Brain Precious Father Hacı Ibrahim Durmaz has lost your life. Shares the sadness of his family and all the friendly surroundings; The grant is the mercy from Allah, I wish their condolences to lovers. Prayers are very, the place of "&amp;"heaven.")</f>
        <v>Ankara Deputy Sadir No Brain Precious Father Hacı Ibrahim Durmaz has lost your life. Shares the sadness of his family and all the friendly surroundings; The grant is the mercy from Allah, I wish their condolences to lovers. Prayers are very, the place of heaven.</v>
      </c>
    </row>
    <row r="18" spans="1:5" x14ac:dyDescent="0.25">
      <c r="A18" s="1" t="s">
        <v>37</v>
      </c>
      <c r="B18" s="1">
        <v>3548</v>
      </c>
      <c r="C18" s="3">
        <v>44546.74113425926</v>
      </c>
      <c r="D18" s="1" t="s">
        <v>38</v>
      </c>
      <c r="E18" s="4" t="str">
        <f ca="1">IFERROR(__xludf.DUMMYFUNCTION("GOOGLETRANSLATE(A18 , ""tr"" , ""en"")"),"Yalova was over 75% in the second overdose rate, the Blue, Bitlis went over 65% to the yellow category. The odds rise slowly. Those who missed their vaccinations should do the right one for their own health and social life.")</f>
        <v>Yalova was over 75% in the second overdose rate, the Blue, Bitlis went over 65% to the yellow category. The odds rise slowly. Those who missed their vaccinations should do the right one for their own health and social life.</v>
      </c>
    </row>
    <row r="19" spans="1:5" x14ac:dyDescent="0.25">
      <c r="A19" s="1" t="s">
        <v>39</v>
      </c>
      <c r="B19" s="1">
        <v>3426</v>
      </c>
      <c r="C19" s="3">
        <v>44546.702592592592</v>
      </c>
      <c r="D19" s="1" t="s">
        <v>40</v>
      </c>
      <c r="E19" s="4" t="str">
        <f ca="1">IFERROR(__xludf.DUMMYFUNCTION("GOOGLETRANSLATE(A19 , ""tr"" , ""en"")"),"Let's go back to a moment of March 2020. No big differences between 21 months ago in terms of missing non-vaccines and vaccines: Everyone against Covid-19 needs to protect yourself with vaccination. https://t.co/ya1cnxhyvI")</f>
        <v>Let's go back to a moment of March 2020. No big differences between 21 months ago in terms of missing non-vaccines and vaccines: Everyone against Covid-19 needs to protect yourself with vaccination. https://t.co/ya1cnxhyvI</v>
      </c>
    </row>
    <row r="20" spans="1:5" x14ac:dyDescent="0.25">
      <c r="A20" s="1" t="s">
        <v>41</v>
      </c>
      <c r="B20" s="1">
        <v>2713</v>
      </c>
      <c r="C20" s="3">
        <v>44545.775902777779</v>
      </c>
      <c r="D20" s="1" t="s">
        <v>42</v>
      </c>
      <c r="E20" s="4" t="str">
        <f ca="1">IFERROR(__xludf.DUMMYFUNCTION("GOOGLETRANSLATE(A20 , ""tr"" , ""en"")"),"In our university hospitals, we met with doctors in the assistant. We addressed our problems with the equality of the word. Violence, the rights, working conditions, seizures and malpractice cases were our main issues. There is a lot to convert and offer "&amp;"our dreams to the service. https://t.co/pg5fe9hgje")</f>
        <v>In our university hospitals, we met with doctors in the assistant. We addressed our problems with the equality of the word. Violence, the rights, working conditions, seizures and malpractice cases were our main issues. There is a lot to convert and offer our dreams to the service. https://t.co/pg5fe9hgje</v>
      </c>
    </row>
    <row r="21" spans="1:5" ht="15.75" customHeight="1" x14ac:dyDescent="0.25">
      <c r="A21" s="1" t="s">
        <v>43</v>
      </c>
      <c r="B21" s="1">
        <v>4512</v>
      </c>
      <c r="C21" s="3">
        <v>44545.74590277778</v>
      </c>
      <c r="D21" s="1" t="s">
        <v>44</v>
      </c>
      <c r="E21" s="4" t="str">
        <f ca="1">IFERROR(__xludf.DUMMYFUNCTION("GOOGLETRANSLATE(A21 , ""tr"" , ""en"")"),"Omicron Measure: Our citizens over three months over the designated vaccine calendar may be the reminder dose. https://t.co/byfsjkpzsq")</f>
        <v>Omicron Measure: Our citizens over three months over the designated vaccine calendar may be the reminder dose. https://t.co/byfsjkpzsq</v>
      </c>
    </row>
    <row r="22" spans="1:5" ht="15.75" customHeight="1" x14ac:dyDescent="0.25">
      <c r="A22" s="1" t="s">
        <v>45</v>
      </c>
      <c r="B22" s="1">
        <v>2665</v>
      </c>
      <c r="C22" s="3">
        <v>44545.709791666668</v>
      </c>
      <c r="D22" s="1" t="s">
        <v>46</v>
      </c>
      <c r="E22" s="4" t="str">
        <f ca="1">IFERROR(__xludf.DUMMYFUNCTION("GOOGLETRANSLATE(A22 , ""tr"" , ""en"")"),"Our mind that I believe in our society is to live with the law of the law. Dr. Yucel Treasurer has left us. I have always accepted him a chance to identify him in terms of their figure. Mercy from Allah to himself; I wish his family to their lovers condol"&amp;"ences.")</f>
        <v>Our mind that I believe in our society is to live with the law of the law. Dr. Yucel Treasurer has left us. I have always accepted him a chance to identify him in terms of their figure. Mercy from Allah to himself; I wish his family to their lovers condolences.</v>
      </c>
    </row>
    <row r="23" spans="1:5" ht="15.75" customHeight="1" x14ac:dyDescent="0.25">
      <c r="A23" s="1" t="s">
        <v>47</v>
      </c>
      <c r="B23" s="1">
        <v>3417</v>
      </c>
      <c r="C23" s="3">
        <v>44545.704918981479</v>
      </c>
      <c r="D23" s="1" t="s">
        <v>48</v>
      </c>
      <c r="E23" s="4" t="str">
        <f ca="1">IFERROR(__xludf.DUMMYFUNCTION("GOOGLETRANSLATE(A23 , ""tr"" , ""en"")"),"We know the results of the vaccine: protects the person and ensures that the disease is generally undergone. Is that all? Are all related to health? Not. The vaccine makes the social life easier to return to normal. Be your missing vaccines to support lif"&amp;"e. https://t.co/bxiunresjt")</f>
        <v>We know the results of the vaccine: protects the person and ensures that the disease is generally undergone. Is that all? Are all related to health? Not. The vaccine makes the social life easier to return to normal. Be your missing vaccines to support life. https://t.co/bxiunresjt</v>
      </c>
    </row>
    <row r="24" spans="1:5" ht="15.75" customHeight="1" x14ac:dyDescent="0.25">
      <c r="A24" s="1" t="s">
        <v>49</v>
      </c>
      <c r="B24" s="1">
        <v>2160</v>
      </c>
      <c r="C24" s="3">
        <v>44545.344687500001</v>
      </c>
      <c r="D24" s="1" t="s">
        <v>50</v>
      </c>
      <c r="E24" s="4" t="str">
        <f ca="1">IFERROR(__xludf.DUMMYFUNCTION("GOOGLETRANSLATE(A24 , ""tr"" , ""en"")"),"The doctor is the person who is approaching the patient with love and affection.
Sometimes you love you love, sometimes it gives you life to your favorite. The burden is a heavy profession physician.
2022 HTTPS://T.CO/CRZ9CUUVJA from Budget Speech")</f>
        <v>The doctor is the person who is approaching the patient with love and affection.
Sometimes you love you love, sometimes it gives you life to your favorite. The burden is a heavy profession physician.
2022 HTTPS://T.CO/CRZ9CUUVJA from Budget Speech</v>
      </c>
    </row>
    <row r="25" spans="1:5" ht="15.75" customHeight="1" x14ac:dyDescent="0.25">
      <c r="A25" s="1" t="s">
        <v>51</v>
      </c>
      <c r="B25" s="1">
        <v>1909</v>
      </c>
      <c r="C25" s="3">
        <v>44545.315254629626</v>
      </c>
      <c r="D25" s="1" t="s">
        <v>52</v>
      </c>
      <c r="E25" s="4" t="str">
        <f ca="1">IFERROR(__xludf.DUMMYFUNCTION("GOOGLETRANSLATE(A25 , ""tr"" , ""en"")"),"Case density between November 27-December 3 most increased by the previous week: Çanakkale, Kırklareli, Edirne, Tekirdag, Eskisehir, Artvin, Sinop, Denizli, Giresun, Gumushane. https://t.co/eoauew1e2d")</f>
        <v>Case density between November 27-December 3 most increased by the previous week: Çanakkale, Kırklareli, Edirne, Tekirdag, Eskisehir, Artvin, Sinop, Denizli, Giresun, Gumushane. https://t.co/eoauew1e2d</v>
      </c>
    </row>
    <row r="26" spans="1:5" ht="15.75" customHeight="1" x14ac:dyDescent="0.25">
      <c r="A26" s="1" t="s">
        <v>53</v>
      </c>
      <c r="B26" s="1">
        <v>2957</v>
      </c>
      <c r="C26" s="3">
        <v>44545.310671296298</v>
      </c>
      <c r="D26" s="1" t="s">
        <v>54</v>
      </c>
      <c r="E26" s="4" t="str">
        <f ca="1">IFERROR(__xludf.DUMMYFUNCTION("GOOGLETRANSLATE(A26 , ""tr"" , ""en"")"),"What was a total of weekly new Covid-19 cases in 100,000 people on 27 November and 3 December? Information on the Weekly Insidans map. https://t.co/viwoygex07")</f>
        <v>What was a total of weekly new Covid-19 cases in 100,000 people on 27 November and 3 December? Information on the Weekly Insidans map. https://t.co/viwoygex07</v>
      </c>
    </row>
    <row r="27" spans="1:5" ht="15.75" customHeight="1" x14ac:dyDescent="0.25">
      <c r="A27" s="1" t="s">
        <v>55</v>
      </c>
      <c r="B27" s="1">
        <v>3175</v>
      </c>
      <c r="C27" s="3">
        <v>44544.763993055552</v>
      </c>
      <c r="D27" s="1" t="s">
        <v>56</v>
      </c>
      <c r="E27" s="4" t="str">
        <f ca="1">IFERROR(__xludf.DUMMYFUNCTION("GOOGLETRANSLATE(A27 , ""tr"" , ""en"")"),"We met at a 3-hour meeting with the students of Medicine Faculty. We have addressed our training processes to the future of the future and the expertise exam in medicine, in health violence in health. There is a lot to convert and offer our dreams to the "&amp;"service. https://t.co/y85kzfcqva")</f>
        <v>We met at a 3-hour meeting with the students of Medicine Faculty. We have addressed our training processes to the future of the future and the expertise exam in medicine, in health violence in health. There is a lot to convert and offer our dreams to the service. https://t.co/y85kzfcqva</v>
      </c>
    </row>
    <row r="28" spans="1:5" ht="15.75" customHeight="1" x14ac:dyDescent="0.25">
      <c r="A28" s="1" t="s">
        <v>57</v>
      </c>
      <c r="B28" s="1">
        <v>4637</v>
      </c>
      <c r="C28" s="3">
        <v>44544.69835648148</v>
      </c>
      <c r="D28" s="1" t="s">
        <v>58</v>
      </c>
      <c r="E28" s="4" t="str">
        <f ca="1">IFERROR(__xludf.DUMMYFUNCTION("GOOGLETRANSLATE(A28 , ""tr"" , ""en"")"),"The disease in winter conditions will be easy. Ventilation is limited, closed and crowded environments should be as possible. It should be noted that the vaccines are better in accordance with the specified periods. You have to take measures that are comp"&amp;"letely connected to you. https://t.co/rcxyhaengn")</f>
        <v>The disease in winter conditions will be easy. Ventilation is limited, closed and crowded environments should be as possible. It should be noted that the vaccines are better in accordance with the specified periods. You have to take measures that are completely connected to you. https://t.co/rcxyhaengn</v>
      </c>
    </row>
    <row r="29" spans="1:5" ht="15.75" customHeight="1" x14ac:dyDescent="0.25">
      <c r="A29" s="1" t="s">
        <v>59</v>
      </c>
      <c r="B29" s="1">
        <v>5570</v>
      </c>
      <c r="C29" s="3">
        <v>44543.711134259262</v>
      </c>
      <c r="D29" s="1" t="s">
        <v>60</v>
      </c>
      <c r="E29" s="4" t="str">
        <f ca="1">IFERROR(__xludf.DUMMYFUNCTION("GOOGLETRANSLATE(A29 , ""tr"" , ""en"")"),"In the place of work, the mistake is the mistake that is also deficit. The essential is the absence of intentional. Our nationality is fine in front of our neck hair.
2022 budget speaking https://t.co/f7lgsqfvg9")</f>
        <v>In the place of work, the mistake is the mistake that is also deficit. The essential is the absence of intentional. Our nationality is fine in front of our neck hair.
2022 budget speaking https://t.co/f7lgsqfvg9</v>
      </c>
    </row>
    <row r="30" spans="1:5" ht="15.75" customHeight="1" x14ac:dyDescent="0.25">
      <c r="A30" s="1" t="s">
        <v>61</v>
      </c>
      <c r="B30" s="1">
        <v>4272</v>
      </c>
      <c r="C30" s="3">
        <v>44543.687754629631</v>
      </c>
      <c r="D30" s="1" t="s">
        <v>62</v>
      </c>
      <c r="E30" s="4" t="str">
        <f ca="1">IFERROR(__xludf.DUMMYFUNCTION("GOOGLETRANSLATE(A30 , ""tr"" , ""en"")"),"WHAT IS THE DIFFERENCE? Covid-19 is not as frightening as the months of the release and the beginning of this year. Why? It does not destroy social life. Why? Most human disease spends quite light. Why? The first row of these questions is the vaccination."&amp;" Complete your missing vaccines https://t.co/ldp6tj6smx")</f>
        <v>WHAT IS THE DIFFERENCE? Covid-19 is not as frightening as the months of the release and the beginning of this year. Why? It does not destroy social life. Why? Most human disease spends quite light. Why? The first row of these questions is the vaccination. Complete your missing vaccines https://t.co/ldp6tj6smx</v>
      </c>
    </row>
    <row r="31" spans="1:5" ht="15.75" customHeight="1" x14ac:dyDescent="0.25">
      <c r="A31" s="1" t="s">
        <v>63</v>
      </c>
      <c r="B31" s="1">
        <v>2063</v>
      </c>
      <c r="C31" s="3">
        <v>44543.473622685182</v>
      </c>
      <c r="D31" s="1" t="s">
        <v>64</v>
      </c>
      <c r="E31" s="4" t="str">
        <f ca="1">IFERROR(__xludf.DUMMYFUNCTION("GOOGLETRANSLATE(A31 , ""tr"" , ""en"")"),"With the position of 10,000 contracted medical staff in the scope of forty thousand squads, 10,000 continuous workers will be purchased in March. Get health service to our citizens and the healthcare camiaz is auspicious.")</f>
        <v>With the position of 10,000 contracted medical staff in the scope of forty thousand squads, 10,000 continuous workers will be purchased in March. Get health service to our citizens and the healthcare camiaz is auspicious.</v>
      </c>
    </row>
    <row r="32" spans="1:5" ht="15.75" customHeight="1" x14ac:dyDescent="0.25">
      <c r="A32" s="1" t="s">
        <v>65</v>
      </c>
      <c r="B32" s="1">
        <v>1909</v>
      </c>
      <c r="C32" s="3">
        <v>44543.473622685182</v>
      </c>
      <c r="D32" s="1" t="s">
        <v>66</v>
      </c>
      <c r="E32" s="4" t="str">
        <f ca="1">IFERROR(__xludf.DUMMYFUNCTION("GOOGLETRANSLATE(A32 , ""tr"" , ""en"")"),"The preferred guide will be able to make candidates preferences from the dates specified in the guide of the Candidates after the EsYM is published via the website. Announcements can be followed by the General Directorate of Management Services of our Min"&amp;"istry and the OSYM internet.")</f>
        <v>The preferred guide will be able to make candidates preferences from the dates specified in the guide of the Candidates after the EsYM is published via the website. Announcements can be followed by the General Directorate of Management Services of our Ministry and the OSYM internet.</v>
      </c>
    </row>
    <row r="33" spans="1:5" ht="15.75" customHeight="1" x14ac:dyDescent="0.25">
      <c r="A33" s="1" t="s">
        <v>67</v>
      </c>
      <c r="B33" s="1">
        <v>1516</v>
      </c>
      <c r="C33" s="3">
        <v>44543.473611111112</v>
      </c>
      <c r="D33" s="1" t="s">
        <v>68</v>
      </c>
      <c r="E33" s="4" t="str">
        <f ca="1">IFERROR(__xludf.DUMMYFUNCTION("GOOGLETRANSLATE(A33 , ""tr"" , ""en"")"),"10.348 Nurse, 1,600 EB and 6,604 Health Technicians / Health Technicians with psychologist, social workers, biologist, audiologist, child development, dietitian, physiotherapist, business and occurring therapist, language and speech therapist, perfusionis"&amp;"t and health physicists will be made.")</f>
        <v>10.348 Nurse, 1,600 EB and 6,604 Health Technicians / Health Technicians with psychologist, social workers, biologist, audiologist, child development, dietitian, physiotherapist, business and occurring therapist, language and speech therapist, perfusionist and health physicists will be made.</v>
      </c>
    </row>
    <row r="34" spans="1:5" ht="15.75" customHeight="1" x14ac:dyDescent="0.25">
      <c r="A34" s="1" t="s">
        <v>69</v>
      </c>
      <c r="B34" s="1">
        <v>989</v>
      </c>
      <c r="C34" s="3">
        <v>44543.473611111112</v>
      </c>
      <c r="D34" s="1" t="s">
        <v>70</v>
      </c>
      <c r="E34" s="4" t="str">
        <f ca="1">IFERROR(__xludf.DUMMYFUNCTION("GOOGLETRANSLATE(A34 , ""tr"" , ""en"")"),"According to the KPSS score to be employed in our provincial organization, we start the purchase process of 20 thousand contracts with the central placement to be made by ÖSYM. The necessary information is given to ÖSYM to prepare the preferred manual.")</f>
        <v>According to the KPSS score to be employed in our provincial organization, we start the purchase process of 20 thousand contracts with the central placement to be made by ÖSYM. The necessary information is given to ÖSYM to prepare the preferred manual.</v>
      </c>
    </row>
    <row r="35" spans="1:5" ht="15.75" customHeight="1" x14ac:dyDescent="0.25">
      <c r="A35" s="1" t="s">
        <v>71</v>
      </c>
      <c r="B35" s="1">
        <v>8056</v>
      </c>
      <c r="C35" s="3">
        <v>44543.473611111112</v>
      </c>
      <c r="D35" s="1" t="s">
        <v>72</v>
      </c>
      <c r="E35" s="4" t="str">
        <f ca="1">IFERROR(__xludf.DUMMYFUNCTION("GOOGLETRANSLATE(A35 , ""tr"" , ""en"")"),"As is known, 30,000 contracted health personnel to our ministry by the Presidency has been a total of 40 thousand positions / squads, including 10 thousand continuous workers. The guide for the purchase of 20,000 contracted health personnel was sent to th"&amp;"e ÖSYM.")</f>
        <v>As is known, 30,000 contracted health personnel to our ministry by the Presidency has been a total of 40 thousand positions / squads, including 10 thousand continuous workers. The guide for the purchase of 20,000 contracted health personnel was sent to the ÖSYM.</v>
      </c>
    </row>
    <row r="36" spans="1:5" ht="15.75" customHeight="1" x14ac:dyDescent="0.25">
      <c r="A36" s="1" t="s">
        <v>73</v>
      </c>
      <c r="B36" s="1">
        <v>3038</v>
      </c>
      <c r="C36" s="3">
        <v>44542.709814814814</v>
      </c>
      <c r="D36" s="1" t="s">
        <v>74</v>
      </c>
      <c r="E36" s="4" t="str">
        <f ca="1">IFERROR(__xludf.DUMMYFUNCTION("GOOGLETRANSLATE(A36 , ""tr"" , ""en"")"),"Now from the mind of some, you have done missing, you may be late in the phrase, you may have thoughts as you didn't take enough attention to the blast subject. Of course we had the missing. In the place of work, the mistake is the mistake that is also de"&amp;"ficit. It is an intention that is essential to it. https://t.co/evnelx2z8z")</f>
        <v>Now from the mind of some, you have done missing, you may be late in the phrase, you may have thoughts as you didn't take enough attention to the blast subject. Of course we had the missing. In the place of work, the mistake is the mistake that is also deficit. It is an intention that is essential to it. https://t.co/evnelx2z8z</v>
      </c>
    </row>
    <row r="37" spans="1:5" ht="15.75" customHeight="1" x14ac:dyDescent="0.25">
      <c r="A37" s="1" t="s">
        <v>75</v>
      </c>
      <c r="B37" s="1">
        <v>4841</v>
      </c>
      <c r="C37" s="3">
        <v>44542.684236111112</v>
      </c>
      <c r="D37" s="1" t="s">
        <v>76</v>
      </c>
      <c r="E37" s="4" t="str">
        <f ca="1">IFERROR(__xludf.DUMMYFUNCTION("GOOGLETRANSLATE(A37 , ""tr"" , ""en"")"),"In our country, the Omicron Variant has been determined in total 6 people. One in Istanbul, 5 is in Izmir. This 6 people spend Covid-19 with light symptoms. Have not been needed to be hospitalized. Our citizens should not be worried, complied with measure"&amp;"s, complete incomplete vaccines. https://t.co/gugfvqfofj")</f>
        <v>In our country, the Omicron Variant has been determined in total 6 people. One in Istanbul, 5 is in Izmir. This 6 people spend Covid-19 with light symptoms. Have not been needed to be hospitalized. Our citizens should not be worried, complied with measures, complete incomplete vaccines. https://t.co/gugfvqfofj</v>
      </c>
    </row>
    <row r="38" spans="1:5" ht="15.75" customHeight="1" x14ac:dyDescent="0.25">
      <c r="A38" s="1" t="s">
        <v>77</v>
      </c>
      <c r="B38" s="1">
        <v>1802</v>
      </c>
      <c r="C38" s="3">
        <v>44542.665752314817</v>
      </c>
      <c r="D38" s="1" t="s">
        <v>78</v>
      </c>
      <c r="E38" s="4" t="str">
        <f ca="1">IFERROR(__xludf.DUMMYFUNCTION("GOOGLETRANSLATE(A38 , ""tr"" , ""en"")"),"The epidemic has set a cliff between individual life and social life. Made the two of each other's zında. Societies cannot continue this. Life cannot continue with a kind of public health prohibitions. Our attenance was: Social life with individual life w"&amp;"as defended together. https://t.co/4dqolb5ddj")</f>
        <v>The epidemic has set a cliff between individual life and social life. Made the two of each other's zında. Societies cannot continue this. Life cannot continue with a kind of public health prohibitions. Our attenance was: Social life with individual life was defended together. https://t.co/4dqolb5ddj</v>
      </c>
    </row>
    <row r="39" spans="1:5" ht="15.75" customHeight="1" x14ac:dyDescent="0.25">
      <c r="A39" s="1" t="s">
        <v>79</v>
      </c>
      <c r="B39" s="1">
        <v>2245</v>
      </c>
      <c r="C39" s="3">
        <v>44542.646215277775</v>
      </c>
      <c r="D39" s="1" t="s">
        <v>80</v>
      </c>
      <c r="E39" s="4" t="str">
        <f ca="1">IFERROR(__xludf.DUMMYFUNCTION("GOOGLETRANSLATE(A39 , ""tr"" , ""en"")"),"After approximately 50 years after Turkey has developed the vaccine with their possibilities. Going out of this value is the responsibility of all of us. With the transfer of technology to our country, we allowed to invest in our country to be invested in"&amp;" the chickenpox, hepatitis A and the rabies vaccine. https://t.co/0show1gwa8")</f>
        <v>After approximately 50 years after Turkey has developed the vaccine with their possibilities. Going out of this value is the responsibility of all of us. With the transfer of technology to our country, we allowed to invest in our country to be invested in the chickenpox, hepatitis A and the rabies vaccine. https://t.co/0show1gwa8</v>
      </c>
    </row>
    <row r="40" spans="1:5" ht="15.75" customHeight="1" x14ac:dyDescent="0.25">
      <c r="A40" s="1" t="s">
        <v>81</v>
      </c>
      <c r="B40" s="1">
        <v>4136</v>
      </c>
      <c r="C40" s="3">
        <v>44542.635787037034</v>
      </c>
      <c r="D40" s="1" t="s">
        <v>82</v>
      </c>
      <c r="E40" s="4" t="str">
        <f ca="1">IFERROR(__xludf.DUMMYFUNCTION("GOOGLETRANSLATE(A40 , ""tr"" , ""en"")"),"We are one of 6 countries that could produce COVID-19 vaccine. https://t.co/mnomhy0zuc")</f>
        <v>We are one of 6 countries that could produce COVID-19 vaccine. https://t.co/mnomhy0zuc</v>
      </c>
    </row>
    <row r="41" spans="1:5" ht="15.75" customHeight="1" x14ac:dyDescent="0.25">
      <c r="A41" s="1" t="s">
        <v>83</v>
      </c>
      <c r="B41" s="1">
        <v>2997</v>
      </c>
      <c r="C41" s="3">
        <v>44542.57984953704</v>
      </c>
      <c r="D41" s="1" t="s">
        <v>84</v>
      </c>
      <c r="E41" s="4" t="str">
        <f ca="1">IFERROR(__xludf.DUMMYFUNCTION("GOOGLETRANSLATE(A41 , ""tr"" , ""en"")"),"The re-vaccination was produced after 25 years in our country. It was a vaccine that has been developed as an antigen, starting from cell studies for the first time for more than 50 years. Each stage of our domestic inactive COVID-19 vaccines has been dev"&amp;"eloped in our country. https://t.co/zybe3fg3ue")</f>
        <v>The re-vaccination was produced after 25 years in our country. It was a vaccine that has been developed as an antigen, starting from cell studies for the first time for more than 50 years. Each stage of our domestic inactive COVID-19 vaccines has been developed in our country. https://t.co/zybe3fg3ue</v>
      </c>
    </row>
    <row r="42" spans="1:5" ht="15.75" customHeight="1" x14ac:dyDescent="0.25">
      <c r="A42" s="1" t="s">
        <v>85</v>
      </c>
      <c r="B42" s="1">
        <v>1867</v>
      </c>
      <c r="C42" s="3">
        <v>44542.553067129629</v>
      </c>
      <c r="D42" s="1" t="s">
        <v>86</v>
      </c>
      <c r="E42" s="4" t="str">
        <f ca="1">IFERROR(__xludf.DUMMYFUNCTION("GOOGLETRANSLATE(A42 , ""tr"" , ""en"")"),"We have not only made hospitals with the public private cooperation. The construction is completed from the overall budget and we have a total of 15 city hospitals ongoing construction. https://t.co/3poopuy22o")</f>
        <v>We have not only made hospitals with the public private cooperation. The construction is completed from the overall budget and we have a total of 15 city hospitals ongoing construction. https://t.co/3poopuy22o</v>
      </c>
    </row>
    <row r="43" spans="1:5" ht="15.75" customHeight="1" x14ac:dyDescent="0.25">
      <c r="A43" s="1" t="s">
        <v>87</v>
      </c>
      <c r="B43" s="1">
        <v>1730</v>
      </c>
      <c r="C43" s="3">
        <v>44542.521851851852</v>
      </c>
      <c r="D43" s="1" t="s">
        <v>88</v>
      </c>
      <c r="E43" s="4" t="str">
        <f ca="1">IFERROR(__xludf.DUMMYFUNCTION("GOOGLETRANSLATE(A43 , ""tr"" , ""en"")"),"No deliverance from the wrongs without clinging to the verification. Our nation has installed the responsibility of how to serve us with the power of our power, the opposition also installed the responsibility of criticizing us while we serve. We will all"&amp;" meet our task under this holy roof. https://t.co/gktm7vsldz")</f>
        <v>No deliverance from the wrongs without clinging to the verification. Our nation has installed the responsibility of how to serve us with the power of our power, the opposition also installed the responsibility of criticizing us while we serve. We will all meet our task under this holy roof. https://t.co/gktm7vsldz</v>
      </c>
    </row>
    <row r="44" spans="1:5" ht="15.75" customHeight="1" x14ac:dyDescent="0.25">
      <c r="A44" s="1" t="s">
        <v>89</v>
      </c>
      <c r="B44" s="1">
        <v>2561</v>
      </c>
      <c r="C44" s="3">
        <v>44542.51017361111</v>
      </c>
      <c r="D44" s="1" t="s">
        <v>90</v>
      </c>
      <c r="E44" s="4" t="str">
        <f ca="1">IFERROR(__xludf.DUMMYFUNCTION("GOOGLETRANSLATE(A44 , ""tr"" , ""en"")"),"We witnessed the bitter balance of health services that cannot be given in the countries allegedly developed. In our country; We have not seen patients in front of oxygen tubes in the corridors. We have brought our citizens to our country by all four of t"&amp;"he world. https://t.co/rqor6Iouoz")</f>
        <v>We witnessed the bitter balance of health services that cannot be given in the countries allegedly developed. In our country; We have not seen patients in front of oxygen tubes in the corridors. We have brought our citizens to our country by all four of the world. https://t.co/rqor6Iouoz</v>
      </c>
    </row>
    <row r="45" spans="1:5" ht="15.75" customHeight="1" x14ac:dyDescent="0.25">
      <c r="A45" s="1" t="s">
        <v>91</v>
      </c>
      <c r="B45" s="1">
        <v>2743</v>
      </c>
      <c r="C45" s="3">
        <v>44542.485856481479</v>
      </c>
      <c r="D45" s="1" t="s">
        <v>92</v>
      </c>
      <c r="E45" s="4" t="str">
        <f ca="1">IFERROR(__xludf.DUMMYFUNCTION("GOOGLETRANSLATE(A45 , ""tr"" , ""en"")"),"The 2022 budget of our Ministry was approved on the TBMM General Assembly. Presenting with constructive criticisms, I would like to thank all the deputies to the preparation of the budget to the preparation of the budget, confirming the budget by approvin"&amp;"g the budget. Get auspicious to our budget nation. https://t.co/asb4tyvygn")</f>
        <v>The 2022 budget of our Ministry was approved on the TBMM General Assembly. Presenting with constructive criticisms, I would like to thank all the deputies to the preparation of the budget to the preparation of the budget, confirming the budget by approving the budget. Get auspicious to our budget nation. https://t.co/asb4tyvygn</v>
      </c>
    </row>
    <row r="46" spans="1:5" ht="15.75" customHeight="1" x14ac:dyDescent="0.25">
      <c r="A46" s="1" t="s">
        <v>93</v>
      </c>
      <c r="B46" s="1">
        <v>5552</v>
      </c>
      <c r="C46" s="3">
        <v>44541.823125000003</v>
      </c>
      <c r="D46" s="1" t="s">
        <v>94</v>
      </c>
      <c r="E46" s="4" t="str">
        <f ca="1">IFERROR(__xludf.DUMMYFUNCTION("GOOGLETRANSLATE(A46 , ""tr"" , ""en"")"),"Our physicians are the best-grown physicians where the richest countries look with the receiving eyes. Do not forget this. https://t.co/qfevbqcdhx")</f>
        <v>Our physicians are the best-grown physicians where the richest countries look with the receiving eyes. Do not forget this. https://t.co/qfevbqcdhx</v>
      </c>
    </row>
    <row r="47" spans="1:5" ht="15.75" customHeight="1" x14ac:dyDescent="0.25">
      <c r="A47" s="1" t="s">
        <v>95</v>
      </c>
      <c r="B47" s="1">
        <v>2745</v>
      </c>
      <c r="C47" s="3">
        <v>44541.816053240742</v>
      </c>
      <c r="D47" s="1" t="s">
        <v>96</v>
      </c>
      <c r="E47" s="4" t="str">
        <f ca="1">IFERROR(__xludf.DUMMYFUNCTION("GOOGLETRANSLATE(A47 , ""tr"" , ""en"")"),"Health workers are subject to heavy cases, pay large compensation. The absence of the specialization court in this field drags the course of cases to the wrong directions. The physicians are adhering to their hand arm at the point where they need to inter"&amp;"fere with the patients with astronomical compensation. https://t.co/klmckkuag3g")</f>
        <v>Health workers are subject to heavy cases, pay large compensation. The absence of the specialization court in this field drags the course of cases to the wrong directions. The physicians are adhering to their hand arm at the point where they need to interfere with the patients with astronomical compensation. https://t.co/klmckkuag3g</v>
      </c>
    </row>
    <row r="48" spans="1:5" ht="15.75" customHeight="1" x14ac:dyDescent="0.25">
      <c r="A48" s="1" t="s">
        <v>97</v>
      </c>
      <c r="B48" s="1">
        <v>2042</v>
      </c>
      <c r="C48" s="3">
        <v>44541.809490740743</v>
      </c>
      <c r="D48" s="1" t="s">
        <v>98</v>
      </c>
      <c r="E48" s="4" t="str">
        <f ca="1">IFERROR(__xludf.DUMMYFUNCTION("GOOGLETRANSLATE(A48 , ""tr"" , ""en"")"),"When a new violent event finds Vuku, I'm getting incapable of finding the words to tell our employees. As all institutions, we have to create social solidarity against health violence. Law should protect the health worker who is connected to the hand arm "&amp;"with the moral of responsibility. https://t.co/9t5tgfqdkb")</f>
        <v>When a new violent event finds Vuku, I'm getting incapable of finding the words to tell our employees. As all institutions, we have to create social solidarity against health violence. Law should protect the health worker who is connected to the hand arm with the moral of responsibility. https://t.co/9t5tgfqdkb</v>
      </c>
    </row>
    <row r="49" spans="1:5" ht="15.75" customHeight="1" x14ac:dyDescent="0.25">
      <c r="A49" s="1" t="s">
        <v>99</v>
      </c>
      <c r="B49" s="1">
        <v>1907</v>
      </c>
      <c r="C49" s="3">
        <v>44541.802303240744</v>
      </c>
      <c r="D49" s="1" t="s">
        <v>100</v>
      </c>
      <c r="E49" s="4" t="str">
        <f ca="1">IFERROR(__xludf.DUMMYFUNCTION("GOOGLETRANSLATE(A49 , ""tr"" , ""en"")"),"We have been in dialogue for the rights of health workers. ""We have to throw the steps to be taken on the rights of your salaries, with the common will."" I have gratitude for the support you give to our Ministry and believe that your support will contin"&amp;"ue to the last point. https://t.co/achdwI76la")</f>
        <v>We have been in dialogue for the rights of health workers. "We have to throw the steps to be taken on the rights of your salaries, with the common will." I have gratitude for the support you give to our Ministry and believe that your support will continue to the last point. https://t.co/achdwI76la</v>
      </c>
    </row>
    <row r="50" spans="1:5" ht="15.75" customHeight="1" x14ac:dyDescent="0.25">
      <c r="A50" s="1" t="s">
        <v>101</v>
      </c>
      <c r="B50" s="1">
        <v>2795</v>
      </c>
      <c r="C50" s="3">
        <v>44541.795497685183</v>
      </c>
      <c r="D50" s="1" t="s">
        <v>102</v>
      </c>
      <c r="E50" s="4" t="str">
        <f ca="1">IFERROR(__xludf.DUMMYFUNCTION("GOOGLETRANSLATE(A50 , ""tr"" , ""en"")"),"Today I'm just as a physician in your peace, but also as a physician. The doctor is the person who is approaching the patient with love and affection. The burden is a heavy profession physician. Physicians that make a job free from all decompositions, fri"&amp;"ction and conflicts. https://t.co/l8lugf9xld")</f>
        <v>Today I'm just as a physician in your peace, but also as a physician. The doctor is the person who is approaching the patient with love and affection. The burden is a heavy profession physician. Physicians that make a job free from all decompositions, friction and conflicts. https://t.co/l8lugf9xld</v>
      </c>
    </row>
    <row r="51" spans="1:5" ht="15.75" customHeight="1" x14ac:dyDescent="0.25">
      <c r="A51" s="1" t="s">
        <v>103</v>
      </c>
      <c r="B51" s="1">
        <v>2298</v>
      </c>
      <c r="C51" s="3">
        <v>44541.78361111111</v>
      </c>
      <c r="D51" s="1" t="s">
        <v>104</v>
      </c>
      <c r="E51" s="4" t="str">
        <f ca="1">IFERROR(__xludf.DUMMYFUNCTION("GOOGLETRANSLATE(A51 , ""tr"" , ""en"")"),"""There are people in this budget. This budget has health. This budget has occupational ethics. There is conscience and mercy. Decomposition, conflict, no other stretches. ""
From the entrance to the TBMM General Assembly for the 2022 budget of our Minist"&amp;"ry. https://t.co/kvzenpa9op")</f>
        <v>"There are people in this budget. This budget has health. This budget has occupational ethics. There is conscience and mercy. Decomposition, conflict, no other stretches. "
From the entrance to the TBMM General Assembly for the 2022 budget of our Ministry. https://t.co/kvzenpa9op</v>
      </c>
    </row>
    <row r="52" spans="1:5" ht="15.75" customHeight="1" x14ac:dyDescent="0.25">
      <c r="A52" s="1" t="s">
        <v>105</v>
      </c>
      <c r="B52" s="1">
        <v>2484</v>
      </c>
      <c r="C52" s="3">
        <v>44541.713460648149</v>
      </c>
      <c r="D52" s="1" t="s">
        <v>106</v>
      </c>
      <c r="E52" s="4" t="str">
        <f ca="1">IFERROR(__xludf.DUMMYFUNCTION("GOOGLETRANSLATE(A52 , ""tr"" , ""en"")"),"We are in the TBMM General Assembly for the 2022 budget of our Ministry. https://t.co/bxtpczinyb")</f>
        <v>We are in the TBMM General Assembly for the 2022 budget of our Ministry. https://t.co/bxtpczinyb</v>
      </c>
    </row>
    <row r="53" spans="1:5" ht="15.75" customHeight="1" x14ac:dyDescent="0.25">
      <c r="A53" s="1" t="s">
        <v>107</v>
      </c>
      <c r="B53" s="1">
        <v>4421</v>
      </c>
      <c r="C53" s="3">
        <v>44541.688402777778</v>
      </c>
      <c r="D53" s="1" t="s">
        <v>108</v>
      </c>
      <c r="E53" s="4" t="str">
        <f ca="1">IFERROR(__xludf.DUMMYFUNCTION("GOOGLETRANSLATE(A53 , ""tr"" , ""en"")"),"Following the common vaccination, the process shows: The full-grown ones are usually mild to Covid-19. Those who are affected by the vaccine discourses are missing their vaccinations, they are young if they are young, they do not have chronic disorders. T"&amp;"he results of the vaccine are in the middle! https://t.co/z5q2aqov9d")</f>
        <v>Following the common vaccination, the process shows: The full-grown ones are usually mild to Covid-19. Those who are affected by the vaccine discourses are missing their vaccinations, they are young if they are young, they do not have chronic disorders. The results of the vaccine are in the middle! https://t.co/z5q2aqov9d</v>
      </c>
    </row>
    <row r="54" spans="1:5" ht="15.75" customHeight="1" x14ac:dyDescent="0.25">
      <c r="A54" s="1" t="s">
        <v>109</v>
      </c>
      <c r="B54" s="1">
        <v>5375</v>
      </c>
      <c r="C54" s="3">
        <v>44540.696331018517</v>
      </c>
      <c r="D54" s="1" t="s">
        <v>110</v>
      </c>
      <c r="E54" s="4" t="str">
        <f ca="1">IFERROR(__xludf.DUMMYFUNCTION("GOOGLETRANSLATE(A54 , ""tr"" , ""en"")"),"The concern of getting caught Covid-19 is increasingly decreasing. This is understandable for young people who have completed their vaccinations and treated. However, those in the risk group should show high precision of those with chronic diseases. Every"&amp;"one who is missing vaccines should complete their vaccinations. https://t.co/h6tba8bkgm")</f>
        <v>The concern of getting caught Covid-19 is increasingly decreasing. This is understandable for young people who have completed their vaccinations and treated. However, those in the risk group should show high precision of those with chronic diseases. Everyone who is missing vaccines should complete their vaccinations. https://t.co/h6tba8bkgm</v>
      </c>
    </row>
    <row r="55" spans="1:5" ht="15.75" customHeight="1" x14ac:dyDescent="0.25">
      <c r="A55" s="1" t="s">
        <v>111</v>
      </c>
      <c r="B55" s="1">
        <v>3318</v>
      </c>
      <c r="C55" s="3">
        <v>44539.78396990741</v>
      </c>
      <c r="D55" s="1">
        <v>1.46901622522112E+18</v>
      </c>
      <c r="E55" s="4" t="str">
        <f ca="1">IFERROR(__xludf.DUMMYFUNCTION("GOOGLETRANSLATE(A55 , ""tr"" , ""en"")"),"In the north of Iraq, I wish our Hero Soldiers in the north of the Paw-Yıldırım Operations. Let our martyrs be heaven. https://t.co/magth5sa4w")</f>
        <v>In the north of Iraq, I wish our Hero Soldiers in the north of the Paw-Yıldırım Operations. Let our martyrs be heaven. https://t.co/magth5sa4w</v>
      </c>
    </row>
    <row r="56" spans="1:5" ht="15.75" customHeight="1" x14ac:dyDescent="0.25">
      <c r="A56" s="1" t="s">
        <v>112</v>
      </c>
      <c r="B56" s="1">
        <v>4481</v>
      </c>
      <c r="C56" s="3">
        <v>44539.777187500003</v>
      </c>
      <c r="D56" s="1" t="s">
        <v>113</v>
      </c>
      <c r="E56" s="4" t="str">
        <f ca="1">IFERROR(__xludf.DUMMYFUNCTION("GOOGLETRANSLATE(A56 , ""tr"" , ""en"")"),"The epidemic was watched with similar daily cases of cases in the last 6 weeks. The sudden increases in Europe were not seen in our country. We should not compromise the incomplete vaccines to maintain this positive situation and to reduce our losses. htt"&amp;"ps://t.co/722f26y5ee")</f>
        <v>The epidemic was watched with similar daily cases of cases in the last 6 weeks. The sudden increases in Europe were not seen in our country. We should not compromise the incomplete vaccines to maintain this positive situation and to reduce our losses. https://t.co/722f26y5ee</v>
      </c>
    </row>
    <row r="57" spans="1:5" ht="15.75" customHeight="1" x14ac:dyDescent="0.25">
      <c r="A57" s="1" t="s">
        <v>114</v>
      </c>
      <c r="B57" s="1">
        <v>5069</v>
      </c>
      <c r="C57" s="3">
        <v>44538.704976851855</v>
      </c>
      <c r="D57" s="1" t="s">
        <v>115</v>
      </c>
      <c r="E57" s="4" t="str">
        <f ca="1">IFERROR(__xludf.DUMMYFUNCTION("GOOGLETRANSLATE(A57 , ""tr"" , ""en"")"),"What did those who try to intimidate our people from vaccination with prejudices? We know the conclusion of erroneous decisions. Important part of Covid-19 patients lying in intensive care has never been vaccinated or vaccinated. The vaccine is a decision"&amp;" to be taken. Don't expect to regret it. https://t.co/nf67x5okdk")</f>
        <v>What did those who try to intimidate our people from vaccination with prejudices? We know the conclusion of erroneous decisions. Important part of Covid-19 patients lying in intensive care has never been vaccinated or vaccinated. The vaccine is a decision to be taken. Don't expect to regret it. https://t.co/nf67x5okdk</v>
      </c>
    </row>
    <row r="58" spans="1:5" ht="15.75" customHeight="1" x14ac:dyDescent="0.25">
      <c r="A58" s="1" t="s">
        <v>116</v>
      </c>
      <c r="B58" s="1">
        <v>0</v>
      </c>
      <c r="C58" s="3">
        <v>44538.670497685183</v>
      </c>
      <c r="D58" s="1" t="s">
        <v>117</v>
      </c>
      <c r="E58" s="4" t="str">
        <f ca="1">IFERROR(__xludf.DUMMYFUNCTION("GOOGLETRANSLATE(A58 , ""tr"" , ""en"")"),"RT @rterdogan: Shouting Nation After Cabinet Meeting https://t.co/8v29aoasns")</f>
        <v>RT @rterdogan: Shouting Nation After Cabinet Meeting https://t.co/8v29aoasns</v>
      </c>
    </row>
    <row r="59" spans="1:5" ht="15.75" customHeight="1" x14ac:dyDescent="0.25">
      <c r="A59" s="1" t="s">
        <v>118</v>
      </c>
      <c r="B59" s="1">
        <v>4931</v>
      </c>
      <c r="C59" s="3">
        <v>44537.692743055559</v>
      </c>
      <c r="D59" s="1" t="s">
        <v>119</v>
      </c>
      <c r="E59" s="4" t="str">
        <f ca="1">IFERROR(__xludf.DUMMYFUNCTION("GOOGLETRANSLATE(A59 , ""tr"" , ""en"")"),"There are Covid-19 patients in intensive care all over Turkey. A significant portion of these has never been vaccinated or the fact that the vaccines are incomplete. It is not a major extent of grafted people's disease. Https://t.co/ef3znmn0lo rely on the"&amp;" consequences of 10 months behind")</f>
        <v>There are Covid-19 patients in intensive care all over Turkey. A significant portion of these has never been vaccinated or the fact that the vaccines are incomplete. It is not a major extent of grafted people's disease. Https://t.co/ef3znmn0lo rely on the consequences of 10 months behind</v>
      </c>
    </row>
    <row r="60" spans="1:5" ht="15.75" customHeight="1" x14ac:dyDescent="0.25">
      <c r="A60" s="1" t="s">
        <v>120</v>
      </c>
      <c r="B60" s="1">
        <v>6893</v>
      </c>
      <c r="C60" s="3">
        <v>44536.880324074074</v>
      </c>
      <c r="D60" s="1" t="s">
        <v>121</v>
      </c>
      <c r="E60" s="4" t="str">
        <f ca="1">IFERROR(__xludf.DUMMYFUNCTION("GOOGLETRANSLATE(A60 , ""tr"" , ""en"")"),"A great life lasted. Prof. Dr. Theeoman has no longer among us. I wish his condolences to the mercy, lovers from Allah.")</f>
        <v>A great life lasted. Prof. Dr. Theeoman has no longer among us. I wish his condolences to the mercy, lovers from Allah.</v>
      </c>
    </row>
    <row r="61" spans="1:5" ht="15.75" customHeight="1" x14ac:dyDescent="0.25">
      <c r="A61" s="1" t="s">
        <v>122</v>
      </c>
      <c r="B61" s="1">
        <v>4205</v>
      </c>
      <c r="C61" s="3">
        <v>44536.737881944442</v>
      </c>
      <c r="D61" s="1" t="s">
        <v>123</v>
      </c>
      <c r="E61" s="4" t="str">
        <f ca="1">IFERROR(__xludf.DUMMYFUNCTION("GOOGLETRANSLATE(A61 , ""tr"" , ""en"")"),"When a dose of a dose of Turkey was made in Turkey we were all happiness. We were aware that the vaccination was our task towards all individuals of society. Now the absence of serious increases is sadness. The 2nd dose rate in 30 provinces is below 75%. "&amp;"Maintains the importance of vaccination. https://t.co/LIXKJUNDIB")</f>
        <v>When a dose of a dose of Turkey was made in Turkey we were all happiness. We were aware that the vaccination was our task towards all individuals of society. Now the absence of serious increases is sadness. The 2nd dose rate in 30 provinces is below 75%. Maintains the importance of vaccination. https://t.co/LIXKJUNDIB</v>
      </c>
    </row>
    <row r="62" spans="1:5" ht="15.75" customHeight="1" x14ac:dyDescent="0.25">
      <c r="A62" s="1" t="s">
        <v>124</v>
      </c>
      <c r="B62" s="1">
        <v>3674</v>
      </c>
      <c r="C62" s="3">
        <v>44536.37877314815</v>
      </c>
      <c r="D62" s="1" t="s">
        <v>125</v>
      </c>
      <c r="E62" s="4" t="str">
        <f ca="1">IFERROR(__xludf.DUMMYFUNCTION("GOOGLETRANSLATE(A62 , ""tr"" , ""en"")"),"3.156 Emergency Health Services Station, 5.886 Our Black Ambulance, our 6 Sea Ambulance, our 12 helicopter ambulance, 3 airplane ambulances and 39,836 emergency health care staff with our emergency health care weekly. https://t.co/io4vsaeznl")</f>
        <v>3.156 Emergency Health Services Station, 5.886 Our Black Ambulance, our 6 Sea Ambulance, our 12 helicopter ambulance, 3 airplane ambulances and 39,836 emergency health care staff with our emergency health care weekly. https://t.co/io4vsaeznl</v>
      </c>
    </row>
    <row r="63" spans="1:5" ht="15.75" customHeight="1" x14ac:dyDescent="0.25">
      <c r="A63" s="1" t="s">
        <v>126</v>
      </c>
      <c r="B63" s="1">
        <v>5679</v>
      </c>
      <c r="C63" s="3">
        <v>44535.697488425925</v>
      </c>
      <c r="D63" s="1" t="s">
        <v>127</v>
      </c>
      <c r="E63" s="4" t="str">
        <f ca="1">IFERROR(__xludf.DUMMYFUNCTION("GOOGLETRANSLATE(A63 , ""tr"" , ""en"")"),"The number of cases falls below 20 thousands of great dealings and dedication. It depends on our stable determination to make this permanent. We should be immediately our vaccinations and do not make a taste compromise. https://t.co/8xotobjf5b")</f>
        <v>The number of cases falls below 20 thousands of great dealings and dedication. It depends on our stable determination to make this permanent. We should be immediately our vaccinations and do not make a taste compromise. https://t.co/8xotobjf5b</v>
      </c>
    </row>
    <row r="64" spans="1:5" ht="15.75" customHeight="1" x14ac:dyDescent="0.25">
      <c r="A64" s="1" t="s">
        <v>128</v>
      </c>
      <c r="B64" s="1">
        <v>2092</v>
      </c>
      <c r="C64" s="3">
        <v>44535.55265046296</v>
      </c>
      <c r="D64" s="1" t="s">
        <v>129</v>
      </c>
      <c r="E64" s="4" t="str">
        <f ca="1">IFERROR(__xludf.DUMMYFUNCTION("GOOGLETRANSLATE(A64 , ""tr"" , ""en"")"),"20-26 November the case density by the previous week by the previous week of our most increasing 10 provinces: Osmaniye, Adana, Mersin, Hatay, Kirklareli, Canakkale, Eskisehir, Burdur, Bilecik and Edirne. https://t.co/xwvdb5evjx")</f>
        <v>20-26 November the case density by the previous week by the previous week of our most increasing 10 provinces: Osmaniye, Adana, Mersin, Hatay, Kirklareli, Canakkale, Eskisehir, Burdur, Bilecik and Edirne. https://t.co/xwvdb5evjx</v>
      </c>
    </row>
    <row r="65" spans="1:5" ht="15.75" customHeight="1" x14ac:dyDescent="0.25">
      <c r="A65" s="1" t="s">
        <v>130</v>
      </c>
      <c r="B65" s="1">
        <v>3434</v>
      </c>
      <c r="C65" s="3">
        <v>44535.549178240741</v>
      </c>
      <c r="D65" s="1" t="s">
        <v>131</v>
      </c>
      <c r="E65" s="4" t="str">
        <f ca="1">IFERROR(__xludf.DUMMYFUNCTION("GOOGLETRANSLATE(A65 , ""tr"" , ""en"")"),"From November 20-26, what was a total of weekly new Covid-19 Cases in 100,000 people in 100,000. Information on the Weekly Insidans map. https://t.co/QI07nsj6lj")</f>
        <v>From November 20-26, what was a total of weekly new Covid-19 Cases in 100,000 people in 100,000. Information on the Weekly Insidans map. https://t.co/QI07nsj6lj</v>
      </c>
    </row>
    <row r="66" spans="1:5" ht="15.75" customHeight="1" x14ac:dyDescent="0.25">
      <c r="A66" s="1" t="s">
        <v>132</v>
      </c>
      <c r="B66" s="1">
        <v>4279</v>
      </c>
      <c r="C66" s="3">
        <v>44534.689027777778</v>
      </c>
      <c r="D66" s="1" t="s">
        <v>133</v>
      </c>
      <c r="E66" s="4" t="str">
        <f ca="1">IFERROR(__xludf.DUMMYFUNCTION("GOOGLETRANSLATE(A66 , ""tr"" , ""en"")"),"We all have the results that we all have to take off the conditions of the season. We should avoid being in the crowded environments in closed places. We often have to ventilate the enclosed environments. We should pay attention to cleanliness. In this pe"&amp;"riod where the risk increases, we must immediately do our vaccines. https://t.co/fejf2dwx64")</f>
        <v>We all have the results that we all have to take off the conditions of the season. We should avoid being in the crowded environments in closed places. We often have to ventilate the enclosed environments. We should pay attention to cleanliness. In this period where the risk increases, we must immediately do our vaccines. https://t.co/fejf2dwx64</v>
      </c>
    </row>
    <row r="67" spans="1:5" ht="15.75" customHeight="1" x14ac:dyDescent="0.25">
      <c r="A67" s="1" t="s">
        <v>134</v>
      </c>
      <c r="B67" s="1">
        <v>2036</v>
      </c>
      <c r="C67" s="3">
        <v>44534.62599537037</v>
      </c>
      <c r="D67" s="1" t="s">
        <v>135</v>
      </c>
      <c r="E67" s="4" t="str">
        <f ca="1">IFERROR(__xludf.DUMMYFUNCTION("GOOGLETRANSLATE(A67 , ""tr"" , ""en"")"),"SMA scan
With our project, the genetic structures of the Genetic Structures of SMA Patient Baby will be able to have children with the risk of risk with the tube doll method and the price will be met by our state. SMA patient dolls can be diagnosed in the"&amp;" stage where treatment is effective. https://t.co/mmphwmfung")</f>
        <v>SMA scan
With our project, the genetic structures of the Genetic Structures of SMA Patient Baby will be able to have children with the risk of risk with the tube doll method and the price will be met by our state. SMA patient dolls can be diagnosed in the stage where treatment is effective. https://t.co/mmphwmfung</v>
      </c>
    </row>
    <row r="68" spans="1:5" ht="15.75" customHeight="1" x14ac:dyDescent="0.25">
      <c r="A68" s="1" t="s">
        <v>136</v>
      </c>
      <c r="B68" s="1">
        <v>1529</v>
      </c>
      <c r="C68" s="3">
        <v>44534.619826388887</v>
      </c>
      <c r="D68" s="1" t="s">
        <v>137</v>
      </c>
      <c r="E68" s="4" t="str">
        <f ca="1">IFERROR(__xludf.DUMMYFUNCTION("GOOGLETRANSLATE(A68 , ""tr"" , ""en"")"),"Nusinersen is the effective ingredient, the borders of the impact in SMA patients are covered by the treatment applied in our country and the drug is provided free of charge. Results in our studies and patients indicate that the drug can benefit in the ea"&amp;"rly stage. https://t.co/wpyd7jczov")</f>
        <v>Nusinersen is the effective ingredient, the borders of the impact in SMA patients are covered by the treatment applied in our country and the drug is provided free of charge. Results in our studies and patients indicate that the drug can benefit in the early stage. https://t.co/wpyd7jczov</v>
      </c>
    </row>
    <row r="69" spans="1:5" ht="15.75" customHeight="1" x14ac:dyDescent="0.25">
      <c r="A69" s="1" t="s">
        <v>138</v>
      </c>
      <c r="B69" s="1">
        <v>1548</v>
      </c>
      <c r="C69" s="3">
        <v>44534.605416666665</v>
      </c>
      <c r="D69" s="1" t="s">
        <v>139</v>
      </c>
      <c r="E69" s="4" t="str">
        <f ca="1">IFERROR(__xludf.DUMMYFUNCTION("GOOGLETRANSLATE(A69 , ""tr"" , ""en"")"),"We are talking about the most fragile state of life while talking about SMA patients. Every promise on the subject has to observe this fragility. Not to be cleared with empty hopes but it is necessary to assess the smallest possible possibility. Our Minis"&amp;"try is trying to do this for SMA patients. https://t.co/cvx4ikmbuv")</f>
        <v>We are talking about the most fragile state of life while talking about SMA patients. Every promise on the subject has to observe this fragility. Not to be cleared with empty hopes but it is necessary to assess the smallest possible possibility. Our Ministry is trying to do this for SMA patients. https://t.co/cvx4ikmbuv</v>
      </c>
    </row>
    <row r="70" spans="1:5" ht="15.75" customHeight="1" x14ac:dyDescent="0.25">
      <c r="A70" s="1" t="s">
        <v>140</v>
      </c>
      <c r="B70" s="1">
        <v>2108</v>
      </c>
      <c r="C70" s="3">
        <v>44534.594467592593</v>
      </c>
      <c r="D70" s="1" t="s">
        <v>141</v>
      </c>
      <c r="E70" s="4" t="str">
        <f ca="1">IFERROR(__xludf.DUMMYFUNCTION("GOOGLETRANSLATE(A70 , ""tr"" , ""en"")"),"SMA Science Board Meeting Results in 4 items https://t.co/lydwt8we7c")</f>
        <v>SMA Science Board Meeting Results in 4 items https://t.co/lydwt8we7c</v>
      </c>
    </row>
    <row r="71" spans="1:5" ht="15.75" customHeight="1" x14ac:dyDescent="0.25">
      <c r="A71" s="1" t="s">
        <v>142</v>
      </c>
      <c r="B71" s="1">
        <v>4391</v>
      </c>
      <c r="C71" s="3">
        <v>44533.741886574076</v>
      </c>
      <c r="D71" s="1" t="s">
        <v>143</v>
      </c>
      <c r="E71" s="4" t="str">
        <f ca="1">IFERROR(__xludf.DUMMYFUNCTION("GOOGLETRANSLATE(A71 , ""tr"" , ""en"")"),"The day of the disabled. According to the national disabled database, we have very disabled individuals from 1.5 million in our country. In the world, we know that the disability rate is too high. Being disabled is not defect, if it is not positive, great"&amp;" mistake for societies. Life we ​​are together.")</f>
        <v>The day of the disabled. According to the national disabled database, we have very disabled individuals from 1.5 million in our country. In the world, we know that the disability rate is too high. Being disabled is not defect, if it is not positive, great mistake for societies. Life we ​​are together.</v>
      </c>
    </row>
    <row r="72" spans="1:5" ht="15.75" customHeight="1" x14ac:dyDescent="0.25">
      <c r="A72" s="1" t="s">
        <v>144</v>
      </c>
      <c r="B72" s="1">
        <v>3883</v>
      </c>
      <c r="C72" s="3">
        <v>44533.696840277778</v>
      </c>
      <c r="D72" s="1" t="s">
        <v>145</v>
      </c>
      <c r="E72" s="4" t="str">
        <f ca="1">IFERROR(__xludf.DUMMYFUNCTION("GOOGLETRANSLATE(A72 , ""tr"" , ""en"")"),"At the beginning of the Ministry, we have lost important responsibilities in our close-term political lives, have lost the Güldal Akşit, who had understood important responsibilities, with the case and his study. I wish himself from Allah to the mercy, hi"&amp;"s family and lovers.")</f>
        <v>At the beginning of the Ministry, we have lost important responsibilities in our close-term political lives, have lost the Güldal Akşit, who had understood important responsibilities, with the case and his study. I wish himself from Allah to the mercy, his family and lovers.</v>
      </c>
    </row>
    <row r="73" spans="1:5" ht="15.75" customHeight="1" x14ac:dyDescent="0.25">
      <c r="A73" s="1" t="s">
        <v>146</v>
      </c>
      <c r="B73" s="1">
        <v>4782</v>
      </c>
      <c r="C73" s="3">
        <v>44533.678495370368</v>
      </c>
      <c r="D73" s="1" t="s">
        <v>147</v>
      </c>
      <c r="E73" s="4" t="str">
        <f ca="1">IFERROR(__xludf.DUMMYFUNCTION("GOOGLETRANSLATE(A73 , ""tr"" , ""en"")"),"The Omicron variant has not been found in our country. This variant is known to be mutated in multiple gene zones of the virus. According to the preliminary information, the omicron variant is faster, but there is no finding that indicates that it is more"&amp;" self-fascinating. https://t.co/I1bvxg1bmc")</f>
        <v>The Omicron variant has not been found in our country. This variant is known to be mutated in multiple gene zones of the virus. According to the preliminary information, the omicron variant is faster, but there is no finding that indicates that it is more self-fascinating. https://t.co/I1bvxg1bmc</v>
      </c>
    </row>
    <row r="74" spans="1:5" ht="15.75" customHeight="1" x14ac:dyDescent="0.25">
      <c r="A74" s="1" t="s">
        <v>148</v>
      </c>
      <c r="B74" s="1">
        <v>4844</v>
      </c>
      <c r="C74" s="3">
        <v>44532.733773148146</v>
      </c>
      <c r="D74" s="1" t="s">
        <v>149</v>
      </c>
      <c r="E74" s="4" t="str">
        <f ca="1">IFERROR(__xludf.DUMMYFUNCTION("GOOGLETRANSLATE(A74 , ""tr"" , ""en"")"),"The epidemic has changed the life, throughout the epidemic. One of these changes was the partial flexibility of the measures with the possession of the vaccine. Today, we need to care about the vaccine for our life qualities. Just as much as we give to me"&amp;"asures on the first days. And we should be careful. https://t.co/dvywreojqh")</f>
        <v>The epidemic has changed the life, throughout the epidemic. One of these changes was the partial flexibility of the measures with the possession of the vaccine. Today, we need to care about the vaccine for our life qualities. Just as much as we give to measures on the first days. And we should be careful. https://t.co/dvywreojqh</v>
      </c>
    </row>
    <row r="75" spans="1:5" ht="15.75" customHeight="1" x14ac:dyDescent="0.25">
      <c r="A75" s="1" t="s">
        <v>150</v>
      </c>
      <c r="B75" s="1">
        <v>2684</v>
      </c>
      <c r="C75" s="3">
        <v>44532.63177083333</v>
      </c>
      <c r="D75" s="1" t="s">
        <v>151</v>
      </c>
      <c r="E75" s="4" t="str">
        <f ca="1">IFERROR(__xludf.DUMMYFUNCTION("GOOGLETRANSLATE(A75 , ""tr"" , ""en"")"),"SMA Science Board After our meeting, our press statement: https://t.co/1azpi0w8ck")</f>
        <v>SMA Science Board After our meeting, our press statement: https://t.co/1azpi0w8ck</v>
      </c>
    </row>
    <row r="76" spans="1:5" ht="15.75" customHeight="1" x14ac:dyDescent="0.25">
      <c r="A76" s="1" t="s">
        <v>152</v>
      </c>
      <c r="B76" s="1">
        <v>6528</v>
      </c>
      <c r="C76" s="3">
        <v>44532.278032407405</v>
      </c>
      <c r="D76" s="1" t="s">
        <v>153</v>
      </c>
      <c r="E76" s="4" t="str">
        <f ca="1">IFERROR(__xludf.DUMMYFUNCTION("GOOGLETRANSLATE(A76 , ""tr"" , ""en"")"),"Our new study mate in the cabin, Treasury and Finance Minister SN. Dr. I celebrate Nureddin Nebati for the important task he is appointed, I wish you success. Our mission is deactivated our valuable friend of friends sec. I would like to thank Lütfi Elvan"&amp;" on behalf of my Ministry for close cooperation.")</f>
        <v>Our new study mate in the cabin, Treasury and Finance Minister SN. Dr. I celebrate Nureddin Nebati for the important task he is appointed, I wish you success. Our mission is deactivated our valuable friend of friends sec. I would like to thank Lütfi Elvan on behalf of my Ministry for close cooperation.</v>
      </c>
    </row>
    <row r="77" spans="1:5" ht="15.75" customHeight="1" x14ac:dyDescent="0.25">
      <c r="A77" s="1" t="s">
        <v>154</v>
      </c>
      <c r="B77" s="1">
        <v>6603</v>
      </c>
      <c r="C77" s="3">
        <v>44531.758425925924</v>
      </c>
      <c r="D77" s="1" t="s">
        <v>155</v>
      </c>
      <c r="E77" s="4" t="str">
        <f ca="1">IFERROR(__xludf.DUMMYFUNCTION("GOOGLETRANSLATE(A77 , ""tr"" , ""en"")"),"SN. I desire my gratitude to our Presidentialism. I would like to thank the deputies and parties to the Ministry of Treasury and Finance to the Ministry of Treasury and the Ministry of Treasury and the Ministry of Labor and Social Security.")</f>
        <v>SN. I desire my gratitude to our Presidentialism. I would like to thank the deputies and parties to the Ministry of Treasury and Finance to the Ministry of Treasury and the Ministry of Treasury and the Ministry of Labor and Social Security.</v>
      </c>
    </row>
    <row r="78" spans="1:5" ht="15.75" customHeight="1" x14ac:dyDescent="0.25">
      <c r="A78" s="1" t="s">
        <v>156</v>
      </c>
      <c r="B78" s="1">
        <v>10010</v>
      </c>
      <c r="C78" s="3">
        <v>44531.758067129631</v>
      </c>
      <c r="D78" s="1" t="s">
        <v>157</v>
      </c>
      <c r="E78" s="4" t="str">
        <f ca="1">IFERROR(__xludf.DUMMYFUNCTION("GOOGLETRANSLATE(A78 , ""tr"" , ""en"")"),"Law materials to improve the financial rights of our health workers, especially the physicians, was raised in the Almighty Council. We know that these improvements are already deserved in society and believe that the results will be reflected in all of us"&amp;".")</f>
        <v>Law materials to improve the financial rights of our health workers, especially the physicians, was raised in the Almighty Council. We know that these improvements are already deserved in society and believe that the results will be reflected in all of us.</v>
      </c>
    </row>
    <row r="79" spans="1:5" ht="15.75" customHeight="1" x14ac:dyDescent="0.25">
      <c r="A79" s="1" t="s">
        <v>158</v>
      </c>
      <c r="B79" s="1">
        <v>3345</v>
      </c>
      <c r="C79" s="3">
        <v>44531.725983796299</v>
      </c>
      <c r="D79" s="1" t="s">
        <v>159</v>
      </c>
      <c r="E79" s="4" t="str">
        <f ca="1">IFERROR(__xludf.DUMMYFUNCTION("GOOGLETRANSLATE(A79 , ""tr"" , ""en"")"),"Our Science Board Meeting Post Prescription: https://t.co/ymmcvawwyv")</f>
        <v>Our Science Board Meeting Post Prescription: https://t.co/ymmcvawwyv</v>
      </c>
    </row>
    <row r="80" spans="1:5" ht="15.75" customHeight="1" x14ac:dyDescent="0.25">
      <c r="A80" s="1" t="s">
        <v>160</v>
      </c>
      <c r="B80" s="1">
        <v>4668</v>
      </c>
      <c r="C80" s="3">
        <v>44531.683321759258</v>
      </c>
      <c r="D80" s="1" t="s">
        <v>161</v>
      </c>
      <c r="E80" s="4" t="str">
        <f ca="1">IFERROR(__xludf.DUMMYFUNCTION("GOOGLETRANSLATE(A80 , ""tr"" , ""en"")"),"Viruses, as in Influenza, which leads to flu, undergo changes over time. The virus against the struggle and changing conditions we give, also gives the survival struggle. In Covid-19, be concerned from the new variants, but remember that the end of the ep"&amp;"idemic will come with weak variants. https://t.co/6xjir0d8mu")</f>
        <v>Viruses, as in Influenza, which leads to flu, undergo changes over time. The virus against the struggle and changing conditions we give, also gives the survival struggle. In Covid-19, be concerned from the new variants, but remember that the end of the epidemic will come with weak variants. https://t.co/6xjir0d8mu</v>
      </c>
    </row>
    <row r="81" spans="1:5" ht="15.75" customHeight="1" x14ac:dyDescent="0.25">
      <c r="A81" s="1" t="s">
        <v>162</v>
      </c>
      <c r="B81" s="1">
        <v>4600</v>
      </c>
      <c r="C81" s="3">
        <v>44530.885023148148</v>
      </c>
      <c r="D81" s="1" t="s">
        <v>163</v>
      </c>
      <c r="E81" s="4" t="str">
        <f ca="1">IFERROR(__xludf.DUMMYFUNCTION("GOOGLETRANSLATE(A81 , ""tr"" , ""en"")"),"63 people were injured in the Lodos storm-induced disaster events in Marmara region, 5 people have lost their life. 28 112 ambulances in disaster places were appointed 99 health personnel with 3 Umke Tims. I offer my condolences and past our nationality.")</f>
        <v>63 people were injured in the Lodos storm-induced disaster events in Marmara region, 5 people have lost their life. 28 112 ambulances in disaster places were appointed 99 health personnel with 3 Umke Tims. I offer my condolences and past our nationality.</v>
      </c>
    </row>
    <row r="82" spans="1:5" ht="15.75" customHeight="1" x14ac:dyDescent="0.25">
      <c r="A82" s="1" t="s">
        <v>164</v>
      </c>
      <c r="B82" s="1">
        <v>2665</v>
      </c>
      <c r="C82" s="3">
        <v>44530.75105324074</v>
      </c>
      <c r="D82" s="1" t="s">
        <v>165</v>
      </c>
      <c r="E82" s="4" t="str">
        <f ca="1">IFERROR(__xludf.DUMMYFUNCTION("GOOGLETRANSLATE(A82 , ""tr"" , ""en"")"),"Within the scope of the high-level health dialogue, we met the European Union Health Commissioner with the video conference method with Stella Kyriakides. In the interview; Covid-19 and Global Health Threat, the effects of climate change on health, have a"&amp;"ddressed cancer protection and mental health issues. https://t.co/ft0muu4vqa")</f>
        <v>Within the scope of the high-level health dialogue, we met the European Union Health Commissioner with the video conference method with Stella Kyriakides. In the interview; Covid-19 and Global Health Threat, the effects of climate change on health, have addressed cancer protection and mental health issues. https://t.co/ft0muu4vqa</v>
      </c>
    </row>
    <row r="83" spans="1:5" ht="15.75" customHeight="1" x14ac:dyDescent="0.25">
      <c r="A83" s="1" t="s">
        <v>166</v>
      </c>
      <c r="B83" s="1">
        <v>4628</v>
      </c>
      <c r="C83" s="3">
        <v>44530.737164351849</v>
      </c>
      <c r="D83" s="1" t="s">
        <v>167</v>
      </c>
      <c r="E83" s="4" t="str">
        <f ca="1">IFERROR(__xludf.DUMMYFUNCTION("GOOGLETRANSLATE(A83 , ""tr"" , ""en"")"),"There are 5,166,607 people without a second overdose, despite the knowledge of a dose and insistent warnings. In the third dose, we are very under the expected level: only 12,180,234 people have been third overdose. This corresponds to 20.01% of the adult"&amp;" population. Be your vaccines. https://t.co/2goggfleg2")</f>
        <v>There are 5,166,607 people without a second overdose, despite the knowledge of a dose and insistent warnings. In the third dose, we are very under the expected level: only 12,180,234 people have been third overdose. This corresponds to 20.01% of the adult population. Be your vaccines. https://t.co/2goggfleg2</v>
      </c>
    </row>
    <row r="84" spans="1:5" ht="15.75" customHeight="1" x14ac:dyDescent="0.25">
      <c r="A84" s="1" t="s">
        <v>168</v>
      </c>
      <c r="B84" s="1">
        <v>2445</v>
      </c>
      <c r="C84" s="3">
        <v>44530.254826388889</v>
      </c>
      <c r="D84" s="1" t="s">
        <v>169</v>
      </c>
      <c r="E84" s="4" t="str">
        <f ca="1">IFERROR(__xludf.DUMMYFUNCTION("GOOGLETRANSLATE(A84 , ""tr"" , ""en"")"),"13-19 November the case density is the most increasing 10 in the previous week: Tunceli, Adana, Gumushane, Mersin, Sinop, Hatay, Burdur, Kilis, Giresun, Mardin. https://t.co/PQMISHPFJA")</f>
        <v>13-19 November the case density is the most increasing 10 in the previous week: Tunceli, Adana, Gumushane, Mersin, Sinop, Hatay, Burdur, Kilis, Giresun, Mardin. https://t.co/PQMISHPFJA</v>
      </c>
    </row>
    <row r="85" spans="1:5" ht="15.75" customHeight="1" x14ac:dyDescent="0.25">
      <c r="A85" s="1" t="s">
        <v>170</v>
      </c>
      <c r="B85" s="1">
        <v>3566</v>
      </c>
      <c r="C85" s="3">
        <v>44530.251331018517</v>
      </c>
      <c r="D85" s="1" t="s">
        <v>171</v>
      </c>
      <c r="E85" s="4" t="str">
        <f ca="1">IFERROR(__xludf.DUMMYFUNCTION("GOOGLETRANSLATE(A85 , ""tr"" , ""en"")"),"What was the total number of new Covid-19 cases in 100,000 people within 100,000 November? Information on the Weekly Insidans map. https://t.co/6hxgh90ndg")</f>
        <v>What was the total number of new Covid-19 cases in 100,000 people within 100,000 November? Information on the Weekly Insidans map. https://t.co/6hxgh90ndg</v>
      </c>
    </row>
    <row r="86" spans="1:5" ht="15.75" customHeight="1" x14ac:dyDescent="0.25">
      <c r="A86" s="1" t="s">
        <v>172</v>
      </c>
      <c r="B86" s="1">
        <v>5588</v>
      </c>
      <c r="C86" s="3">
        <v>44529.713587962964</v>
      </c>
      <c r="D86" s="1" t="s">
        <v>173</v>
      </c>
      <c r="E86" s="4" t="str">
        <f ca="1">IFERROR(__xludf.DUMMYFUNCTION("GOOGLETRANSLATE(A86 , ""tr"" , ""en"")"),"The day of medical secretaries. In the presentation of health services, the role of quality increases and the organizing role is high, the reputable members of our community celebrate the day of our medical secretaries, wish them success.
The light of you"&amp;"r professionalism is reflected in all of us from the patient.")</f>
        <v>The day of medical secretaries. In the presentation of health services, the role of quality increases and the organizing role is high, the reputable members of our community celebrate the day of our medical secretaries, wish them success.
The light of your professionalism is reflected in all of us from the patient.</v>
      </c>
    </row>
    <row r="87" spans="1:5" ht="15.75" customHeight="1" x14ac:dyDescent="0.25">
      <c r="A87" s="1" t="s">
        <v>174</v>
      </c>
      <c r="B87" s="1">
        <v>4358</v>
      </c>
      <c r="C87" s="3">
        <v>44529.702534722222</v>
      </c>
      <c r="D87" s="1" t="s">
        <v>175</v>
      </c>
      <c r="E87" s="4" t="str">
        <f ca="1">IFERROR(__xludf.DUMMYFUNCTION("GOOGLETRANSLATE(A87 , ""tr"" , ""en"")"),"Omicron (NU) explained the development of the variant and the measure we received against it in November 26 and 27. Variants are a natural part of the epidemic process as we have already experienced their samples. New Variant has not been found in our cou"&amp;"ntry. The importance of the measure has occurred again. https://t.co/j8py2hluxe")</f>
        <v>Omicron (NU) explained the development of the variant and the measure we received against it in November 26 and 27. Variants are a natural part of the epidemic process as we have already experienced their samples. New Variant has not been found in our country. The importance of the measure has occurred again. https://t.co/j8py2hluxe</v>
      </c>
    </row>
    <row r="88" spans="1:5" ht="15.75" customHeight="1" x14ac:dyDescent="0.25">
      <c r="A88" s="1" t="s">
        <v>176</v>
      </c>
      <c r="B88" s="1">
        <v>1200</v>
      </c>
      <c r="C88" s="3">
        <v>44529.663194444445</v>
      </c>
      <c r="D88" s="1" t="s">
        <v>177</v>
      </c>
      <c r="E88" s="4" t="str">
        <f ca="1">IFERROR(__xludf.DUMMYFUNCTION("GOOGLETRANSLATE(A88 , ""tr"" , ""en"")"),"There are 24 112 ambulances in the events, 3 Umke Timi and 87 health personnel are in duty. We offer our wishes to the people and our condolences and past our country. Our work continues.")</f>
        <v>There are 24 112 ambulances in the events, 3 Umke Timi and 87 health personnel are in duty. We offer our wishes to the people and our condolences and past our country. Our work continues.</v>
      </c>
    </row>
    <row r="89" spans="1:5" ht="15.75" customHeight="1" x14ac:dyDescent="0.25">
      <c r="A89" s="1" t="s">
        <v>178</v>
      </c>
      <c r="B89" s="1">
        <v>1761</v>
      </c>
      <c r="C89" s="3">
        <v>44529.663194444445</v>
      </c>
      <c r="D89" s="1" t="s">
        <v>179</v>
      </c>
      <c r="E89" s="4" t="str">
        <f ca="1">IFERROR(__xludf.DUMMYFUNCTION("GOOGLETRANSLATE(A89 , ""tr"" , ""en"")"),"With the reputation of 17:30, the final situation in the event: 38 people were injured, 4 people have lost their life. The injured were transmitted to the hospital with 112 ambulances assigned to the scene.")</f>
        <v>With the reputation of 17:30, the final situation in the event: 38 people were injured, 4 people have lost their life. The injured were transmitted to the hospital with 112 ambulances assigned to the scene.</v>
      </c>
    </row>
    <row r="90" spans="1:5" ht="15.75" customHeight="1" x14ac:dyDescent="0.25">
      <c r="A90" s="1" t="s">
        <v>180</v>
      </c>
      <c r="B90" s="1">
        <v>4353</v>
      </c>
      <c r="C90" s="3">
        <v>44529.663182870368</v>
      </c>
      <c r="D90" s="1" t="s">
        <v>181</v>
      </c>
      <c r="E90" s="4" t="str">
        <f ca="1">IFERROR(__xludf.DUMMYFUNCTION("GOOGLETRANSLATE(A90 , ""tr"" , ""en"")"),"In the Lodos storm in the Marmara region; In Istanbul, Bursa and Bolu, financial damage and injury have occurred, Istanbul Esenyurt, Arnavutköy, Avcilar and Basakşehir districts were intensified in some districts of disasters in our districts.")</f>
        <v>In the Lodos storm in the Marmara region; In Istanbul, Bursa and Bolu, financial damage and injury have occurred, Istanbul Esenyurt, Arnavutköy, Avcilar and Basakşehir districts were intensified in some districts of disasters in our districts.</v>
      </c>
    </row>
    <row r="91" spans="1:5" ht="15.75" customHeight="1" x14ac:dyDescent="0.25">
      <c r="A91" s="1" t="s">
        <v>182</v>
      </c>
      <c r="B91" s="1">
        <v>9365</v>
      </c>
      <c r="C91" s="3">
        <v>44528.681979166664</v>
      </c>
      <c r="D91" s="1" t="s">
        <v>183</v>
      </c>
      <c r="E91" s="4" t="str">
        <f ca="1">IFERROR(__xludf.DUMMYFUNCTION("GOOGLETRANSLATE(A91 , ""tr"" , ""en"")"),"The former president of the Galatasaray Sports Club, which has been treated with heavy health problems, has left our old President Mustafa Cengiz. I wish himself from Allah to the mercy, his family, their relatives and all sports mosque. Rest in peace.")</f>
        <v>The former president of the Galatasaray Sports Club, which has been treated with heavy health problems, has left our old President Mustafa Cengiz. I wish himself from Allah to the mercy, his family, their relatives and all sports mosque. Rest in peace.</v>
      </c>
    </row>
    <row r="92" spans="1:5" ht="15.75" customHeight="1" x14ac:dyDescent="0.25">
      <c r="A92" s="1" t="s">
        <v>184</v>
      </c>
      <c r="B92" s="1">
        <v>3988</v>
      </c>
      <c r="C92" s="3">
        <v>44528.678553240738</v>
      </c>
      <c r="D92" s="1" t="s">
        <v>185</v>
      </c>
      <c r="E92" s="4" t="str">
        <f ca="1">IFERROR(__xludf.DUMMYFUNCTION("GOOGLETRANSLATE(A92 , ""tr"" , ""en"")"),"The table has not seen serious variability in a while. This cruise is facilitating control. If we are more sensitive to the measures, we can get better results in the number of cases. For exit from the epidemic environment, the vaccine is in the first pla"&amp;"ce on the agenda. Have your vaccine in time. https://t.co/jqjjyu7enw")</f>
        <v>The table has not seen serious variability in a while. This cruise is facilitating control. If we are more sensitive to the measures, we can get better results in the number of cases. For exit from the epidemic environment, the vaccine is in the first place on the agenda. Have your vaccine in time. https://t.co/jqjjyu7enw</v>
      </c>
    </row>
    <row r="93" spans="1:5" ht="15.75" customHeight="1" x14ac:dyDescent="0.25">
      <c r="A93" s="1" t="s">
        <v>186</v>
      </c>
      <c r="B93" s="1">
        <v>2501</v>
      </c>
      <c r="C93" s="3">
        <v>44528.669166666667</v>
      </c>
      <c r="D93" s="1" t="s">
        <v>187</v>
      </c>
      <c r="E93" s="4" t="str">
        <f ca="1">IFERROR(__xludf.DUMMYFUNCTION("GOOGLETRANSLATE(A93 , ""tr"" , ""en"")"),"Covid-19 and deaths. In the determination of the cause of death, we are based on the DSO criterion PCR. Unfindly cases are at least more death due to indirect reasons such as access to health care. In some patients, serious side disorders can also come ou"&amp;"t. https://t.co/m5qqduvzgg")</f>
        <v>Covid-19 and deaths. In the determination of the cause of death, we are based on the DSO criterion PCR. Unfindly cases are at least more death due to indirect reasons such as access to health care. In some patients, serious side disorders can also come out. https://t.co/m5qqduvzgg</v>
      </c>
    </row>
    <row r="94" spans="1:5" ht="15.75" customHeight="1" x14ac:dyDescent="0.25">
      <c r="A94" s="1" t="s">
        <v>188</v>
      </c>
      <c r="B94" s="1">
        <v>4346</v>
      </c>
      <c r="C94" s="3">
        <v>44528.662303240744</v>
      </c>
      <c r="D94" s="1" t="s">
        <v>189</v>
      </c>
      <c r="E94" s="4" t="str">
        <f ca="1">IFERROR(__xludf.DUMMYFUNCTION("GOOGLETRANSLATE(A94 , ""tr"" , ""en"")"),"Type-1 SMA. We give the drug with the active item to our patients with nusinersen. The SMA Science Board is collected next week to determine which patients can be used in Zolgensma. In order to prevent SMA, we are under Marriage compulsory scan. https://t"&amp;".co/5o58erb8zj")</f>
        <v>Type-1 SMA. We give the drug with the active item to our patients with nusinersen. The SMA Science Board is collected next week to determine which patients can be used in Zolgensma. In order to prevent SMA, we are under Marriage compulsory scan. https://t.co/5o58erb8zj</v>
      </c>
    </row>
    <row r="95" spans="1:5" ht="15.75" customHeight="1" x14ac:dyDescent="0.25">
      <c r="A95" s="1" t="s">
        <v>190</v>
      </c>
      <c r="B95" s="1">
        <v>2849</v>
      </c>
      <c r="C95" s="3">
        <v>44527.814155092594</v>
      </c>
      <c r="D95" s="1" t="s">
        <v>191</v>
      </c>
      <c r="E95" s="4" t="str">
        <f ca="1">IFERROR(__xludf.DUMMYFUNCTION("GOOGLETRANSLATE(A95 , ""tr"" , ""en"")"),"Molnupiravir. This drug was awarded the signature of our president in the world against Covid-19. Called to firms. The drug will be in use within 1 month. https://t.co/twqlsek51j")</f>
        <v>Molnupiravir. This drug was awarded the signature of our president in the world against Covid-19. Called to firms. The drug will be in use within 1 month. https://t.co/twqlsek51j</v>
      </c>
    </row>
    <row r="96" spans="1:5" ht="15.75" customHeight="1" x14ac:dyDescent="0.25">
      <c r="A96" s="1" t="s">
        <v>192</v>
      </c>
      <c r="B96" s="1">
        <v>2071</v>
      </c>
      <c r="C96" s="3">
        <v>44527.800266203703</v>
      </c>
      <c r="D96" s="1" t="s">
        <v>193</v>
      </c>
      <c r="E96" s="4" t="str">
        <f ca="1">IFERROR(__xludf.DUMMYFUNCTION("GOOGLETRANSLATE(A96 , ""tr"" , ""en"")"),"VIOLENCE. In our conversation in the Plan and Budget Commission, we stated that the law is far from the protection for us to the violence crimes in health last year, remaining ineffective in practice. We have expressed our claim that imprisonment was not "&amp;"fined. https://t.co/u7ifncks8s")</f>
        <v>VIOLENCE. In our conversation in the Plan and Budget Commission, we stated that the law is far from the protection for us to the violence crimes in health last year, remaining ineffective in practice. We have expressed our claim that imprisonment was not fined. https://t.co/u7ifncks8s</v>
      </c>
    </row>
    <row r="97" spans="1:5" ht="15.75" customHeight="1" x14ac:dyDescent="0.25">
      <c r="A97" s="1" t="s">
        <v>194</v>
      </c>
      <c r="B97" s="1">
        <v>2215</v>
      </c>
      <c r="C97" s="3">
        <v>44527.786840277775</v>
      </c>
      <c r="D97" s="1" t="s">
        <v>195</v>
      </c>
      <c r="E97" s="4" t="str">
        <f ca="1">IFERROR(__xludf.DUMMYFUNCTION("GOOGLETRANSLATE(A97 , ""tr"" , ""en"")"),"In our conversation at the Plan and Budget Commission, the transfer of fixed additional payment to the general budget to the overall budget increased to the overall budget, and we raised an important improvement after overtime operation. https://t.co/pvhr"&amp;"osICJQ")</f>
        <v>In our conversation at the Plan and Budget Commission, the transfer of fixed additional payment to the general budget to the overall budget increased to the overall budget, and we raised an important improvement after overtime operation. https://t.co/pvhrosICJQ</v>
      </c>
    </row>
    <row r="98" spans="1:5" ht="15.75" customHeight="1" x14ac:dyDescent="0.25">
      <c r="A98" s="1" t="s">
        <v>196</v>
      </c>
      <c r="B98" s="1">
        <v>3509</v>
      </c>
      <c r="C98" s="3">
        <v>44527.770474537036</v>
      </c>
      <c r="D98" s="1" t="s">
        <v>197</v>
      </c>
      <c r="E98" s="4" t="str">
        <f ca="1">IFERROR(__xludf.DUMMYFUNCTION("GOOGLETRANSLATE(A98 , ""tr"" , ""en"")"),"Seizures. The assistant does not want the physicians to run 36 hours, prefer and do not find the implementation. I don't find a 24-hour study. The period of time should go down to 16 hours. We may not be able to do this from today but in advance for 2-3 y"&amp;"ears later. https://t.co/2I7stJIaji")</f>
        <v>Seizures. The assistant does not want the physicians to run 36 hours, prefer and do not find the implementation. I don't find a 24-hour study. The period of time should go down to 16 hours. We may not be able to do this from today but in advance for 2-3 years later. https://t.co/2I7stJIaji</v>
      </c>
    </row>
    <row r="99" spans="1:5" ht="15.75" customHeight="1" x14ac:dyDescent="0.25">
      <c r="A99" s="1" t="s">
        <v>198</v>
      </c>
      <c r="B99" s="1">
        <v>2508</v>
      </c>
      <c r="C99" s="3">
        <v>44527.762627314813</v>
      </c>
      <c r="D99" s="1" t="s">
        <v>199</v>
      </c>
      <c r="E99" s="4" t="str">
        <f ca="1">IFERROR(__xludf.DUMMYFUNCTION("GOOGLETRANSLATE(A99 , ""tr"" , ""en"")"),"White reform. We want to perform well-established changes to the physicians they want to have expertise in the branches. No one should need to go abroad for this reason. A number of changes to retirement conditions from expertise, white reform. We will do"&amp;" that. https://t.co/sd01eoxrxe")</f>
        <v>White reform. We want to perform well-established changes to the physicians they want to have expertise in the branches. No one should need to go abroad for this reason. A number of changes to retirement conditions from expertise, white reform. We will do that. https://t.co/sd01eoxrxe</v>
      </c>
    </row>
    <row r="100" spans="1:5" ht="15.75" customHeight="1" x14ac:dyDescent="0.25">
      <c r="A100" s="1" t="s">
        <v>200</v>
      </c>
      <c r="B100" s="1">
        <v>2302</v>
      </c>
      <c r="C100" s="3">
        <v>44527.741932870369</v>
      </c>
      <c r="D100" s="1" t="s">
        <v>201</v>
      </c>
      <c r="E100" s="4" t="str">
        <f ca="1">IFERROR(__xludf.DUMMYFUNCTION("GOOGLETRANSLATE(A100 , ""tr"" , ""en"")"),"Turkey Vaccine R &amp; D and Production Center. We have completed project work. The tender of the 50,000 square meter-size plant will be held in the coming days, and plan to finish the next year. https://t.co/2frfbxbgky")</f>
        <v>Turkey Vaccine R &amp; D and Production Center. We have completed project work. The tender of the 50,000 square meter-size plant will be held in the coming days, and plan to finish the next year. https://t.co/2frfbxbgky</v>
      </c>
    </row>
    <row r="101" spans="1:5" ht="15.75" customHeight="1" x14ac:dyDescent="0.25">
      <c r="A101" s="1" t="s">
        <v>202</v>
      </c>
      <c r="B101" s="1">
        <v>3900</v>
      </c>
      <c r="C101" s="3">
        <v>44527.726377314815</v>
      </c>
      <c r="D101" s="1" t="s">
        <v>203</v>
      </c>
      <c r="E101" s="4" t="str">
        <f ca="1">IFERROR(__xludf.DUMMYFUNCTION("GOOGLETRANSLATE(A101 , ""tr"" , ""en"")"),"We are watching developments due to variants arising in different countries and we are taking precautions on the theme of our country. Your NU (Omicron) variant on the agenda is your earliest measures against the variant. The most common variant delta var"&amp;"iant in Turkey. Nu variant has not been found. https://t.co/O6IQCH604u")</f>
        <v>We are watching developments due to variants arising in different countries and we are taking precautions on the theme of our country. Your NU (Omicron) variant on the agenda is your earliest measures against the variant. The most common variant delta variant in Turkey. Nu variant has not been found. https://t.co/O6IQCH604u</v>
      </c>
    </row>
    <row r="102" spans="1:5" ht="15.75" customHeight="1" x14ac:dyDescent="0.25">
      <c r="A102" s="1" t="s">
        <v>204</v>
      </c>
      <c r="B102" s="1">
        <v>1922</v>
      </c>
      <c r="C102" s="3">
        <v>44527.717013888891</v>
      </c>
      <c r="D102" s="1" t="s">
        <v>205</v>
      </c>
      <c r="E102" s="4" t="str">
        <f ca="1">IFERROR(__xludf.DUMMYFUNCTION("GOOGLETRANSLATE(A102 , ""tr"" , ""en"")"),"Schwierige Phase in Durchlebt eine Schwierige Phase in der Pandemie. Gestern Erreichte Die Zahl der Neuinfektionen und Todesfälle Einen Neuen Höchststand. Wir Haben Verpflichtungen Gegeneriber Unseren Bürgern und der Menschheit. Wir Sind Bereit, Für Unser"&amp;"e Bürger Verantwortung Zu Übernehmen. https://t.co/yrd2dghobd")</f>
        <v>Schwierige Phase in Durchlebt eine Schwierige Phase in der Pandemie. Gestern Erreichte Die Zahl der Neuinfektionen und Todesfälle Einen Neuen Höchststand. Wir Haben Verpflichtungen Gegeneriber Unseren Bürgern und der Menschheit. Wir Sind Bereit, Für Unsere Bürger Verantwortung Zu Übernehmen. https://t.co/yrd2dghobd</v>
      </c>
    </row>
    <row r="103" spans="1:5" ht="15.75" customHeight="1" x14ac:dyDescent="0.25">
      <c r="A103" s="1" t="s">
        <v>206</v>
      </c>
      <c r="B103" s="1">
        <v>10865</v>
      </c>
      <c r="C103" s="3">
        <v>44527.668657407405</v>
      </c>
      <c r="D103" s="1" t="s">
        <v>207</v>
      </c>
      <c r="E103" s="4" t="str">
        <f ca="1">IFERROR(__xludf.DUMMYFUNCTION("GOOGLETRANSLATE(A103 , ""tr"" , ""en"")"),"84 million population inhabited by 3.5 million citizens is having difficult days in Germany. The highest number of daily cases was reached yesterday with 72.159, 374 people lost their life. We have tasks against our people and humanity. We are willing to "&amp;"take responsibility for our patient citizens.")</f>
        <v>84 million population inhabited by 3.5 million citizens is having difficult days in Germany. The highest number of daily cases was reached yesterday with 72.159, 374 people lost their life. We have tasks against our people and humanity. We are willing to take responsibility for our patient citizens.</v>
      </c>
    </row>
    <row r="104" spans="1:5" ht="15.75" customHeight="1" x14ac:dyDescent="0.25">
      <c r="A104" s="1" t="s">
        <v>208</v>
      </c>
      <c r="B104" s="1">
        <v>13904</v>
      </c>
      <c r="C104" s="3">
        <v>44527.620243055557</v>
      </c>
      <c r="D104" s="1" t="s">
        <v>209</v>
      </c>
      <c r="E104" s="4" t="str">
        <f ca="1">IFERROR(__xludf.DUMMYFUNCTION("GOOGLETRANSLATE(A104 , ""tr"" , ""en"")"),"SN. Meral Akşener,
The subject you are doing over the 5 million people living in Europe are the subject of those who are captured in Covid-19 in Covid-19 in Istanbul in an emergency hospital. German Health Minister announced that intensive care capacitie"&amp;"s began to fill. https://t.co/kkftxvps9a")</f>
        <v>SN. Meral Akşener,
The subject you are doing over the 5 million people living in Europe are the subject of those who are captured in Covid-19 in Covid-19 in Istanbul in an emergency hospital. German Health Minister announced that intensive care capacities began to fill. https://t.co/kkftxvps9a</v>
      </c>
    </row>
    <row r="105" spans="1:5" ht="15.75" customHeight="1" x14ac:dyDescent="0.25">
      <c r="A105" s="1" t="s">
        <v>210</v>
      </c>
      <c r="B105" s="1">
        <v>16701</v>
      </c>
      <c r="C105" s="3">
        <v>44526.763287037036</v>
      </c>
      <c r="D105" s="1" t="s">
        <v>211</v>
      </c>
      <c r="E105" s="4" t="str">
        <f ca="1">IFERROR(__xludf.DUMMYFUNCTION("GOOGLETRANSLATE(A105 , ""tr"" , ""en"")"),"Measure: Due to increasing cases of NU variant; Botswana, South African Republic, Mozambique, Namibia and Zimbabve will be not allowed to travel from this night through all land, air, sea and rail border doors.")</f>
        <v>Measure: Due to increasing cases of NU variant; Botswana, South African Republic, Mozambique, Namibia and Zimbabve will be not allowed to travel from this night through all land, air, sea and rail border doors.</v>
      </c>
    </row>
    <row r="106" spans="1:5" ht="15.75" customHeight="1" x14ac:dyDescent="0.25">
      <c r="A106" s="1" t="s">
        <v>212</v>
      </c>
      <c r="B106" s="1">
        <v>4414</v>
      </c>
      <c r="C106" s="3">
        <v>44526.684131944443</v>
      </c>
      <c r="D106" s="1" t="s">
        <v>213</v>
      </c>
      <c r="E106" s="4" t="str">
        <f ca="1">IFERROR(__xludf.DUMMYFUNCTION("GOOGLETRANSLATE(A106 , ""tr"" , ""en"")"),"We have to remove the epidemic disease from our agenda. However, we should not leave the measures in doing so. The continuity of the fight will bring us success. Variants and mutations should not take place on your agenda. Our Science Board is carefully w"&amp;"atching every situation for you. https://t.co/adlzokfxdt")</f>
        <v>We have to remove the epidemic disease from our agenda. However, we should not leave the measures in doing so. The continuity of the fight will bring us success. Variants and mutations should not take place on your agenda. Our Science Board is carefully watching every situation for you. https://t.co/adlzokfxdt</v>
      </c>
    </row>
    <row r="107" spans="1:5" ht="15.75" customHeight="1" x14ac:dyDescent="0.25">
      <c r="A107" s="1" t="s">
        <v>214</v>
      </c>
      <c r="B107" s="1">
        <v>6109</v>
      </c>
      <c r="C107" s="3">
        <v>44525.89199074074</v>
      </c>
      <c r="D107" s="1" t="s">
        <v>215</v>
      </c>
      <c r="E107" s="4" t="str">
        <f ca="1">IFERROR(__xludf.DUMMYFUNCTION("GOOGLETRANSLATE(A107 , ""tr"" , ""en"")"),"In Diyarbakır, a physician in the violence experienced in a family health center was injured by our friend knife. The displays reflected in the public are horrified. The attacker with psychiatric disorder was arrested. The law has taken action. In our hea"&amp;"lth, we are committed to our prevention case.")</f>
        <v>In Diyarbakır, a physician in the violence experienced in a family health center was injured by our friend knife. The displays reflected in the public are horrified. The attacker with psychiatric disorder was arrested. The law has taken action. In our health, we are committed to our prevention case.</v>
      </c>
    </row>
    <row r="108" spans="1:5" ht="15.75" customHeight="1" x14ac:dyDescent="0.25">
      <c r="A108" s="1" t="s">
        <v>216</v>
      </c>
      <c r="B108" s="1">
        <v>4373</v>
      </c>
      <c r="C108" s="3">
        <v>44525.680231481485</v>
      </c>
      <c r="D108" s="1" t="s">
        <v>217</v>
      </c>
      <c r="E108" s="4" t="str">
        <f ca="1">IFERROR(__xludf.DUMMYFUNCTION("GOOGLETRANSLATE(A108 , ""tr"" , ""en"")"),"We needed to get used to the fact that life continues in more outbreak conditions for a while. We have provided most of us adaptation. If we are a portion, she chooses to act as if there is no epidemic. For all of us, the right is to comply with the terms"&amp;" of the epidemic struggle when they are closing life to normal. https://t.co/dmxyzfzvjI")</f>
        <v>We needed to get used to the fact that life continues in more outbreak conditions for a while. We have provided most of us adaptation. If we are a portion, she chooses to act as if there is no epidemic. For all of us, the right is to comply with the terms of the epidemic struggle when they are closing life to normal. https://t.co/dmxyzfzvjI</v>
      </c>
    </row>
    <row r="109" spans="1:5" ht="15.75" customHeight="1" x14ac:dyDescent="0.25">
      <c r="A109" s="1" t="s">
        <v>218</v>
      </c>
      <c r="B109" s="1">
        <v>1794</v>
      </c>
      <c r="C109" s="3">
        <v>44525.400891203702</v>
      </c>
      <c r="D109" s="1" t="s">
        <v>219</v>
      </c>
      <c r="E109" s="4" t="str">
        <f ca="1">IFERROR(__xludf.DUMMYFUNCTION("GOOGLETRANSLATE(A109 , ""tr"" , ""en"")"),"Department of Health 2022 Plan and Budget Commission Meeting (Presentation 2nd Part) HTTPS://T.CO/K7G0TWLJQI")</f>
        <v>Department of Health 2022 Plan and Budget Commission Meeting (Presentation 2nd Part) HTTPS://T.CO/K7G0TWLJQI</v>
      </c>
    </row>
    <row r="110" spans="1:5" ht="15.75" customHeight="1" x14ac:dyDescent="0.25">
      <c r="A110" s="1" t="s">
        <v>220</v>
      </c>
      <c r="B110" s="1">
        <v>5280</v>
      </c>
      <c r="C110" s="3">
        <v>44525.386770833335</v>
      </c>
      <c r="D110" s="1" t="s">
        <v>221</v>
      </c>
      <c r="E110" s="4" t="str">
        <f ca="1">IFERROR(__xludf.DUMMYFUNCTION("GOOGLETRANSLATE(A110 , ""tr"" , ""en"")"),"On behalf of our nation-pleasing information: Our native Covid-19 vaccine has been applied to the emergency use approval for Turkovac. We aim to make common use by the end of the year. May Saint be auspicious to our nation. https://t.co/weos62fuci")</f>
        <v>On behalf of our nation-pleasing information: Our native Covid-19 vaccine has been applied to the emergency use approval for Turkovac. We aim to make common use by the end of the year. May Saint be auspicious to our nation. https://t.co/weos62fuci</v>
      </c>
    </row>
    <row r="111" spans="1:5" ht="15.75" customHeight="1" x14ac:dyDescent="0.25">
      <c r="A111" s="1" t="s">
        <v>222</v>
      </c>
      <c r="B111" s="1">
        <v>3511</v>
      </c>
      <c r="C111" s="3">
        <v>44525.301759259259</v>
      </c>
      <c r="D111" s="1" t="s">
        <v>223</v>
      </c>
      <c r="E111" s="4" t="str">
        <f ca="1">IFERROR(__xludf.DUMMYFUNCTION("GOOGLETRANSLATE(A111 , ""tr"" , ""en"")"),"Ministry of Health 2022 Plan and Budget Commission Meeting https://t.co/hm1izzxkzp")</f>
        <v>Ministry of Health 2022 Plan and Budget Commission Meeting https://t.co/hm1izzxkzp</v>
      </c>
    </row>
    <row r="112" spans="1:5" ht="15.75" customHeight="1" x14ac:dyDescent="0.25">
      <c r="A112" s="1" t="s">
        <v>224</v>
      </c>
      <c r="B112" s="1">
        <v>5576</v>
      </c>
      <c r="C112" s="3">
        <v>44525.256493055553</v>
      </c>
      <c r="D112" s="1" t="s">
        <v>225</v>
      </c>
      <c r="E112" s="4" t="str">
        <f ca="1">IFERROR(__xludf.DUMMYFUNCTION("GOOGLETRANSLATE(A112 , ""tr"" , ""en"")"),"Violence against women is one of the most sensitive problems of all humanity. By looking at this, we can consider that the level of boasting civilization is in greatest. In the day of fighting violently, I share a touching film with you, published in Bang"&amp;"ladesh. https://t.co/vnxr7dowmx")</f>
        <v>Violence against women is one of the most sensitive problems of all humanity. By looking at this, we can consider that the level of boasting civilization is in greatest. In the day of fighting violently, I share a touching film with you, published in Bangladesh. https://t.co/vnxr7dowmx</v>
      </c>
    </row>
    <row r="113" spans="1:5" ht="15.75" customHeight="1" x14ac:dyDescent="0.25">
      <c r="A113" s="1" t="s">
        <v>226</v>
      </c>
      <c r="B113" s="1">
        <v>1607</v>
      </c>
      <c r="C113" s="3">
        <v>44524.783634259256</v>
      </c>
      <c r="D113" s="1" t="s">
        <v>227</v>
      </c>
      <c r="E113" s="4" t="str">
        <f ca="1">IFERROR(__xludf.DUMMYFUNCTION("GOOGLETRANSLATE(A113 , ""tr"" , ""en"")"),"Sec @hans_kluge
From the beginning of the pendemia, I thank you for taking attention to the contribution of Turkey's international solidarity in the leadership of our President. I would like to share the gospel of 10 million dose vaccine grants more than "&amp;"COVAX formation. https://t.co/6gan3tvjws")</f>
        <v>Sec @hans_kluge
From the beginning of the pendemia, I thank you for taking attention to the contribution of Turkey's international solidarity in the leadership of our President. I would like to share the gospel of 10 million dose vaccine grants more than COVAX formation. https://t.co/6gan3tvjws</v>
      </c>
    </row>
    <row r="114" spans="1:5" ht="15.75" customHeight="1" x14ac:dyDescent="0.25">
      <c r="A114" s="1" t="s">
        <v>228</v>
      </c>
      <c r="B114" s="1">
        <v>1169</v>
      </c>
      <c r="C114" s="3">
        <v>44524.782083333332</v>
      </c>
      <c r="D114" s="1" t="s">
        <v>229</v>
      </c>
      <c r="E114" s="4" t="str">
        <f ca="1">IFERROR(__xludf.DUMMYFUNCTION("GOOGLETRANSLATE(A114 , ""tr"" , ""en"")"),"Dear @hans_kluge, Thanks for Pointing Out 🇹🇷's Contribution to international Solidarity Since Day One of the Pandemic Under The Leadership of President Erdogan. I Also Would Like to Share the Good News: 🇹🇷 Will Donate 10 Million More DoSes Via Covax F"&amp;"acility. https://t.co/6gan3tvjws")</f>
        <v>Dear @hans_kluge, Thanks for Pointing Out 🇹🇷's Contribution to international Solidarity Since Day One of the Pandemic Under The Leadership of President Erdogan. I Also Would Like to Share the Good News: 🇹🇷 Will Donate 10 Million More DoSes Via Covax Facility. https://t.co/6gan3tvjws</v>
      </c>
    </row>
    <row r="115" spans="1:5" ht="15.75" customHeight="1" x14ac:dyDescent="0.25">
      <c r="A115" s="1" t="s">
        <v>230</v>
      </c>
      <c r="B115" s="1">
        <v>4079</v>
      </c>
      <c r="C115" s="3">
        <v>44524.771793981483</v>
      </c>
      <c r="D115" s="1" t="s">
        <v>231</v>
      </c>
      <c r="E115" s="4" t="str">
        <f ca="1">IFERROR(__xludf.DUMMYFUNCTION("GOOGLETRANSLATE(A115 , ""tr"" , ""en"")"),"Our Science Board Meeting After Press Release: https://t.co/dqchr45xtl")</f>
        <v>Our Science Board Meeting After Press Release: https://t.co/dqchr45xtl</v>
      </c>
    </row>
    <row r="116" spans="1:5" ht="15.75" customHeight="1" x14ac:dyDescent="0.25">
      <c r="A116" s="1" t="s">
        <v>232</v>
      </c>
      <c r="B116" s="1">
        <v>4069</v>
      </c>
      <c r="C116" s="3">
        <v>44524.712060185186</v>
      </c>
      <c r="D116" s="1" t="s">
        <v>233</v>
      </c>
      <c r="E116" s="4" t="str">
        <f ca="1">IFERROR(__xludf.DUMMYFUNCTION("GOOGLETRANSLATE(A116 , ""tr"" , ""en"")"),"It broke the expectations that the epidemic process lasted much more than predicted, reduced motivation. But with high case numbers and deceased, real every day again. We can't count Covid-19. The struggle must be in an undisputable certainty as the prese"&amp;"nce of the epidemic. https://t.co/kgkjnlbqk6")</f>
        <v>It broke the expectations that the epidemic process lasted much more than predicted, reduced motivation. But with high case numbers and deceased, real every day again. We can't count Covid-19. The struggle must be in an undisputable certainty as the presence of the epidemic. https://t.co/kgkjnlbqk6</v>
      </c>
    </row>
    <row r="117" spans="1:5" ht="15.75" customHeight="1" x14ac:dyDescent="0.25">
      <c r="A117" s="1" t="s">
        <v>234</v>
      </c>
      <c r="B117" s="1">
        <v>10195</v>
      </c>
      <c r="C117" s="3">
        <v>44524.366782407407</v>
      </c>
      <c r="D117" s="1" t="s">
        <v>235</v>
      </c>
      <c r="E117" s="4" t="str">
        <f ca="1">IFERROR(__xludf.DUMMYFUNCTION("GOOGLETRANSLATE(A117 , ""tr"" , ""en"")"),"Our mathematics teachers have tried to teach us our mathematics, chemistry teachers chemistry, Turkish teachers to teach us the delicacy of our language. How is the good person bemn? This was the common subject of all. The teacher teaches to be the princi"&amp;"pal and human. Happy November 24 Teachers Day.")</f>
        <v>Our mathematics teachers have tried to teach us our mathematics, chemistry teachers chemistry, Turkish teachers to teach us the delicacy of our language. How is the good person bemn? This was the common subject of all. The teacher teaches to be the principal and human. Happy November 24 Teachers Day.</v>
      </c>
    </row>
    <row r="118" spans="1:5" ht="15.75" customHeight="1" x14ac:dyDescent="0.25">
      <c r="A118" s="1" t="s">
        <v>236</v>
      </c>
      <c r="B118" s="1">
        <v>3358</v>
      </c>
      <c r="C118" s="3">
        <v>44524.349861111114</v>
      </c>
      <c r="D118" s="1" t="s">
        <v>237</v>
      </c>
      <c r="E118" s="4" t="str">
        <f ca="1">IFERROR(__xludf.DUMMYFUNCTION("GOOGLETRANSLATE(A118 , ""tr"" , ""en"")"),"Afyonkarahisar has passed over 75% in the second overdose ratio by the blue category. Late, let's ploy the arms. Turkey, the color of the epidemic struggle!")</f>
        <v>Afyonkarahisar has passed over 75% in the second overdose ratio by the blue category. Late, let's ploy the arms. Turkey, the color of the epidemic struggle!</v>
      </c>
    </row>
    <row r="119" spans="1:5" ht="15.75" customHeight="1" x14ac:dyDescent="0.25">
      <c r="A119" s="1" t="s">
        <v>238</v>
      </c>
      <c r="B119" s="1">
        <v>4859</v>
      </c>
      <c r="C119" s="3">
        <v>44523.898020833331</v>
      </c>
      <c r="D119" s="1" t="s">
        <v>239</v>
      </c>
      <c r="E119" s="4" t="str">
        <f ca="1">IFERROR(__xludf.DUMMYFUNCTION("GOOGLETRANSLATE(A119 , ""tr"" , ""en"")"),"Our Hero Officer Infantry Major Mete Mete Yildirim has received the news that he lost his life as a result of an accident. The incident happened in the Peace Opera Operation Zone where he is official. Mercy from Allah to our martyr; We wish our family to "&amp;"our nation and our Ordım. https://t.co/uevc6fb3nz")</f>
        <v>Our Hero Officer Infantry Major Mete Mete Yildirim has received the news that he lost his life as a result of an accident. The incident happened in the Peace Opera Operation Zone where he is official. Mercy from Allah to our martyr; We wish our family to our nation and our Ordım. https://t.co/uevc6fb3nz</v>
      </c>
    </row>
    <row r="120" spans="1:5" ht="15.75" customHeight="1" x14ac:dyDescent="0.25">
      <c r="A120" s="1" t="s">
        <v>240</v>
      </c>
      <c r="B120" s="1">
        <v>9031</v>
      </c>
      <c r="C120" s="3">
        <v>44523.768703703703</v>
      </c>
      <c r="D120" s="1" t="s">
        <v>241</v>
      </c>
      <c r="E120" s="4" t="str">
        <f ca="1">IFERROR(__xludf.DUMMYFUNCTION("GOOGLETRANSLATE(A120 , ""tr"" , ""en"")"),"After the violence in the Pendik State Hospital, the attacker released by the judicial control, the attacker was detained by the delivery of the images to the proceeds by us. We are committed. We will not leave the perpetrators in any violent incident.")</f>
        <v>After the violence in the Pendik State Hospital, the attacker released by the judicial control, the attacker was detained by the delivery of the images to the proceeds by us. We are committed. We will not leave the perpetrators in any violent incident.</v>
      </c>
    </row>
    <row r="121" spans="1:5" ht="15.75" customHeight="1" x14ac:dyDescent="0.25">
      <c r="A121" s="1" t="s">
        <v>242</v>
      </c>
      <c r="B121" s="1">
        <v>3915</v>
      </c>
      <c r="C121" s="3">
        <v>44523.756111111114</v>
      </c>
      <c r="D121" s="1" t="s">
        <v>243</v>
      </c>
      <c r="E121" s="4" t="str">
        <f ca="1">IFERROR(__xludf.DUMMYFUNCTION("GOOGLETRANSLATE(A121 , ""tr"" , ""en"")"),"Covid-19 is a disease transmitted by respiration. It is increasing the possibility of transmission of the virus to touch our face without even aware of most times. We often have to wash our hands as it can be a virus on the surfaces we contact. We should "&amp;"not forget that the mask provides protection in this respect. https://t.co/rahbitwsff")</f>
        <v>Covid-19 is a disease transmitted by respiration. It is increasing the possibility of transmission of the virus to touch our face without even aware of most times. We often have to wash our hands as it can be a virus on the surfaces we contact. We should not forget that the mask provides protection in this respect. https://t.co/rahbitwsff</v>
      </c>
    </row>
    <row r="122" spans="1:5" ht="15.75" customHeight="1" x14ac:dyDescent="0.25">
      <c r="A122" s="1" t="s">
        <v>244</v>
      </c>
      <c r="B122" s="1">
        <v>3818</v>
      </c>
      <c r="C122" s="3">
        <v>44522.766701388886</v>
      </c>
      <c r="D122" s="1" t="s">
        <v>245</v>
      </c>
      <c r="E122" s="4" t="str">
        <f ca="1">IFERROR(__xludf.DUMMYFUNCTION("GOOGLETRANSLATE(A122 , ""tr"" , ""en"")"),"Our dentists give the most beautiful examples of the medicine profession and the rigors in the approach to the technology use and the patients in the approach to the patients approach. Protective measures are becoming widespread in the mouth and dental he"&amp;"alth. I just celebrate the day of dentists and these achievements for all of us. https://t.co/6g9ohHNNIJ")</f>
        <v>Our dentists give the most beautiful examples of the medicine profession and the rigors in the approach to the technology use and the patients in the approach to the patients approach. Protective measures are becoming widespread in the mouth and dental health. I just celebrate the day of dentists and these achievements for all of us. https://t.co/6g9ohHNNIJ</v>
      </c>
    </row>
    <row r="123" spans="1:5" ht="15.75" customHeight="1" x14ac:dyDescent="0.25">
      <c r="A123" s="1" t="s">
        <v>246</v>
      </c>
      <c r="B123" s="1">
        <v>3985</v>
      </c>
      <c r="C123" s="3">
        <v>44522.739953703705</v>
      </c>
      <c r="D123" s="1" t="s">
        <v>247</v>
      </c>
      <c r="E123" s="4" t="str">
        <f ca="1">IFERROR(__xludf.DUMMYFUNCTION("GOOGLETRANSLATE(A123 , ""tr"" , ""en"")"),"We have been experiencing the results of Covid-19 epidemic directly threatening public health. The epidemic does not remain with it, weakens all the areas of life in all countries. Vaccine and Measure means the defense of our life qualities, especially ou"&amp;"r health. Make your vaccine on time. https://t.co/hzyiag8ase")</f>
        <v>We have been experiencing the results of Covid-19 epidemic directly threatening public health. The epidemic does not remain with it, weakens all the areas of life in all countries. Vaccine and Measure means the defense of our life qualities, especially our health. Make your vaccine on time. https://t.co/hzyiag8ase</v>
      </c>
    </row>
    <row r="124" spans="1:5" ht="15.75" customHeight="1" x14ac:dyDescent="0.25">
      <c r="A124" s="1" t="s">
        <v>248</v>
      </c>
      <c r="B124" s="1">
        <v>0</v>
      </c>
      <c r="C124" s="3">
        <v>44522.66778935185</v>
      </c>
      <c r="D124" s="1" t="s">
        <v>249</v>
      </c>
      <c r="E124" s="4" t="str">
        <f ca="1">IFERROR(__xludf.DUMMYFUNCTION("GOOGLETRANSLATE(A124 , ""tr"" , ""en"")"),"RT @rterdogan: Recommend the Nation After Cabinet Meeting https://t.co/tms8roel1g")</f>
        <v>RT @rterdogan: Recommend the Nation After Cabinet Meeting https://t.co/tms8roel1g</v>
      </c>
    </row>
    <row r="125" spans="1:5" ht="15.75" customHeight="1" x14ac:dyDescent="0.25">
      <c r="A125" s="1" t="s">
        <v>250</v>
      </c>
      <c r="B125" s="1">
        <v>4369</v>
      </c>
      <c r="C125" s="3">
        <v>44521.690833333334</v>
      </c>
      <c r="D125" s="1" t="s">
        <v>251</v>
      </c>
      <c r="E125" s="4" t="str">
        <f ca="1">IFERROR(__xludf.DUMMYFUNCTION("GOOGLETRANSLATE(A125 , ""tr"" , ""en"")"),"Although the first dose has achieved success in vaccination, the second dose ratio of the second dose ratio has 59% remaining below 65% and below 80%. We would like to remind those who are still unstable in vaccinated: in the vaccination of humanity. Inoc"&amp;"ulation rate low countries are countries that cannot supply vaccines. https://t.co/75xub011yl")</f>
        <v>Although the first dose has achieved success in vaccination, the second dose ratio of the second dose ratio has 59% remaining below 65% and below 80%. We would like to remind those who are still unstable in vaccinated: in the vaccination of humanity. Inoculation rate low countries are countries that cannot supply vaccines. https://t.co/75xub011yl</v>
      </c>
    </row>
    <row r="126" spans="1:5" ht="15.75" customHeight="1" x14ac:dyDescent="0.25">
      <c r="A126" s="1" t="s">
        <v>252</v>
      </c>
      <c r="B126" s="1">
        <v>2465</v>
      </c>
      <c r="C126" s="3">
        <v>44521.397986111115</v>
      </c>
      <c r="D126" s="1" t="s">
        <v>253</v>
      </c>
      <c r="E126" s="4" t="str">
        <f ca="1">IFERROR(__xludf.DUMMYFUNCTION("GOOGLETRANSLATE(A126 , ""tr"" , ""en"")"),"6-12 November, case density is most increased by the previous week: Tunceli, Osmaniye, Canakkale, Kirklareli, Balikesir, Bilecik, Hatay, Tekirdag, Adana, Bartin. https://t.co/bqmo069psz")</f>
        <v>6-12 November, case density is most increased by the previous week: Tunceli, Osmaniye, Canakkale, Kirklareli, Balikesir, Bilecik, Hatay, Tekirdag, Adana, Bartin. https://t.co/bqmo069psz</v>
      </c>
    </row>
    <row r="127" spans="1:5" ht="15.75" customHeight="1" x14ac:dyDescent="0.25">
      <c r="A127" s="1" t="s">
        <v>254</v>
      </c>
      <c r="B127" s="1">
        <v>3925</v>
      </c>
      <c r="C127" s="3">
        <v>44521.389780092592</v>
      </c>
      <c r="D127" s="1" t="s">
        <v>255</v>
      </c>
      <c r="E127" s="4" t="str">
        <f ca="1">IFERROR(__xludf.DUMMYFUNCTION("GOOGLETRANSLATE(A127 , ""tr"" , ""en"")"),"What was the total number of new Covid-19 cases in 100,000 people within 6-12 November? Information on the Weekly Insidans map. https://t.co/1o0zr18xo0")</f>
        <v>What was the total number of new Covid-19 cases in 100,000 people within 6-12 November? Information on the Weekly Insidans map. https://t.co/1o0zr18xo0</v>
      </c>
    </row>
    <row r="128" spans="1:5" ht="15.75" customHeight="1" x14ac:dyDescent="0.25">
      <c r="A128" s="1" t="s">
        <v>256</v>
      </c>
      <c r="B128" s="1">
        <v>3826</v>
      </c>
      <c r="C128" s="3">
        <v>44520.676782407405</v>
      </c>
      <c r="D128" s="1" t="s">
        <v>257</v>
      </c>
      <c r="E128" s="4" t="str">
        <f ca="1">IFERROR(__xludf.DUMMYFUNCTION("GOOGLETRANSLATE(A128 , ""tr"" , ""en"")"),"We explained that the number of two dose of grafts has passed over 50 million and corresponds to 60% of the total population of 50 million. This rate appears to be 80.5% in the table because we were based on the age of 18 and above in the vaccination prog"&amp;"ram. We have to upgrade this rate for stronger fight against the epidemic. https://t.co/wqlgfnyzık")</f>
        <v>We explained that the number of two dose of grafts has passed over 50 million and corresponds to 60% of the total population of 50 million. This rate appears to be 80.5% in the table because we were based on the age of 18 and above in the vaccination program. We have to upgrade this rate for stronger fight against the epidemic. https://t.co/wqlgfnyzık</v>
      </c>
    </row>
    <row r="129" spans="1:5" ht="15.75" customHeight="1" x14ac:dyDescent="0.25">
      <c r="A129" s="1" t="s">
        <v>258</v>
      </c>
      <c r="B129" s="1">
        <v>8002</v>
      </c>
      <c r="C129" s="3">
        <v>44520.6096412037</v>
      </c>
      <c r="D129" s="1" t="s">
        <v>259</v>
      </c>
      <c r="E129" s="4" t="str">
        <f ca="1">IFERROR(__xludf.DUMMYFUNCTION("GOOGLETRANSLATE(A129 , ""tr"" , ""en"")"),"The number of two dose of overdoses has passed 50 million today. Two dose grafts are currently corresponding to 60% of the total population. Those who are still unstable on the vaccine should examine the decision of 50 million.")</f>
        <v>The number of two dose of overdoses has passed 50 million today. Two dose grafts are currently corresponding to 60% of the total population. Those who are still unstable on the vaccine should examine the decision of 50 million.</v>
      </c>
    </row>
    <row r="130" spans="1:5" ht="15.75" customHeight="1" x14ac:dyDescent="0.25">
      <c r="A130" s="1" t="s">
        <v>260</v>
      </c>
      <c r="B130" s="1">
        <v>7009</v>
      </c>
      <c r="C130" s="3">
        <v>44519.874398148146</v>
      </c>
      <c r="D130" s="1" t="s">
        <v>261</v>
      </c>
      <c r="E130" s="4" t="str">
        <f ca="1">IFERROR(__xludf.DUMMYFUNCTION("GOOGLETRANSLATE(A130 , ""tr"" , ""en"")"),"With the amendment made in 2020, the penalty of violent crimes of violence against health workers is 1.5. We could not get any result. Our two-year physician is our friend Dr. Attack to Esma is one of a large number of incidents. ""It's enough"" screaming"&amp;". The problem is all the society. We will mobilize the society.")</f>
        <v>With the amendment made in 2020, the penalty of violent crimes of violence against health workers is 1.5. We could not get any result. Our two-year physician is our friend Dr. Attack to Esma is one of a large number of incidents. "It's enough" screaming. The problem is all the society. We will mobilize the society.</v>
      </c>
    </row>
    <row r="131" spans="1:5" ht="15.75" customHeight="1" x14ac:dyDescent="0.25">
      <c r="A131" s="1" t="s">
        <v>262</v>
      </c>
      <c r="B131" s="1">
        <v>4261</v>
      </c>
      <c r="C131" s="3">
        <v>44519.712407407409</v>
      </c>
      <c r="D131" s="1" t="s">
        <v>263</v>
      </c>
      <c r="E131" s="4" t="str">
        <f ca="1">IFERROR(__xludf.DUMMYFUNCTION("GOOGLETRANSLATE(A131 , ""tr"" , ""en"")"),"In the 5.1 earthquake in Erzurum, there was small diameter damage in 2 villages. 4 people were injured as a result of events dependent on earthquake. A total of 27 health staff in the region in the region of 5 pcs 112 ambulance and 3 Umke Tim. To Erzurum,"&amp;" get over our country. We are next to the Erzurum. https://t.co/7urenoh9r1")</f>
        <v>In the 5.1 earthquake in Erzurum, there was small diameter damage in 2 villages. 4 people were injured as a result of events dependent on earthquake. A total of 27 health staff in the region in the region of 5 pcs 112 ambulance and 3 Umke Tim. To Erzurum, get over our country. We are next to the Erzurum. https://t.co/7urenoh9r1</v>
      </c>
    </row>
    <row r="132" spans="1:5" ht="15.75" customHeight="1" x14ac:dyDescent="0.25">
      <c r="A132" s="1" t="s">
        <v>264</v>
      </c>
      <c r="B132" s="1">
        <v>4101</v>
      </c>
      <c r="C132" s="3">
        <v>44519.696550925924</v>
      </c>
      <c r="D132" s="1" t="s">
        <v>265</v>
      </c>
      <c r="E132" s="4" t="str">
        <f ca="1">IFERROR(__xludf.DUMMYFUNCTION("GOOGLETRANSLATE(A132 , ""tr"" , ""en"")"),"Throughout the epidemic, many times daily life were placed on restrictions and conclusions were taken. Although the restrictions are no longer in question, we should consider them in our personal preferences. Let's go to the institutions we will get in th"&amp;"e hours they are less dense. https://t.co/2itmmf28UI")</f>
        <v>Throughout the epidemic, many times daily life were placed on restrictions and conclusions were taken. Although the restrictions are no longer in question, we should consider them in our personal preferences. Let's go to the institutions we will get in the hours they are less dense. https://t.co/2itmmf28UI</v>
      </c>
    </row>
    <row r="133" spans="1:5" ht="15.75" customHeight="1" x14ac:dyDescent="0.25">
      <c r="A133" s="1" t="s">
        <v>266</v>
      </c>
      <c r="B133" s="1">
        <v>5122</v>
      </c>
      <c r="C133" s="3">
        <v>44518.956805555557</v>
      </c>
      <c r="D133" s="1" t="s">
        <v>267</v>
      </c>
      <c r="E133" s="4" t="str">
        <f ca="1">IFERROR(__xludf.DUMMYFUNCTION("GOOGLETRANSLATE(A133 , ""tr"" , ""en"")"),"In the explosion that occurred in Kecioren; A daughter 2 years old from the same family and 35 years of father lost their life. The situation is heavy if your 5-year-old brother. The pregnant mother's treatment is being continued.")</f>
        <v>In the explosion that occurred in Kecioren; A daughter 2 years old from the same family and 35 years of father lost their life. The situation is heavy if your 5-year-old brother. The pregnant mother's treatment is being continued.</v>
      </c>
    </row>
    <row r="134" spans="1:5" ht="15.75" customHeight="1" x14ac:dyDescent="0.25">
      <c r="A134" s="1" t="s">
        <v>268</v>
      </c>
      <c r="B134" s="1">
        <v>3845</v>
      </c>
      <c r="C134" s="3">
        <v>44518.915532407409</v>
      </c>
      <c r="D134" s="1" t="s">
        <v>269</v>
      </c>
      <c r="E134" s="4" t="str">
        <f ca="1">IFERROR(__xludf.DUMMYFUNCTION("GOOGLETRANSLATE(A134 , ""tr"" , ""en"")"),"In Ankara Kecioren, we stated that 2 injuries in the explosion in a building in a building. Both of the serious injured ones are children. Unfortunately, despite all efforts, one of our offspring could not be recovered. The state of the other foves still "&amp;"keeps his severity. Sorry for your loss.")</f>
        <v>In Ankara Kecioren, we stated that 2 injuries in the explosion in a building in a building. Both of the serious injured ones are children. Unfortunately, despite all efforts, one of our offspring could not be recovered. The state of the other foves still keeps his severity. Sorry for your loss.</v>
      </c>
    </row>
    <row r="135" spans="1:5" ht="15.75" customHeight="1" x14ac:dyDescent="0.25">
      <c r="A135" s="1" t="s">
        <v>270</v>
      </c>
      <c r="B135" s="1">
        <v>3805</v>
      </c>
      <c r="C135" s="3">
        <v>44518.888842592591</v>
      </c>
      <c r="D135" s="1" t="s">
        <v>271</v>
      </c>
      <c r="E135" s="4" t="str">
        <f ca="1">IFERROR(__xludf.DUMMYFUNCTION("GOOGLETRANSLATE(A135 , ""tr"" , ""en"")"),"In Ankara Kecioren in an apartment in an apartment, the source has not yet been injured in the dignity of the unknown explosion. 8 112 ambulances are assigned instead of the scene and the injured are transported to hospitals with 112 ambulances. We are tr"&amp;"acking with our teams. https://t.co/anf4lz0nwt")</f>
        <v>In Ankara Kecioren in an apartment in an apartment, the source has not yet been injured in the dignity of the unknown explosion. 8 112 ambulances are assigned instead of the scene and the injured are transported to hospitals with 112 ambulances. We are tracking with our teams. https://t.co/anf4lz0nwt</v>
      </c>
    </row>
    <row r="136" spans="1:5" ht="15.75" customHeight="1" x14ac:dyDescent="0.25">
      <c r="A136" s="1" t="s">
        <v>272</v>
      </c>
      <c r="B136" s="1">
        <v>4982</v>
      </c>
      <c r="C136" s="3">
        <v>44518.769189814811</v>
      </c>
      <c r="D136" s="1" t="s">
        <v>273</v>
      </c>
      <c r="E136" s="4" t="str">
        <f ca="1">IFERROR(__xludf.DUMMYFUNCTION("GOOGLETRANSLATE(A136 , ""tr"" , ""en"")"),"Kahramanmaraş deputies, science and irfan man valuable brother of our brother and farewell to life in Ankara city hospital he sees treatment. Mercy from Allah to himself; I wish his family, friends and the people of Kahramanmaras. Rest in peace.")</f>
        <v>Kahramanmaraş deputies, science and irfan man valuable brother of our brother and farewell to life in Ankara city hospital he sees treatment. Mercy from Allah to himself; I wish his family, friends and the people of Kahramanmaras. Rest in peace.</v>
      </c>
    </row>
    <row r="137" spans="1:5" ht="15.75" customHeight="1" x14ac:dyDescent="0.25">
      <c r="A137" s="1" t="s">
        <v>274</v>
      </c>
      <c r="B137" s="1">
        <v>3994</v>
      </c>
      <c r="C137" s="3">
        <v>44518.688958333332</v>
      </c>
      <c r="D137" s="1" t="s">
        <v>275</v>
      </c>
      <c r="E137" s="4" t="str">
        <f ca="1">IFERROR(__xludf.DUMMYFUNCTION("GOOGLETRANSLATE(A137 , ""tr"" , ""en"")"),"Call of Union for Vaccination
We ask our people to adhere to the terms of the struggle of epidemics, delayed, to immediately make the doses from the time. Support to brighten up our vaccine unsteaders from our health community, we expect more insistence i"&amp;"n the public communication service for vaccine from all media. https://t.co/iwzejcjtch")</f>
        <v>Call of Union for Vaccination
We ask our people to adhere to the terms of the struggle of epidemics, delayed, to immediately make the doses from the time. Support to brighten up our vaccine unsteaders from our health community, we expect more insistence in the public communication service for vaccine from all media. https://t.co/iwzejcjtch</v>
      </c>
    </row>
    <row r="138" spans="1:5" ht="15.75" customHeight="1" x14ac:dyDescent="0.25">
      <c r="A138" s="1" t="s">
        <v>276</v>
      </c>
      <c r="B138" s="1">
        <v>2547</v>
      </c>
      <c r="C138" s="3">
        <v>44518.513599537036</v>
      </c>
      <c r="D138" s="1" t="s">
        <v>277</v>
      </c>
      <c r="E138" s="4" t="str">
        <f ca="1">IFERROR(__xludf.DUMMYFUNCTION("GOOGLETRANSLATE(A138 , ""tr"" , ""en"")"),"The HIMSS is the level of HIMSS in all Europe, except Turkey HIMSS is the level 7 of the hospital number 5. In our country, there are 5 hospitals reaching Level 7. In the digitalization processes of our mouth and dental health centers, 14 central levels 6"&amp;" and 2 are registered as central level 7. https://t.co/cqx65howuf")</f>
        <v>The HIMSS is the level of HIMSS in all Europe, except Turkey HIMSS is the level 7 of the hospital number 5. In our country, there are 5 hospitals reaching Level 7. In the digitalization processes of our mouth and dental health centers, 14 central levels 6 and 2 are registered as central level 7. https://t.co/cqx65howuf</v>
      </c>
    </row>
    <row r="139" spans="1:5" ht="15.75" customHeight="1" x14ac:dyDescent="0.25">
      <c r="A139" s="1" t="s">
        <v>278</v>
      </c>
      <c r="B139" s="1">
        <v>5155</v>
      </c>
      <c r="C139" s="3">
        <v>44517.849259259259</v>
      </c>
      <c r="D139" s="1" t="s">
        <v>279</v>
      </c>
      <c r="E139" s="4" t="str">
        <f ca="1">IFERROR(__xludf.DUMMYFUNCTION("GOOGLETRANSLATE(A139 , ""tr"" , ""en"")"),"Sivas went over 75% in the second overdose rate. Latest ones, let's plasting arms tomorrow. Turkey, the color of the epidemic struggle!")</f>
        <v>Sivas went over 75% in the second overdose rate. Latest ones, let's plasting arms tomorrow. Turkey, the color of the epidemic struggle!</v>
      </c>
    </row>
    <row r="140" spans="1:5" ht="15.75" customHeight="1" x14ac:dyDescent="0.25">
      <c r="A140" s="1" t="s">
        <v>280</v>
      </c>
      <c r="B140" s="1">
        <v>5203</v>
      </c>
      <c r="C140" s="3">
        <v>44517.742546296293</v>
      </c>
      <c r="D140" s="1" t="s">
        <v>281</v>
      </c>
      <c r="E140" s="4" t="str">
        <f ca="1">IFERROR(__xludf.DUMMYFUNCTION("GOOGLETRANSLATE(A140 , ""tr"" , ""en"")"),"We mastered the eternal emerging. Nice resurrection behind them left songs. https://t.co/d7sjgygtwx")</f>
        <v>We mastered the eternal emerging. Nice resurrection behind them left songs. https://t.co/d7sjgygtwx</v>
      </c>
    </row>
    <row r="141" spans="1:5" ht="15.75" customHeight="1" x14ac:dyDescent="0.25">
      <c r="A141" s="1" t="s">
        <v>282</v>
      </c>
      <c r="B141" s="1">
        <v>4274</v>
      </c>
      <c r="C141" s="3">
        <v>44517.731192129628</v>
      </c>
      <c r="D141" s="1" t="s">
        <v>283</v>
      </c>
      <c r="E141" s="4" t="str">
        <f ca="1">IFERROR(__xludf.DUMMYFUNCTION("GOOGLETRANSLATE(A141 , ""tr"" , ""en"")"),"There was no injury and life loss in the 5th violence in Duzce. Due to the event, 14 panic attacks and 5 trauma diagnosed patients were presented to health care. 112 emergency assistance and umke tims consisting of a total of 38 personnel are in the regio"&amp;"n. Get to Duzce and Turkey.")</f>
        <v>There was no injury and life loss in the 5th violence in Duzce. Due to the event, 14 panic attacks and 5 trauma diagnosed patients were presented to health care. 112 emergency assistance and umke tims consisting of a total of 38 personnel are in the region. Get to Duzce and Turkey.</v>
      </c>
    </row>
    <row r="142" spans="1:5" ht="15.75" customHeight="1" x14ac:dyDescent="0.25">
      <c r="A142" s="1" t="s">
        <v>284</v>
      </c>
      <c r="B142" s="1">
        <v>3766</v>
      </c>
      <c r="C142" s="3">
        <v>44517.705150462964</v>
      </c>
      <c r="D142" s="1" t="s">
        <v>285</v>
      </c>
      <c r="E142" s="4" t="str">
        <f ca="1">IFERROR(__xludf.DUMMYFUNCTION("GOOGLETRANSLATE(A142 , ""tr"" , ""en"")"),"Measure should be taken wherever it is necessary. For example, if there is no one nearby, the mask is unnecessary, the mask is indispensable if the human intensity is too much. Conditions have led to measure fatigue and serious neglect. Season winter. Let"&amp;"'s put measures in reasonably again. https://t.co/ht5xdle2fc")</f>
        <v>Measure should be taken wherever it is necessary. For example, if there is no one nearby, the mask is unnecessary, the mask is indispensable if the human intensity is too much. Conditions have led to measure fatigue and serious neglect. Season winter. Let's put measures in reasonably again. https://t.co/ht5xdle2fc</v>
      </c>
    </row>
    <row r="143" spans="1:5" ht="15.75" customHeight="1" x14ac:dyDescent="0.25">
      <c r="A143" s="1" t="s">
        <v>286</v>
      </c>
      <c r="B143" s="1">
        <v>1609</v>
      </c>
      <c r="C143" s="3">
        <v>44517.631481481483</v>
      </c>
      <c r="D143" s="1" t="s">
        <v>287</v>
      </c>
      <c r="E143" s="4" t="str">
        <f ca="1">IFERROR(__xludf.DUMMYFUNCTION("GOOGLETRANSLATE(A143 , ""tr"" , ""en"")"),"TÜSEB Saint Sancar 2021 We have presented a rewards of our 5 scientists worthy of science, service and incentive rewards. I am celebrating our friends that we believe in health science and technologies have qualifications at the international level in the"&amp;" future. https://t.co/chbyjk93mf")</f>
        <v>TÜSEB Saint Sancar 2021 We have presented a rewards of our 5 scientists worthy of science, service and incentive rewards. I am celebrating our friends that we believe in health science and technologies have qualifications at the international level in the future. https://t.co/chbyjk93mf</v>
      </c>
    </row>
    <row r="144" spans="1:5" ht="15.75" customHeight="1" x14ac:dyDescent="0.25">
      <c r="A144" s="1" t="s">
        <v>288</v>
      </c>
      <c r="B144" s="1">
        <v>1712</v>
      </c>
      <c r="C144" s="3">
        <v>44517.521319444444</v>
      </c>
      <c r="D144" s="1" t="s">
        <v>289</v>
      </c>
      <c r="E144" s="4" t="str">
        <f ca="1">IFERROR(__xludf.DUMMYFUNCTION("GOOGLETRANSLATE(A144 , ""tr"" , ""en"")"),"On the ongoing HIMSS Health Cognition and Technologies Conference in Antalya, we addressed the struggle against the global epidemic in the bilateral interviews in the Conference and Fair. https://t.co/bxxbifsmxe")</f>
        <v>On the ongoing HIMSS Health Cognition and Technologies Conference in Antalya, we addressed the struggle against the global epidemic in the bilateral interviews in the Conference and Fair. https://t.co/bxxbifsmxe</v>
      </c>
    </row>
    <row r="145" spans="1:5" ht="15.75" customHeight="1" x14ac:dyDescent="0.25">
      <c r="A145" s="1" t="s">
        <v>290</v>
      </c>
      <c r="B145" s="1">
        <v>1607</v>
      </c>
      <c r="C145" s="3">
        <v>44517.317245370374</v>
      </c>
      <c r="D145" s="1" t="s">
        <v>291</v>
      </c>
      <c r="E145" s="4" t="str">
        <f ca="1">IFERROR(__xludf.DUMMYFUNCTION("GOOGLETRANSLATE(A145 , ""tr"" , ""en"")"),"HIMSS Health Cognition and Technologies Conference and Fair 📍ANTALI HTTPS://T.CO/3HIL7XNSNW")</f>
        <v>HIMSS Health Cognition and Technologies Conference and Fair 📍ANTALI HTTPS://T.CO/3HIL7XNSNW</v>
      </c>
    </row>
    <row r="146" spans="1:5" ht="15.75" customHeight="1" x14ac:dyDescent="0.25">
      <c r="A146" s="1" t="s">
        <v>292</v>
      </c>
      <c r="B146" s="1">
        <v>4613</v>
      </c>
      <c r="C146" s="3">
        <v>44516.837766203702</v>
      </c>
      <c r="D146" s="1" t="s">
        <v>293</v>
      </c>
      <c r="E146" s="4" t="str">
        <f ca="1">IFERROR(__xludf.DUMMYFUNCTION("GOOGLETRANSLATE(A146 , ""tr"" , ""en"")"),"Karabük crossed over 75% in the second overdose rate rate. Latest ones, let's plasting arms tomorrow. Turkey, the color of the epidemic struggle!")</f>
        <v>Karabük crossed over 75% in the second overdose rate rate. Latest ones, let's plasting arms tomorrow. Turkey, the color of the epidemic struggle!</v>
      </c>
    </row>
    <row r="147" spans="1:5" ht="15.75" customHeight="1" x14ac:dyDescent="0.25">
      <c r="A147" s="1" t="s">
        <v>294</v>
      </c>
      <c r="B147" s="1">
        <v>4747</v>
      </c>
      <c r="C147" s="3">
        <v>44516.762395833335</v>
      </c>
      <c r="D147" s="1" t="s">
        <v>295</v>
      </c>
      <c r="E147" s="4" t="str">
        <f ca="1">IFERROR(__xludf.DUMMYFUNCTION("GOOGLETRANSLATE(A147 , ""tr"" , ""en"")"),"We will now have more time in indoor spaces. The risk of spreading the virus will increase because it is decreased to mask and distance measures. The fertilizers of the crowded families who live together with young people should pay more attention to the "&amp;"measures and complete the missing vaccines. https://t.co/3nt1mwr29g")</f>
        <v>We will now have more time in indoor spaces. The risk of spreading the virus will increase because it is decreased to mask and distance measures. The fertilizers of the crowded families who live together with young people should pay more attention to the measures and complete the missing vaccines. https://t.co/3nt1mwr29g</v>
      </c>
    </row>
    <row r="148" spans="1:5" ht="15.75" customHeight="1" x14ac:dyDescent="0.25">
      <c r="A148" s="1" t="s">
        <v>296</v>
      </c>
      <c r="B148" s="1">
        <v>12350</v>
      </c>
      <c r="C148" s="3">
        <v>44516.638611111113</v>
      </c>
      <c r="D148" s="1" t="s">
        <v>297</v>
      </c>
      <c r="E148" s="4" t="str">
        <f ca="1">IFERROR(__xludf.DUMMYFUNCTION("GOOGLETRANSLATE(A148 , ""tr"" , ""en"")"),"""Don't say fate, there is a fate above fate
What do they do has a decision from the empty heavens
What happens in the day Batsa are an architect repairing the night
If I burned there is a feeling made from the girl ""
We lost Sezai Karakoç. Our informati"&amp;"on is our poet no longer among us. Sorry for your loss. https://t.co/f9tjsaxdxp")</f>
        <v>"Don't say fate, there is a fate above fate
What do they do has a decision from the empty heavens
What happens in the day Batsa are an architect repairing the night
If I burned there is a feeling made from the girl "
We lost Sezai Karakoç. Our information is our poet no longer among us. Sorry for your loss. https://t.co/f9tjsaxdxp</v>
      </c>
    </row>
    <row r="149" spans="1:5" ht="15.75" customHeight="1" x14ac:dyDescent="0.25">
      <c r="A149" s="1" t="s">
        <v>298</v>
      </c>
      <c r="B149" s="1">
        <v>5630</v>
      </c>
      <c r="C149" s="3">
        <v>44515.745555555557</v>
      </c>
      <c r="D149" s="1" t="s">
        <v>299</v>
      </c>
      <c r="E149" s="4" t="str">
        <f ca="1">IFERROR(__xludf.DUMMYFUNCTION("GOOGLETRANSLATE(A149 , ""tr"" , ""en"")"),"Inoculation Speed ​​Signal: Pain Yellow, Karaman Blue!")</f>
        <v>Inoculation Speed ​​Signal: Pain Yellow, Karaman Blue!</v>
      </c>
    </row>
    <row r="150" spans="1:5" ht="15.75" customHeight="1" x14ac:dyDescent="0.25">
      <c r="A150" s="1" t="s">
        <v>300</v>
      </c>
      <c r="B150" s="1">
        <v>5389</v>
      </c>
      <c r="C150" s="3">
        <v>44515.689305555556</v>
      </c>
      <c r="D150" s="1" t="s">
        <v>301</v>
      </c>
      <c r="E150" s="4" t="str">
        <f ca="1">IFERROR(__xludf.DUMMYFUNCTION("GOOGLETRANSLATE(A150 , ""tr"" , ""en"")"),"In the Covid-19 table message, we want to move the vaccination rate of a province to the country agenda for the first time. Currently our second overdose ratio is the lowest province with 55.2% Şanlıurfa. We passed 80% in the average of Turkey. We invite "&amp;"the people of Sanliurfa to take faster steps in the fight against outbreak. https://t.co/qm1dca9sly")</f>
        <v>In the Covid-19 table message, we want to move the vaccination rate of a province to the country agenda for the first time. Currently our second overdose ratio is the lowest province with 55.2% Şanlıurfa. We passed 80% in the average of Turkey. We invite the people of Sanliurfa to take faster steps in the fight against outbreak. https://t.co/qm1dca9sly</v>
      </c>
    </row>
    <row r="151" spans="1:5" ht="15.75" customHeight="1" x14ac:dyDescent="0.25">
      <c r="A151" s="1" t="s">
        <v>302</v>
      </c>
      <c r="B151" s="1">
        <v>5172</v>
      </c>
      <c r="C151" s="3">
        <v>44515.379189814812</v>
      </c>
      <c r="D151" s="1" t="s">
        <v>303</v>
      </c>
      <c r="E151" s="4" t="str">
        <f ca="1">IFERROR(__xludf.DUMMYFUNCTION("GOOGLETRANSLATE(A151 , ""tr"" , ""en"")"),"The same month, the same star!
Happy 38 of the Turkish Republic of Northern Cyprus, happy birthday! We are considering all our heroes that struggle for independence and peace. https://t.co/oq1xsdcavp")</f>
        <v>The same month, the same star!
Happy 38 of the Turkish Republic of Northern Cyprus, happy birthday! We are considering all our heroes that struggle for independence and peace. https://t.co/oq1xsdcavp</v>
      </c>
    </row>
    <row r="152" spans="1:5" ht="15.75" customHeight="1" x14ac:dyDescent="0.25">
      <c r="A152" s="1" t="s">
        <v>304</v>
      </c>
      <c r="B152" s="1">
        <v>5817</v>
      </c>
      <c r="C152" s="3">
        <v>44514.76798611111</v>
      </c>
      <c r="D152" s="1" t="s">
        <v>305</v>
      </c>
      <c r="E152" s="4" t="str">
        <f ca="1">IFERROR(__xludf.DUMMYFUNCTION("GOOGLETRANSLATE(A152 , ""tr"" , ""en"")"),"75% should always pass together.
Yellow Provinces, let's glad Turkey!")</f>
        <v>75% should always pass together.
Yellow Provinces, let's glad Turkey!</v>
      </c>
    </row>
    <row r="153" spans="1:5" ht="15.75" customHeight="1" x14ac:dyDescent="0.25">
      <c r="A153" s="1" t="s">
        <v>306</v>
      </c>
      <c r="B153" s="1">
        <v>3312</v>
      </c>
      <c r="C153" s="3">
        <v>44514.767835648148</v>
      </c>
      <c r="D153" s="1" t="s">
        <v>307</v>
      </c>
      <c r="E153" s="4" t="str">
        <f ca="1">IFERROR(__xludf.DUMMYFUNCTION("GOOGLETRANSLATE(A153 , ""tr"" , ""en"")"),"75% should always pass together.
Orange Provinces, let's appreciate Turkey!")</f>
        <v>75% should always pass together.
Orange Provinces, let's appreciate Turkey!</v>
      </c>
    </row>
    <row r="154" spans="1:5" ht="15.75" customHeight="1" x14ac:dyDescent="0.25">
      <c r="A154" s="1" t="s">
        <v>308</v>
      </c>
      <c r="B154" s="1">
        <v>3437</v>
      </c>
      <c r="C154" s="3">
        <v>44514.697523148148</v>
      </c>
      <c r="D154" s="1" t="s">
        <v>309</v>
      </c>
      <c r="E154" s="4" t="str">
        <f ca="1">IFERROR(__xludf.DUMMYFUNCTION("GOOGLETRANSLATE(A154 , ""tr"" , ""en"")"),"World Diabetes Day
Diabetes disease becomes widespread due to many reasons such as incorrect nutrition, excess weight, hypertension, still lifestyle. The prevention of these chronic disease is largely dependent on us. A life that suits our bodies, natural"&amp;" stages and needs!")</f>
        <v>World Diabetes Day
Diabetes disease becomes widespread due to many reasons such as incorrect nutrition, excess weight, hypertension, still lifestyle. The prevention of these chronic disease is largely dependent on us. A life that suits our bodies, natural stages and needs!</v>
      </c>
    </row>
    <row r="155" spans="1:5" ht="15.75" customHeight="1" x14ac:dyDescent="0.25">
      <c r="A155" s="1" t="s">
        <v>310</v>
      </c>
      <c r="B155" s="1">
        <v>3900</v>
      </c>
      <c r="C155" s="3">
        <v>44514.691331018519</v>
      </c>
      <c r="D155" s="1" t="s">
        <v>311</v>
      </c>
      <c r="E155" s="4" t="str">
        <f ca="1">IFERROR(__xludf.DUMMYFUNCTION("GOOGLETRANSLATE(A155 , ""tr"" , ""en"")"),"Şanlıurfa, Mardin, Diyarbakir, Batman, Siirt, Bitlis, Mus, Bingöl, Pain: We want to promote anyone who is vaccine to upgrade the inoculation rate in 9 provinces. Contact your acquaintances in order to encourage the vaccine. Help the vaccination increased,"&amp;" to exceed indecision. https://t.co/gawnt9gtcs")</f>
        <v>Şanlıurfa, Mardin, Diyarbakir, Batman, Siirt, Bitlis, Mus, Bingöl, Pain: We want to promote anyone who is vaccine to upgrade the inoculation rate in 9 provinces. Contact your acquaintances in order to encourage the vaccine. Help the vaccination increased, to exceed indecision. https://t.co/gawnt9gtcs</v>
      </c>
    </row>
    <row r="156" spans="1:5" ht="15.75" customHeight="1" x14ac:dyDescent="0.25">
      <c r="A156" s="1" t="s">
        <v>312</v>
      </c>
      <c r="B156" s="1">
        <v>3689</v>
      </c>
      <c r="C156" s="3">
        <v>44513.682349537034</v>
      </c>
      <c r="D156" s="1" t="s">
        <v>313</v>
      </c>
      <c r="E156" s="4" t="str">
        <f ca="1">IFERROR(__xludf.DUMMYFUNCTION("GOOGLETRANSLATE(A156 , ""tr"" , ""en"")"),"The second overdose rate is less than 65% of our nine provinces: Şanlıurfa, Mardin, Diyarbakir, Batman, Siirt, Bitlis, Mus, Bingöl, Pain. Only the decision is enough to get the vaccination service. We are ready to provide all kinds of ease with our teams."&amp;" Enough that let's raise our rate of vaccination. https://t.co/cstevleeom")</f>
        <v>The second overdose rate is less than 65% of our nine provinces: Şanlıurfa, Mardin, Diyarbakir, Batman, Siirt, Bitlis, Mus, Bingöl, Pain. Only the decision is enough to get the vaccination service. We are ready to provide all kinds of ease with our teams. Enough that let's raise our rate of vaccination. https://t.co/cstevleeom</v>
      </c>
    </row>
    <row r="157" spans="1:5" ht="15.75" customHeight="1" x14ac:dyDescent="0.25">
      <c r="A157" s="1" t="s">
        <v>314</v>
      </c>
      <c r="B157" s="1">
        <v>2024</v>
      </c>
      <c r="C157" s="3">
        <v>44513.627905092595</v>
      </c>
      <c r="D157" s="1" t="s">
        <v>315</v>
      </c>
      <c r="E157" s="4" t="str">
        <f ca="1">IFERROR(__xludf.DUMMYFUNCTION("GOOGLETRANSLATE(A157 , ""tr"" , ""en"")"),"30 October-5 November Case Intensity The most increasing 10 products compared to the previous week: Sinop, Osmaniye, Kastamonu, Tunceli, Amasya, Balıkesir, Slap, Çankırı, Edirne, Giresun. https://t.co/nrefmjwvjd")</f>
        <v>30 October-5 November Case Intensity The most increasing 10 products compared to the previous week: Sinop, Osmaniye, Kastamonu, Tunceli, Amasya, Balıkesir, Slap, Çankırı, Edirne, Giresun. https://t.co/nrefmjwvjd</v>
      </c>
    </row>
    <row r="158" spans="1:5" ht="15.75" customHeight="1" x14ac:dyDescent="0.25">
      <c r="A158" s="1" t="s">
        <v>316</v>
      </c>
      <c r="B158" s="1">
        <v>3621</v>
      </c>
      <c r="C158" s="3">
        <v>44513.622708333336</v>
      </c>
      <c r="D158" s="1" t="s">
        <v>317</v>
      </c>
      <c r="E158" s="4" t="str">
        <f ca="1">IFERROR(__xludf.DUMMYFUNCTION("GOOGLETRANSLATE(A158 , ""tr"" , ""en"")"),"October 30-November 5, in 100,000 people in 100,000 people, a weekly new Covid-19 Case Number of Cases on Province basis? You can learn the situation in the provinces you have experienced, from our weekly incidence map. https://t.co/zqkgrnuqon")</f>
        <v>October 30-November 5, in 100,000 people in 100,000 people, a weekly new Covid-19 Case Number of Cases on Province basis? You can learn the situation in the provinces you have experienced, from our weekly incidence map. https://t.co/zqkgrnuqon</v>
      </c>
    </row>
    <row r="159" spans="1:5" ht="15.75" customHeight="1" x14ac:dyDescent="0.25">
      <c r="A159" s="1" t="s">
        <v>318</v>
      </c>
      <c r="B159" s="1">
        <v>6868</v>
      </c>
      <c r="C159" s="3">
        <v>44512.82199074074</v>
      </c>
      <c r="D159" s="1" t="s">
        <v>319</v>
      </c>
      <c r="E159" s="4" t="str">
        <f ca="1">IFERROR(__xludf.DUMMYFUNCTION("GOOGLETRANSLATE(A159 , ""tr"" , ""en"")"),"Latest ones, let's plasting the arms! The Hakkâri is blue!")</f>
        <v>Latest ones, let's plasting the arms! The Hakkâri is blue!</v>
      </c>
    </row>
    <row r="160" spans="1:5" ht="15.75" customHeight="1" x14ac:dyDescent="0.25">
      <c r="A160" s="1" t="s">
        <v>320</v>
      </c>
      <c r="B160" s="1">
        <v>4229</v>
      </c>
      <c r="C160" s="3">
        <v>44512.818622685183</v>
      </c>
      <c r="D160" s="1" t="s">
        <v>321</v>
      </c>
      <c r="E160" s="4" t="str">
        <f ca="1">IFERROR(__xludf.DUMMYFUNCTION("GOOGLETRANSLATE(A160 , ""tr"" , ""en"")"),"We switched to 3 colorful maps from 4 colorful maps!
Sanliurfa Orange, Target Single Color Blue!")</f>
        <v>We switched to 3 colorful maps from 4 colorful maps!
Sanliurfa Orange, Target Single Color Blue!</v>
      </c>
    </row>
    <row r="161" spans="1:5" ht="15.75" customHeight="1" x14ac:dyDescent="0.25">
      <c r="A161" s="1" t="s">
        <v>322</v>
      </c>
      <c r="B161" s="1">
        <v>4195</v>
      </c>
      <c r="C161" s="3">
        <v>44512.686550925922</v>
      </c>
      <c r="D161" s="1" t="s">
        <v>323</v>
      </c>
      <c r="E161" s="4" t="str">
        <f ca="1">IFERROR(__xludf.DUMMYFUNCTION("GOOGLETRANSLATE(A161 , ""tr"" , ""en"")"),"15% of the cases in the last 1 month are 60 years of age or older. However, 84.8% of the passages are over 60 years. The rate of children in the 8-16 age group in the school age was decreased by approximately 10% in total cases. This is important in terms"&amp;" of the course of the secret. https://t.co/b7efuwbggg")</f>
        <v>15% of the cases in the last 1 month are 60 years of age or older. However, 84.8% of the passages are over 60 years. The rate of children in the 8-16 age group in the school age was decreased by approximately 10% in total cases. This is important in terms of the course of the secret. https://t.co/b7efuwbggg</v>
      </c>
    </row>
    <row r="162" spans="1:5" ht="15.75" customHeight="1" x14ac:dyDescent="0.25">
      <c r="A162" s="1" t="s">
        <v>324</v>
      </c>
      <c r="B162" s="1">
        <v>3296</v>
      </c>
      <c r="C162" s="3">
        <v>44512.576099537036</v>
      </c>
      <c r="D162" s="1" t="s">
        <v>325</v>
      </c>
      <c r="E162" s="4" t="str">
        <f ca="1">IFERROR(__xludf.DUMMYFUNCTION("GOOGLETRANSLATE(A162 , ""tr"" , ""en"")"),"Pneumonia (pneumonia) is a contagious and risky disease. The aircraft in the lung is dollar with inflamed liquid. COPD, heart disease, renal failure, diabetes such as chronic diseases, elderly, young children are in the risk group. Pneumonia is a disease "&amp;"with vaccination. https://t.co/pvcjcsyo3o")</f>
        <v>Pneumonia (pneumonia) is a contagious and risky disease. The aircraft in the lung is dollar with inflamed liquid. COPD, heart disease, renal failure, diabetes such as chronic diseases, elderly, young children are in the risk group. Pneumonia is a disease with vaccination. https://t.co/pvcjcsyo3o</v>
      </c>
    </row>
    <row r="163" spans="1:5" ht="15.75" customHeight="1" x14ac:dyDescent="0.25">
      <c r="A163" s="1" t="s">
        <v>326</v>
      </c>
      <c r="B163" s="1">
        <v>3826</v>
      </c>
      <c r="C163" s="3">
        <v>44511.67732638889</v>
      </c>
      <c r="D163" s="1" t="s">
        <v>327</v>
      </c>
      <c r="E163" s="4" t="str">
        <f ca="1">IFERROR(__xludf.DUMMYFUNCTION("GOOGLETRANSLATE(A163 , ""tr"" , ""en"")"),"Approximately 8.6 million people did not have the 2nd or 3rd overdose of the time. Full of the vaccine depends on the extension of the dosage between the number of dose and doses. Our notifications are being made by these periods. To be able to benefit mo"&amp;"re than the power of vaccine, you must obey your vaccine calendar. https://t.co/xlaoolpmxc")</f>
        <v>Approximately 8.6 million people did not have the 2nd or 3rd overdose of the time. Full of the vaccine depends on the extension of the dosage between the number of dose and doses. Our notifications are being made by these periods. To be able to benefit more than the power of vaccine, you must obey your vaccine calendar. https://t.co/xlaoolpmxc</v>
      </c>
    </row>
    <row r="164" spans="1:5" ht="15.75" customHeight="1" x14ac:dyDescent="0.25">
      <c r="A164" s="1" t="s">
        <v>328</v>
      </c>
      <c r="B164" s="1">
        <v>5858</v>
      </c>
      <c r="C164" s="3">
        <v>44511.652465277781</v>
      </c>
      <c r="D164" s="1" t="s">
        <v>329</v>
      </c>
      <c r="E164" s="4" t="str">
        <f ca="1">IFERROR(__xludf.DUMMYFUNCTION("GOOGLETRANSLATE(A164 , ""tr"" , ""en"")"),"Our aircraft and helicopter ambulances were only 3,629 patients and injured in the country this year. In addition, 1 patient from abroad and 148 patients were transported to our country. We are in action against time for health.")</f>
        <v>Our aircraft and helicopter ambulances were only 3,629 patients and injured in the country this year. In addition, 1 patient from abroad and 148 patients were transported to our country. We are in action against time for health.</v>
      </c>
    </row>
    <row r="165" spans="1:5" ht="15.75" customHeight="1" x14ac:dyDescent="0.25">
      <c r="A165" s="1" t="s">
        <v>330</v>
      </c>
      <c r="B165" s="1">
        <v>3244</v>
      </c>
      <c r="C165" s="3">
        <v>44511.64130787037</v>
      </c>
      <c r="D165" s="1" t="s">
        <v>331</v>
      </c>
      <c r="E165" s="4" t="str">
        <f ca="1">IFERROR(__xludf.DUMMYFUNCTION("GOOGLETRANSLATE(A165 , ""tr"" , ""en"")"),"Air ambulance fleet
flies for seconds! https://t.co/s1cm2cz3qm")</f>
        <v>Air ambulance fleet
flies for seconds! https://t.co/s1cm2cz3qm</v>
      </c>
    </row>
    <row r="166" spans="1:5" ht="15.75" customHeight="1" x14ac:dyDescent="0.25">
      <c r="A166" s="1" t="s">
        <v>332</v>
      </c>
      <c r="B166" s="1">
        <v>5766</v>
      </c>
      <c r="C166" s="3">
        <v>44510.865405092591</v>
      </c>
      <c r="D166" s="1" t="s">
        <v>333</v>
      </c>
      <c r="E166" s="4" t="str">
        <f ca="1">IFERROR(__xludf.DUMMYFUNCTION("GOOGLETRANSLATE(A166 , ""tr"" , ""en"")"),"Our Emergency Health Services teams in Karaman moved to the mother candidate starting at the village today, starting from the village. Our team reached the mother candidate and realized the birth in the ambulance. A baby boy! A little hurried. Mother son "&amp;"is at the hospital and good. https://t.co/g82zmus8d7")</f>
        <v>Our Emergency Health Services teams in Karaman moved to the mother candidate starting at the village today, starting from the village. Our team reached the mother candidate and realized the birth in the ambulance. A baby boy! A little hurried. Mother son is at the hospital and good. https://t.co/g82zmus8d7</v>
      </c>
    </row>
    <row r="167" spans="1:5" ht="15.75" customHeight="1" x14ac:dyDescent="0.25">
      <c r="A167" s="1" t="s">
        <v>334</v>
      </c>
      <c r="B167" s="1">
        <v>4089</v>
      </c>
      <c r="C167" s="3">
        <v>44510.745000000003</v>
      </c>
      <c r="D167" s="1" t="s">
        <v>335</v>
      </c>
      <c r="E167" s="4" t="str">
        <f ca="1">IFERROR(__xludf.DUMMYFUNCTION("GOOGLETRANSLATE(A167 , ""tr"" , ""en"")"),"Koronavirus Science Board The status of our citizens in the risk group today, the course of the outbreak and vaccine program was collected with the agenda. https://t.co/qstgjnfbzk")</f>
        <v>Koronavirus Science Board The status of our citizens in the risk group today, the course of the outbreak and vaccine program was collected with the agenda. https://t.co/qstgjnfbzk</v>
      </c>
    </row>
    <row r="168" spans="1:5" ht="15.75" customHeight="1" x14ac:dyDescent="0.25">
      <c r="A168" s="1" t="s">
        <v>336</v>
      </c>
      <c r="B168" s="1">
        <v>3824</v>
      </c>
      <c r="C168" s="3">
        <v>44510.713368055556</v>
      </c>
      <c r="D168" s="1" t="s">
        <v>337</v>
      </c>
      <c r="E168" s="4" t="str">
        <f ca="1">IFERROR(__xludf.DUMMYFUNCTION("GOOGLETRANSLATE(A168 , ""tr"" , ""en"")"),"Being vaccinated will lead to major results than considering the epidemic measures to be done on the day of new doses. Because Covid-19 vaccine and measures do not protect us: The spread of the virus is narrows the area of ​​living. High vaccine ratio and"&amp;" measure breaks the power of the virus. https://t.co/aachsgiII7")</f>
        <v>Being vaccinated will lead to major results than considering the epidemic measures to be done on the day of new doses. Because Covid-19 vaccine and measures do not protect us: The spread of the virus is narrows the area of ​​living. High vaccine ratio and measure breaks the power of the virus. https://t.co/aachsgiII7</v>
      </c>
    </row>
    <row r="169" spans="1:5" ht="15.75" customHeight="1" x14ac:dyDescent="0.25">
      <c r="A169" s="1" t="s">
        <v>338</v>
      </c>
      <c r="B169" s="1">
        <v>16974</v>
      </c>
      <c r="C169" s="3">
        <v>44510.25372685185</v>
      </c>
      <c r="D169" s="1" t="s">
        <v>339</v>
      </c>
      <c r="E169" s="4" t="str">
        <f ca="1">IFERROR(__xludf.DUMMYFUNCTION("GOOGLETRANSLATE(A169 , ""tr"" , ""en"")"),"Ataturk was 57 when he left our call. A 57 Years that will not be held with years of knowing! As a leader, his life is a dedicated and works with our nation will live in thousands of years. We remember Him, respect for his memory and mercy. https://t.co/w"&amp;"mj4l1lnd0")</f>
        <v>Ataturk was 57 when he left our call. A 57 Years that will not be held with years of knowing! As a leader, his life is a dedicated and works with our nation will live in thousands of years. We remember Him, respect for his memory and mercy. https://t.co/wmj4l1lnd0</v>
      </c>
    </row>
    <row r="170" spans="1:5" ht="15.75" customHeight="1" x14ac:dyDescent="0.25">
      <c r="A170" s="1" t="s">
        <v>340</v>
      </c>
      <c r="B170" s="1">
        <v>3424</v>
      </c>
      <c r="C170" s="3">
        <v>44509.939664351848</v>
      </c>
      <c r="D170" s="1" t="s">
        <v>341</v>
      </c>
      <c r="E170" s="4" t="str">
        <f ca="1">IFERROR(__xludf.DUMMYFUNCTION("GOOGLETRANSLATE(A170 , ""tr"" , ""en"")"),"Recent Situation in Malatya: In the result of the collapse of a building, 8 of 13 people were discharged to be completed. 5 injured currently under treatment. We are in the scene with our 141 health employees, including 5 Umke Timi. Rescue work continues.")</f>
        <v>Recent Situation in Malatya: In the result of the collapse of a building, 8 of 13 people were discharged to be completed. 5 injured currently under treatment. We are in the scene with our 141 health employees, including 5 Umke Timi. Rescue work continues.</v>
      </c>
    </row>
    <row r="171" spans="1:5" ht="15.75" customHeight="1" x14ac:dyDescent="0.25">
      <c r="A171" s="1" t="s">
        <v>342</v>
      </c>
      <c r="B171" s="1">
        <v>3617</v>
      </c>
      <c r="C171" s="3">
        <v>44509.848391203705</v>
      </c>
      <c r="D171" s="1" t="s">
        <v>343</v>
      </c>
      <c r="E171" s="4" t="str">
        <f ca="1">IFERROR(__xludf.DUMMYFUNCTION("GOOGLETRANSLATE(A171 , ""tr"" , ""en"")"),"Our Umke teams have donated the worlds with the lives they saved from the debris in Malatya today. On behalf of Malatya and all of our people, you are good to have Umke! https://t.co/3y1bIph8yh")</f>
        <v>Our Umke teams have donated the worlds with the lives they saved from the debris in Malatya today. On behalf of Malatya and all of our people, you are good to have Umke! https://t.co/3y1bIph8yh</v>
      </c>
    </row>
    <row r="172" spans="1:5" ht="15.75" customHeight="1" x14ac:dyDescent="0.25">
      <c r="A172" s="1" t="s">
        <v>344</v>
      </c>
      <c r="B172" s="1">
        <v>3737</v>
      </c>
      <c r="C172" s="3">
        <v>44509.766388888886</v>
      </c>
      <c r="D172" s="1" t="s">
        <v>345</v>
      </c>
      <c r="E172" s="4" t="str">
        <f ca="1">IFERROR(__xludf.DUMMYFUNCTION("GOOGLETRANSLATE(A172 , ""tr"" , ""en"")"),"Our active case is about 450.126. We want to remind that the test should definitely observe the isolation conditions to avoid the spread of the disease, regardless of the level of complaints. Success in the fight against epidemics depends on common respon"&amp;"sibility. https://t.co/4mp5r4qcks")</f>
        <v>Our active case is about 450.126. We want to remind that the test should definitely observe the isolation conditions to avoid the spread of the disease, regardless of the level of complaints. Success in the fight against epidemics depends on common responsibility. https://t.co/4mp5r4qcks</v>
      </c>
    </row>
    <row r="173" spans="1:5" ht="15.75" customHeight="1" x14ac:dyDescent="0.25">
      <c r="A173" s="1" t="s">
        <v>346</v>
      </c>
      <c r="B173" s="1">
        <v>5419</v>
      </c>
      <c r="C173" s="3">
        <v>44509.668993055559</v>
      </c>
      <c r="D173" s="1" t="s">
        <v>347</v>
      </c>
      <c r="E173" s="4" t="str">
        <f ca="1">IFERROR(__xludf.DUMMYFUNCTION("GOOGLETRANSLATE(A173 , ""tr"" , ""en"")"),"13 people were injured due to the crashing of a building in the center of Malatya. The treatment of the injured continues in our hospitals. 28 ambulances and 2 Umke teams are appointed at the scene. Get past malatia. We are at your side.")</f>
        <v>13 people were injured due to the crashing of a building in the center of Malatya. The treatment of the injured continues in our hospitals. 28 ambulances and 2 Umke teams are appointed at the scene. Get past malatia. We are at your side.</v>
      </c>
    </row>
    <row r="174" spans="1:5" ht="15.75" customHeight="1" x14ac:dyDescent="0.25">
      <c r="A174" s="1" t="s">
        <v>348</v>
      </c>
      <c r="B174" s="1">
        <v>7772</v>
      </c>
      <c r="C174" s="3">
        <v>44509.587037037039</v>
      </c>
      <c r="D174" s="1" t="s">
        <v>349</v>
      </c>
      <c r="E174" s="4" t="str">
        <f ca="1">IFERROR(__xludf.DUMMYFUNCTION("GOOGLETRANSLATE(A174 , ""tr"" , ""en"")"),"Turkey, the Covid-19 vaccine did not oblurate to the citizen. But the conditions reveal that the vaccine should already be seen as an obligation. The will of people should consider the benefit of society. The sense of responsibility requires being vaccina"&amp;"ted. Is not hidden from responsibility in the epidemic.")</f>
        <v>Turkey, the Covid-19 vaccine did not oblurate to the citizen. But the conditions reveal that the vaccine should already be seen as an obligation. The will of people should consider the benefit of society. The sense of responsibility requires being vaccinated. Is not hidden from responsibility in the epidemic.</v>
      </c>
    </row>
    <row r="175" spans="1:5" ht="15.75" customHeight="1" x14ac:dyDescent="0.25">
      <c r="A175" s="1" t="s">
        <v>350</v>
      </c>
      <c r="B175" s="1">
        <v>3296</v>
      </c>
      <c r="C175" s="3">
        <v>44509.35527777778</v>
      </c>
      <c r="D175" s="1" t="s">
        <v>351</v>
      </c>
      <c r="E175" s="4" t="str">
        <f ca="1">IFERROR(__xludf.DUMMYFUNCTION("GOOGLETRANSLATE(A175 , ""tr"" , ""en"")"),"Bayburt crossed over 65% in the second overdose rate rate. In all provinces of the vaccine rate, we should reach 75% target.
Latest ones, let's plasting the arms!")</f>
        <v>Bayburt crossed over 65% in the second overdose rate rate. In all provinces of the vaccine rate, we should reach 75% target.
Latest ones, let's plasting the arms!</v>
      </c>
    </row>
    <row r="176" spans="1:5" ht="15.75" customHeight="1" x14ac:dyDescent="0.25">
      <c r="A176" s="1" t="s">
        <v>352</v>
      </c>
      <c r="B176" s="1">
        <v>3732</v>
      </c>
      <c r="C176" s="3">
        <v>44508.844178240739</v>
      </c>
      <c r="D176" s="1" t="s">
        <v>353</v>
      </c>
      <c r="E176" s="4" t="str">
        <f ca="1">IFERROR(__xludf.DUMMYFUNCTION("GOOGLETRANSLATE(A176 , ""tr"" , ""en"")"),"This time I thank our Umke teams not only as their colleagues, as a Konyon. Great little to every disaster, you are good! https://t.co/qowgi6mv3h")</f>
        <v>This time I thank our Umke teams not only as their colleagues, as a Konyon. Great little to every disaster, you are good! https://t.co/qowgi6mv3h</v>
      </c>
    </row>
    <row r="177" spans="1:5" ht="15.75" customHeight="1" x14ac:dyDescent="0.25">
      <c r="A177" s="1" t="s">
        <v>354</v>
      </c>
      <c r="B177" s="1">
        <v>7244</v>
      </c>
      <c r="C177" s="3">
        <v>44508.818483796298</v>
      </c>
      <c r="D177" s="1" t="s">
        <v>355</v>
      </c>
      <c r="E177" s="4" t="str">
        <f ca="1">IFERROR(__xludf.DUMMYFUNCTION("GOOGLETRANSLATE(A177 , ""tr"" , ""en"")"),"In 20.43, a 15.1 violence in Konya Meram has occurred. A person from the earthquake was affected. The Maltress 2 buildings were destroyed, 1 was damaged. We are at duty in the region. He hopes that the results of the earthquake will be limited to this muc"&amp;"h, say that we get to our Konya. Know us with you.")</f>
        <v>In 20.43, a 15.1 violence in Konya Meram has occurred. A person from the earthquake was affected. The Maltress 2 buildings were destroyed, 1 was damaged. We are at duty in the region. He hopes that the results of the earthquake will be limited to this much, say that we get to our Konya. Know us with you.</v>
      </c>
    </row>
    <row r="178" spans="1:5" ht="15.75" customHeight="1" x14ac:dyDescent="0.25">
      <c r="A178" s="1" t="s">
        <v>356</v>
      </c>
      <c r="B178" s="1">
        <v>8119</v>
      </c>
      <c r="C178" s="3">
        <v>44508.790127314816</v>
      </c>
      <c r="D178" s="1" t="s">
        <v>357</v>
      </c>
      <c r="E178" s="4" t="str">
        <f ca="1">IFERROR(__xludf.DUMMYFUNCTION("GOOGLETRANSLATE(A178 , ""tr"" , ""en"")"),"Our President has made the explanation. After a busy preparation process, the new health worker's decision to assign our friends. Our 40,000 friends will be in the service of our people with their feelings of qualified trainings and responsibility. Now, I"&amp;" say welcome to our call. https://t.co/bceqcsthrr")</f>
        <v>Our President has made the explanation. After a busy preparation process, the new health worker's decision to assign our friends. Our 40,000 friends will be in the service of our people with their feelings of qualified trainings and responsibility. Now, I say welcome to our call. https://t.co/bceqcsthrr</v>
      </c>
    </row>
    <row r="179" spans="1:5" ht="15.75" customHeight="1" x14ac:dyDescent="0.25">
      <c r="A179" s="1" t="s">
        <v>358</v>
      </c>
      <c r="B179" s="1">
        <v>3706</v>
      </c>
      <c r="C179" s="3">
        <v>44508.734074074076</v>
      </c>
      <c r="D179" s="1" t="s">
        <v>359</v>
      </c>
      <c r="E179" s="4" t="str">
        <f ca="1">IFERROR(__xludf.DUMMYFUNCTION("GOOGLETRANSLATE(A179 , ""tr"" , ""en"")"),"We insist on making missing vaccines and our vaccination rate should rise. Our stability on the field is in progress. But we should never forget that it is not only dependent on the vaccine. Measure to the increasing circulation rate of the virus. https:/"&amp;"/t.co/t3oxquwyqa")</f>
        <v>We insist on making missing vaccines and our vaccination rate should rise. Our stability on the field is in progress. But we should never forget that it is not only dependent on the vaccine. Measure to the increasing circulation rate of the virus. https://t.co/t3oxquwyqa</v>
      </c>
    </row>
    <row r="180" spans="1:5" ht="15.75" customHeight="1" x14ac:dyDescent="0.25">
      <c r="A180" s="1" t="s">
        <v>360</v>
      </c>
      <c r="B180" s="1">
        <v>0</v>
      </c>
      <c r="C180" s="3">
        <v>44508.697453703702</v>
      </c>
      <c r="D180" s="1" t="s">
        <v>361</v>
      </c>
      <c r="E180" s="4" t="str">
        <f ca="1">IFERROR(__xludf.DUMMYFUNCTION("GOOGLETRANSLATE(A180 , ""tr"" , ""en"")"),"RT @rterdogan: Shouting to Nation After Cabinet Meeting https://t.co/z1ufzszvrl")</f>
        <v>RT @rterdogan: Shouting to Nation After Cabinet Meeting https://t.co/z1ufzszvrl</v>
      </c>
    </row>
    <row r="181" spans="1:5" ht="15.75" customHeight="1" x14ac:dyDescent="0.25">
      <c r="A181" s="1" t="s">
        <v>362</v>
      </c>
      <c r="B181" s="1">
        <v>4092</v>
      </c>
      <c r="C181" s="3">
        <v>44507.677800925929</v>
      </c>
      <c r="D181" s="1" t="s">
        <v>363</v>
      </c>
      <c r="E181" s="4" t="str">
        <f ca="1">IFERROR(__xludf.DUMMYFUNCTION("GOOGLETRANSLATE(A181 , ""tr"" , ""en"")"),"We are aware that you are tired of the agenda. Observe the measures, be your vaccine; Whatever else should be done is that task is ours. Covid-19 tests, the treatment of our patients continues the preparation of Turkovac to widely use. Our goal is to be f"&amp;"orgotten at the moment of the following days. https://t.co/ksgwzitvxg")</f>
        <v>We are aware that you are tired of the agenda. Observe the measures, be your vaccine; Whatever else should be done is that task is ours. Covid-19 tests, the treatment of our patients continues the preparation of Turkovac to widely use. Our goal is to be forgotten at the moment of the following days. https://t.co/ksgwzitvxg</v>
      </c>
    </row>
    <row r="182" spans="1:5" ht="15.75" customHeight="1" x14ac:dyDescent="0.25">
      <c r="A182" s="1" t="s">
        <v>364</v>
      </c>
      <c r="B182" s="1">
        <v>2180</v>
      </c>
      <c r="C182" s="3">
        <v>44507.606956018521</v>
      </c>
      <c r="D182" s="1" t="s">
        <v>365</v>
      </c>
      <c r="E182" s="4" t="str">
        <f ca="1">IFERROR(__xludf.DUMMYFUNCTION("GOOGLETRANSLATE(A182 , ""tr"" , ""en"")"),"23-29 October between the previous week of the previous week, the most increasing 10 provinces: Yalova, Osmaniye, Balikesir, Ordu, Canakkale, Kirklareli, Tekirdag, Bilecik, Antalya, Izmir. https://t.co/x4vjiu7ac8")</f>
        <v>23-29 October between the previous week of the previous week, the most increasing 10 provinces: Yalova, Osmaniye, Balikesir, Ordu, Canakkale, Kirklareli, Tekirdag, Bilecik, Antalya, Izmir. https://t.co/x4vjiu7ac8</v>
      </c>
    </row>
    <row r="183" spans="1:5" ht="15.75" customHeight="1" x14ac:dyDescent="0.25">
      <c r="A183" s="1" t="s">
        <v>366</v>
      </c>
      <c r="B183" s="1">
        <v>3682</v>
      </c>
      <c r="C183" s="3">
        <v>44507.603356481479</v>
      </c>
      <c r="D183" s="1" t="s">
        <v>367</v>
      </c>
      <c r="E183" s="4" t="str">
        <f ca="1">IFERROR(__xludf.DUMMYFUNCTION("GOOGLETRANSLATE(A183 , ""tr"" , ""en"")"),"From 23-29 October, a weekly new Covid-19 cases in 100,000 people were in province basis? You can learn the situation in the province where you are experiencing, from our weekly incidence map. https://t.co/z80z8ZTPIT")</f>
        <v>From 23-29 October, a weekly new Covid-19 cases in 100,000 people were in province basis? You can learn the situation in the province where you are experiencing, from our weekly incidence map. https://t.co/z80z8ZTPIT</v>
      </c>
    </row>
    <row r="184" spans="1:5" ht="15.75" customHeight="1" x14ac:dyDescent="0.25">
      <c r="A184" s="1" t="s">
        <v>368</v>
      </c>
      <c r="B184" s="1">
        <v>3926</v>
      </c>
      <c r="C184" s="3">
        <v>44506.835960648146</v>
      </c>
      <c r="D184" s="1" t="s">
        <v>369</v>
      </c>
      <c r="E184" s="4" t="str">
        <f ca="1">IFERROR(__xludf.DUMMYFUNCTION("GOOGLETRANSLATE(A184 , ""tr"" , ""en"")"),"Batman is a small gift from our visit. We share a part of the tongue that belongs to the region ""I want a jacket"". By the greetings of the Batman people. https://t.co/qg32I3LBIT")</f>
        <v>Batman is a small gift from our visit. We share a part of the tongue that belongs to the region "I want a jacket". By the greetings of the Batman people. https://t.co/qg32I3LBIT</v>
      </c>
    </row>
    <row r="185" spans="1:5" ht="15.75" customHeight="1" x14ac:dyDescent="0.25">
      <c r="A185" s="1" t="s">
        <v>370</v>
      </c>
      <c r="B185" s="1">
        <v>4198</v>
      </c>
      <c r="C185" s="3">
        <v>44506.76421296296</v>
      </c>
      <c r="D185" s="1" t="s">
        <v>371</v>
      </c>
      <c r="E185" s="4" t="str">
        <f ca="1">IFERROR(__xludf.DUMMYFUNCTION("GOOGLETRANSLATE(A185 , ""tr"" , ""en"")"),"Due to the opening of the Education and Research Hospital, we were with Batmiths today. We had the opportunity to learn their demands. I thank each of those who offer us this possibility. https://t.co/dnhencf44w")</f>
        <v>Due to the opening of the Education and Research Hospital, we were with Batmiths today. We had the opportunity to learn their demands. I thank each of those who offer us this possibility. https://t.co/dnhencf44w</v>
      </c>
    </row>
    <row r="186" spans="1:5" ht="15.75" customHeight="1" x14ac:dyDescent="0.25">
      <c r="A186" s="1" t="s">
        <v>372</v>
      </c>
      <c r="B186" s="1">
        <v>3796</v>
      </c>
      <c r="C186" s="3">
        <v>44506.71875</v>
      </c>
      <c r="D186" s="1" t="s">
        <v>373</v>
      </c>
      <c r="E186" s="4" t="str">
        <f ca="1">IFERROR(__xludf.DUMMYFUNCTION("GOOGLETRANSLATE(A186 , ""tr"" , ""en"")"),"We are not able to achieve the vaccine success. Vaccination indecision among the important reasons of this. Those who don't have the first dose and the second dose should not leave the subject in caving the subject and solemnly. Our information source sci"&amp;"entists should all be an example if 79% are the decision of 79%. https://t.co/l5w1jrjuog")</f>
        <v>We are not able to achieve the vaccine success. Vaccination indecision among the important reasons of this. Those who don't have the first dose and the second dose should not leave the subject in caving the subject and solemnly. Our information source scientists should all be an example if 79% are the decision of 79%. https://t.co/l5w1jrjuog</v>
      </c>
    </row>
    <row r="187" spans="1:5" ht="15.75" customHeight="1" x14ac:dyDescent="0.25">
      <c r="A187" s="1" t="s">
        <v>374</v>
      </c>
      <c r="B187" s="1">
        <v>4903</v>
      </c>
      <c r="C187" s="3">
        <v>44506.597685185188</v>
      </c>
      <c r="D187" s="1" t="s">
        <v>375</v>
      </c>
      <c r="E187" s="4" t="str">
        <f ca="1">IFERROR(__xludf.DUMMYFUNCTION("GOOGLETRANSLATE(A187 , ""tr"" , ""en"")"),"Today a good health facility is served in Batman. Batman Education and Research Hospital will now grow new physicians. Congratulations. https://t.co/thletvk6gj")</f>
        <v>Today a good health facility is served in Batman. Batman Education and Research Hospital will now grow new physicians. Congratulations. https://t.co/thletvk6gj</v>
      </c>
    </row>
    <row r="188" spans="1:5" ht="15.75" customHeight="1" x14ac:dyDescent="0.25">
      <c r="A188" s="1" t="s">
        <v>376</v>
      </c>
      <c r="B188" s="1">
        <v>0</v>
      </c>
      <c r="C188" s="3">
        <v>44506.561331018522</v>
      </c>
      <c r="D188" s="1" t="s">
        <v>377</v>
      </c>
      <c r="E188" s="4" t="str">
        <f ca="1">IFERROR(__xludf.DUMMYFUNCTION("GOOGLETRANSLATE(A188 , ""tr"" , ""en"")"),"Rt @rterdogan: Batman Education and Research Hospital, 36 Factory, City Stadium and Completed Projects Bulk Opening Ceremony https://t.co/p...")</f>
        <v>Rt @rterdogan: Batman Education and Research Hospital, 36 Factory, City Stadium and Completed Projects Bulk Opening Ceremony https://t.co/p...</v>
      </c>
    </row>
    <row r="189" spans="1:5" ht="15.75" customHeight="1" x14ac:dyDescent="0.25">
      <c r="A189" s="1" t="s">
        <v>378</v>
      </c>
      <c r="B189" s="1">
        <v>2964</v>
      </c>
      <c r="C189" s="3">
        <v>44506.548101851855</v>
      </c>
      <c r="D189" s="1" t="s">
        <v>379</v>
      </c>
      <c r="E189" s="4" t="str">
        <f ca="1">IFERROR(__xludf.DUMMYFUNCTION("GOOGLETRANSLATE(A189 , ""tr"" , ""en"")"),"We open your Batman training and research hospital to the service of our batmanli nurses.
📍Batman https://t.co/lrtoazyokk")</f>
        <v>We open your Batman training and research hospital to the service of our batmanli nurses.
📍Batman https://t.co/lrtoazyokk</v>
      </c>
    </row>
    <row r="190" spans="1:5" ht="15.75" customHeight="1" x14ac:dyDescent="0.25">
      <c r="A190" s="1" t="s">
        <v>380</v>
      </c>
      <c r="B190" s="1">
        <v>3506</v>
      </c>
      <c r="C190" s="3">
        <v>44505.818391203706</v>
      </c>
      <c r="D190" s="1" t="s">
        <v>381</v>
      </c>
      <c r="E190" s="4" t="str">
        <f ca="1">IFERROR(__xludf.DUMMYFUNCTION("GOOGLETRANSLATE(A190 , ""tr"" , ""en"")"),"Kayseri and Kilis went over to the blue category of 75% in the second overdose rate. We have to reach this goal in all of our vaccine rate low. All 81 should be blue at a moment at a moment.")</f>
        <v>Kayseri and Kilis went over to the blue category of 75% in the second overdose rate. We have to reach this goal in all of our vaccine rate low. All 81 should be blue at a moment at a moment.</v>
      </c>
    </row>
    <row r="191" spans="1:5" ht="15.75" customHeight="1" x14ac:dyDescent="0.25">
      <c r="A191" s="1" t="s">
        <v>382</v>
      </c>
      <c r="B191" s="1">
        <v>3561</v>
      </c>
      <c r="C191" s="3">
        <v>44505.75136574074</v>
      </c>
      <c r="D191" s="1" t="s">
        <v>383</v>
      </c>
      <c r="E191" s="4" t="str">
        <f ca="1">IFERROR(__xludf.DUMMYFUNCTION("GOOGLETRANSLATE(A191 , ""tr"" , ""en"")"),"The ideal result against risk is obtained by full dose vaccine. The pregnant women are extremely important to those of those with chronic diseases and over 60 years of age. From the two dose MRNA vaccines, the present priority group can also make an appoi"&amp;"ntment without time. Does not come to procrastinate the vaccine. https://t.co/geaIkghfbo")</f>
        <v>The ideal result against risk is obtained by full dose vaccine. The pregnant women are extremely important to those of those with chronic diseases and over 60 years of age. From the two dose MRNA vaccines, the present priority group can also make an appointment without time. Does not come to procrastinate the vaccine. https://t.co/geaIkghfbo</v>
      </c>
    </row>
    <row r="192" spans="1:5" ht="15.75" customHeight="1" x14ac:dyDescent="0.25">
      <c r="A192" s="1" t="s">
        <v>384</v>
      </c>
      <c r="B192" s="1">
        <v>2880</v>
      </c>
      <c r="C192" s="3">
        <v>44505.584849537037</v>
      </c>
      <c r="D192" s="1" t="s">
        <v>385</v>
      </c>
      <c r="E192" s="4" t="str">
        <f ca="1">IFERROR(__xludf.DUMMYFUNCTION("GOOGLETRANSLATE(A192 , ""tr"" , ""en"")"),"We are in an awareness week of organ and tissue donation. We have 26.894 patients waiting for organ transplantation. Our organ transplant centers are quite successful. But some patients are waiting for years. The result depends on the widespread of organ "&amp;"donation, increasing those who hope to other lives. Join us.")</f>
        <v>We are in an awareness week of organ and tissue donation. We have 26.894 patients waiting for organ transplantation. Our organ transplant centers are quite successful. But some patients are waiting for years. The result depends on the widespread of organ donation, increasing those who hope to other lives. Join us.</v>
      </c>
    </row>
    <row r="193" spans="1:5" ht="15.75" customHeight="1" x14ac:dyDescent="0.25">
      <c r="A193" s="1" t="s">
        <v>386</v>
      </c>
      <c r="B193" s="1">
        <v>2681</v>
      </c>
      <c r="C193" s="3">
        <v>44504.795613425929</v>
      </c>
      <c r="D193" s="1" t="s">
        <v>387</v>
      </c>
      <c r="E193" s="4" t="str">
        <f ca="1">IFERROR(__xludf.DUMMYFUNCTION("GOOGLETRANSLATE(A193 , ""tr"" , ""en"")"),"Step-by-step follower for the correct application, we are committed to change! https://t.co/8ay1hayfqz")</f>
        <v>Step-by-step follower for the correct application, we are committed to change! https://t.co/8ay1hayfqz</v>
      </c>
    </row>
    <row r="194" spans="1:5" ht="15.75" customHeight="1" x14ac:dyDescent="0.25">
      <c r="A194" s="1" t="s">
        <v>388</v>
      </c>
      <c r="B194" s="1">
        <v>3762</v>
      </c>
      <c r="C194" s="3">
        <v>44504.79277777778</v>
      </c>
      <c r="D194" s="1" t="s">
        <v>389</v>
      </c>
      <c r="E194" s="4" t="str">
        <f ca="1">IFERROR(__xludf.DUMMYFUNCTION("GOOGLETRANSLATE(A194 , ""tr"" , ""en"")"),"Hatay passed over 75% in the second overdose vaccination rate. We have to reach this goal in all of our vaccine rate low. All 81 should be blue at a moment at a moment.")</f>
        <v>Hatay passed over 75% in the second overdose vaccination rate. We have to reach this goal in all of our vaccine rate low. All 81 should be blue at a moment at a moment.</v>
      </c>
    </row>
    <row r="195" spans="1:5" ht="15.75" customHeight="1" x14ac:dyDescent="0.25">
      <c r="A195" s="1" t="s">
        <v>390</v>
      </c>
      <c r="B195" s="1">
        <v>4203</v>
      </c>
      <c r="C195" s="3">
        <v>44504.677175925928</v>
      </c>
      <c r="D195" s="1" t="s">
        <v>391</v>
      </c>
      <c r="E195" s="4" t="str">
        <f ca="1">IFERROR(__xludf.DUMMYFUNCTION("GOOGLETRANSLATE(A195 , ""tr"" , ""en"")"),"The vaccine rates in the table should not mislead us, we should consider the provisions within 84 million. The ratio of a dose of vaccines to the entire population is 67.2%. The rate of two dose vaccines is only 59%. In order to provide social immunity, 7"&amp;"0% of this ratio is required. https://t.co/bsuszhgibc")</f>
        <v>The vaccine rates in the table should not mislead us, we should consider the provisions within 84 million. The ratio of a dose of vaccines to the entire population is 67.2%. The rate of two dose vaccines is only 59%. In order to provide social immunity, 70% of this ratio is required. https://t.co/bsuszhgibc</v>
      </c>
    </row>
    <row r="196" spans="1:5" ht="15.75" customHeight="1" x14ac:dyDescent="0.25">
      <c r="A196" s="1" t="s">
        <v>392</v>
      </c>
      <c r="B196" s="1">
        <v>1828</v>
      </c>
      <c r="C196" s="3">
        <v>44504.467152777775</v>
      </c>
      <c r="D196" s="1" t="s">
        <v>393</v>
      </c>
      <c r="E196" s="4" t="str">
        <f ca="1">IFERROR(__xludf.DUMMYFUNCTION("GOOGLETRANSLATE(A196 , ""tr"" , ""en"")"),"Thank you to those who share our visit, service suggestions and demands to our visit during our assembly. These seizures held in the presence of all representatives of the nation are a saint task for us. https://t.co/x02qumqdba")</f>
        <v>Thank you to those who share our visit, service suggestions and demands to our visit during our assembly. These seizures held in the presence of all representatives of the nation are a saint task for us. https://t.co/x02qumqdba</v>
      </c>
    </row>
    <row r="197" spans="1:5" ht="15.75" customHeight="1" x14ac:dyDescent="0.25">
      <c r="A197" s="1" t="s">
        <v>394</v>
      </c>
      <c r="B197" s="1">
        <v>3946</v>
      </c>
      <c r="C197" s="3">
        <v>44503.849594907406</v>
      </c>
      <c r="D197" s="1" t="s">
        <v>395</v>
      </c>
      <c r="E197" s="4" t="str">
        <f ca="1">IFERROR(__xludf.DUMMYFUNCTION("GOOGLETRANSLATE(A197 , ""tr"" , ""en"")"),"The accident has been experienced in Trabzon Arsin. We have received the knowledge of traumatic trauma due to the floating soil. Emergency teams did the first intervention on the scene. Ventilated with ambulance helicopter call. The Faculty Hospital is 48"&amp;" km away at 11 minutes. Diagnosis: Left femur neck fracture. https://t.co/wgchf7yrxo")</f>
        <v>The accident has been experienced in Trabzon Arsin. We have received the knowledge of traumatic trauma due to the floating soil. Emergency teams did the first intervention on the scene. Ventilated with ambulance helicopter call. The Faculty Hospital is 48 km away at 11 minutes. Diagnosis: Left femur neck fracture. https://t.co/wgchf7yrxo</v>
      </c>
    </row>
    <row r="198" spans="1:5" ht="15.75" customHeight="1" x14ac:dyDescent="0.25">
      <c r="A198" s="1" t="s">
        <v>396</v>
      </c>
      <c r="B198" s="1">
        <v>2814</v>
      </c>
      <c r="C198" s="3">
        <v>44503.844768518517</v>
      </c>
      <c r="D198" s="1" t="s">
        <v>397</v>
      </c>
      <c r="E198" s="4" t="str">
        <f ca="1">IFERROR(__xludf.DUMMYFUNCTION("GOOGLETRANSLATE(A198 , ""tr"" , ""en"")"),"Rize passed over 75% of the second overdose vaccination rate. We have to reach this goal in all of our vaccine rate low. All 81 should be blue at a moment at a moment. Let's get up to speed.")</f>
        <v>Rize passed over 75% of the second overdose vaccination rate. We have to reach this goal in all of our vaccine rate low. All 81 should be blue at a moment at a moment. Let's get up to speed.</v>
      </c>
    </row>
    <row r="199" spans="1:5" ht="15.75" customHeight="1" x14ac:dyDescent="0.25">
      <c r="A199" s="1" t="s">
        <v>398</v>
      </c>
      <c r="B199" s="1">
        <v>4079</v>
      </c>
      <c r="C199" s="3">
        <v>44503.822557870371</v>
      </c>
      <c r="D199" s="1" t="s">
        <v>399</v>
      </c>
      <c r="E199" s="4" t="str">
        <f ca="1">IFERROR(__xludf.DUMMYFUNCTION("GOOGLETRANSLATE(A199 , ""tr"" , ""en"")"),"In the Board of Science; MRNA vaccine, decided to be eligible for 6 months to past 6 months. Priority groups; More than 60 years of age, between the ages of 16-60 and are employees in high-risk occupations mainly with their additional illness. https://t.c"&amp;"o/bf0ldjpb5a")</f>
        <v>In the Board of Science; MRNA vaccine, decided to be eligible for 6 months to past 6 months. Priority groups; More than 60 years of age, between the ages of 16-60 and are employees in high-risk occupations mainly with their additional illness. https://t.co/bf0ldjpb5a</v>
      </c>
    </row>
    <row r="200" spans="1:5" ht="15.75" customHeight="1" x14ac:dyDescent="0.25">
      <c r="A200" s="1" t="s">
        <v>400</v>
      </c>
      <c r="B200" s="1">
        <v>5733</v>
      </c>
      <c r="C200" s="3">
        <v>44503.81622685185</v>
      </c>
      <c r="D200" s="1" t="s">
        <v>401</v>
      </c>
      <c r="E200" s="4" t="str">
        <f ca="1">IFERROR(__xludf.DUMMYFUNCTION("GOOGLETRANSLATE(A200 , ""tr"" , ""en"")"),"From the tomorrow, the reminder dose will be applied to the MRNA vaccine to the risk groups. https://t.co/lesa8jd198")</f>
        <v>From the tomorrow, the reminder dose will be applied to the MRNA vaccine to the risk groups. https://t.co/lesa8jd198</v>
      </c>
    </row>
    <row r="201" spans="1:5" ht="15.75" customHeight="1" x14ac:dyDescent="0.25">
      <c r="A201" s="1" t="s">
        <v>402</v>
      </c>
      <c r="B201" s="1">
        <v>2378</v>
      </c>
      <c r="C201" s="3">
        <v>44503.747499999998</v>
      </c>
      <c r="D201" s="1" t="s">
        <v>403</v>
      </c>
      <c r="E201" s="4" t="str">
        <f ca="1">IFERROR(__xludf.DUMMYFUNCTION("GOOGLETRANSLATE(A201 , ""tr"" , ""en"")"),"We are the pioneer of public health discipline in our country. Dr. We lost the nusret flares in 1990, 3 November. We remember our medical growth in the socializing the sample services, respectively. https://t.co/q3hlgnkifp")</f>
        <v>We are the pioneer of public health discipline in our country. Dr. We lost the nusret flares in 1990, 3 November. We remember our medical growth in the socializing the sample services, respectively. https://t.co/q3hlgnkifp</v>
      </c>
    </row>
    <row r="202" spans="1:5" ht="15.75" customHeight="1" x14ac:dyDescent="0.25">
      <c r="A202" s="1" t="s">
        <v>404</v>
      </c>
      <c r="B202" s="1">
        <v>6234</v>
      </c>
      <c r="C202" s="3">
        <v>44503.312002314815</v>
      </c>
      <c r="D202" s="1" t="s">
        <v>405</v>
      </c>
      <c r="E202" s="4" t="str">
        <f ca="1">IFERROR(__xludf.DUMMYFUNCTION("GOOGLETRANSLATE(A202 , ""tr"" , ""en"")"),"""Assigning those who wait are right. The number will be explained in this month. ""
They asked your place, have answered https://t.co/vns68kmaxq")</f>
        <v>"Assigning those who wait are right. The number will be explained in this month. "
They asked your place, have answered https://t.co/vns68kmaxq</v>
      </c>
    </row>
    <row r="203" spans="1:5" ht="15.75" customHeight="1" x14ac:dyDescent="0.25">
      <c r="A203" s="1" t="s">
        <v>406</v>
      </c>
      <c r="B203" s="1">
        <v>2010</v>
      </c>
      <c r="C203" s="3">
        <v>44503.29414351852</v>
      </c>
      <c r="D203" s="1" t="s">
        <v>407</v>
      </c>
      <c r="E203" s="4" t="str">
        <f ca="1">IFERROR(__xludf.DUMMYFUNCTION("GOOGLETRANSLATE(A203 , ""tr"" , ""en"")"),"Project against SMA disease: Pre-Marriage Scan test
They asked your place, have answered https://t.co/ulgdeyptyd")</f>
        <v>Project against SMA disease: Pre-Marriage Scan test
They asked your place, have answered https://t.co/ulgdeyptyd</v>
      </c>
    </row>
    <row r="204" spans="1:5" ht="15.75" customHeight="1" x14ac:dyDescent="0.25">
      <c r="A204" s="1" t="s">
        <v>408</v>
      </c>
      <c r="B204" s="1">
        <v>1790</v>
      </c>
      <c r="C204" s="3">
        <v>44502.84611111111</v>
      </c>
      <c r="D204" s="1" t="s">
        <v>409</v>
      </c>
      <c r="E204" s="4" t="str">
        <f ca="1">IFERROR(__xludf.DUMMYFUNCTION("GOOGLETRANSLATE(A204 , ""tr"" , ""en"")"),"Turkovac's serial production and voluntary need
They asked your place, have answered https://t.co/yukbkrrmqg")</f>
        <v>Turkovac's serial production and voluntary need
They asked your place, have answered https://t.co/yukbkrrmqg</v>
      </c>
    </row>
    <row r="205" spans="1:5" ht="15.75" customHeight="1" x14ac:dyDescent="0.25">
      <c r="A205" s="1" t="s">
        <v>410</v>
      </c>
      <c r="B205" s="1">
        <v>1738</v>
      </c>
      <c r="C205" s="3">
        <v>44502.839849537035</v>
      </c>
      <c r="D205" s="1" t="s">
        <v>411</v>
      </c>
      <c r="E205" s="4" t="str">
        <f ca="1">IFERROR(__xludf.DUMMYFUNCTION("GOOGLETRANSLATE(A205 , ""tr"" , ""en"")"),"3rd dose practice in mRNA vaccine
They asked your place, we answered https://t.co/la0szwgye6")</f>
        <v>3rd dose practice in mRNA vaccine
They asked your place, we answered https://t.co/la0szwgye6</v>
      </c>
    </row>
    <row r="206" spans="1:5" ht="15.75" customHeight="1" x14ac:dyDescent="0.25">
      <c r="A206" s="1" t="s">
        <v>412</v>
      </c>
      <c r="B206" s="1">
        <v>1450</v>
      </c>
      <c r="C206" s="3">
        <v>44502.833958333336</v>
      </c>
      <c r="D206" s="1" t="s">
        <v>413</v>
      </c>
      <c r="E206" s="4" t="str">
        <f ca="1">IFERROR(__xludf.DUMMYFUNCTION("GOOGLETRANSLATE(A206 , ""tr"" , ""en"")"),"Vaccination application in terms of under 18 years of age
They asked your place, have answered https://t.co/hnxerkoojz")</f>
        <v>Vaccination application in terms of under 18 years of age
They asked your place, have answered https://t.co/hnxerkoojz</v>
      </c>
    </row>
    <row r="207" spans="1:5" ht="15.75" customHeight="1" x14ac:dyDescent="0.25">
      <c r="A207" s="1" t="s">
        <v>414</v>
      </c>
      <c r="B207" s="1">
        <v>1475</v>
      </c>
      <c r="C207" s="3">
        <v>44502.826851851853</v>
      </c>
      <c r="D207" s="1" t="s">
        <v>415</v>
      </c>
      <c r="E207" s="4" t="str">
        <f ca="1">IFERROR(__xludf.DUMMYFUNCTION("GOOGLETRANSLATE(A207 , ""tr"" , ""en"")"),"The result and meaning of random PCR scan in schools
They asked your place, we answered https://t.co/o8xxtllijy")</f>
        <v>The result and meaning of random PCR scan in schools
They asked your place, we answered https://t.co/o8xxtllijy</v>
      </c>
    </row>
    <row r="208" spans="1:5" ht="15.75" customHeight="1" x14ac:dyDescent="0.25">
      <c r="A208" s="1" t="s">
        <v>416</v>
      </c>
      <c r="B208" s="1">
        <v>2737</v>
      </c>
      <c r="C208" s="3">
        <v>44502.822442129633</v>
      </c>
      <c r="D208" s="1" t="s">
        <v>417</v>
      </c>
      <c r="E208" s="4" t="str">
        <f ca="1">IFERROR(__xludf.DUMMYFUNCTION("GOOGLETRANSLATE(A208 , ""tr"" , ""en"")"),"Two shutdowns are also completely likelihood
They asked your place, we answered https://t.co/mxwaagzq4u")</f>
        <v>Two shutdowns are also completely likelihood
They asked your place, we answered https://t.co/mxwaagzq4u</v>
      </c>
    </row>
    <row r="209" spans="1:5" ht="15.75" customHeight="1" x14ac:dyDescent="0.25">
      <c r="A209" s="1" t="s">
        <v>418</v>
      </c>
      <c r="B209" s="1">
        <v>2104</v>
      </c>
      <c r="C209" s="3">
        <v>44502.816886574074</v>
      </c>
      <c r="D209" s="1" t="s">
        <v>419</v>
      </c>
      <c r="E209" s="4" t="str">
        <f ca="1">IFERROR(__xludf.DUMMYFUNCTION("GOOGLETRANSLATE(A209 , ""tr"" , ""en"")"),"Will improvements in reform value for assistant physicians
They asked your place, have answered https://t.co/fuz5nnsb9v")</f>
        <v>Will improvements in reform value for assistant physicians
They asked your place, have answered https://t.co/fuz5nnsb9v</v>
      </c>
    </row>
    <row r="210" spans="1:5" ht="15.75" customHeight="1" x14ac:dyDescent="0.25">
      <c r="A210" s="1" t="s">
        <v>420</v>
      </c>
      <c r="B210" s="1">
        <v>3320</v>
      </c>
      <c r="C210" s="3">
        <v>44502.810520833336</v>
      </c>
      <c r="D210" s="1" t="s">
        <v>421</v>
      </c>
      <c r="E210" s="4" t="str">
        <f ca="1">IFERROR(__xludf.DUMMYFUNCTION("GOOGLETRANSLATE(A210 , ""tr"" , ""en"")"),"Kütahya has passed over 75% in the second overdose of the second overdose. We have to reach this goal in all of our vaccine rate low.")</f>
        <v>Kütahya has passed over 75% in the second overdose of the second overdose. We have to reach this goal in all of our vaccine rate low.</v>
      </c>
    </row>
    <row r="211" spans="1:5" ht="15.75" customHeight="1" x14ac:dyDescent="0.25">
      <c r="A211" s="1" t="s">
        <v>422</v>
      </c>
      <c r="B211" s="1">
        <v>4505</v>
      </c>
      <c r="C211" s="3">
        <v>44502.720439814817</v>
      </c>
      <c r="D211" s="1" t="s">
        <v>423</v>
      </c>
      <c r="E211" s="4" t="str">
        <f ca="1">IFERROR(__xludf.DUMMYFUNCTION("GOOGLETRANSLATE(A211 , ""tr"" , ""en"")"),"Our first dose rate in the population of 18 years or older is close to 90%. Our second dose rate is at 79%. There are 11 points difference between the two. We have to turn off this difference. We have no doubt that the vaccine makes the process stable and"&amp;" reduces life losses. But the only dose is insufficient to get results! https://t.co/nm2tflmupe")</f>
        <v>Our first dose rate in the population of 18 years or older is close to 90%. Our second dose rate is at 79%. There are 11 points difference between the two. We have to turn off this difference. We have no doubt that the vaccine makes the process stable and reduces life losses. But the only dose is insufficient to get results! https://t.co/nm2tflmupe</v>
      </c>
    </row>
    <row r="212" spans="1:5" ht="15.75" customHeight="1" x14ac:dyDescent="0.25">
      <c r="A212" s="1" t="s">
        <v>424</v>
      </c>
      <c r="B212" s="1">
        <v>2143</v>
      </c>
      <c r="C212" s="3">
        <v>44502.519097222219</v>
      </c>
      <c r="D212" s="1" t="s">
        <v>425</v>
      </c>
      <c r="E212" s="4" t="str">
        <f ca="1">IFERROR(__xludf.DUMMYFUNCTION("GOOGLETRANSLATE(A212 , ""tr"" , ""en"")"),"16-22 October between Case Density The most increasing 10 of our previous week: Yalova, Tunceli, Edirne, Balikesir, Canakkale, Tekirdag, Kocaeli, Amasya, Osmaniye, Kırşehir. https://t.co/oggtncemp3")</f>
        <v>16-22 October between Case Density The most increasing 10 of our previous week: Yalova, Tunceli, Edirne, Balikesir, Canakkale, Tekirdag, Kocaeli, Amasya, Osmaniye, Kırşehir. https://t.co/oggtncemp3</v>
      </c>
    </row>
    <row r="213" spans="1:5" ht="15.75" customHeight="1" x14ac:dyDescent="0.25">
      <c r="A213" s="1" t="s">
        <v>426</v>
      </c>
      <c r="B213" s="1">
        <v>3126</v>
      </c>
      <c r="C213" s="3">
        <v>44502.507430555554</v>
      </c>
      <c r="D213" s="1" t="s">
        <v>427</v>
      </c>
      <c r="E213" s="4" t="str">
        <f ca="1">IFERROR(__xludf.DUMMYFUNCTION("GOOGLETRANSLATE(A213 , ""tr"" , ""en"")"),"From October 16-22, in 100,000 people, in 100,000 people, the total number of new Covid-19 cases was on Provincial basis? You can learn the situation in the province where you are experiencing, from our weekly incidence map. https://t.co/bjakpohw29")</f>
        <v>From October 16-22, in 100,000 people, in 100,000 people, the total number of new Covid-19 cases was on Provincial basis? You can learn the situation in the province where you are experiencing, from our weekly incidence map. https://t.co/bjakpohw29</v>
      </c>
    </row>
    <row r="214" spans="1:5" ht="15.75" customHeight="1" x14ac:dyDescent="0.25">
      <c r="A214" s="1" t="s">
        <v>428</v>
      </c>
      <c r="B214" s="1">
        <v>3818</v>
      </c>
      <c r="C214" s="3">
        <v>44501.770775462966</v>
      </c>
      <c r="D214" s="1" t="s">
        <v>429</v>
      </c>
      <c r="E214" s="4" t="str">
        <f ca="1">IFERROR(__xludf.DUMMYFUNCTION("GOOGLETRANSLATE(A214 , ""tr"" , ""en"")"),"Elazig crossed over 65% in the second dose vaccine rate. In all provinces of the vaccine rate, we should reach 75% target.
Latest ones, let's plasting arms tomorrow.")</f>
        <v>Elazig crossed over 65% in the second dose vaccine rate. In all provinces of the vaccine rate, we should reach 75% target.
Latest ones, let's plasting arms tomorrow.</v>
      </c>
    </row>
    <row r="215" spans="1:5" ht="15.75" customHeight="1" x14ac:dyDescent="0.25">
      <c r="A215" s="1" t="s">
        <v>430</v>
      </c>
      <c r="B215" s="1">
        <v>1918</v>
      </c>
      <c r="C215" s="3">
        <v>44501.731770833336</v>
      </c>
      <c r="D215" s="1" t="s">
        <v>431</v>
      </c>
      <c r="E215" s="4" t="str">
        <f ca="1">IFERROR(__xludf.DUMMYFUNCTION("GOOGLETRANSLATE(A215 , ""tr"" , ""en"")"),"98 years in the Republic
Firsts with white aprons
They were very forward from us in some maintenance. Even to understand what inspires them. We were able to place in the name of very few below. There is a lot of these firsts. Will be more! White-Prints, l"&amp;"et's watch: https://t.co/1cge9bawl0")</f>
        <v>98 years in the Republic
Firsts with white aprons
They were very forward from us in some maintenance. Even to understand what inspires them. We were able to place in the name of very few below. There is a lot of these firsts. Will be more! White-Prints, let's watch: https://t.co/1cge9bawl0</v>
      </c>
    </row>
    <row r="216" spans="1:5" ht="15.75" customHeight="1" x14ac:dyDescent="0.25">
      <c r="A216" s="1" t="s">
        <v>432</v>
      </c>
      <c r="B216" s="1">
        <v>4733</v>
      </c>
      <c r="C216" s="3">
        <v>44501.715474537035</v>
      </c>
      <c r="D216" s="1" t="s">
        <v>433</v>
      </c>
      <c r="E216" s="4" t="str">
        <f ca="1">IFERROR(__xludf.DUMMYFUNCTION("GOOGLETRANSLATE(A216 , ""tr"" , ""en"")"),"Some of whom the expected conclusion of the vaccine cannot be received. The case numbers may exceed 30 thousand, although the second overdose ratio passes 75%. Whereas there is an important result provided by vaccine. We no longer see quick climbs and pea"&amp;"ks. Stable instead of dramatic craven, have an easy course of control. https://t.co/ta6bir5IDV")</f>
        <v>Some of whom the expected conclusion of the vaccine cannot be received. The case numbers may exceed 30 thousand, although the second overdose ratio passes 75%. Whereas there is an important result provided by vaccine. We no longer see quick climbs and peaks. Stable instead of dramatic craven, have an easy course of control. https://t.co/ta6bir5IDV</v>
      </c>
    </row>
    <row r="217" spans="1:5" ht="15.75" customHeight="1" x14ac:dyDescent="0.25">
      <c r="A217" s="1" t="s">
        <v>434</v>
      </c>
      <c r="B217" s="1">
        <v>16098</v>
      </c>
      <c r="C217" s="3">
        <v>44501.273252314815</v>
      </c>
      <c r="D217" s="1" t="s">
        <v>435</v>
      </c>
      <c r="E217" s="4" t="str">
        <f ca="1">IFERROR(__xludf.DUMMYFUNCTION("GOOGLETRANSLATE(A217 , ""tr"" , ""en"")"),"I've run into a news that promises as likely to close schools. The news is wrong. Our Science Board has no such agenda. The Board member is misunderstood when the expression he chose while stressing the importance of a friend's vaccination. We wish our st"&amp;"udents full of success.")</f>
        <v>I've run into a news that promises as likely to close schools. The news is wrong. Our Science Board has no such agenda. The Board member is misunderstood when the expression he chose while stressing the importance of a friend's vaccination. We wish our students full of success.</v>
      </c>
    </row>
    <row r="218" spans="1:5" ht="15.75" customHeight="1" x14ac:dyDescent="0.25">
      <c r="A218" s="1" t="s">
        <v>436</v>
      </c>
      <c r="B218" s="1">
        <v>4445</v>
      </c>
      <c r="C218" s="3">
        <v>44500.686469907407</v>
      </c>
      <c r="D218" s="1" t="s">
        <v>437</v>
      </c>
      <c r="E218" s="4" t="str">
        <f ca="1">IFERROR(__xludf.DUMMYFUNCTION("GOOGLETRANSLATE(A218 , ""tr"" , ""en"")"),"Approximately 3 million people have not yet done the third overdose from the time. Scientists are referred to in the form of the third dose of protection shield. Have your third overdose. 3. If you are healthy in 18-59 and you can choose Turkovac for the "&amp;"dose. https://t.co/e8uh4tln81 https://t.co/afcuyrs2xa")</f>
        <v>Approximately 3 million people have not yet done the third overdose from the time. Scientists are referred to in the form of the third dose of protection shield. Have your third overdose. 3. If you are healthy in 18-59 and you can choose Turkovac for the dose. https://t.co/e8uh4tln81 https://t.co/afcuyrs2xa</v>
      </c>
    </row>
    <row r="219" spans="1:5" ht="15.75" customHeight="1" x14ac:dyDescent="0.25">
      <c r="A219" s="1" t="s">
        <v>438</v>
      </c>
      <c r="B219" s="1">
        <v>25781</v>
      </c>
      <c r="C219" s="3">
        <v>44500.58871527778</v>
      </c>
      <c r="D219" s="1" t="s">
        <v>439</v>
      </c>
      <c r="E219" s="4" t="str">
        <f ca="1">IFERROR(__xludf.DUMMYFUNCTION("GOOGLETRANSLATE(A219 , ""tr"" , ""en"")"),"Our dog sultan has fertilized our lives with the sevenfish brought to the world. Those who saw, mother-fathered spells :) said. We will put a little bit of magic names. Our other dog is the excitement, not aware of the event for now. https://t.co/clrf5cf6"&amp;"k1")</f>
        <v>Our dog sultan has fertilized our lives with the sevenfish brought to the world. Those who saw, mother-fathered spells :) said. We will put a little bit of magic names. Our other dog is the excitement, not aware of the event for now. https://t.co/clrf5cf6k1</v>
      </c>
    </row>
    <row r="220" spans="1:5" ht="15.75" customHeight="1" x14ac:dyDescent="0.25">
      <c r="A220" s="1" t="s">
        <v>440</v>
      </c>
      <c r="B220" s="1">
        <v>4064</v>
      </c>
      <c r="C220" s="3">
        <v>44499.687025462961</v>
      </c>
      <c r="D220" s="1" t="s">
        <v>441</v>
      </c>
      <c r="E220" s="4" t="str">
        <f ca="1">IFERROR(__xludf.DUMMYFUNCTION("GOOGLETRANSLATE(A220 , ""tr"" , ""en"")"),"October 30, 2020 Izmir earthquake had jerked all of us. We have 117 people in the earthquake. A disaster that leads to destruction at a time! Their losses; The disease, the process cannot be held of course with known deaths. But remember: only the current"&amp;" passage count 203. It should be prevented the measurements possible to prevent. https://t.co/gssywbelo2")</f>
        <v>October 30, 2020 Izmir earthquake had jerked all of us. We have 117 people in the earthquake. A disaster that leads to destruction at a time! Their losses; The disease, the process cannot be held of course with known deaths. But remember: only the current passage count 203. It should be prevented the measurements possible to prevent. https://t.co/gssywbelo2</v>
      </c>
    </row>
    <row r="221" spans="1:5" ht="15.75" customHeight="1" x14ac:dyDescent="0.25">
      <c r="A221" s="1" t="s">
        <v>442</v>
      </c>
      <c r="B221" s="1">
        <v>5533</v>
      </c>
      <c r="C221" s="3">
        <v>44499.624918981484</v>
      </c>
      <c r="D221" s="1" t="s">
        <v>443</v>
      </c>
      <c r="E221" s="4" t="str">
        <f ca="1">IFERROR(__xludf.DUMMYFUNCTION("GOOGLETRANSLATE(A221 , ""tr"" , ""en"")"),"We remember her elif baby. The name is elif perinçek, grown, full of prospects. In the Izmir earthquake last year, we were recovered at 65 hours from the wreckage of the born apartment. We wish our 117 people in Allah. Our pain is fresh. Sorry for your lo"&amp;"ss. https://t.co/gclvoyryji")</f>
        <v>We remember her elif baby. The name is elif perinçek, grown, full of prospects. In the Izmir earthquake last year, we were recovered at 65 hours from the wreckage of the born apartment. We wish our 117 people in Allah. Our pain is fresh. Sorry for your loss. https://t.co/gclvoyryji</v>
      </c>
    </row>
    <row r="222" spans="1:5" ht="15.75" customHeight="1" x14ac:dyDescent="0.25">
      <c r="A222" s="1" t="s">
        <v>444</v>
      </c>
      <c r="B222" s="1">
        <v>5153</v>
      </c>
      <c r="C222" s="3">
        <v>44499.620092592595</v>
      </c>
      <c r="D222" s="1" t="s">
        <v>445</v>
      </c>
      <c r="E222" s="4" t="str">
        <f ca="1">IFERROR(__xludf.DUMMYFUNCTION("GOOGLETRANSLATE(A222 , ""tr"" , ""en"")"),"We remember her baby in the month. The name is the traveler, a huge girl. Last year, the Izmir earthquake in the Izmir earthquake was recovered in 91 hours of the debris of the Riza Bey apartment. We wish our 117 people in Allah. Sorry for your loss. Take"&amp;"s the power of life from hopes. https://t.co/e1fqdkzhf3")</f>
        <v>We remember her baby in the month. The name is the traveler, a huge girl. Last year, the Izmir earthquake in the Izmir earthquake was recovered in 91 hours of the debris of the Riza Bey apartment. We wish our 117 people in Allah. Sorry for your loss. Takes the power of life from hopes. https://t.co/e1fqdkzhf3</v>
      </c>
    </row>
    <row r="223" spans="1:5" ht="15.75" customHeight="1" x14ac:dyDescent="0.25">
      <c r="A223" s="1" t="s">
        <v>446</v>
      </c>
      <c r="B223" s="1">
        <v>2980</v>
      </c>
      <c r="C223" s="3">
        <v>44499.596030092594</v>
      </c>
      <c r="D223" s="1" t="s">
        <v>447</v>
      </c>
      <c r="E223" s="4" t="str">
        <f ca="1">IFERROR(__xludf.DUMMYFUNCTION("GOOGLETRANSLATE(A223 , ""tr"" , ""en"")"),"""Would you hold my hand?""
In the October 30 İzmir earthquake, the recovery memory of Umke personnel with Eda and Pearl is still in our ears. We know that they are gathered in the past time. As they are talking, the pearl violin stolen. Takes the power o"&amp;"f life from hope.
 https://t.co/v6kebtly5I")</f>
        <v>"Would you hold my hand?"
In the October 30 İzmir earthquake, the recovery memory of Umke personnel with Eda and Pearl is still in our ears. We know that they are gathered in the past time. As they are talking, the pearl violin stolen. Takes the power of life from hope.
 https://t.co/v6kebtly5I</v>
      </c>
    </row>
    <row r="224" spans="1:5" ht="15.75" customHeight="1" x14ac:dyDescent="0.25">
      <c r="A224" s="1" t="s">
        <v>448</v>
      </c>
      <c r="B224" s="1">
        <v>3469</v>
      </c>
      <c r="C224" s="3">
        <v>44498.743518518517</v>
      </c>
      <c r="D224" s="1" t="s">
        <v>449</v>
      </c>
      <c r="E224" s="4" t="str">
        <f ca="1">IFERROR(__xludf.DUMMYFUNCTION("GOOGLETRANSLATE(A224 , ""tr"" , ""en"")"),"Kırıkkale was over 75% of the second dose vaccine rate. We have to reach this goal in all of our vaccine rate low.")</f>
        <v>Kırıkkale was over 75% of the second dose vaccine rate. We have to reach this goal in all of our vaccine rate low.</v>
      </c>
    </row>
    <row r="225" spans="1:5" ht="15.75" customHeight="1" x14ac:dyDescent="0.25">
      <c r="A225" s="1" t="s">
        <v>450</v>
      </c>
      <c r="B225" s="1">
        <v>6061</v>
      </c>
      <c r="C225" s="3">
        <v>44498.700821759259</v>
      </c>
      <c r="D225" s="1" t="s">
        <v>451</v>
      </c>
      <c r="E225" s="4" t="str">
        <f ca="1">IFERROR(__xludf.DUMMYFUNCTION("GOOGLETRANSLATE(A225 , ""tr"" , ""en"")"),"Pregnant deaths were increased by 52% compared to the pre-epidemic in 2020. If this year we lost 50% more mothers for the last year with Covid-19. It was 99% of the pregnant women we lost. The rate of vaccination in pregnant women is quite very low. Babie"&amp;"s should be born, mothers should live https://t.co/jsbbzneusd")</f>
        <v>Pregnant deaths were increased by 52% compared to the pre-epidemic in 2020. If this year we lost 50% more mothers for the last year with Covid-19. It was 99% of the pregnant women we lost. The rate of vaccination in pregnant women is quite very low. Babies should be born, mothers should live https://t.co/jsbbzneusd</v>
      </c>
    </row>
    <row r="226" spans="1:5" ht="15.75" customHeight="1" x14ac:dyDescent="0.25">
      <c r="A226" s="1" t="s">
        <v>452</v>
      </c>
      <c r="B226" s="1">
        <v>2999</v>
      </c>
      <c r="C226" s="3">
        <v>44498.503425925926</v>
      </c>
      <c r="D226" s="1" t="s">
        <v>453</v>
      </c>
      <c r="E226" s="4" t="str">
        <f ca="1">IFERROR(__xludf.DUMMYFUNCTION("GOOGLETRANSLATE(A226 , ""tr"" , ""en"")"),"With the flag, Istiklal star, Nice 98 in the Republic of the Republic, Turkey!
The founder of our Republic is Mustafa Kemal Atatürk and he respects his friends with respect, we celebrate our Republic Day 84 million. https://t.co/qhth6vomph")</f>
        <v>With the flag, Istiklal star, Nice 98 in the Republic of the Republic, Turkey!
The founder of our Republic is Mustafa Kemal Atatürk and he respects his friends with respect, we celebrate our Republic Day 84 million. https://t.co/qhth6vomph</v>
      </c>
    </row>
    <row r="227" spans="1:5" ht="15.75" customHeight="1" x14ac:dyDescent="0.25">
      <c r="A227" s="1" t="s">
        <v>454</v>
      </c>
      <c r="B227" s="1">
        <v>2904</v>
      </c>
      <c r="C227" s="3">
        <v>44498.481342592589</v>
      </c>
      <c r="D227" s="1" t="s">
        <v>455</v>
      </c>
      <c r="E227" s="4" t="str">
        <f ca="1">IFERROR(__xludf.DUMMYFUNCTION("GOOGLETRANSLATE(A227 , ""tr"" , ""en"")"),"We are in the 98th year of the Republic with the excitement of his first day. As health workers, we celebrate your October 29 Republic Day. https://t.co/nj0vfoso39")</f>
        <v>We are in the 98th year of the Republic with the excitement of his first day. As health workers, we celebrate your October 29 Republic Day. https://t.co/nj0vfoso39</v>
      </c>
    </row>
    <row r="228" spans="1:5" ht="15.75" customHeight="1" x14ac:dyDescent="0.25">
      <c r="A228" s="1" t="s">
        <v>456</v>
      </c>
      <c r="B228" s="1">
        <v>2788</v>
      </c>
      <c r="C228" s="3">
        <v>44497.789606481485</v>
      </c>
      <c r="D228" s="1" t="s">
        <v>457</v>
      </c>
      <c r="E228" s="4" t="str">
        <f ca="1">IFERROR(__xludf.DUMMYFUNCTION("GOOGLETRANSLATE(A228 , ""tr"" , ""en"")"),"His terror targeting our country K. In the operation in Iraq, the incumbent exceeds. Ç. Our Harun hardworking brother has fallen in martyr. Mercy from Allah to himself; I wish her family, herself to our condolences. The Union and Together is our task agai"&amp;"nst our martyrs that gave a liability. https://t.co/s2liwzkt3y")</f>
        <v>His terror targeting our country K. In the operation in Iraq, the incumbent exceeds. Ç. Our Harun hardworking brother has fallen in martyr. Mercy from Allah to himself; I wish her family, herself to our condolences. The Union and Together is our task against our martyrs that gave a liability. https://t.co/s2liwzkt3y</v>
      </c>
    </row>
    <row r="229" spans="1:5" ht="15.75" customHeight="1" x14ac:dyDescent="0.25">
      <c r="A229" s="1" t="s">
        <v>458</v>
      </c>
      <c r="B229" s="1">
        <v>4816</v>
      </c>
      <c r="C229" s="3">
        <v>44497.691828703704</v>
      </c>
      <c r="D229" s="1" t="s">
        <v>459</v>
      </c>
      <c r="E229" s="4" t="str">
        <f ca="1">IFERROR(__xludf.DUMMYFUNCTION("GOOGLETRANSLATE(A229 , ""tr"" , ""en"")"),"Adana crossed over 75% in the second overdose rate. We have to reach this goal in all of our vaccine rate low.")</f>
        <v>Adana crossed over 75% in the second overdose rate. We have to reach this goal in all of our vaccine rate low.</v>
      </c>
    </row>
    <row r="230" spans="1:5" ht="15.75" customHeight="1" x14ac:dyDescent="0.25">
      <c r="A230" s="1" t="s">
        <v>460</v>
      </c>
      <c r="B230" s="1">
        <v>3687</v>
      </c>
      <c r="C230" s="3">
        <v>44497.68478009259</v>
      </c>
      <c r="D230" s="1" t="s">
        <v>461</v>
      </c>
      <c r="E230" s="4" t="str">
        <f ca="1">IFERROR(__xludf.DUMMYFUNCTION("GOOGLETRANSLATE(A230 , ""tr"" , ""en"")"),"25.528 The test was positive. 229 people lost their life of the disease. The second overdose rate is increasing in low speed in our 42 provinces below 75%. We know that the vaccine reduces the risk. Have your vaccine at a moment. On behalf of those who va"&amp;"lue you, please. https://t.co/9wo8iiwk92")</f>
        <v>25.528 The test was positive. 229 people lost their life of the disease. The second overdose rate is increasing in low speed in our 42 provinces below 75%. We know that the vaccine reduces the risk. Have your vaccine at a moment. On behalf of those who value you, please. https://t.co/9wo8iiwk92</v>
      </c>
    </row>
    <row r="231" spans="1:5" ht="15.75" customHeight="1" x14ac:dyDescent="0.25">
      <c r="A231" s="1" t="s">
        <v>462</v>
      </c>
      <c r="B231" s="1">
        <v>3096</v>
      </c>
      <c r="C231" s="3">
        <v>44497.341736111113</v>
      </c>
      <c r="D231" s="1" t="s">
        <v>463</v>
      </c>
      <c r="E231" s="4" t="str">
        <f ca="1">IFERROR(__xludf.DUMMYFUNCTION("GOOGLETRANSLATE(A231 , ""tr"" , ""en"")"),"Tunceli passed over 75% in the second overdose rate of the second overdose. We have to reach this goal in all of our vaccine rate low.")</f>
        <v>Tunceli passed over 75% in the second overdose rate of the second overdose. We have to reach this goal in all of our vaccine rate low.</v>
      </c>
    </row>
    <row r="232" spans="1:5" ht="15.75" customHeight="1" x14ac:dyDescent="0.25">
      <c r="A232" s="1" t="s">
        <v>464</v>
      </c>
      <c r="B232" s="1">
        <v>1654</v>
      </c>
      <c r="C232" s="3">
        <v>44497.293958333335</v>
      </c>
      <c r="D232" s="1" t="s">
        <v>465</v>
      </c>
      <c r="E232" s="4" t="str">
        <f ca="1">IFERROR(__xludf.DUMMYFUNCTION("GOOGLETRANSLATE(A232 , ""tr"" , ""en"")"),"Science Board Agenda, Covid-19 and Turkey https://t.co/cpbwrn1gqs")</f>
        <v>Science Board Agenda, Covid-19 and Turkey https://t.co/cpbwrn1gqs</v>
      </c>
    </row>
    <row r="233" spans="1:5" ht="15.75" customHeight="1" x14ac:dyDescent="0.25">
      <c r="A233" s="1" t="s">
        <v>466</v>
      </c>
      <c r="B233" s="1">
        <v>4138</v>
      </c>
      <c r="C233" s="3">
        <v>44496.854224537034</v>
      </c>
      <c r="D233" s="1" t="s">
        <v>467</v>
      </c>
      <c r="E233" s="4" t="str">
        <f ca="1">IFERROR(__xludf.DUMMYFUNCTION("GOOGLETRANSLATE(A233 , ""tr"" , ""en"")"),"Healthcasses Agenda
New assignments https://t.co/sdjegb4472")</f>
        <v>Healthcasses Agenda
New assignments https://t.co/sdjegb4472</v>
      </c>
    </row>
    <row r="234" spans="1:5" ht="15.75" customHeight="1" x14ac:dyDescent="0.25">
      <c r="A234" s="1" t="s">
        <v>468</v>
      </c>
      <c r="B234" s="1">
        <v>1540</v>
      </c>
      <c r="C234" s="3">
        <v>44496.849652777775</v>
      </c>
      <c r="D234" s="1" t="s">
        <v>469</v>
      </c>
      <c r="E234" s="4" t="str">
        <f ca="1">IFERROR(__xludf.DUMMYFUNCTION("GOOGLETRANSLATE(A234 , ""tr"" , ""en"")"),"Healthcasses Agenda
Improving economic conditions https://t.co/1g5qx5ne62")</f>
        <v>Healthcasses Agenda
Improving economic conditions https://t.co/1g5qx5ne62</v>
      </c>
    </row>
    <row r="235" spans="1:5" ht="15.75" customHeight="1" x14ac:dyDescent="0.25">
      <c r="A235" s="1" t="s">
        <v>470</v>
      </c>
      <c r="B235" s="1">
        <v>1361</v>
      </c>
      <c r="C235" s="3">
        <v>44496.844282407408</v>
      </c>
      <c r="D235" s="1" t="s">
        <v>471</v>
      </c>
      <c r="E235" s="4" t="str">
        <f ca="1">IFERROR(__xludf.DUMMYFUNCTION("GOOGLETRANSLATE(A235 , ""tr"" , ""en"")"),"Healthcasses Agenda
Violence against employees https://t.co/qjbepxohv4")</f>
        <v>Healthcasses Agenda
Violence against employees https://t.co/qjbepxohv4</v>
      </c>
    </row>
    <row r="236" spans="1:5" ht="15.75" customHeight="1" x14ac:dyDescent="0.25">
      <c r="A236" s="1" t="s">
        <v>472</v>
      </c>
      <c r="B236" s="1">
        <v>1471</v>
      </c>
      <c r="C236" s="3">
        <v>44496.839988425927</v>
      </c>
      <c r="D236" s="1" t="s">
        <v>473</v>
      </c>
      <c r="E236" s="4" t="str">
        <f ca="1">IFERROR(__xludf.DUMMYFUNCTION("GOOGLETRANSLATE(A236 , ""tr"" , ""en"")"),"Healthcasses Agenda
The first developments on seizures https://t.co/PTTHXUI7FU")</f>
        <v>Healthcasses Agenda
The first developments on seizures https://t.co/PTTHXUI7FU</v>
      </c>
    </row>
    <row r="237" spans="1:5" ht="15.75" customHeight="1" x14ac:dyDescent="0.25">
      <c r="A237" s="1" t="s">
        <v>474</v>
      </c>
      <c r="B237" s="1">
        <v>1749</v>
      </c>
      <c r="C237" s="3">
        <v>44496.836296296293</v>
      </c>
      <c r="D237" s="1" t="s">
        <v>475</v>
      </c>
      <c r="E237" s="4" t="str">
        <f ca="1">IFERROR(__xludf.DUMMYFUNCTION("GOOGLETRANSLATE(A237 , ""tr"" , ""en"")"),"Healthcasses Agenda
We will be following for reasonable seizure app https://t.co/wqoutm72e8")</f>
        <v>Healthcasses Agenda
We will be following for reasonable seizure app https://t.co/wqoutm72e8</v>
      </c>
    </row>
    <row r="238" spans="1:5" ht="15.75" customHeight="1" x14ac:dyDescent="0.25">
      <c r="A238" s="1" t="s">
        <v>476</v>
      </c>
      <c r="B238" s="1">
        <v>2718</v>
      </c>
      <c r="C238" s="3">
        <v>44496.829375000001</v>
      </c>
      <c r="D238" s="1" t="s">
        <v>477</v>
      </c>
      <c r="E238" s="4" t="str">
        <f ca="1">IFERROR(__xludf.DUMMYFUNCTION("GOOGLETRANSLATE(A238 , ""tr"" , ""en"")"),"Event that allows us all: Assistant Dr. Rumeysa Şen's death. https://t.co/4fxqrhuczj")</f>
        <v>Event that allows us all: Assistant Dr. Rumeysa Şen's death. https://t.co/4fxqrhuczj</v>
      </c>
    </row>
    <row r="239" spans="1:5" ht="15.75" customHeight="1" x14ac:dyDescent="0.25">
      <c r="A239" s="1" t="s">
        <v>478</v>
      </c>
      <c r="B239" s="1">
        <v>2552</v>
      </c>
      <c r="C239" s="3">
        <v>44496.726736111108</v>
      </c>
      <c r="D239" s="1" t="s">
        <v>479</v>
      </c>
      <c r="E239" s="4" t="str">
        <f ca="1">IFERROR(__xludf.DUMMYFUNCTION("GOOGLETRANSLATE(A239 , ""tr"" , ""en"")"),"In our present press statement, we have received the problems of our health workers. We share the agenda at the meeting of the Science Board as well as always.
video: https://t.co/RW4OBDISZ4")</f>
        <v>In our present press statement, we have received the problems of our health workers. We share the agenda at the meeting of the Science Board as well as always.
video: https://t.co/RW4OBDISZ4</v>
      </c>
    </row>
    <row r="240" spans="1:5" ht="15.75" customHeight="1" x14ac:dyDescent="0.25">
      <c r="A240" s="1" t="s">
        <v>480</v>
      </c>
      <c r="B240" s="1">
        <v>4288</v>
      </c>
      <c r="C240" s="3">
        <v>44496.688993055555</v>
      </c>
      <c r="D240" s="1" t="s">
        <v>481</v>
      </c>
      <c r="E240" s="4" t="str">
        <f ca="1">IFERROR(__xludf.DUMMYFUNCTION("GOOGLETRANSLATE(A240 , ""tr"" , ""en"")"),"26,896 tests were positively out. 210 people lost their life of the disease. Some of these deaths can be dependent on and avoided to meet multiple causes. For example, a factor that increases the risk of accompanying Covid-19 chronic diseases. The full do"&amp;"se vaccine reduces this risk. https://t.co/chispgkykj")</f>
        <v>26,896 tests were positively out. 210 people lost their life of the disease. Some of these deaths can be dependent on and avoided to meet multiple causes. For example, a factor that increases the risk of accompanying Covid-19 chronic diseases. The full dose vaccine reduces this risk. https://t.co/chispgkykj</v>
      </c>
    </row>
    <row r="241" spans="1:5" ht="15.75" customHeight="1" x14ac:dyDescent="0.25">
      <c r="A241" s="1" t="s">
        <v>482</v>
      </c>
      <c r="B241" s="1">
        <v>4736</v>
      </c>
      <c r="C241" s="3">
        <v>44495.739305555559</v>
      </c>
      <c r="D241" s="1" t="s">
        <v>483</v>
      </c>
      <c r="E241" s="4" t="str">
        <f ca="1">IFERROR(__xludf.DUMMYFUNCTION("GOOGLETRANSLATE(A241 , ""tr"" , ""en"")"),"Kocaeli passed over 75% in the second overdose rate rate. We have to reach this goal in all of our vaccine rate low.")</f>
        <v>Kocaeli passed over 75% in the second overdose rate rate. We have to reach this goal in all of our vaccine rate low.</v>
      </c>
    </row>
    <row r="242" spans="1:5" ht="15.75" customHeight="1" x14ac:dyDescent="0.25">
      <c r="A242" s="1" t="s">
        <v>484</v>
      </c>
      <c r="B242" s="1">
        <v>4331</v>
      </c>
      <c r="C242" s="3">
        <v>44495.705752314818</v>
      </c>
      <c r="D242" s="1" t="s">
        <v>485</v>
      </c>
      <c r="E242" s="4" t="str">
        <f ca="1">IFERROR(__xludf.DUMMYFUNCTION("GOOGLETRANSLATE(A242 , ""tr"" , ""en"")"),"Covid-19 is increasingly likely to be severe when he met with chronic diseases. The vaccine is greatly changing the table against this possibility. Be careful about the vaccine if you have chronic illness. Note that the desired result is taken when the do"&amp;"ses are full. https://t.co/n9kj4ne5op")</f>
        <v>Covid-19 is increasingly likely to be severe when he met with chronic diseases. The vaccine is greatly changing the table against this possibility. Be careful about the vaccine if you have chronic illness. Note that the desired result is taken when the doses are full. https://t.co/n9kj4ne5op</v>
      </c>
    </row>
    <row r="243" spans="1:5" ht="15.75" customHeight="1" x14ac:dyDescent="0.25">
      <c r="A243" s="1" t="s">
        <v>486</v>
      </c>
      <c r="B243" s="1">
        <v>3038</v>
      </c>
      <c r="C243" s="3">
        <v>44494.797395833331</v>
      </c>
      <c r="D243" s="1" t="s">
        <v>487</v>
      </c>
      <c r="E243" s="4" t="str">
        <f ca="1">IFERROR(__xludf.DUMMYFUNCTION("GOOGLETRANSLATE(A243 , ""tr"" , ""en"")"),"""I'm forty years old. I've hadn't been living until this age. If I knew that I'm going to be caught so bad I would love to have a vaccine. "" https://t.co/klpfhaigik")</f>
        <v>"I'm forty years old. I've hadn't been living until this age. If I knew that I'm going to be caught so bad I would love to have a vaccine. " https://t.co/klpfhaigik</v>
      </c>
    </row>
    <row r="244" spans="1:5" ht="15.75" customHeight="1" x14ac:dyDescent="0.25">
      <c r="A244" s="1" t="s">
        <v>488</v>
      </c>
      <c r="B244" s="1">
        <v>4690</v>
      </c>
      <c r="C244" s="3">
        <v>44494.774467592593</v>
      </c>
      <c r="D244" s="1" t="s">
        <v>489</v>
      </c>
      <c r="E244" s="4" t="str">
        <f ca="1">IFERROR(__xludf.DUMMYFUNCTION("GOOGLETRANSLATE(A244 , ""tr"" , ""en"")"),"Bursa was over 75% in the second dose vaccine rate, the blue, Şırnak was over 65% of the yellow category. We have to overcome the 75% target in all of our provinces.")</f>
        <v>Bursa was over 75% in the second dose vaccine rate, the blue, Şırnak was over 65% of the yellow category. We have to overcome the 75% target in all of our provinces.</v>
      </c>
    </row>
    <row r="245" spans="1:5" ht="15.75" customHeight="1" x14ac:dyDescent="0.25">
      <c r="A245" s="1" t="s">
        <v>490</v>
      </c>
      <c r="B245" s="1">
        <v>4160</v>
      </c>
      <c r="C245" s="3">
        <v>44494.759351851855</v>
      </c>
      <c r="D245" s="1" t="s">
        <v>491</v>
      </c>
      <c r="E245" s="4" t="str">
        <f ca="1">IFERROR(__xludf.DUMMYFUNCTION("GOOGLETRANSLATE(A245 , ""tr"" , ""en"")"),"The second overdose ratio is a social success that will be proud to pass 77.5% in Turkey. Currently, our 56 province is under the country average, the difference in some provinces is great. We should not forget that measures are important. https://t.co/te"&amp;"jrtqfsbt")</f>
        <v>The second overdose ratio is a social success that will be proud to pass 77.5% in Turkey. Currently, our 56 province is under the country average, the difference in some provinces is great. We should not forget that measures are important. https://t.co/tejrtqfsbt</v>
      </c>
    </row>
    <row r="246" spans="1:5" ht="15.75" customHeight="1" x14ac:dyDescent="0.25">
      <c r="A246" s="1" t="s">
        <v>492</v>
      </c>
      <c r="B246" s="1">
        <v>0</v>
      </c>
      <c r="C246" s="3">
        <v>44494.68346064815</v>
      </c>
      <c r="D246" s="1" t="s">
        <v>493</v>
      </c>
      <c r="E246" s="4" t="str">
        <f ca="1">IFERROR(__xludf.DUMMYFUNCTION("GOOGLETRANSLATE(A246 , ""tr"" , ""en"")"),"RT @rterdogan: Shouting Nation After Cabinet Meeting https://t.co/elfmgbwtcd")</f>
        <v>RT @rterdogan: Shouting Nation After Cabinet Meeting https://t.co/elfmgbwtcd</v>
      </c>
    </row>
    <row r="247" spans="1:5" ht="15.75" customHeight="1" x14ac:dyDescent="0.25">
      <c r="A247" s="1" t="s">
        <v>494</v>
      </c>
      <c r="B247" s="1">
        <v>4889</v>
      </c>
      <c r="C247" s="3">
        <v>44493.686805555553</v>
      </c>
      <c r="D247" s="1" t="s">
        <v>495</v>
      </c>
      <c r="E247" s="4" t="str">
        <f ca="1">IFERROR(__xludf.DUMMYFUNCTION("GOOGLETRANSLATE(A247 , ""tr"" , ""en"")"),"The table says symptoms seriously or lightly, 24,792 people from our call. We know that the grafted ones usually spend the disease. The vaccine is taking the body in advance. Be careful of the risks, make your vaccination also be strong from the beginning"&amp;" against the disease. https://t.co/wgh7brkzn8")</f>
        <v>The table says symptoms seriously or lightly, 24,792 people from our call. We know that the grafted ones usually spend the disease. The vaccine is taking the body in advance. Be careful of the risks, make your vaccination also be strong from the beginning against the disease. https://t.co/wgh7brkzn8</v>
      </c>
    </row>
    <row r="248" spans="1:5" ht="15.75" customHeight="1" x14ac:dyDescent="0.25">
      <c r="A248" s="1" t="s">
        <v>496</v>
      </c>
      <c r="B248" s="1">
        <v>3292</v>
      </c>
      <c r="C248" s="3">
        <v>44492.690208333333</v>
      </c>
      <c r="D248" s="1" t="s">
        <v>497</v>
      </c>
      <c r="E248" s="4" t="str">
        <f ca="1">IFERROR(__xludf.DUMMYFUNCTION("GOOGLETRANSLATE(A248 , ""tr"" , ""en"")"),"Data of the daily case numbers are around 28-30 thousand, the data of the final period of 28-30 thousand shows that 4,2 of every 1,000 cases require treatment. Pneumonia in patients is again 4.2% in this period. Our heavy patient rate compared to the numb"&amp;"er of cases is 6,6 per thousand. https://t.co/lb3p0hdplq")</f>
        <v>Data of the daily case numbers are around 28-30 thousand, the data of the final period of 28-30 thousand shows that 4,2 of every 1,000 cases require treatment. Pneumonia in patients is again 4.2% in this period. Our heavy patient rate compared to the number of cases is 6,6 per thousand. https://t.co/lb3p0hdplq</v>
      </c>
    </row>
    <row r="249" spans="1:5" ht="15.75" customHeight="1" x14ac:dyDescent="0.25">
      <c r="A249" s="1" t="s">
        <v>498</v>
      </c>
      <c r="B249" s="1">
        <v>5911</v>
      </c>
      <c r="C249" s="3">
        <v>44492.678576388891</v>
      </c>
      <c r="D249" s="1" t="s">
        <v>499</v>
      </c>
      <c r="E249" s="4" t="str">
        <f ca="1">IFERROR(__xludf.DUMMYFUNCTION("GOOGLETRANSLATE(A249 , ""tr"" , ""en"")"),"If you didn't have your vaccinations or you don't see the continued dose between your priority issues, talk to your acquaintances that have been living. Those who have the most realistic idea of ​​the vaccine are those wholmun to the Covid-19 with the hel"&amp;"p of vaccine. Please make your vaccines.")</f>
        <v>If you didn't have your vaccinations or you don't see the continued dose between your priority issues, talk to your acquaintances that have been living. Those who have the most realistic idea of ​​the vaccine are those wholmun to the Covid-19 with the help of vaccine. Please make your vaccines.</v>
      </c>
    </row>
    <row r="250" spans="1:5" ht="15.75" customHeight="1" x14ac:dyDescent="0.25">
      <c r="A250" s="1" t="s">
        <v>500</v>
      </c>
      <c r="B250" s="1">
        <v>2042</v>
      </c>
      <c r="C250" s="3">
        <v>44492.612430555557</v>
      </c>
      <c r="D250" s="1" t="s">
        <v>501</v>
      </c>
      <c r="E250" s="4" t="str">
        <f ca="1">IFERROR(__xludf.DUMMYFUNCTION("GOOGLETRANSLATE(A250 , ""tr"" , ""en"")"),"9-15 October between the previous week of the previous week of the most increasing 10 provinces: Kastamonu, Zonguldak, Karabük, Kilis, Tunceli, Ardahan, Cankiri, Kahramanmaras, Osmaniye, Erzincan. https://t.co/9tgawmx0vn")</f>
        <v>9-15 October between the previous week of the previous week of the most increasing 10 provinces: Kastamonu, Zonguldak, Karabük, Kilis, Tunceli, Ardahan, Cankiri, Kahramanmaras, Osmaniye, Erzincan. https://t.co/9tgawmx0vn</v>
      </c>
    </row>
    <row r="251" spans="1:5" ht="15.75" customHeight="1" x14ac:dyDescent="0.25">
      <c r="A251" s="1" t="s">
        <v>502</v>
      </c>
      <c r="B251" s="1">
        <v>3309</v>
      </c>
      <c r="C251" s="3">
        <v>44492.605833333335</v>
      </c>
      <c r="D251" s="1" t="s">
        <v>503</v>
      </c>
      <c r="E251" s="4" t="str">
        <f ca="1">IFERROR(__xludf.DUMMYFUNCTION("GOOGLETRANSLATE(A251 , ""tr"" , ""en"")"),"From October 9-15, where was a total of weekly new Covid-19 Cases in 100,000 people in 100,000 people. You can learn the situation in the province where you are experiencing, from our weekly incidence map. https://t.co/px3zgqwk9e")</f>
        <v>From October 9-15, where was a total of weekly new Covid-19 Cases in 100,000 people in 100,000 people. You can learn the situation in the province where you are experiencing, from our weekly incidence map. https://t.co/px3zgqwk9e</v>
      </c>
    </row>
    <row r="252" spans="1:5" ht="15.75" customHeight="1" x14ac:dyDescent="0.25">
      <c r="A252" s="1" t="s">
        <v>504</v>
      </c>
      <c r="B252" s="1">
        <v>2769</v>
      </c>
      <c r="C252" s="3">
        <v>44492.584664351853</v>
      </c>
      <c r="D252" s="1" t="s">
        <v>505</v>
      </c>
      <c r="E252" s="4" t="str">
        <f ca="1">IFERROR(__xludf.DUMMYFUNCTION("GOOGLETRANSLATE(A252 , ""tr"" , ""en"")"),"We are on the 10th anniversary of the van earthquake in October 23, 2011. We believe that our life-losing people are mercy, we believe that similar suffering will not be experienced. Earthquakes was the most cattle exams, our nation has always showed the "&amp;"unity and the association against the disasters. https://t.co/tf2xqkpigp")</f>
        <v>We are on the 10th anniversary of the van earthquake in October 23, 2011. We believe that our life-losing people are mercy, we believe that similar suffering will not be experienced. Earthquakes was the most cattle exams, our nation has always showed the unity and the association against the disasters. https://t.co/tf2xqkpigp</v>
      </c>
    </row>
    <row r="253" spans="1:5" ht="15.75" customHeight="1" x14ac:dyDescent="0.25">
      <c r="A253" s="1" t="s">
        <v>506</v>
      </c>
      <c r="B253" s="1">
        <v>3528</v>
      </c>
      <c r="C253" s="3">
        <v>44491.784583333334</v>
      </c>
      <c r="D253" s="1" t="s">
        <v>507</v>
      </c>
      <c r="E253" s="4" t="str">
        <f ca="1">IFERROR(__xludf.DUMMYFUNCTION("GOOGLETRANSLATE(A253 , ""tr"" , ""en"")"),"""Uncle Mehmet, we've come to you.""
We are doing the vaccines of our elders who will be forced to come to our health institutions and the vaccinations of those who need at home. https://t.co/23yf86moxy")</f>
        <v>"Uncle Mehmet, we've come to you."
We are doing the vaccines of our elders who will be forced to come to our health institutions and the vaccinations of those who need at home. https://t.co/23yf86moxy</v>
      </c>
    </row>
    <row r="254" spans="1:5" ht="15.75" customHeight="1" x14ac:dyDescent="0.25">
      <c r="A254" s="1" t="s">
        <v>508</v>
      </c>
      <c r="B254" s="1">
        <v>4907</v>
      </c>
      <c r="C254" s="3">
        <v>44491.699826388889</v>
      </c>
      <c r="D254" s="1" t="s">
        <v>509</v>
      </c>
      <c r="E254" s="4" t="str">
        <f ca="1">IFERROR(__xludf.DUMMYFUNCTION("GOOGLETRANSLATE(A254 , ""tr"" , ""en"")"),"According to the data of 1 month; 1.38% of the new cases are 0-4 years, 4,86% of the ages of 5-9 years, 16.24% from 10-14 years and 12.94% of the 15-19 age group. Accordingly, the rate of 19 years and gold in cases is 35.42%. But the virus does not lead t"&amp;"o the problem in this group generally. Our elders should be careful. https://t.co/rxjj9n5vxw")</f>
        <v>According to the data of 1 month; 1.38% of the new cases are 0-4 years, 4,86% of the ages of 5-9 years, 16.24% from 10-14 years and 12.94% of the 15-19 age group. Accordingly, the rate of 19 years and gold in cases is 35.42%. But the virus does not lead to the problem in this group generally. Our elders should be careful. https://t.co/rxjj9n5vxw</v>
      </c>
    </row>
    <row r="255" spans="1:5" ht="15.75" customHeight="1" x14ac:dyDescent="0.25">
      <c r="A255" s="1" t="s">
        <v>510</v>
      </c>
      <c r="B255" s="1">
        <v>3766</v>
      </c>
      <c r="C255" s="3">
        <v>44491.367615740739</v>
      </c>
      <c r="D255" s="1" t="s">
        <v>511</v>
      </c>
      <c r="E255" s="4" t="str">
        <f ca="1">IFERROR(__xludf.DUMMYFUNCTION("GOOGLETRANSLATE(A255 , ""tr"" , ""en"")"),"Your patients ""be your vaccine!"" give ears on their warnings. Scientists know the virus, the disease of the actual living. Most, who are missing no vaccines or vaccines. Please take your vaccine today.")</f>
        <v>Your patients "be your vaccine!" give ears on their warnings. Scientists know the virus, the disease of the actual living. Most, who are missing no vaccines or vaccines. Please take your vaccine today.</v>
      </c>
    </row>
    <row r="256" spans="1:5" ht="15.75" customHeight="1" x14ac:dyDescent="0.25">
      <c r="A256" s="1" t="s">
        <v>512</v>
      </c>
      <c r="B256" s="1">
        <v>9341</v>
      </c>
      <c r="C256" s="3">
        <v>44491.343287037038</v>
      </c>
      <c r="D256" s="1" t="s">
        <v>513</v>
      </c>
      <c r="E256" s="4" t="str">
        <f ca="1">IFERROR(__xludf.DUMMYFUNCTION("GOOGLETRANSLATE(A256 , ""tr"" , ""en"")"),"Although he has made their vaccinations, Covid-19 has been caught and ill. But none wish I wasn't the vaccination. Those who have the most realistic idea of ​​the vaccine are Covid-19 with the help of vaccination. Please take your vaccine today.")</f>
        <v>Although he has made their vaccinations, Covid-19 has been caught and ill. But none wish I wasn't the vaccination. Those who have the most realistic idea of ​​the vaccine are Covid-19 with the help of vaccination. Please take your vaccine today.</v>
      </c>
    </row>
    <row r="257" spans="1:5" ht="15.75" customHeight="1" x14ac:dyDescent="0.25">
      <c r="A257" s="1" t="s">
        <v>514</v>
      </c>
      <c r="B257" s="1">
        <v>4871</v>
      </c>
      <c r="C257" s="3">
        <v>44490.780856481484</v>
      </c>
      <c r="D257" s="1" t="s">
        <v>515</v>
      </c>
      <c r="E257" s="4" t="str">
        <f ca="1">IFERROR(__xludf.DUMMYFUNCTION("GOOGLETRANSLATE(A257 , ""tr"" , ""en"")"),"Trabzon is very close to blue.
Tunceli is very close to blue.
Bursa, so close to blue.
Idy is very close to the yellow.
We don't have the category changing the category today.")</f>
        <v>Trabzon is very close to blue.
Tunceli is very close to blue.
Bursa, so close to blue.
Idy is very close to the yellow.
We don't have the category changing the category today.</v>
      </c>
    </row>
    <row r="258" spans="1:5" ht="15.75" customHeight="1" x14ac:dyDescent="0.25">
      <c r="A258" s="1" t="s">
        <v>516</v>
      </c>
      <c r="B258" s="1">
        <v>1162</v>
      </c>
      <c r="C258" s="3">
        <v>44490.711539351854</v>
      </c>
      <c r="D258" s="1" t="s">
        <v>517</v>
      </c>
      <c r="E258" s="4" t="str">
        <f ca="1">IFERROR(__xludf.DUMMYFUNCTION("GOOGLETRANSLATE(A258 , ""tr"" , ""en"")"),"5.
We have a large number of citizens from the time of the second dose and reminder dose vaccines. They are required to complete their vaccines without time. This is first self-important behavior for all society first.
We are stable and insistent to your "&amp;"health in the fight against outbreak.")</f>
        <v>5.
We have a large number of citizens from the time of the second dose and reminder dose vaccines. They are required to complete their vaccines without time. This is first self-important behavior for all society first.
We are stable and insistent to your health in the fight against outbreak.</v>
      </c>
    </row>
    <row r="259" spans="1:5" ht="15.75" customHeight="1" x14ac:dyDescent="0.25">
      <c r="A259" s="1" t="s">
        <v>518</v>
      </c>
      <c r="B259" s="1">
        <v>1257</v>
      </c>
      <c r="C259" s="3">
        <v>44490.711527777778</v>
      </c>
      <c r="D259" s="1" t="s">
        <v>519</v>
      </c>
      <c r="E259" s="4" t="str">
        <f ca="1">IFERROR(__xludf.DUMMYFUNCTION("GOOGLETRANSLATE(A259 , ""tr"" , ""en"")"),"4.
Unfortunately, the propagation will continue until the community immunity is obtained. Currently, the level of vaccination is not assured for non-vaccines. ""Somehow others have become the vaccination I wouldn't be,"" The thought is wrong. The vaccine "&amp;"protects people with vaccines in the first degree.")</f>
        <v>4.
Unfortunately, the propagation will continue until the community immunity is obtained. Currently, the level of vaccination is not assured for non-vaccines. "Somehow others have become the vaccination I wouldn't be," The thought is wrong. The vaccine protects people with vaccines in the first degree.</v>
      </c>
    </row>
    <row r="260" spans="1:5" ht="15.75" customHeight="1" x14ac:dyDescent="0.25">
      <c r="A260" s="1" t="s">
        <v>520</v>
      </c>
      <c r="B260" s="1">
        <v>471</v>
      </c>
      <c r="C260" s="3">
        <v>44490.711527777778</v>
      </c>
      <c r="D260" s="1" t="s">
        <v>521</v>
      </c>
      <c r="E260" s="4" t="str">
        <f ca="1">IFERROR(__xludf.DUMMYFUNCTION("GOOGLETRANSLATE(A260 , ""tr"" , ""en"")"),"3.
Over 65 years old, in the first period of the epidemic. Currently there is no restriction but they should not forget they are in the risk group. It is vital if they completed their vaccinations. The vaccine is limited to the protection that it will pro"&amp;"vide if completed.")</f>
        <v>3.
Over 65 years old, in the first period of the epidemic. Currently there is no restriction but they should not forget they are in the risk group. It is vital if they completed their vaccinations. The vaccine is limited to the protection that it will provide if completed.</v>
      </c>
    </row>
    <row r="261" spans="1:5" ht="15.75" customHeight="1" x14ac:dyDescent="0.25">
      <c r="A261" s="1" t="s">
        <v>522</v>
      </c>
      <c r="B261" s="1">
        <v>524</v>
      </c>
      <c r="C261" s="3">
        <v>44490.711516203701</v>
      </c>
      <c r="D261" s="1" t="s">
        <v>523</v>
      </c>
      <c r="E261" s="4" t="str">
        <f ca="1">IFERROR(__xludf.DUMMYFUNCTION("GOOGLETRANSLATE(A261 , ""tr"" , ""en"")"),"2nd.
Teenagers have responsibilities against the bigger ones too fewer than they are sick. In the new period, the virus is known to be spread over young people. Therefore, they should be able to create a healthy educational environment and to protect fami"&amp;"ly circles.")</f>
        <v>2nd.
Teenagers have responsibilities against the bigger ones too fewer than they are sick. In the new period, the virus is known to be spread over young people. Therefore, they should be able to create a healthy educational environment and to protect family circles.</v>
      </c>
    </row>
    <row r="262" spans="1:5" ht="15.75" customHeight="1" x14ac:dyDescent="0.25">
      <c r="A262" s="1" t="s">
        <v>524</v>
      </c>
      <c r="B262" s="1">
        <v>4663</v>
      </c>
      <c r="C262" s="3">
        <v>44490.711516203701</v>
      </c>
      <c r="D262" s="1" t="s">
        <v>525</v>
      </c>
      <c r="E262" s="4" t="str">
        <f ca="1">IFERROR(__xludf.DUMMYFUNCTION("GOOGLETRANSLATE(A262 , ""tr"" , ""en"")"),"Status assessment, 1
The mean age of the cases fell. Nearly closely over 30 years of age. Our hospital capacity is not forced as a result of vaccination. The majority of Covid-19 patients lying in services with intensive care units are still elderly and t"&amp;"hose with chronic diseases. https://t.co/krcpmwhmro")</f>
        <v>Status assessment, 1
The mean age of the cases fell. Nearly closely over 30 years of age. Our hospital capacity is not forced as a result of vaccination. The majority of Covid-19 patients lying in services with intensive care units are still elderly and those with chronic diseases. https://t.co/krcpmwhmro</v>
      </c>
    </row>
    <row r="263" spans="1:5" ht="15.75" customHeight="1" x14ac:dyDescent="0.25">
      <c r="A263" s="1" t="s">
        <v>526</v>
      </c>
      <c r="B263" s="1">
        <v>3376</v>
      </c>
      <c r="C263" s="3">
        <v>44490.556944444441</v>
      </c>
      <c r="D263" s="1" t="s">
        <v>527</v>
      </c>
      <c r="E263" s="4" t="str">
        <f ca="1">IFERROR(__xludf.DUMMYFUNCTION("GOOGLETRANSLATE(A263 , ""tr"" , ""en"")"),"In Tunceli Ovacik, the terrorist organization in the conflict with the heroes of the hero, gendarmerie expert sergeant has fallen. I wish our martyr's soldier than Allah to the mercy, his family, our Ordam and our nation. https://t.co/cvdpqmybnz")</f>
        <v>In Tunceli Ovacik, the terrorist organization in the conflict with the heroes of the hero, gendarmerie expert sergeant has fallen. I wish our martyr's soldier than Allah to the mercy, his family, our Ordam and our nation. https://t.co/cvdpqmybnz</v>
      </c>
    </row>
    <row r="264" spans="1:5" ht="15.75" customHeight="1" x14ac:dyDescent="0.25">
      <c r="A264" s="1" t="s">
        <v>528</v>
      </c>
      <c r="B264" s="1">
        <v>3360</v>
      </c>
      <c r="C264" s="3">
        <v>44489.823217592595</v>
      </c>
      <c r="D264" s="1" t="s">
        <v>529</v>
      </c>
      <c r="E264" s="4" t="str">
        <f ca="1">IFERROR(__xludf.DUMMYFUNCTION("GOOGLETRANSLATE(A264 , ""tr"" , ""en"")"),"Teenagers should meet the measures to your homes, loved ones, to your loved ones, do not carry the viruses to your homes, your loved ones, and you must become full-grown as soon as possible. Teenagers, I invite you the front safa in the fight. https://t.c"&amp;"o/hu4uasty1y")</f>
        <v>Teenagers should meet the measures to your homes, loved ones, to your loved ones, do not carry the viruses to your homes, your loved ones, and you must become full-grown as soon as possible. Teenagers, I invite you the front safa in the fight. https://t.co/hu4uasty1y</v>
      </c>
    </row>
    <row r="265" spans="1:5" ht="15.75" customHeight="1" x14ac:dyDescent="0.25">
      <c r="A265" s="1" t="s">
        <v>530</v>
      </c>
      <c r="B265" s="1">
        <v>4350</v>
      </c>
      <c r="C265" s="3">
        <v>44489.801585648151</v>
      </c>
      <c r="D265" s="1" t="s">
        <v>531</v>
      </c>
      <c r="E265" s="4" t="str">
        <f ca="1">IFERROR(__xludf.DUMMYFUNCTION("GOOGLETRANSLATE(A265 , ""tr"" , ""en"")"),"Turkey, compared to the population, among the best countries. However, there are significant differences between our daily case and loss of life. According to the vaccine everywhere will show similar effect, I wonder where are we mistaking? Are poor in me"&amp;"asures. Inoculation should also increase the measure. https://t.co/5raogva0kq")</f>
        <v>Turkey, compared to the population, among the best countries. However, there are significant differences between our daily case and loss of life. According to the vaccine everywhere will show similar effect, I wonder where are we mistaking? Are poor in measures. Inoculation should also increase the measure. https://t.co/5raogva0kq</v>
      </c>
    </row>
    <row r="266" spans="1:5" ht="15.75" customHeight="1" x14ac:dyDescent="0.25">
      <c r="A266" s="1" t="s">
        <v>532</v>
      </c>
      <c r="B266" s="1">
        <v>10808</v>
      </c>
      <c r="C266" s="3">
        <v>44489.789722222224</v>
      </c>
      <c r="D266" s="1" t="s">
        <v>533</v>
      </c>
      <c r="E266" s="4" t="str">
        <f ca="1">IFERROR(__xludf.DUMMYFUNCTION("GOOGLETRANSLATE(A266 , ""tr"" , ""en"")"),"In the presence of 84 million, you don't know what to give the passage of the passage every day. As your Minister of Health and Road is your friends, please earn my calls on the vaccination with epidemic measures. Our Vephate Count 214.")</f>
        <v>In the presence of 84 million, you don't know what to give the passage of the passage every day. As your Minister of Health and Road is your friends, please earn my calls on the vaccination with epidemic measures. Our Vephate Count 214.</v>
      </c>
    </row>
    <row r="267" spans="1:5" ht="15.75" customHeight="1" x14ac:dyDescent="0.25">
      <c r="A267" s="1" t="s">
        <v>534</v>
      </c>
      <c r="B267" s="1">
        <v>3977</v>
      </c>
      <c r="C267" s="3">
        <v>44488.783877314818</v>
      </c>
      <c r="D267" s="1" t="s">
        <v>535</v>
      </c>
      <c r="E267" s="4" t="str">
        <f ca="1">IFERROR(__xludf.DUMMYFUNCTION("GOOGLETRANSLATE(A267 , ""tr"" , ""en"")"),"In Kırşehir, the second overdose ratio appeared over 75%. Kırşehir, in the blue category. We should continue to upgrade this rate, we must make our vaccines at all without disruption. Be late is to take a risk.")</f>
        <v>In Kırşehir, the second overdose ratio appeared over 75%. Kırşehir, in the blue category. We should continue to upgrade this rate, we must make our vaccines at all without disruption. Be late is to take a risk.</v>
      </c>
    </row>
    <row r="268" spans="1:5" ht="15.75" customHeight="1" x14ac:dyDescent="0.25">
      <c r="A268" s="1" t="s">
        <v>536</v>
      </c>
      <c r="B268" s="1">
        <v>4854</v>
      </c>
      <c r="C268" s="3">
        <v>44488.733553240738</v>
      </c>
      <c r="D268" s="1" t="s">
        <v>537</v>
      </c>
      <c r="E268" s="4" t="str">
        <f ca="1">IFERROR(__xludf.DUMMYFUNCTION("GOOGLETRANSLATE(A268 , ""tr"" , ""en"")"),"There are approximately 5 million people, even when it comes to time, even the weeks of weeks. There are hospitals in these groups.
We insist on having the third dose of those who prefer inactive vaccines. The third dose is the dose of protection shield. "&amp;"https://t.co/50hfkvxtwt")</f>
        <v>There are approximately 5 million people, even when it comes to time, even the weeks of weeks. There are hospitals in these groups.
We insist on having the third dose of those who prefer inactive vaccines. The third dose is the dose of protection shield. https://t.co/50hfkvxtwt</v>
      </c>
    </row>
    <row r="269" spans="1:5" ht="15.75" customHeight="1" x14ac:dyDescent="0.25">
      <c r="A269" s="1" t="s">
        <v>538</v>
      </c>
      <c r="B269" s="1">
        <v>7904</v>
      </c>
      <c r="C269" s="3">
        <v>44488.549259259256</v>
      </c>
      <c r="D269" s="1" t="s">
        <v>539</v>
      </c>
      <c r="E269" s="4" t="str">
        <f ca="1">IFERROR(__xludf.DUMMYFUNCTION("GOOGLETRANSLATE(A269 , ""tr"" , ""en"")"),"We remember the King of Wise. https://t.co/lbtmxhsslx")</f>
        <v>We remember the King of Wise. https://t.co/lbtmxhsslx</v>
      </c>
    </row>
    <row r="270" spans="1:5" ht="15.75" customHeight="1" x14ac:dyDescent="0.25">
      <c r="A270" s="1" t="s">
        <v>540</v>
      </c>
      <c r="B270" s="1">
        <v>6003</v>
      </c>
      <c r="C270" s="3">
        <v>44487.895300925928</v>
      </c>
      <c r="D270" s="1" t="s">
        <v>541</v>
      </c>
      <c r="E270" s="4" t="str">
        <f ca="1">IFERROR(__xludf.DUMMYFUNCTION("GOOGLETRANSLATE(A270 , ""tr"" , ""en"")"),"""I couldn't ever love anything at all. I could never love the medium at all. I always loved it. "" We remember Nuri Pakdil late. (1934 - October 18, 2019) https://t.co/44ncgkrupq")</f>
        <v>"I couldn't ever love anything at all. I could never love the medium at all. I always loved it. " We remember Nuri Pakdil late. (1934 - October 18, 2019) https://t.co/44ncgkrupq</v>
      </c>
    </row>
    <row r="271" spans="1:5" ht="15.75" customHeight="1" x14ac:dyDescent="0.25">
      <c r="A271" s="1" t="s">
        <v>542</v>
      </c>
      <c r="B271" s="1">
        <v>3839</v>
      </c>
      <c r="C271" s="3">
        <v>44487.873622685183</v>
      </c>
      <c r="D271" s="1" t="s">
        <v>543</v>
      </c>
      <c r="E271" s="4" t="str">
        <f ca="1">IFERROR(__xludf.DUMMYFUNCTION("GOOGLETRANSLATE(A271 , ""tr"" , ""en"")"),"Hopelessness is also risky as being noose!
If we are hopeless, we do not find the power to do what we need to do in ourselves. In our lives that drive both in the epidemic and on the epidemic environment! Conditions will change with common vaccination. Th"&amp;"e world is in focus on this output path. Good evening.")</f>
        <v>Hopelessness is also risky as being noose!
If we are hopeless, we do not find the power to do what we need to do in ourselves. In our lives that drive both in the epidemic and on the epidemic environment! Conditions will change with common vaccination. The world is in focus on this output path. Good evening.</v>
      </c>
    </row>
    <row r="272" spans="1:5" ht="15.75" customHeight="1" x14ac:dyDescent="0.25">
      <c r="A272" s="1" t="s">
        <v>544</v>
      </c>
      <c r="B272" s="1">
        <v>3020</v>
      </c>
      <c r="C272" s="3">
        <v>44487.783587962964</v>
      </c>
      <c r="D272" s="1" t="s">
        <v>545</v>
      </c>
      <c r="E272" s="4" t="str">
        <f ca="1">IFERROR(__xludf.DUMMYFUNCTION("GOOGLETRANSLATE(A272 , ""tr"" , ""en"")"),"""I have neglected Covid-19 vaccine as a physician. I have been treating for about 1 month. I'm gathered very much. "" https://t.co/rltrsbdg5s")</f>
        <v>"I have neglected Covid-19 vaccine as a physician. I have been treating for about 1 month. I'm gathered very much. " https://t.co/rltrsbdg5s</v>
      </c>
    </row>
    <row r="273" spans="1:5" ht="15.75" customHeight="1" x14ac:dyDescent="0.25">
      <c r="A273" s="1" t="s">
        <v>546</v>
      </c>
      <c r="B273" s="1">
        <v>3503</v>
      </c>
      <c r="C273" s="3">
        <v>44487.769849537035</v>
      </c>
      <c r="D273" s="1" t="s">
        <v>547</v>
      </c>
      <c r="E273" s="4" t="str">
        <f ca="1">IFERROR(__xludf.DUMMYFUNCTION("GOOGLETRANSLATE(A273 , ""tr"" , ""en"")"),"The second overdose in Van appeared over 65%. Van in the yellow category. Let's have the second or third overdose vaccines that are time. Be late is to take a risk.")</f>
        <v>The second overdose in Van appeared over 65%. Van in the yellow category. Let's have the second or third overdose vaccines that are time. Be late is to take a risk.</v>
      </c>
    </row>
    <row r="274" spans="1:5" ht="15.75" customHeight="1" x14ac:dyDescent="0.25">
      <c r="A274" s="1" t="s">
        <v>548</v>
      </c>
      <c r="B274" s="1">
        <v>3700</v>
      </c>
      <c r="C274" s="3">
        <v>44487.764606481483</v>
      </c>
      <c r="D274" s="1" t="s">
        <v>549</v>
      </c>
      <c r="E274" s="4" t="str">
        <f ca="1">IFERROR(__xludf.DUMMYFUNCTION("GOOGLETRANSLATE(A274 , ""tr"" , ""en"")"),"The second overdose in Tokat appeared over 75%. Slap in the blue category. We should continue to upgrade this rate, we must make our vaccines at all without disruption. Be late is to take a risk.")</f>
        <v>The second overdose in Tokat appeared over 75%. Slap in the blue category. We should continue to upgrade this rate, we must make our vaccines at all without disruption. Be late is to take a risk.</v>
      </c>
    </row>
    <row r="275" spans="1:5" ht="15.75" customHeight="1" x14ac:dyDescent="0.25">
      <c r="A275" s="1" t="s">
        <v>550</v>
      </c>
      <c r="B275" s="1">
        <v>4205</v>
      </c>
      <c r="C275" s="3">
        <v>44487.737905092596</v>
      </c>
      <c r="D275" s="1" t="s">
        <v>551</v>
      </c>
      <c r="E275" s="4" t="str">
        <f ca="1">IFERROR(__xludf.DUMMYFUNCTION("GOOGLETRANSLATE(A275 , ""tr"" , ""en"")"),"Of the chronic disease and our elders spend Covid-19 heavy. We insist on having full dose vaccines. Our call to the young is going on. The full dose grafting in the group of 18-25 years is 53.77%.
The world is focused on the vaccine as an output way. Vacc"&amp;"ine should not be neglected! https://t.co/yte4g6xskw")</f>
        <v>Of the chronic disease and our elders spend Covid-19 heavy. We insist on having full dose vaccines. Our call to the young is going on. The full dose grafting in the group of 18-25 years is 53.77%.
The world is focused on the vaccine as an output way. Vaccine should not be neglected! https://t.co/yte4g6xskw</v>
      </c>
    </row>
    <row r="276" spans="1:5" ht="15.75" customHeight="1" x14ac:dyDescent="0.25">
      <c r="A276" s="1" t="s">
        <v>552</v>
      </c>
      <c r="B276" s="1">
        <v>5515</v>
      </c>
      <c r="C276" s="3">
        <v>44487.482002314813</v>
      </c>
      <c r="D276" s="1" t="s">
        <v>553</v>
      </c>
      <c r="E276" s="4" t="str">
        <f ca="1">IFERROR(__xludf.DUMMYFUNCTION("GOOGLETRANSLATE(A276 , ""tr"" , ""en"")"),"Turkey lost a great value. Eren industrialist, who has unique dreams for the nation and to realize many of them, the entrepreneurial Özdemir Bayraktar brother walked right.
Your life was a challenge to difficulties. May the heaven of space Özdemir Shovage"&amp;"! https://t.co/vscniafunh")</f>
        <v>Turkey lost a great value. Eren industrialist, who has unique dreams for the nation and to realize many of them, the entrepreneurial Özdemir Bayraktar brother walked right.
Your life was a challenge to difficulties. May the heaven of space Özdemir Shovage! https://t.co/vscniafunh</v>
      </c>
    </row>
    <row r="277" spans="1:5" ht="15.75" customHeight="1" x14ac:dyDescent="0.25">
      <c r="A277" s="1" t="s">
        <v>554</v>
      </c>
      <c r="B277" s="1">
        <v>6529</v>
      </c>
      <c r="C277" s="3">
        <v>44487.223541666666</v>
      </c>
      <c r="D277" s="1" t="s">
        <v>555</v>
      </c>
      <c r="E277" s="4" t="str">
        <f ca="1">IFERROR(__xludf.DUMMYFUNCTION("GOOGLETRANSLATE(A277 , ""tr"" , ""en"")"),"I wish a good week.
One of the purposes that combine us as society, to gain achievement against epidemic disease. We want to leave behind this long, strenuous agenda. People all over the world are similar. And the world is in vaccination mobilization for "&amp;"this purpose. Make your vaccines without disruption.")</f>
        <v>I wish a good week.
One of the purposes that combine us as society, to gain achievement against epidemic disease. We want to leave behind this long, strenuous agenda. People all over the world are similar. And the world is in vaccination mobilization for this purpose. Make your vaccines without disruption.</v>
      </c>
    </row>
    <row r="278" spans="1:5" ht="15.75" customHeight="1" x14ac:dyDescent="0.25">
      <c r="A278" s="1" t="s">
        <v>556</v>
      </c>
      <c r="B278" s="1">
        <v>7106</v>
      </c>
      <c r="C278" s="3">
        <v>44486.677812499998</v>
      </c>
      <c r="D278" s="1" t="s">
        <v>557</v>
      </c>
      <c r="E278" s="4" t="str">
        <f ca="1">IFERROR(__xludf.DUMMYFUNCTION("GOOGLETRANSLATE(A278 , ""tr"" , ""en"")"),"I would like to call our youth in the presence of everyone: Tomorrow starts a new week. We look forward to our health institutions, especially your vaccines. It is not necessary to come to be a vaccination, we are ready to answer if you have a question. N"&amp;"o matter what happens, don't neglect! https://t.co/c8nn5emkex")</f>
        <v>I would like to call our youth in the presence of everyone: Tomorrow starts a new week. We look forward to our health institutions, especially your vaccines. It is not necessary to come to be a vaccination, we are ready to answer if you have a question. No matter what happens, don't neglect! https://t.co/c8nn5emkex</v>
      </c>
    </row>
    <row r="279" spans="1:5" ht="15.75" customHeight="1" x14ac:dyDescent="0.25">
      <c r="A279" s="1" t="s">
        <v>558</v>
      </c>
      <c r="B279" s="1">
        <v>5184</v>
      </c>
      <c r="C279" s="3">
        <v>44486.60359953704</v>
      </c>
      <c r="D279" s="1" t="s">
        <v>559</v>
      </c>
      <c r="E279" s="4" t="str">
        <f ca="1">IFERROR(__xludf.DUMMYFUNCTION("GOOGLETRANSLATE(A279 , ""tr"" , ""en"")"),"Our Prophet of the Universal Example of Good Behavior Hz. We are on Muhammad's birth year. MABLID HARDIL MUBARK, your prayers get accepted. Hürum and our love to Him, ""Man's horizon Prophet is the horizon of poetry."" Sezai Karakoç tells what beautiful! "&amp;"https://t.co/tf86TQIVSP")</f>
        <v>Our Prophet of the Universal Example of Good Behavior Hz. We are on Muhammad's birth year. MABLID HARDIL MUBARK, your prayers get accepted. Hürum and our love to Him, "Man's horizon Prophet is the horizon of poetry." Sezai Karakoç tells what beautiful! https://t.co/tf86TQIVSP</v>
      </c>
    </row>
    <row r="280" spans="1:5" ht="15.75" customHeight="1" x14ac:dyDescent="0.25">
      <c r="A280" s="1" t="s">
        <v>560</v>
      </c>
      <c r="B280" s="1">
        <v>2381</v>
      </c>
      <c r="C280" s="3">
        <v>44486.435428240744</v>
      </c>
      <c r="D280" s="1" t="s">
        <v>561</v>
      </c>
      <c r="E280" s="4" t="str">
        <f ca="1">IFERROR(__xludf.DUMMYFUNCTION("GOOGLETRANSLATE(A280 , ""tr"" , ""en"")"),"Case density between 2-8 October The most increasing 10 in the previous week: Giresun, Army, Ardahan, Kastamonu, Çorum, Samsun, Tokat, Amasya, Kahramanmaras, Karabük. https://t.co/v36nakw4bx")</f>
        <v>Case density between 2-8 October The most increasing 10 in the previous week: Giresun, Army, Ardahan, Kastamonu, Çorum, Samsun, Tokat, Amasya, Kahramanmaras, Karabük. https://t.co/v36nakw4bx</v>
      </c>
    </row>
    <row r="281" spans="1:5" ht="15.75" customHeight="1" x14ac:dyDescent="0.25">
      <c r="A281" s="1" t="s">
        <v>562</v>
      </c>
      <c r="B281" s="1">
        <v>3289</v>
      </c>
      <c r="C281" s="3">
        <v>44486.4297337963</v>
      </c>
      <c r="D281" s="1" t="s">
        <v>563</v>
      </c>
      <c r="E281" s="4" t="str">
        <f ca="1">IFERROR(__xludf.DUMMYFUNCTION("GOOGLETRANSLATE(A281 , ""tr"" , ""en"")"),"What was the total number of new Covid-19 Cases in 100,000 people in October 2-8? You can learn the situation in the province where you are experiencing, from our weekly incidence map. https://t.co/bbh5dgl0nf")</f>
        <v>What was the total number of new Covid-19 Cases in 100,000 people in October 2-8? You can learn the situation in the province where you are experiencing, from our weekly incidence map. https://t.co/bbh5dgl0nf</v>
      </c>
    </row>
    <row r="282" spans="1:5" ht="15.75" customHeight="1" x14ac:dyDescent="0.25">
      <c r="A282" s="1" t="s">
        <v>564</v>
      </c>
      <c r="B282" s="1">
        <v>3965</v>
      </c>
      <c r="C282" s="3">
        <v>44485.797025462962</v>
      </c>
      <c r="D282" s="1" t="s">
        <v>565</v>
      </c>
      <c r="E282" s="4" t="str">
        <f ca="1">IFERROR(__xludf.DUMMYFUNCTION("GOOGLETRANSLATE(A282 , ""tr"" , ""en"")"),"In Diyarbakır and Batman, the second overdose ratio appeared over 55%. These two provinces are in the Orange Provincial Category. Let's not disrupt our vaccines that are time. Be late is to take a risk.")</f>
        <v>In Diyarbakır and Batman, the second overdose ratio appeared over 55%. These two provinces are in the Orange Provincial Category. Let's not disrupt our vaccines that are time. Be late is to take a risk.</v>
      </c>
    </row>
    <row r="283" spans="1:5" ht="15.75" customHeight="1" x14ac:dyDescent="0.25">
      <c r="A283" s="1" t="s">
        <v>566</v>
      </c>
      <c r="B283" s="1">
        <v>4560</v>
      </c>
      <c r="C283" s="3">
        <v>44485.779016203705</v>
      </c>
      <c r="D283" s="1" t="s">
        <v>567</v>
      </c>
      <c r="E283" s="4" t="str">
        <f ca="1">IFERROR(__xludf.DUMMYFUNCTION("GOOGLETRANSLATE(A283 , ""tr"" , ""en"")"),"In Bolu, the second overdose ratio appeared over 75%. Bolu in the Blue Provincial category. Let's not disrupt our vaccines that are time. Be late is to take a risk.")</f>
        <v>In Bolu, the second overdose ratio appeared over 75%. Bolu in the Blue Provincial category. Let's not disrupt our vaccines that are time. Be late is to take a risk.</v>
      </c>
    </row>
    <row r="284" spans="1:5" ht="15.75" customHeight="1" x14ac:dyDescent="0.25">
      <c r="A284" s="1" t="s">
        <v>568</v>
      </c>
      <c r="B284" s="1">
        <v>3271</v>
      </c>
      <c r="C284" s="3">
        <v>44485.717662037037</v>
      </c>
      <c r="D284" s="1" t="s">
        <v>569</v>
      </c>
      <c r="E284" s="4" t="str">
        <f ca="1">IFERROR(__xludf.DUMMYFUNCTION("GOOGLETRANSLATE(A284 , ""tr"" , ""en"")"),"Covid-19 Measures, last year, gribal infections have reduced very greatly. Symptoms are similar in these infections, such as Covid-19, there is severe increases due to the omissions in season conditions, mask and distance measures. Please try to obey the "&amp;"measures against both risk. https://t.co/pvnl7ainh0")</f>
        <v>Covid-19 Measures, last year, gribal infections have reduced very greatly. Symptoms are similar in these infections, such as Covid-19, there is severe increases due to the omissions in season conditions, mask and distance measures. Please try to obey the measures against both risk. https://t.co/pvnl7ainh0</v>
      </c>
    </row>
    <row r="285" spans="1:5" ht="15.75" customHeight="1" x14ac:dyDescent="0.25">
      <c r="A285" s="1" t="s">
        <v>570</v>
      </c>
      <c r="B285" s="1">
        <v>6126</v>
      </c>
      <c r="C285" s="3">
        <v>44485.686226851853</v>
      </c>
      <c r="D285" s="1" t="s">
        <v>571</v>
      </c>
      <c r="E285" s="4" t="str">
        <f ca="1">IFERROR(__xludf.DUMMYFUNCTION("GOOGLETRANSLATE(A285 , ""tr"" , ""en"")"),"In new cases, the proportion of young people increases. Unlike umulan, the rate of vaccination between our university students is low. For a healthy educational environment, our young people should make their vaccinations without disrupting. Society expec"&amp;"ts all their young people to participate in the fight. https://t.co/clzuj2a3qo")</f>
        <v>In new cases, the proportion of young people increases. Unlike umulan, the rate of vaccination between our university students is low. For a healthy educational environment, our young people should make their vaccinations without disrupting. Society expects all their young people to participate in the fight. https://t.co/clzuj2a3qo</v>
      </c>
    </row>
    <row r="286" spans="1:5" ht="15.75" customHeight="1" x14ac:dyDescent="0.25">
      <c r="A286" s="1" t="s">
        <v>572</v>
      </c>
      <c r="B286" s="1">
        <v>2989</v>
      </c>
      <c r="C286" s="3">
        <v>44485.575162037036</v>
      </c>
      <c r="D286" s="1" t="s">
        <v>573</v>
      </c>
      <c r="E286" s="4" t="str">
        <f ca="1">IFERROR(__xludf.DUMMYFUNCTION("GOOGLETRANSLATE(A286 , ""tr"" , ""en"")"),"October 16 World Anesthesia Day
We thank our anesthesia experts and anesthesia team members today on the occasion of the anesthesia teams preparing the operation conditions to our patients. Anesthesia, a breakthrough in medical history, brought great conv"&amp;"eniences to health services. https://t.co/yx15n96odf")</f>
        <v>October 16 World Anesthesia Day
We thank our anesthesia experts and anesthesia team members today on the occasion of the anesthesia teams preparing the operation conditions to our patients. Anesthesia, a breakthrough in medical history, brought great conveniences to health services. https://t.co/yx15n96odf</v>
      </c>
    </row>
    <row r="287" spans="1:5" ht="15.75" customHeight="1" x14ac:dyDescent="0.25">
      <c r="A287" s="1" t="s">
        <v>574</v>
      </c>
      <c r="B287" s="1">
        <v>4603</v>
      </c>
      <c r="C287" s="3">
        <v>44485.372337962966</v>
      </c>
      <c r="D287" s="1" t="s">
        <v>575</v>
      </c>
      <c r="E287" s="4" t="str">
        <f ca="1">IFERROR(__xludf.DUMMYFUNCTION("GOOGLETRANSLATE(A287 , ""tr"" , ""en"")"),"Ardahan and Antalya with the vaccines made yesterday to the blue category of 75% in the second overdose rate; Gaziantep went over 65% to the yellow category. Let us raise our second overdose ratio all over Turkey.")</f>
        <v>Ardahan and Antalya with the vaccines made yesterday to the blue category of 75% in the second overdose rate; Gaziantep went over 65% to the yellow category. Let us raise our second overdose ratio all over Turkey.</v>
      </c>
    </row>
    <row r="288" spans="1:5" ht="15.75" customHeight="1" x14ac:dyDescent="0.25">
      <c r="A288" s="1" t="s">
        <v>576</v>
      </c>
      <c r="B288" s="1">
        <v>5058</v>
      </c>
      <c r="C288" s="3">
        <v>44484.705543981479</v>
      </c>
      <c r="D288" s="1" t="s">
        <v>577</v>
      </c>
      <c r="E288" s="4" t="str">
        <f ca="1">IFERROR(__xludf.DUMMYFUNCTION("GOOGLETRANSLATE(A288 , ""tr"" , ""en"")"),"The year will damage us. Note that we are struggling with a vaccine contagious disease. We need some time and full dose inoculation rate. This is a morale source of real enough. Many diseases leading to outbreaks have eliminated with common vaccines. http"&amp;"s://t.co/gub2b804cb")</f>
        <v>The year will damage us. Note that we are struggling with a vaccine contagious disease. We need some time and full dose inoculation rate. This is a morale source of real enough. Many diseases leading to outbreaks have eliminated with common vaccines. https://t.co/gub2b804cb</v>
      </c>
    </row>
    <row r="289" spans="1:5" ht="15.75" customHeight="1" x14ac:dyDescent="0.25">
      <c r="A289" s="1" t="s">
        <v>578</v>
      </c>
      <c r="B289" s="1">
        <v>5739</v>
      </c>
      <c r="C289" s="3">
        <v>44484.324999999997</v>
      </c>
      <c r="D289" s="1" t="s">
        <v>579</v>
      </c>
      <c r="E289" s="4" t="str">
        <f ca="1">IFERROR(__xludf.DUMMYFUNCTION("GOOGLETRANSLATE(A289 , ""tr"" , ""en"")"),"COVID-19 has done the three things that make the vaccinations without disrupting: it takes itself to protect. In the nearby and reduces the risk in the city. It strengthens 84 million in the challenging struggle he gives against his epidemic. We have earn"&amp;"ed less with such a responsibility against ourselves and all society.")</f>
        <v>COVID-19 has done the three things that make the vaccinations without disrupting: it takes itself to protect. In the nearby and reduces the risk in the city. It strengthens 84 million in the challenging struggle he gives against his epidemic. We have earned less with such a responsibility against ourselves and all society.</v>
      </c>
    </row>
    <row r="290" spans="1:5" ht="15.75" customHeight="1" x14ac:dyDescent="0.25">
      <c r="A290" s="1" t="s">
        <v>580</v>
      </c>
      <c r="B290" s="1">
        <v>7947</v>
      </c>
      <c r="C290" s="3">
        <v>44484.242986111109</v>
      </c>
      <c r="D290" s="1" t="s">
        <v>581</v>
      </c>
      <c r="E290" s="4" t="str">
        <f ca="1">IFERROR(__xludf.DUMMYFUNCTION("GOOGLETRANSLATE(A290 , ""tr"" , ""en"")"),"Currently in our children's classes. The rule requires them to wear a mask so that the mouth and nose are closed. Including our six-year-old married.
Let's think as parents: When they share the burden of outbreak of the struggle, what are the society negl"&amp;"ecting? Good morning..")</f>
        <v>Currently in our children's classes. The rule requires them to wear a mask so that the mouth and nose are closed. Including our six-year-old married.
Let's think as parents: When they share the burden of outbreak of the struggle, what are the society neglecting? Good morning..</v>
      </c>
    </row>
    <row r="291" spans="1:5" ht="15.75" customHeight="1" x14ac:dyDescent="0.25">
      <c r="A291" s="1" t="s">
        <v>582</v>
      </c>
      <c r="B291" s="1">
        <v>3109</v>
      </c>
      <c r="C291" s="3">
        <v>44483.843460648146</v>
      </c>
      <c r="D291" s="1" t="s">
        <v>583</v>
      </c>
      <c r="E291" s="4" t="str">
        <f ca="1">IFERROR(__xludf.DUMMYFUNCTION("GOOGLETRANSLATE(A291 , ""tr"" , ""en"")"),"In MUŞ, the second overdose ratio appeared over 55%. MUŞ, entering the orange provincial category, the rate should upgrade. Single dose vaccine does not provide protection. We have to do our second dose of overdose without being late.")</f>
        <v>In MUŞ, the second overdose ratio appeared over 55%. MUŞ, entering the orange provincial category, the rate should upgrade. Single dose vaccine does not provide protection. We have to do our second dose of overdose without being late.</v>
      </c>
    </row>
    <row r="292" spans="1:5" ht="15.75" customHeight="1" x14ac:dyDescent="0.25">
      <c r="A292" s="1" t="s">
        <v>584</v>
      </c>
      <c r="B292" s="1">
        <v>4772</v>
      </c>
      <c r="C292" s="3">
        <v>44483.814814814818</v>
      </c>
      <c r="D292" s="1" t="s">
        <v>585</v>
      </c>
      <c r="E292" s="4" t="str">
        <f ca="1">IFERROR(__xludf.DUMMYFUNCTION("GOOGLETRANSLATE(A292 , ""tr"" , ""en"")"),"In Erzurum, the second overdose ratio appeared over 65%. Erzurum that enters the category of yellow provinces should raise the rate. The risk will be reduced as the vaccination rate increases.")</f>
        <v>In Erzurum, the second overdose ratio appeared over 65%. Erzurum that enters the category of yellow provinces should raise the rate. The risk will be reduced as the vaccination rate increases.</v>
      </c>
    </row>
    <row r="293" spans="1:5" ht="15.75" customHeight="1" x14ac:dyDescent="0.25">
      <c r="A293" s="1" t="s">
        <v>586</v>
      </c>
      <c r="B293" s="1">
        <v>4843</v>
      </c>
      <c r="C293" s="3">
        <v>44483.748715277776</v>
      </c>
      <c r="D293" s="1" t="s">
        <v>587</v>
      </c>
      <c r="E293" s="4" t="str">
        <f ca="1">IFERROR(__xludf.DUMMYFUNCTION("GOOGLETRANSLATE(A293 , ""tr"" , ""en"")"),"Our daily case count has been over 30 thousands for a while. If the conditions are considered, there is more likely to rise. We know the media where the mask is required, let's not remove the mask out of our lives. Let's pay attention to the social distan"&amp;"ce rule. Let's be our vaccinations. https://t.co/3IYQBB890")</f>
        <v>Our daily case count has been over 30 thousands for a while. If the conditions are considered, there is more likely to rise. We know the media where the mask is required, let's not remove the mask out of our lives. Let's pay attention to the social distance rule. Let's be our vaccinations. https://t.co/3IYQBB890</v>
      </c>
    </row>
    <row r="294" spans="1:5" ht="15.75" customHeight="1" x14ac:dyDescent="0.25">
      <c r="A294" s="1" t="s">
        <v>588</v>
      </c>
      <c r="B294" s="1">
        <v>8160</v>
      </c>
      <c r="C294" s="3">
        <v>44483.463865740741</v>
      </c>
      <c r="D294" s="1" t="s">
        <v>589</v>
      </c>
      <c r="E294" s="4" t="str">
        <f ca="1">IFERROR(__xludf.DUMMYFUNCTION("GOOGLETRANSLATE(A294 , ""tr"" , ""en"")"),"We provide the vitamin D is very large, we provide the result of direct contact with sun rays. The vitamin D is important for muscle and bone health also strengthens immunity. We had a long time off life. More sunlight comes well to our health. A little m"&amp;"ore sun? https://t.co/lg6v25vtka")</f>
        <v>We provide the vitamin D is very large, we provide the result of direct contact with sun rays. The vitamin D is important for muscle and bone health also strengthens immunity. We had a long time off life. More sunlight comes well to our health. A little more sun? https://t.co/lg6v25vtka</v>
      </c>
    </row>
    <row r="295" spans="1:5" ht="15.75" customHeight="1" x14ac:dyDescent="0.25">
      <c r="A295" s="1" t="s">
        <v>590</v>
      </c>
      <c r="B295" s="1">
        <v>8676</v>
      </c>
      <c r="C295" s="3">
        <v>44483.18178240741</v>
      </c>
      <c r="D295" s="1" t="s">
        <v>591</v>
      </c>
      <c r="E295" s="4" t="str">
        <f ca="1">IFERROR(__xludf.DUMMYFUNCTION("GOOGLETRANSLATE(A295 , ""tr"" , ""en"")"),"Good morning,
Are the bags ready?
Teenagers, have we made our breakfast?
My message to parents, children, universities:
Yesterday, the Science Board was collected. 40% of the active cases have shared the knowledge that there are 23 years of age. Let's be "&amp;"careful. Let's be our vaccines when we are 18 years old.")</f>
        <v>Good morning,
Are the bags ready?
Teenagers, have we made our breakfast?
My message to parents, children, universities:
Yesterday, the Science Board was collected. 40% of the active cases have shared the knowledge that there are 23 years of age. Let's be careful. Let's be our vaccines when we are 18 years old.</v>
      </c>
    </row>
    <row r="296" spans="1:5" ht="15.75" customHeight="1" x14ac:dyDescent="0.25">
      <c r="A296" s="1" t="s">
        <v>592</v>
      </c>
      <c r="B296" s="1">
        <v>3623</v>
      </c>
      <c r="C296" s="3">
        <v>44482.85083333333</v>
      </c>
      <c r="D296" s="1" t="s">
        <v>593</v>
      </c>
      <c r="E296" s="4" t="str">
        <f ca="1">IFERROR(__xludf.DUMMYFUNCTION("GOOGLETRANSLATE(A296 , ""tr"" , ""en"")"),"DO NOT WORRY. Our vaccine rate is rising, our provinces that have been blue are increasing. The full dose vaccine ensures that the disease is slightly in the event of your caught.
Concern. The mask users decreased, the society of tenderness is weak. There"&amp;" are a large number of people that are missing the vaccines yet.")</f>
        <v>DO NOT WORRY. Our vaccine rate is rising, our provinces that have been blue are increasing. The full dose vaccine ensures that the disease is slightly in the event of your caught.
Concern. The mask users decreased, the society of tenderness is weak. There are a large number of people that are missing the vaccines yet.</v>
      </c>
    </row>
    <row r="297" spans="1:5" ht="15.75" customHeight="1" x14ac:dyDescent="0.25">
      <c r="A297" s="1" t="s">
        <v>594</v>
      </c>
      <c r="B297" s="1">
        <v>4028</v>
      </c>
      <c r="C297" s="3">
        <v>44482.846354166664</v>
      </c>
      <c r="D297" s="1" t="s">
        <v>595</v>
      </c>
      <c r="E297" s="4" t="str">
        <f ca="1">IFERROR(__xludf.DUMMYFUNCTION("GOOGLETRANSLATE(A297 , ""tr"" , ""en"")"),"VIOLENCE! Most of the events are not reflected in the media. The white code application is referenced in very little situation. A statement that is not encountered in the world is often the news title: ""Violence in Health!"" We had a new example of a fam"&amp;"ily medicine in Sanliurfa. We never have tolerance. Will be done by!")</f>
        <v>VIOLENCE! Most of the events are not reflected in the media. The white code application is referenced in very little situation. A statement that is not encountered in the world is often the news title: "Violence in Health!" We had a new example of a family medicine in Sanliurfa. We never have tolerance. Will be done by!</v>
      </c>
    </row>
    <row r="298" spans="1:5" ht="15.75" customHeight="1" x14ac:dyDescent="0.25">
      <c r="A298" s="1" t="s">
        <v>596</v>
      </c>
      <c r="B298" s="1">
        <v>3702</v>
      </c>
      <c r="C298" s="3">
        <v>44482.833599537036</v>
      </c>
      <c r="D298" s="1" t="s">
        <v>597</v>
      </c>
      <c r="E298" s="4" t="str">
        <f ca="1">IFERROR(__xludf.DUMMYFUNCTION("GOOGLETRANSLATE(A298 , ""tr"" , ""en"")"),"Expected Development from Adiyaman!
We stepped over 65% at the second overdose rate. As we are in prepared yellow, let's raise the rate quickly.")</f>
        <v>Expected Development from Adiyaman!
We stepped over 65% at the second overdose rate. As we are in prepared yellow, let's raise the rate quickly.</v>
      </c>
    </row>
    <row r="299" spans="1:5" ht="15.75" customHeight="1" x14ac:dyDescent="0.25">
      <c r="A299" s="1" t="s">
        <v>598</v>
      </c>
      <c r="B299" s="1">
        <v>2517</v>
      </c>
      <c r="C299" s="3">
        <v>44482.828900462962</v>
      </c>
      <c r="D299" s="1" t="s">
        <v>599</v>
      </c>
      <c r="E299" s="4" t="str">
        <f ca="1">IFERROR(__xludf.DUMMYFUNCTION("GOOGLETRANSLATE(A299 , ""tr"" , ""en"")"),"Blue Çankırı: ""We have made our 2nd dose of 3 of all 4 people!""
The second overdose ratio must act all provinces below 75%. Common target with high vaccine rate, community immunity!")</f>
        <v>Blue Çankırı: "We have made our 2nd dose of 3 of all 4 people!"
The second overdose ratio must act all provinces below 75%. Common target with high vaccine rate, community immunity!</v>
      </c>
    </row>
    <row r="300" spans="1:5" ht="15.75" customHeight="1" x14ac:dyDescent="0.25">
      <c r="A300" s="1" t="s">
        <v>600</v>
      </c>
      <c r="B300" s="1">
        <v>3572</v>
      </c>
      <c r="C300" s="3">
        <v>44482.807233796295</v>
      </c>
      <c r="D300" s="1" t="s">
        <v>601</v>
      </c>
      <c r="E300" s="4" t="str">
        <f ca="1">IFERROR(__xludf.DUMMYFUNCTION("GOOGLETRANSLATE(A300 , ""tr"" , ""en"")"),"In order to use our own vaccine, there is a need to participate in TURKOVAC vaccine reminder dose. In the emergence of our own vaccination I also invite all of our volunteers to participate in our volunteers.
Application: https://t.co/e8uh4tln81 alo 184")</f>
        <v>In order to use our own vaccine, there is a need to participate in TURKOVAC vaccine reminder dose. In the emergence of our own vaccination I also invite all of our volunteers to participate in our volunteers.
Application: https://t.co/e8uh4tln81 alo 184</v>
      </c>
    </row>
    <row r="301" spans="1:5" ht="15.75" customHeight="1" x14ac:dyDescent="0.25">
      <c r="A301" s="1" t="s">
        <v>602</v>
      </c>
      <c r="B301" s="1">
        <v>2328</v>
      </c>
      <c r="C301" s="3">
        <v>44482.795671296299</v>
      </c>
      <c r="D301" s="1" t="s">
        <v>603</v>
      </c>
      <c r="E301" s="4" t="str">
        <f ca="1">IFERROR(__xludf.DUMMYFUNCTION("GOOGLETRANSLATE(A301 , ""tr"" , ""en"")"),"Our science assembly met the course of the outbreak, the effect of on young people, our vaccine program and our domestic vaccine to evaluate the current status of Turkovac. https://t.co/pwulwxjut0")</f>
        <v>Our science assembly met the course of the outbreak, the effect of on young people, our vaccine program and our domestic vaccine to evaluate the current status of Turkovac. https://t.co/pwulwxjut0</v>
      </c>
    </row>
    <row r="302" spans="1:5" ht="15.75" customHeight="1" x14ac:dyDescent="0.25">
      <c r="A302" s="1" t="s">
        <v>604</v>
      </c>
      <c r="B302" s="1">
        <v>5152</v>
      </c>
      <c r="C302" s="3">
        <v>44482.739074074074</v>
      </c>
      <c r="D302" s="1" t="s">
        <v>605</v>
      </c>
      <c r="E302" s="4" t="str">
        <f ca="1">IFERROR(__xludf.DUMMYFUNCTION("GOOGLETRANSLATE(A302 , ""tr"" , ""en"")"),"31,248 The person's Covid-19 test is positive. This number will most likely reflect on the number of passages in the coming days. Some people will need intense care that will spend the disease heavy. We know that the full dose of overdose prevents them gr"&amp;"eatly. It is witnessed that measures give results. https://t.co/fxgx3wnxep")</f>
        <v>31,248 The person's Covid-19 test is positive. This number will most likely reflect on the number of passages in the coming days. Some people will need intense care that will spend the disease heavy. We know that the full dose of overdose prevents them greatly. It is witnessed that measures give results. https://t.co/fxgx3wnxep</v>
      </c>
    </row>
    <row r="303" spans="1:5" ht="15.75" customHeight="1" x14ac:dyDescent="0.25">
      <c r="A303" s="1" t="s">
        <v>606</v>
      </c>
      <c r="B303" s="1">
        <v>7225</v>
      </c>
      <c r="C303" s="3">
        <v>44482.412129629629</v>
      </c>
      <c r="D303" s="1" t="s">
        <v>607</v>
      </c>
      <c r="E303" s="4" t="str">
        <f ca="1">IFERROR(__xludf.DUMMYFUNCTION("GOOGLETRANSLATE(A303 , ""tr"" , ""en"")"),"We are preparing to offer Turkovac to Turkey's service. Previously 2 dose of overdoses, Covid-19 has not been spent 18-59 years old everyone can support us! 3. The dose vaccine preference is free. But in Madem Vehicles Native Vaccine In Turkovac, we shoul"&amp;"d choose our at least 3,000 Turkovac! https://t.co/hubujj7xyr")</f>
        <v>We are preparing to offer Turkovac to Turkey's service. Previously 2 dose of overdoses, Covid-19 has not been spent 18-59 years old everyone can support us! 3. The dose vaccine preference is free. But in Madem Vehicles Native Vaccine In Turkovac, we should choose our at least 3,000 Turkovac! https://t.co/hubujj7xyr</v>
      </c>
    </row>
    <row r="304" spans="1:5" ht="15.75" customHeight="1" x14ac:dyDescent="0.25">
      <c r="A304" s="1" t="s">
        <v>608</v>
      </c>
      <c r="B304" s="1">
        <v>8259</v>
      </c>
      <c r="C304" s="3">
        <v>44482.224641203706</v>
      </c>
      <c r="D304" s="1" t="s">
        <v>609</v>
      </c>
      <c r="E304" s="4" t="str">
        <f ca="1">IFERROR(__xludf.DUMMYFUNCTION("GOOGLETRANSLATE(A304 , ""tr"" , ""en"")"),"Good morning,
I have examined the information belonging to Covid-19 patients who were held yesterday. The ratio of young people who have not been vaccinated increased in our patients. Those who have chronic disease are vaccinated, they can also be affecte"&amp;"d by the virus. Our young people should be vaccinated, our elders should be careful.")</f>
        <v>Good morning,
I have examined the information belonging to Covid-19 patients who were held yesterday. The ratio of young people who have not been vaccinated increased in our patients. Those who have chronic disease are vaccinated, they can also be affected by the virus. Our young people should be vaccinated, our elders should be careful.</v>
      </c>
    </row>
    <row r="305" spans="1:5" ht="15.75" customHeight="1" x14ac:dyDescent="0.25">
      <c r="A305" s="1" t="s">
        <v>610</v>
      </c>
      <c r="B305" s="1">
        <v>3173</v>
      </c>
      <c r="C305" s="3">
        <v>44481.821481481478</v>
      </c>
      <c r="D305" s="1" t="s">
        <v>611</v>
      </c>
      <c r="E305" s="4" t="str">
        <f ca="1">IFERROR(__xludf.DUMMYFUNCTION("GOOGLETRANSLATE(A305 , ""tr"" , ""en"")"),"We passed critical threshold in Mardin.
We are over 55% at the second overdose rate. While we had our place in the orange category, let us talk about us. If the question we are wondering about, let us ask our medical officers. The more we complete our vac"&amp;"cines, it will be in our favor.")</f>
        <v>We passed critical threshold in Mardin.
We are over 55% at the second overdose rate. While we had our place in the orange category, let us talk about us. If the question we are wondering about, let us ask our medical officers. The more we complete our vaccines, it will be in our favor.</v>
      </c>
    </row>
    <row r="306" spans="1:5" ht="15.75" customHeight="1" x14ac:dyDescent="0.25">
      <c r="A306" s="1" t="s">
        <v>612</v>
      </c>
      <c r="B306" s="1">
        <v>5020</v>
      </c>
      <c r="C306" s="3">
        <v>44481.791168981479</v>
      </c>
      <c r="D306" s="1" t="s">
        <v>613</v>
      </c>
      <c r="E306" s="4" t="str">
        <f ca="1">IFERROR(__xludf.DUMMYFUNCTION("GOOGLETRANSLATE(A306 , ""tr"" , ""en"")"),"Blue Samsun: ""We have made our overdose of all 4 people!""
The blue province has reached 28. 53 provinces left behind should move fast!")</f>
        <v>Blue Samsun: "We have made our overdose of all 4 people!"
The blue province has reached 28. 53 provinces left behind should move fast!</v>
      </c>
    </row>
    <row r="307" spans="1:5" ht="15.75" customHeight="1" x14ac:dyDescent="0.25">
      <c r="A307" s="1" t="s">
        <v>614</v>
      </c>
      <c r="B307" s="1">
        <v>6183</v>
      </c>
      <c r="C307" s="3">
        <v>44481.75371527778</v>
      </c>
      <c r="D307" s="1" t="s">
        <v>615</v>
      </c>
      <c r="E307" s="4" t="str">
        <f ca="1">IFERROR(__xludf.DUMMYFUNCTION("GOOGLETRANSLATE(A307 , ""tr"" , ""en"")"),"There is a stopness at the rate of vaccination in the last days. Could there be a hesitation on the vaccine of the case numbers in height? But remember that: Thanks to the vaccination of Covid-19, the number of skips like the flu are now competing with th"&amp;"em. Most of our losses, non-vaccines. https://t.co/g86g5rjbqn")</f>
        <v>There is a stopness at the rate of vaccination in the last days. Could there be a hesitation on the vaccine of the case numbers in height? But remember that: Thanks to the vaccination of Covid-19, the number of skips like the flu are now competing with them. Most of our losses, non-vaccines. https://t.co/g86g5rjbqn</v>
      </c>
    </row>
    <row r="308" spans="1:5" ht="15.75" customHeight="1" x14ac:dyDescent="0.25">
      <c r="A308" s="1" t="s">
        <v>616</v>
      </c>
      <c r="B308" s="1">
        <v>8477</v>
      </c>
      <c r="C308" s="3">
        <v>44481.291527777779</v>
      </c>
      <c r="D308" s="1" t="s">
        <v>617</v>
      </c>
      <c r="E308" s="4" t="str">
        <f ca="1">IFERROR(__xludf.DUMMYFUNCTION("GOOGLETRANSLATE(A308 , ""tr"" , ""en"")"),"There's a way all this experience shows. We should maintain our normal life, we only have to be careful. We have to do our vaccines. Rates are rising. A little more patience, post-victory!")</f>
        <v>There's a way all this experience shows. We should maintain our normal life, we only have to be careful. We have to do our vaccines. Rates are rising. A little more patience, post-victory!</v>
      </c>
    </row>
    <row r="309" spans="1:5" ht="15.75" customHeight="1" x14ac:dyDescent="0.25">
      <c r="A309" s="1" t="s">
        <v>618</v>
      </c>
      <c r="B309" s="1">
        <v>2893</v>
      </c>
      <c r="C309" s="3">
        <v>44480.806331018517</v>
      </c>
      <c r="D309" s="1" t="s">
        <v>619</v>
      </c>
      <c r="E309" s="4" t="str">
        <f ca="1">IFERROR(__xludf.DUMMYFUNCTION("GOOGLETRANSLATE(A309 , ""tr"" , ""en"")"),"In Bitlis, we are about half as vaccines in Bitlis. Let us talk about 55% and get the vaccination in the ready-made orange category. If the question we are wondering about, let us ask our medical officers. The more we complete our vaccines, it will be in "&amp;"our favor.")</f>
        <v>In Bitlis, we are about half as vaccines in Bitlis. Let us talk about 55% and get the vaccination in the ready-made orange category. If the question we are wondering about, let us ask our medical officers. The more we complete our vaccines, it will be in our favor.</v>
      </c>
    </row>
    <row r="310" spans="1:5" ht="15.75" customHeight="1" x14ac:dyDescent="0.25">
      <c r="A310" s="1" t="s">
        <v>620</v>
      </c>
      <c r="B310" s="1">
        <v>3615</v>
      </c>
      <c r="C310" s="3">
        <v>44480.789699074077</v>
      </c>
      <c r="D310" s="1" t="s">
        <v>621</v>
      </c>
      <c r="E310" s="4" t="str">
        <f ca="1">IFERROR(__xludf.DUMMYFUNCTION("GOOGLETRANSLATE(A310 , ""tr"" , ""en"")"),"75% in the order!
In Aksaray and Gümüşhane, the second overdose ratio has passed 65% today. The new goal of these two provinces in the yellow category are blue! Let's get the second overdose vaccines ever!")</f>
        <v>75% in the order!
In Aksaray and Gümüşhane, the second overdose ratio has passed 65% today. The new goal of these two provinces in the yellow category are blue! Let's get the second overdose vaccines ever!</v>
      </c>
    </row>
    <row r="311" spans="1:5" ht="15.75" customHeight="1" x14ac:dyDescent="0.25">
      <c r="A311" s="1" t="s">
        <v>622</v>
      </c>
      <c r="B311" s="1">
        <v>3088</v>
      </c>
      <c r="C311" s="3">
        <v>44480.741886574076</v>
      </c>
      <c r="D311" s="1" t="s">
        <v>623</v>
      </c>
      <c r="E311" s="4" t="str">
        <f ca="1">IFERROR(__xludf.DUMMYFUNCTION("GOOGLETRANSLATE(A311 , ""tr"" , ""en"")"),"İsmet We lost our teen-year-old brother. Was a versatile politician with education and Aydın ID in different fields. The enthusiastic speaking was added to its accumulation. Early death is also a discretion. May his family be right on the head of their fr"&amp;"iends. I wish herself mercy from Allah.")</f>
        <v>İsmet We lost our teen-year-old brother. Was a versatile politician with education and Aydın ID in different fields. The enthusiastic speaking was added to its accumulation. Early death is also a discretion. May his family be right on the head of their friends. I wish herself mercy from Allah.</v>
      </c>
    </row>
    <row r="312" spans="1:5" ht="15.75" customHeight="1" x14ac:dyDescent="0.25">
      <c r="A312" s="1" t="s">
        <v>624</v>
      </c>
      <c r="B312" s="1">
        <v>5064</v>
      </c>
      <c r="C312" s="3">
        <v>44480.716689814813</v>
      </c>
      <c r="D312" s="1" t="s">
        <v>625</v>
      </c>
      <c r="E312" s="4" t="str">
        <f ca="1">IFERROR(__xludf.DUMMYFUNCTION("GOOGLETRANSLATE(A312 , ""tr"" , ""en"")"),"Covid-19 was the question of how many life losses today was the question of these hours. Even if we do not recognize, we are not indifferent to the pain of our people, the sorrow we hear from the number of passages is separated from most society. This ten"&amp;"derness is a great force. Let's keep each other. https://t.co/i54Iexpnvc")</f>
        <v>Covid-19 was the question of how many life losses today was the question of these hours. Even if we do not recognize, we are not indifferent to the pain of our people, the sorrow we hear from the number of passages is separated from most society. This tenderness is a great force. Let's keep each other. https://t.co/i54Iexpnvc</v>
      </c>
    </row>
    <row r="313" spans="1:5" ht="15.75" customHeight="1" x14ac:dyDescent="0.25">
      <c r="A313" s="1" t="s">
        <v>626</v>
      </c>
      <c r="B313" s="1">
        <v>0</v>
      </c>
      <c r="C313" s="3">
        <v>44480.684155092589</v>
      </c>
      <c r="D313" s="1" t="s">
        <v>627</v>
      </c>
      <c r="E313" s="4" t="str">
        <f ca="1">IFERROR(__xludf.DUMMYFUNCTION("GOOGLETRANSLATE(A313 , ""tr"" , ""en"")"),"RT @rterdogan: Shouting the Nation After Cabinet Meeting https://t.co/jyngjf6d6x")</f>
        <v>RT @rterdogan: Shouting the Nation After Cabinet Meeting https://t.co/jyngjf6d6x</v>
      </c>
    </row>
    <row r="314" spans="1:5" ht="15.75" customHeight="1" x14ac:dyDescent="0.25">
      <c r="A314" s="1" t="s">
        <v>628</v>
      </c>
      <c r="B314" s="1">
        <v>10134</v>
      </c>
      <c r="C314" s="3">
        <v>44480.512280092589</v>
      </c>
      <c r="D314" s="1" t="s">
        <v>629</v>
      </c>
      <c r="E314" s="4" t="str">
        <f ca="1">IFERROR(__xludf.DUMMYFUNCTION("GOOGLETRANSLATE(A314 , ""tr"" , ""en"")"),"On the day of the World Girls, we are kissing each of our girls on their eyes. The future is in the eyes! Happy one's day. https://t.co/zksoa21erk")</f>
        <v>On the day of the World Girls, we are kissing each of our girls on their eyes. The future is in the eyes! Happy one's day. https://t.co/zksoa21erk</v>
      </c>
    </row>
    <row r="315" spans="1:5" ht="15.75" customHeight="1" x14ac:dyDescent="0.25">
      <c r="A315" s="1" t="s">
        <v>630</v>
      </c>
      <c r="B315" s="1">
        <v>12036</v>
      </c>
      <c r="C315" s="3">
        <v>44480.206087962964</v>
      </c>
      <c r="D315" s="1" t="s">
        <v>631</v>
      </c>
      <c r="E315" s="4" t="str">
        <f ca="1">IFERROR(__xludf.DUMMYFUNCTION("GOOGLETRANSLATE(A315 , ""tr"" , ""en"")"),"I don't have a gram of grams, I have no right to tire a gram. If you, I know you're even tired of alerts anymore. You are right. At the end of the day all concerns will be replaced by health. Be sure. And do not ignore the terms. This is enough. We will c"&amp;"ontinue to do the struggle's need to do")</f>
        <v>I don't have a gram of grams, I have no right to tire a gram. If you, I know you're even tired of alerts anymore. You are right. At the end of the day all concerns will be replaced by health. Be sure. And do not ignore the terms. This is enough. We will continue to do the struggle's need to do</v>
      </c>
    </row>
    <row r="316" spans="1:5" ht="15.75" customHeight="1" x14ac:dyDescent="0.25">
      <c r="A316" s="1" t="s">
        <v>632</v>
      </c>
      <c r="B316" s="1">
        <v>4897</v>
      </c>
      <c r="C316" s="3">
        <v>44479.871331018519</v>
      </c>
      <c r="D316" s="1" t="s">
        <v>633</v>
      </c>
      <c r="E316" s="4" t="str">
        <f ca="1">IFERROR(__xludf.DUMMYFUNCTION("GOOGLETRANSLATE(A316 , ""tr"" , ""en"")"),"Our two valential police fell martyr in the Archyme organization in the Armored vehicle in the Euphrates Shield Operation area. I wish the police siblings from Allah to the mercy, their families and safety organizations. The martyrs of the authority of pa"&amp;"radise are the place of hearts in the hearts. https://t.co/og5xlfp7lj")</f>
        <v>Our two valential police fell martyr in the Archyme organization in the Armored vehicle in the Euphrates Shield Operation area. I wish the police siblings from Allah to the mercy, their families and safety organizations. The martyrs of the authority of paradise are the place of hearts in the hearts. https://t.co/og5xlfp7lj</v>
      </c>
    </row>
    <row r="317" spans="1:5" ht="15.75" customHeight="1" x14ac:dyDescent="0.25">
      <c r="A317" s="1" t="s">
        <v>634</v>
      </c>
      <c r="B317" s="1">
        <v>3436</v>
      </c>
      <c r="C317" s="3">
        <v>44479.860960648148</v>
      </c>
      <c r="D317" s="1" t="s">
        <v>635</v>
      </c>
      <c r="E317" s="4" t="str">
        <f ca="1">IFERROR(__xludf.DUMMYFUNCTION("GOOGLETRANSLATE(A317 , ""tr"" , ""en"")"),"Congratulations Anil, Congratulations Resul, Congratulations Hami, Congratulations Birkan ... Congratulations and applause Size Sendromy Futsal National Team. In the European Championship final, we thank you for the 6 goals you have taken to Portugal Cast"&amp;"le and the mug that you have gained to us. We're always with you! https://t.co/tp3cqlysre")</f>
        <v>Congratulations Anil, Congratulations Resul, Congratulations Hami, Congratulations Birkan ... Congratulations and applause Size Sendromy Futsal National Team. In the European Championship final, we thank you for the 6 goals you have taken to Portugal Castle and the mug that you have gained to us. We're always with you! https://t.co/tp3cqlysre</v>
      </c>
    </row>
    <row r="318" spans="1:5" ht="15.75" customHeight="1" x14ac:dyDescent="0.25">
      <c r="A318" s="1" t="s">
        <v>636</v>
      </c>
      <c r="B318" s="1">
        <v>7119</v>
      </c>
      <c r="C318" s="3">
        <v>44479.840879629628</v>
      </c>
      <c r="D318" s="1" t="s">
        <v>637</v>
      </c>
      <c r="E318" s="4" t="str">
        <f ca="1">IFERROR(__xludf.DUMMYFUNCTION("GOOGLETRANSLATE(A318 , ""tr"" , ""en"")"),"What do you think of 4, 3, 2?
""We've made our 2 dose of overdose in all 4 people!"" means.
The number of these provinces should be moving 54 provinces in the 27th behind as of today!")</f>
        <v>What do you think of 4, 3, 2?
"We've made our 2 dose of overdose in all 4 people!" means.
The number of these provinces should be moving 54 provinces in the 27th behind as of today!</v>
      </c>
    </row>
    <row r="319" spans="1:5" ht="15.75" customHeight="1" x14ac:dyDescent="0.25">
      <c r="A319" s="1" t="s">
        <v>638</v>
      </c>
      <c r="B319" s="1">
        <v>13603</v>
      </c>
      <c r="C319" s="3">
        <v>44479.824918981481</v>
      </c>
      <c r="D319" s="1" t="s">
        <v>639</v>
      </c>
      <c r="E319" s="4" t="str">
        <f ca="1">IFERROR(__xludf.DUMMYFUNCTION("GOOGLETRANSLATE(A319 , ""tr"" , ""en"")"),"What do you think of 4, 3, 2?")</f>
        <v>What do you think of 4, 3, 2?</v>
      </c>
    </row>
    <row r="320" spans="1:5" ht="15.75" customHeight="1" x14ac:dyDescent="0.25">
      <c r="A320" s="1" t="s">
        <v>640</v>
      </c>
      <c r="B320" s="1">
        <v>3962</v>
      </c>
      <c r="C320" s="3">
        <v>44479.816041666665</v>
      </c>
      <c r="D320" s="1" t="s">
        <v>641</v>
      </c>
      <c r="E320" s="4" t="str">
        <f ca="1">IFERROR(__xludf.DUMMYFUNCTION("GOOGLETRANSLATE(A320 , ""tr"" , ""en"")"),"We are being stronger against Covid-19.
The second overdose ratio has passed 75% in Kastamonu today. Our number of blue provinces 27. For community immunity, all provinces, let's compete at the second overdose rate!")</f>
        <v>We are being stronger against Covid-19.
The second overdose ratio has passed 75% in Kastamonu today. Our number of blue provinces 27. For community immunity, all provinces, let's compete at the second overdose rate!</v>
      </c>
    </row>
    <row r="321" spans="1:5" ht="15.75" customHeight="1" x14ac:dyDescent="0.25">
      <c r="A321" s="1" t="s">
        <v>642</v>
      </c>
      <c r="B321" s="1">
        <v>5971</v>
      </c>
      <c r="C321" s="3">
        <v>44479.730983796297</v>
      </c>
      <c r="D321" s="1" t="s">
        <v>643</v>
      </c>
      <c r="E321" s="4" t="str">
        <f ca="1">IFERROR(__xludf.DUMMYFUNCTION("GOOGLETRANSLATE(A321 , ""tr"" , ""en"")"),"""Why are the case numbers high in spite of the vaccine?"" Let's look at today's number: 28.370. The number of hospitals by Covid-19 is 1.283. We are not yet in phase of community immunity. We see the outcome of the vaccine in a slight period of the disea"&amp;"se. Number of cases? The vaccine is increasing but the measure is reduced! https://t.co/uwtzklf9km")</f>
        <v>"Why are the case numbers high in spite of the vaccine?" Let's look at today's number: 28.370. The number of hospitals by Covid-19 is 1.283. We are not yet in phase of community immunity. We see the outcome of the vaccine in a slight period of the disease. Number of cases? The vaccine is increasing but the measure is reduced! https://t.co/uwtzklf9km</v>
      </c>
    </row>
    <row r="322" spans="1:5" ht="15.75" customHeight="1" x14ac:dyDescent="0.25">
      <c r="A322" s="1" t="s">
        <v>644</v>
      </c>
      <c r="B322" s="1">
        <v>5692</v>
      </c>
      <c r="C322" s="3">
        <v>44478.745856481481</v>
      </c>
      <c r="D322" s="1" t="s">
        <v>645</v>
      </c>
      <c r="E322" s="4" t="str">
        <f ca="1">IFERROR(__xludf.DUMMYFUNCTION("GOOGLETRANSLATE(A322 , ""tr"" , ""en"")"),"The only change is in Siirt!
The second overdose exceeded 55% in the ratio of red, as it is to go to orange, as it is almost to blue. Thank you siirt!")</f>
        <v>The only change is in Siirt!
The second overdose exceeded 55% in the ratio of red, as it is to go to orange, as it is almost to blue. Thank you siirt!</v>
      </c>
    </row>
    <row r="323" spans="1:5" ht="15.75" customHeight="1" x14ac:dyDescent="0.25">
      <c r="A323" s="1" t="s">
        <v>646</v>
      </c>
      <c r="B323" s="1">
        <v>7216</v>
      </c>
      <c r="C323" s="3">
        <v>44478.675347222219</v>
      </c>
      <c r="D323" s="1" t="s">
        <v>647</v>
      </c>
      <c r="E323" s="4" t="str">
        <f ca="1">IFERROR(__xludf.DUMMYFUNCTION("GOOGLETRANSLATE(A323 , ""tr"" , ""en"")"),"Teenagers, show us the way out of the output! In new cases, you create the highest rate. It's easy to infect without noticing the illness! You are the most hearing of the days without Covid. With your vaccination, if you are an example of us with your dai"&amp;"ly life ... The following table varies! https://t.co/3wlaepdrvo")</f>
        <v>Teenagers, show us the way out of the output! In new cases, you create the highest rate. It's easy to infect without noticing the illness! You are the most hearing of the days without Covid. With your vaccination, if you are an example of us with your daily life ... The following table varies! https://t.co/3wlaepdrvo</v>
      </c>
    </row>
    <row r="324" spans="1:5" ht="15.75" customHeight="1" x14ac:dyDescent="0.25">
      <c r="A324" s="1" t="s">
        <v>648</v>
      </c>
      <c r="B324" s="1">
        <v>2286</v>
      </c>
      <c r="C324" s="3">
        <v>44478.5780787037</v>
      </c>
      <c r="D324" s="1" t="s">
        <v>649</v>
      </c>
      <c r="E324" s="4" t="str">
        <f ca="1">IFERROR(__xludf.DUMMYFUNCTION("GOOGLETRANSLATE(A324 , ""tr"" , ""en"")"),"September 1-October 1, Case Density Between the previous week of the previous week: Bursa, Balıkesir, Uşak, Kirklareli, Sakarya, Ardahan, Edirne, Mersin, Denizli, Samsun. If you are in one of these provinces you should be even more careful now. https://t."&amp;"co/mquxhjl8fw")</f>
        <v>September 1-October 1, Case Density Between the previous week of the previous week: Bursa, Balıkesir, Uşak, Kirklareli, Sakarya, Ardahan, Edirne, Mersin, Denizli, Samsun. If you are in one of these provinces you should be even more careful now. https://t.co/mquxhjl8fw</v>
      </c>
    </row>
    <row r="325" spans="1:5" ht="15.75" customHeight="1" x14ac:dyDescent="0.25">
      <c r="A325" s="1" t="s">
        <v>650</v>
      </c>
      <c r="B325" s="1">
        <v>3587</v>
      </c>
      <c r="C325" s="3">
        <v>44478.574953703705</v>
      </c>
      <c r="D325" s="1" t="s">
        <v>651</v>
      </c>
      <c r="E325" s="4" t="str">
        <f ca="1">IFERROR(__xludf.DUMMYFUNCTION("GOOGLETRANSLATE(A325 , ""tr"" , ""en"")"),"From September 1-October 1, what was the total number of new Covid-19 cases in 100,000 people in 100,000 people? You can learn the situation in the province where you are experiencing, from our weekly incidence map. https://t.co/mjrdaa6hgn")</f>
        <v>From September 1-October 1, what was the total number of new Covid-19 cases in 100,000 people in 100,000 people? You can learn the situation in the province where you are experiencing, from our weekly incidence map. https://t.co/mjrdaa6hgn</v>
      </c>
    </row>
    <row r="326" spans="1:5" ht="15.75" customHeight="1" x14ac:dyDescent="0.25">
      <c r="A326" s="1" t="s">
        <v>652</v>
      </c>
      <c r="B326" s="1">
        <v>6708</v>
      </c>
      <c r="C326" s="3">
        <v>44477.845868055556</v>
      </c>
      <c r="D326" s="1" t="s">
        <v>653</v>
      </c>
      <c r="E326" s="4" t="str">
        <f ca="1">IFERROR(__xludf.DUMMYFUNCTION("GOOGLETRANSLATE(A326 , ""tr"" , ""en"")"),"Be your vaccine, take your measure. We overcome Covid-19 with our health workers and scientists. If this is not done, who is ill, most of us have to live in this struggle as the victim of epidemic conditions. Don't drive like that. Let's change this life.")</f>
        <v>Be your vaccine, take your measure. We overcome Covid-19 with our health workers and scientists. If this is not done, who is ill, most of us have to live in this struggle as the victim of epidemic conditions. Don't drive like that. Let's change this life.</v>
      </c>
    </row>
    <row r="327" spans="1:5" ht="15.75" customHeight="1" x14ac:dyDescent="0.25">
      <c r="A327" s="1" t="s">
        <v>654</v>
      </c>
      <c r="B327" s="1">
        <v>3166</v>
      </c>
      <c r="C327" s="3">
        <v>44477.802372685182</v>
      </c>
      <c r="D327" s="1" t="s">
        <v>655</v>
      </c>
      <c r="E327" s="4" t="str">
        <f ca="1">IFERROR(__xludf.DUMMYFUNCTION("GOOGLETRANSLATE(A327 , ""tr"" , ""en"")"),"Hakkâri's new goal is blue!
The second overdose rate is over 65% today. According to this rate, the color on the map is yellow. Against Covid-19, Hakkâri are waiting for all Turkey to give the blue news")</f>
        <v>Hakkâri's new goal is blue!
The second overdose rate is over 65% today. According to this rate, the color on the map is yellow. Against Covid-19, Hakkâri are waiting for all Turkey to give the blue news</v>
      </c>
    </row>
    <row r="328" spans="1:5" ht="15.75" customHeight="1" x14ac:dyDescent="0.25">
      <c r="A328" s="1" t="s">
        <v>656</v>
      </c>
      <c r="B328" s="1">
        <v>4544</v>
      </c>
      <c r="C328" s="3">
        <v>44477.796539351853</v>
      </c>
      <c r="D328" s="1" t="s">
        <v>657</v>
      </c>
      <c r="E328" s="4" t="str">
        <f ca="1">IFERROR(__xludf.DUMMYFUNCTION("GOOGLETRANSLATE(A328 , ""tr"" , ""en"")"),"We are being stronger against Covid-19.
The second overdose ratio has passed 75% in Mersin today. Our number of blue provinces 26. For community immunity, all provinces, let's compete at the second overdose!")</f>
        <v>We are being stronger against Covid-19.
The second overdose ratio has passed 75% in Mersin today. Our number of blue provinces 26. For community immunity, all provinces, let's compete at the second overdose!</v>
      </c>
    </row>
    <row r="329" spans="1:5" ht="15.75" customHeight="1" x14ac:dyDescent="0.25">
      <c r="A329" s="1" t="s">
        <v>658</v>
      </c>
      <c r="B329" s="1">
        <v>4757</v>
      </c>
      <c r="C329" s="3">
        <v>44477.708287037036</v>
      </c>
      <c r="D329" s="1" t="s">
        <v>659</v>
      </c>
      <c r="E329" s="4" t="str">
        <f ca="1">IFERROR(__xludf.DUMMYFUNCTION("GOOGLETRANSLATE(A329 , ""tr"" , ""en"")"),"We don't want your main agenda to be epidemic. The task of focusing on the topic is ours. To keep your usual life, you are guarding yourself by treating it. As vaccinations, speed up the process of community immunity. This table shows our serious neglects"&amp;". https://t.co/1yeybv4hwq")</f>
        <v>We don't want your main agenda to be epidemic. The task of focusing on the topic is ours. To keep your usual life, you are guarding yourself by treating it. As vaccinations, speed up the process of community immunity. This table shows our serious neglects. https://t.co/1yeybv4hwq</v>
      </c>
    </row>
    <row r="330" spans="1:5" ht="15.75" customHeight="1" x14ac:dyDescent="0.25">
      <c r="A330" s="1" t="s">
        <v>660</v>
      </c>
      <c r="B330" s="1">
        <v>5270</v>
      </c>
      <c r="C330" s="3">
        <v>44476.758692129632</v>
      </c>
      <c r="D330" s="1" t="s">
        <v>661</v>
      </c>
      <c r="E330" s="4" t="str">
        <f ca="1">IFERROR(__xludf.DUMMYFUNCTION("GOOGLETRANSLATE(A330 , ""tr"" , ""en"")"),"Yesterday 236, today 217 ... every day, many different life stories are ending. Let's be sensitive to Covid-19 welded, preventable causes. Measures and protect our own lives and others as our vaccination.")</f>
        <v>Yesterday 236, today 217 ... every day, many different life stories are ending. Let's be sensitive to Covid-19 welded, preventable causes. Measures and protect our own lives and others as our vaccination.</v>
      </c>
    </row>
    <row r="331" spans="1:5" ht="15.75" customHeight="1" x14ac:dyDescent="0.25">
      <c r="A331" s="1" t="s">
        <v>662</v>
      </c>
      <c r="B331" s="1">
        <v>2508</v>
      </c>
      <c r="C331" s="3">
        <v>44476.746412037035</v>
      </c>
      <c r="D331" s="1" t="s">
        <v>663</v>
      </c>
      <c r="E331" s="4" t="str">
        <f ca="1">IFERROR(__xludf.DUMMYFUNCTION("GOOGLETRANSLATE(A331 , ""tr"" , ""en"")"),"We are being stronger against Covid-19. Our number of blue provinces reached 25! https://t.co/ufmdys6tbe")</f>
        <v>We are being stronger against Covid-19. Our number of blue provinces reached 25! https://t.co/ufmdys6tbe</v>
      </c>
    </row>
    <row r="332" spans="1:5" ht="15.75" customHeight="1" x14ac:dyDescent="0.25">
      <c r="A332" s="1" t="s">
        <v>664</v>
      </c>
      <c r="B332" s="1">
        <v>4289</v>
      </c>
      <c r="C332" s="3">
        <v>44476.740613425929</v>
      </c>
      <c r="D332" s="1" t="s">
        <v>665</v>
      </c>
      <c r="E332" s="4" t="str">
        <f ca="1">IFERROR(__xludf.DUMMYFUNCTION("GOOGLETRANSLATE(A332 , ""tr"" , ""en"")"),"We are being stronger against Covid-19.
The second overdose ratio has passed 75% in Ankara today. Our number of blue provinces 25. For community immunity, 81 provinces, let's compete at the second overdose rate!")</f>
        <v>We are being stronger against Covid-19.
The second overdose ratio has passed 75% in Ankara today. Our number of blue provinces 25. For community immunity, 81 provinces, let's compete at the second overdose rate!</v>
      </c>
    </row>
    <row r="333" spans="1:5" ht="15.75" customHeight="1" x14ac:dyDescent="0.25">
      <c r="A333" s="1" t="s">
        <v>666</v>
      </c>
      <c r="B333" s="1">
        <v>2253</v>
      </c>
      <c r="C333" s="3">
        <v>44476.714849537035</v>
      </c>
      <c r="D333" s="1" t="s">
        <v>667</v>
      </c>
      <c r="E333" s="4" t="str">
        <f ca="1">IFERROR(__xludf.DUMMYFUNCTION("GOOGLETRANSLATE(A333 , ""tr"" , ""en"")"),"We are next 7th among the most vaccine countries against Covid-19! There are many reasons for this success. One of them is the sincere and unique effort of our health workers. Watch the video you will better understand that. https://t.co/vqweiuhj1u")</f>
        <v>We are next 7th among the most vaccine countries against Covid-19! There are many reasons for this success. One of them is the sincere and unique effort of our health workers. Watch the video you will better understand that. https://t.co/vqweiuhj1u</v>
      </c>
    </row>
    <row r="334" spans="1:5" ht="15.75" customHeight="1" x14ac:dyDescent="0.25">
      <c r="A334" s="1" t="s">
        <v>668</v>
      </c>
      <c r="B334" s="1">
        <v>3892</v>
      </c>
      <c r="C334" s="3">
        <v>44476.703946759262</v>
      </c>
      <c r="D334" s="1" t="s">
        <v>669</v>
      </c>
      <c r="E334" s="4" t="str">
        <f ca="1">IFERROR(__xludf.DUMMYFUNCTION("GOOGLETRANSLATE(A334 , ""tr"" , ""en"")"),"Understand the number of 217? We give new losses every day. A grandmother who has not been shared to whom grandchildren, a father who has dreams for whom to his family is a mother waiting for whom. The numbers in the tables I wish it could be felt enough."&amp;" Let's understand each other and be in solidarity. https://t.co/qhmnuzgmfd")</f>
        <v>Understand the number of 217? We give new losses every day. A grandmother who has not been shared to whom grandchildren, a father who has dreams for whom to his family is a mother waiting for whom. The numbers in the tables I wish it could be felt enough. Let's understand each other and be in solidarity. https://t.co/qhmnuzgmfd</v>
      </c>
    </row>
    <row r="335" spans="1:5" ht="15.75" customHeight="1" x14ac:dyDescent="0.25">
      <c r="A335" s="1" t="s">
        <v>670</v>
      </c>
      <c r="B335" s="1">
        <v>3208</v>
      </c>
      <c r="C335" s="3">
        <v>44476.595902777779</v>
      </c>
      <c r="D335" s="1" t="s">
        <v>671</v>
      </c>
      <c r="E335" s="4" t="str">
        <f ca="1">IFERROR(__xludf.DUMMYFUNCTION("GOOGLETRANSLATE(A335 , ""tr"" , ""en"")"),"Our nation's heroes of the hero samsunlu siblings in Tayfun Özköse, in Syria's El Bab region, today, the traitor of the terrorist's organization fell as a result of the traitor attack. Mercy from Allah to our martyr; We wish our family, heroery and condol"&amp;"ences to our country. May the homeland be right! https://t.co/vgax4bywxl")</f>
        <v>Our nation's heroes of the hero samsunlu siblings in Tayfun Özköse, in Syria's El Bab region, today, the traitor of the terrorist's organization fell as a result of the traitor attack. Mercy from Allah to our martyr; We wish our family, heroery and condolences to our country. May the homeland be right! https://t.co/vgax4bywxl</v>
      </c>
    </row>
    <row r="336" spans="1:5" ht="15.75" customHeight="1" x14ac:dyDescent="0.25">
      <c r="A336" s="1" t="s">
        <v>672</v>
      </c>
      <c r="B336" s="1">
        <v>4529</v>
      </c>
      <c r="C336" s="3">
        <v>44476.587372685186</v>
      </c>
      <c r="D336" s="1" t="s">
        <v>673</v>
      </c>
      <c r="E336" s="4" t="str">
        <f ca="1">IFERROR(__xludf.DUMMYFUNCTION("GOOGLETRANSLATE(A336 , ""tr"" , ""en"")"),"The fact that the case numbers are on a daily band of 28-30 thousand, approximate active 300 thousand cases for ten days time zone. We must be aware that this situation is a critical burden. The number is too high, even if the health system is not forced "&amp;"because people are young.")</f>
        <v>The fact that the case numbers are on a daily band of 28-30 thousand, approximate active 300 thousand cases for ten days time zone. We must be aware that this situation is a critical burden. The number is too high, even if the health system is not forced because people are young.</v>
      </c>
    </row>
    <row r="337" spans="1:5" ht="15.75" customHeight="1" x14ac:dyDescent="0.25">
      <c r="A337" s="1" t="s">
        <v>674</v>
      </c>
      <c r="B337" s="1">
        <v>4772</v>
      </c>
      <c r="C337" s="3">
        <v>44476.583645833336</v>
      </c>
      <c r="D337" s="1" t="s">
        <v>675</v>
      </c>
      <c r="E337" s="4" t="str">
        <f ca="1">IFERROR(__xludf.DUMMYFUNCTION("GOOGLETRANSLATE(A337 , ""tr"" , ""en"")"),"2 We think that our citizens, which are MRNA vaccine, and the protection of the vaccine is still continuing. There is no case that requires the overdose for the moment. If the inactive vaccines we insist on having to do overdose vaccines.")</f>
        <v>2 We think that our citizens, which are MRNA vaccine, and the protection of the vaccine is still continuing. There is no case that requires the overdose for the moment. If the inactive vaccines we insist on having to do overdose vaccines.</v>
      </c>
    </row>
    <row r="338" spans="1:5" ht="15.75" customHeight="1" x14ac:dyDescent="0.25">
      <c r="A338" s="1" t="s">
        <v>676</v>
      </c>
      <c r="B338" s="1">
        <v>3396</v>
      </c>
      <c r="C338" s="3">
        <v>44475.828090277777</v>
      </c>
      <c r="D338" s="1" t="s">
        <v>677</v>
      </c>
      <c r="E338" s="4" t="str">
        <f ca="1">IFERROR(__xludf.DUMMYFUNCTION("GOOGLETRANSLATE(A338 , ""tr"" , ""en"")"),"The second overdose against Covid-19 has passed 65% in Sakarya today. Sakarya's color on the map is now yellow. Let us all compete to overcome 75% at the second overdose rate for the results of all of us!")</f>
        <v>The second overdose against Covid-19 has passed 65% in Sakarya today. Sakarya's color on the map is now yellow. Let us all compete to overcome 75% at the second overdose rate for the results of all of us!</v>
      </c>
    </row>
    <row r="339" spans="1:5" ht="15.75" customHeight="1" x14ac:dyDescent="0.25">
      <c r="A339" s="1" t="s">
        <v>678</v>
      </c>
      <c r="B339" s="1">
        <v>4217</v>
      </c>
      <c r="C339" s="3">
        <v>44475.822268518517</v>
      </c>
      <c r="D339" s="1" t="s">
        <v>679</v>
      </c>
      <c r="E339" s="4" t="str">
        <f ca="1">IFERROR(__xludf.DUMMYFUNCTION("GOOGLETRANSLATE(A339 , ""tr"" , ""en"")"),"The second overdose rate against Covid-19 has passed 75% in the Uşak. Thus, the number of blue provinces reached 24. Let us all compete in the second overdose rate for the results of all of us!")</f>
        <v>The second overdose rate against Covid-19 has passed 75% in the Uşak. Thus, the number of blue provinces reached 24. Let us all compete in the second overdose rate for the results of all of us!</v>
      </c>
    </row>
    <row r="340" spans="1:5" ht="15.75" customHeight="1" x14ac:dyDescent="0.25">
      <c r="A340" s="1" t="s">
        <v>680</v>
      </c>
      <c r="B340" s="1">
        <v>8522</v>
      </c>
      <c r="C340" s="3">
        <v>44475.810023148151</v>
      </c>
      <c r="D340" s="1" t="s">
        <v>681</v>
      </c>
      <c r="E340" s="4" t="str">
        <f ca="1">IFERROR(__xludf.DUMMYFUNCTION("GOOGLETRANSLATE(A340 , ""tr"" , ""en"")"),"More than 50% of active cases are currently under 30 years. Although the rate in young people increases, this is not reflected in hospitalization and intensive care entries. However, our young people are an effective factor in transporting families to fam"&amp;"ilies to our elders with high.")</f>
        <v>More than 50% of active cases are currently under 30 years. Although the rate in young people increases, this is not reflected in hospitalization and intensive care entries. However, our young people are an effective factor in transporting families to families to our elders with high.</v>
      </c>
    </row>
    <row r="341" spans="1:5" ht="15.75" customHeight="1" x14ac:dyDescent="0.25">
      <c r="A341" s="1" t="s">
        <v>682</v>
      </c>
      <c r="B341" s="1">
        <v>2647</v>
      </c>
      <c r="C341" s="3">
        <v>44475.691805555558</v>
      </c>
      <c r="D341" s="1" t="s">
        <v>683</v>
      </c>
      <c r="E341" s="4" t="str">
        <f ca="1">IFERROR(__xludf.DUMMYFUNCTION("GOOGLETRANSLATE(A341 , ""tr"" , ""en"")"),"The fact that the case numbers are on a daily band of 28-30 thousand, approximate active 300 thousand cases for ten days time zone. https://t.co/vgj834nn0h")</f>
        <v>The fact that the case numbers are on a daily band of 28-30 thousand, approximate active 300 thousand cases for ten days time zone. https://t.co/vgj834nn0h</v>
      </c>
    </row>
    <row r="342" spans="1:5" ht="15.75" customHeight="1" x14ac:dyDescent="0.25">
      <c r="A342" s="1" t="s">
        <v>684</v>
      </c>
      <c r="B342" s="1">
        <v>5807</v>
      </c>
      <c r="C342" s="3">
        <v>44475.689120370371</v>
      </c>
      <c r="D342" s="1" t="s">
        <v>685</v>
      </c>
      <c r="E342" s="4" t="str">
        <f ca="1">IFERROR(__xludf.DUMMYFUNCTION("GOOGLETRANSLATE(A342 , ""tr"" , ""en"")"),"Why don't the case numbers fall? All three of the reasons: Social mobility has increased very much. Outside, common places are not given significance, and the disease spread environments are too much. We have not yet provided community immunity. What shou"&amp;"ld we do? We must comply with the measures, we must complete our vaccines. https://t.co/cyozsypxxw")</f>
        <v>Why don't the case numbers fall? All three of the reasons: Social mobility has increased very much. Outside, common places are not given significance, and the disease spread environments are too much. We have not yet provided community immunity. What should we do? We must comply with the measures, we must complete our vaccines. https://t.co/cyozsypxxw</v>
      </c>
    </row>
    <row r="343" spans="1:5" ht="15.75" customHeight="1" x14ac:dyDescent="0.25">
      <c r="A343" s="1" t="s">
        <v>686</v>
      </c>
      <c r="B343" s="1">
        <v>2863</v>
      </c>
      <c r="C343" s="3">
        <v>44475.611435185187</v>
      </c>
      <c r="D343" s="1" t="s">
        <v>687</v>
      </c>
      <c r="E343" s="4" t="str">
        <f ca="1">IFERROR(__xludf.DUMMYFUNCTION("GOOGLETRANSLATE(A343 , ""tr"" , ""en"")"),"4 years 10 months 23 days! It is probably not as long as the days of Istanbul is under occupation of our nation in our history. The eye baby of our civilization has been saved on 6 October 1923 from the occupation after the first world war. Happy 6th Octo"&amp;"ber, like Istanbul! https://t.co/vu7wmhqkv0")</f>
        <v>4 years 10 months 23 days! It is probably not as long as the days of Istanbul is under occupation of our nation in our history. The eye baby of our civilization has been saved on 6 October 1923 from the occupation after the first world war. Happy 6th October, like Istanbul! https://t.co/vu7wmhqkv0</v>
      </c>
    </row>
    <row r="344" spans="1:5" ht="15.75" customHeight="1" x14ac:dyDescent="0.25">
      <c r="A344" s="1" t="s">
        <v>688</v>
      </c>
      <c r="B344" s="1">
        <v>2939</v>
      </c>
      <c r="C344" s="3">
        <v>44475.599444444444</v>
      </c>
      <c r="D344" s="1" t="s">
        <v>689</v>
      </c>
      <c r="E344" s="4" t="str">
        <f ca="1">IFERROR(__xludf.DUMMYFUNCTION("GOOGLETRANSLATE(A344 , ""tr"" , ""en"")"),"Some of our children are born with a permanent brain disease we call a cerebral palsy and are involved in difficulties, obstacles. This is a supreme assignment for our children to reach the best possible quality of life. Let's do our best to increase soci"&amp;"al awareness. https://t.co/uhyadCRXII")</f>
        <v>Some of our children are born with a permanent brain disease we call a cerebral palsy and are involved in difficulties, obstacles. This is a supreme assignment for our children to reach the best possible quality of life. Let's do our best to increase social awareness. https://t.co/uhyadCRXII</v>
      </c>
    </row>
    <row r="345" spans="1:5" ht="15.75" customHeight="1" x14ac:dyDescent="0.25">
      <c r="A345" s="1" t="s">
        <v>690</v>
      </c>
      <c r="B345" s="1">
        <v>3477</v>
      </c>
      <c r="C345" s="3">
        <v>44474.848252314812</v>
      </c>
      <c r="D345" s="1" t="s">
        <v>691</v>
      </c>
      <c r="E345" s="4" t="str">
        <f ca="1">IFERROR(__xludf.DUMMYFUNCTION("GOOGLETRANSLATE(A345 , ""tr"" , ""en"")"),"The second overdose rate against Covid-19 has passed 55% today in Bingöl. Bingöl's color on the map is orange anymore. Let us all compete to overcome 75% at the second overdose rate for the results of all of us!")</f>
        <v>The second overdose rate against Covid-19 has passed 55% today in Bingöl. Bingöl's color on the map is orange anymore. Let us all compete to overcome 75% at the second overdose rate for the results of all of us!</v>
      </c>
    </row>
    <row r="346" spans="1:5" ht="15.75" customHeight="1" x14ac:dyDescent="0.25">
      <c r="A346" s="1" t="s">
        <v>692</v>
      </c>
      <c r="B346" s="1">
        <v>3027</v>
      </c>
      <c r="C346" s="3">
        <v>44474.825509259259</v>
      </c>
      <c r="D346" s="1" t="s">
        <v>693</v>
      </c>
      <c r="E346" s="4" t="str">
        <f ca="1">IFERROR(__xludf.DUMMYFUNCTION("GOOGLETRANSLATE(A346 , ""tr"" , ""en"")"),"The second overdose against Covid-19 has passed 65% today in Konya and Kars. The color of these two provinces on the map is now yellow. Let us all compete to overcome 75% at the second overdose rate for the results of all of us!")</f>
        <v>The second overdose against Covid-19 has passed 65% today in Konya and Kars. The color of these two provinces on the map is now yellow. Let us all compete to overcome 75% at the second overdose rate for the results of all of us!</v>
      </c>
    </row>
    <row r="347" spans="1:5" ht="15.75" customHeight="1" x14ac:dyDescent="0.25">
      <c r="A347" s="1" t="s">
        <v>694</v>
      </c>
      <c r="B347" s="1">
        <v>4536</v>
      </c>
      <c r="C347" s="3">
        <v>44474.818391203706</v>
      </c>
      <c r="D347" s="1" t="s">
        <v>695</v>
      </c>
      <c r="E347" s="4" t="str">
        <f ca="1">IFERROR(__xludf.DUMMYFUNCTION("GOOGLETRANSLATE(A347 , ""tr"" , ""en"")"),"The second overdose against Covid-19 has passed 75% in Isparta. Thus, the blue province has reached 23. Let us all compete in the second overdose rate for the results of all of us!")</f>
        <v>The second overdose against Covid-19 has passed 75% in Isparta. Thus, the blue province has reached 23. Let us all compete in the second overdose rate for the results of all of us!</v>
      </c>
    </row>
    <row r="348" spans="1:5" ht="15.75" customHeight="1" x14ac:dyDescent="0.25">
      <c r="A348" s="1" t="s">
        <v>696</v>
      </c>
      <c r="B348" s="1">
        <v>5224</v>
      </c>
      <c r="C348" s="3">
        <v>44474.718599537038</v>
      </c>
      <c r="D348" s="1" t="s">
        <v>697</v>
      </c>
      <c r="E348" s="4" t="str">
        <f ca="1">IFERROR(__xludf.DUMMYFUNCTION("GOOGLETRANSLATE(A348 , ""tr"" , ""en"")"),"Tomorrow, if you are outside, look at your surroundings if your path falls on a crowded place. How many of us are wearing our mask, how we don't wear? Is there an effort to adapt to the social distance rule? We are not yet in phase of community immunity. "&amp;"We must have vaccines and abide with the rules. https://t.co/amoxxe6oca")</f>
        <v>Tomorrow, if you are outside, look at your surroundings if your path falls on a crowded place. How many of us are wearing our mask, how we don't wear? Is there an effort to adapt to the social distance rule? We are not yet in phase of community immunity. We must have vaccines and abide with the rules. https://t.co/amoxxe6oca</v>
      </c>
    </row>
    <row r="349" spans="1:5" ht="15.75" customHeight="1" x14ac:dyDescent="0.25">
      <c r="A349" s="1" t="s">
        <v>698</v>
      </c>
      <c r="B349" s="1">
        <v>10720</v>
      </c>
      <c r="C349" s="3">
        <v>44474.704224537039</v>
      </c>
      <c r="D349" s="1" t="s">
        <v>699</v>
      </c>
      <c r="E349" s="4" t="str">
        <f ca="1">IFERROR(__xludf.DUMMYFUNCTION("GOOGLETRANSLATE(A349 , ""tr"" , ""en"")"),"The vaccine does not make the hero against the coronavirue. The vaccine should also fitting the mask, the social distance rule should be able to comply with the possible order. Even if the virus does not ill, it has the potential to transmiss and spread e"&amp;"veryone. We have to comply with the rules until community immunity is provided.")</f>
        <v>The vaccine does not make the hero against the coronavirue. The vaccine should also fitting the mask, the social distance rule should be able to comply with the possible order. Even if the virus does not ill, it has the potential to transmiss and spread everyone. We have to comply with the rules until community immunity is provided.</v>
      </c>
    </row>
    <row r="350" spans="1:5" ht="15.75" customHeight="1" x14ac:dyDescent="0.25">
      <c r="A350" s="1" t="s">
        <v>700</v>
      </c>
      <c r="B350" s="1">
        <v>13034</v>
      </c>
      <c r="C350" s="3">
        <v>44473.790370370371</v>
      </c>
      <c r="D350" s="1" t="s">
        <v>701</v>
      </c>
      <c r="E350" s="4" t="str">
        <f ca="1">IFERROR(__xludf.DUMMYFUNCTION("GOOGLETRANSLATE(A350 , ""tr"" , ""en"")"),"The second message of the animal protection day. We stuck the blue together again :) https://t.co/fnkiz83b5x")</f>
        <v>The second message of the animal protection day. We stuck the blue together again :) https://t.co/fnkiz83b5x</v>
      </c>
    </row>
    <row r="351" spans="1:5" ht="15.75" customHeight="1" x14ac:dyDescent="0.25">
      <c r="A351" s="1" t="s">
        <v>702</v>
      </c>
      <c r="B351" s="1">
        <v>5727</v>
      </c>
      <c r="C351" s="3">
        <v>44473.779953703706</v>
      </c>
      <c r="D351" s="1" t="s">
        <v>703</v>
      </c>
      <c r="E351" s="4" t="str">
        <f ca="1">IFERROR(__xludf.DUMMYFUNCTION("GOOGLETRANSLATE(A351 , ""tr"" , ""en"")"),"The second overdose against Covid-19 has passed 65% in Kahramanmaras and Niğde. The color of these two provinces on the map is now yellow. Let us all compete to overcome 75% at the second overdose rate for the results of all of us!")</f>
        <v>The second overdose against Covid-19 has passed 65% in Kahramanmaras and Niğde. The color of these two provinces on the map is now yellow. Let us all compete to overcome 75% at the second overdose rate for the results of all of us!</v>
      </c>
    </row>
    <row r="352" spans="1:5" ht="15.75" customHeight="1" x14ac:dyDescent="0.25">
      <c r="A352" s="1" t="s">
        <v>704</v>
      </c>
      <c r="B352" s="1">
        <v>5857</v>
      </c>
      <c r="C352" s="3">
        <v>44473.776030092595</v>
      </c>
      <c r="D352" s="1" t="s">
        <v>705</v>
      </c>
      <c r="E352" s="4" t="str">
        <f ca="1">IFERROR(__xludf.DUMMYFUNCTION("GOOGLETRANSLATE(A352 , ""tr"" , ""en"")"),"The second overdose against Covid-19 has passed 75% in Tekirdağ and Corum. Thus, the blue province has reached 22. Let us all compete in the second overdose rate for the results of all of us!")</f>
        <v>The second overdose against Covid-19 has passed 75% in Tekirdağ and Corum. Thus, the blue province has reached 22. Let us all compete in the second overdose rate for the results of all of us!</v>
      </c>
    </row>
    <row r="353" spans="1:5" ht="15.75" customHeight="1" x14ac:dyDescent="0.25">
      <c r="A353" s="1" t="s">
        <v>706</v>
      </c>
      <c r="B353" s="1">
        <v>6402</v>
      </c>
      <c r="C353" s="3">
        <v>44473.731423611112</v>
      </c>
      <c r="D353" s="1" t="s">
        <v>707</v>
      </c>
      <c r="E353" s="4" t="str">
        <f ca="1">IFERROR(__xludf.DUMMYFUNCTION("GOOGLETRANSLATE(A353 , ""tr"" , ""en"")"),"In the table we often see worrisome case and passenger numbers. There are also periods we are in better condition. Successful landings are coming. This is a vicious circle? If repeated fatigue in measures, yes. But be aware that the vaccine will break thi"&amp;"s cycle soon. Let's pick up! https://t.co/uxutulbybq")</f>
        <v>In the table we often see worrisome case and passenger numbers. There are also periods we are in better condition. Successful landings are coming. This is a vicious circle? If repeated fatigue in measures, yes. But be aware that the vaccine will break this cycle soon. Let's pick up! https://t.co/uxutulbybq</v>
      </c>
    </row>
    <row r="354" spans="1:5" ht="15.75" customHeight="1" x14ac:dyDescent="0.25">
      <c r="A354" s="1" t="s">
        <v>708</v>
      </c>
      <c r="B354" s="1">
        <v>11609</v>
      </c>
      <c r="C354" s="3">
        <v>44473.615624999999</v>
      </c>
      <c r="D354" s="1" t="s">
        <v>709</v>
      </c>
      <c r="E354" s="4" t="str">
        <f ca="1">IFERROR(__xludf.DUMMYFUNCTION("GOOGLETRANSLATE(A354 , ""tr"" , ""en"")"),"The World Animals Protection Day reminds us that life is our task if all of life provides healthy living conditions to animals. The head of the work is love on this issue! Because it is love to overcome selfishness and prepare good life. And you feel love"&amp;"d every live. https://t.co/dn1vuoagvh")</f>
        <v>The World Animals Protection Day reminds us that life is our task if all of life provides healthy living conditions to animals. The head of the work is love on this issue! Because it is love to overcome selfishness and prepare good life. And you feel loved every live. https://t.co/dn1vuoagvh</v>
      </c>
    </row>
    <row r="355" spans="1:5" ht="15.75" customHeight="1" x14ac:dyDescent="0.25">
      <c r="A355" s="1" t="s">
        <v>710</v>
      </c>
      <c r="B355" s="1">
        <v>7103</v>
      </c>
      <c r="C355" s="3">
        <v>44472.848912037036</v>
      </c>
      <c r="D355" s="1" t="s">
        <v>711</v>
      </c>
      <c r="E355" s="4" t="str">
        <f ca="1">IFERROR(__xludf.DUMMYFUNCTION("GOOGLETRANSLATE(A355 , ""tr"" , ""en"")"),"The second overdose against Covid-19 has passed 75% in Manisa. Thus, the number of blue provinces reached 20. Let us all compete in the second overdose rate for the results of all of us!")</f>
        <v>The second overdose against Covid-19 has passed 75% in Manisa. Thus, the number of blue provinces reached 20. Let us all compete in the second overdose rate for the results of all of us!</v>
      </c>
    </row>
    <row r="356" spans="1:5" ht="15.75" customHeight="1" x14ac:dyDescent="0.25">
      <c r="A356" s="1" t="s">
        <v>712</v>
      </c>
      <c r="B356" s="1">
        <v>4167</v>
      </c>
      <c r="C356" s="3">
        <v>44472.772094907406</v>
      </c>
      <c r="D356" s="1" t="s">
        <v>713</v>
      </c>
      <c r="E356" s="4" t="str">
        <f ca="1">IFERROR(__xludf.DUMMYFUNCTION("GOOGLETRANSLATE(A356 , ""tr"" , ""en"")"),"""My breaths has completely hospitalized when they go. Have not been vaccinated. "" https://t.co/uelb49lxfe")</f>
        <v>"My breaths has completely hospitalized when they go. Have not been vaccinated. " https://t.co/uelb49lxfe</v>
      </c>
    </row>
    <row r="357" spans="1:5" ht="15.75" customHeight="1" x14ac:dyDescent="0.25">
      <c r="A357" s="1" t="s">
        <v>714</v>
      </c>
      <c r="B357" s="1">
        <v>4640</v>
      </c>
      <c r="C357" s="3">
        <v>44472.726967592593</v>
      </c>
      <c r="D357" s="1" t="s">
        <v>715</v>
      </c>
      <c r="E357" s="4" t="str">
        <f ca="1">IFERROR(__xludf.DUMMYFUNCTION("GOOGLETRANSLATE(A357 , ""tr"" , ""en"")"),"We have to move faster on vaccination. We should obey the measures greater seriously until community immunity is provided. In the period we are in, it was easier to spread the disease. Good news depends on the increase in double-dose vaccine ratio, mask a"&amp;"nd distance rule. https://t.co/nhjj39pwtk")</f>
        <v>We have to move faster on vaccination. We should obey the measures greater seriously until community immunity is provided. In the period we are in, it was easier to spread the disease. Good news depends on the increase in double-dose vaccine ratio, mask and distance rule. https://t.co/nhjj39pwtk</v>
      </c>
    </row>
    <row r="358" spans="1:5" ht="15.75" customHeight="1" x14ac:dyDescent="0.25">
      <c r="A358" s="1" t="s">
        <v>716</v>
      </c>
      <c r="B358" s="1">
        <v>4606</v>
      </c>
      <c r="C358" s="3">
        <v>44471.792951388888</v>
      </c>
      <c r="D358" s="1" t="s">
        <v>717</v>
      </c>
      <c r="E358" s="4" t="str">
        <f ca="1">IFERROR(__xludf.DUMMYFUNCTION("GOOGLETRANSLATE(A358 , ""tr"" , ""en"")"),"Hearing Impaired Women's Volleyball National Team, the World Championship Final has won the gold medal by defeating the host Italy. We celebrate our national players who bring the championship to our country. Your name is always nominated with championshi"&amp;"p! https://t.co/urcksszcvg")</f>
        <v>Hearing Impaired Women's Volleyball National Team, the World Championship Final has won the gold medal by defeating the host Italy. We celebrate our national players who bring the championship to our country. Your name is always nominated with championship! https://t.co/urcksszcvg</v>
      </c>
    </row>
    <row r="359" spans="1:5" ht="15.75" customHeight="1" x14ac:dyDescent="0.25">
      <c r="A359" s="1" t="s">
        <v>718</v>
      </c>
      <c r="B359" s="1">
        <v>3425</v>
      </c>
      <c r="C359" s="3">
        <v>44471.737800925926</v>
      </c>
      <c r="D359" s="1" t="s">
        <v>719</v>
      </c>
      <c r="E359" s="4" t="str">
        <f ca="1">IFERROR(__xludf.DUMMYFUNCTION("GOOGLETRANSLATE(A359 , ""tr"" , ""en"")"),"""Hani, says, I've seen the death with my eye. I wish I was the vaccination I wouldn't have so much. "" https://t.co/uu9ILN1c0e")</f>
        <v>"Hani, says, I've seen the death with my eye. I wish I was the vaccination I wouldn't have so much. " https://t.co/uu9ILN1c0e</v>
      </c>
    </row>
    <row r="360" spans="1:5" ht="15.75" customHeight="1" x14ac:dyDescent="0.25">
      <c r="A360" s="1" t="s">
        <v>720</v>
      </c>
      <c r="B360" s="1">
        <v>4695</v>
      </c>
      <c r="C360" s="3">
        <v>44471.677164351851</v>
      </c>
      <c r="D360" s="1" t="s">
        <v>721</v>
      </c>
      <c r="E360" s="4" t="str">
        <f ca="1">IFERROR(__xludf.DUMMYFUNCTION("GOOGLETRANSLATE(A360 , ""tr"" , ""en"")"),"Our new case count is 27.973. Our loss of our loss 203. Autumn, the outbreak of outbreaks in winter conditions is a little more difficult. The time and contact is increasing in enclosed environments. The use of mask has gained more than important. Let's n"&amp;"ot forget that the disease is infected by breathing. Let's get our vaccinations. https://t.co/kznq3rdjn4")</f>
        <v>Our new case count is 27.973. Our loss of our loss 203. Autumn, the outbreak of outbreaks in winter conditions is a little more difficult. The time and contact is increasing in enclosed environments. The use of mask has gained more than important. Let's not forget that the disease is infected by breathing. Let's get our vaccinations. https://t.co/kznq3rdjn4</v>
      </c>
    </row>
    <row r="361" spans="1:5" ht="15.75" customHeight="1" x14ac:dyDescent="0.25">
      <c r="A361" s="1" t="s">
        <v>722</v>
      </c>
      <c r="B361" s="1">
        <v>7428</v>
      </c>
      <c r="C361" s="3">
        <v>44471.516689814816</v>
      </c>
      <c r="D361" s="1" t="s">
        <v>723</v>
      </c>
      <c r="E361" s="4" t="str">
        <f ca="1">IFERROR(__xludf.DUMMYFUNCTION("GOOGLETRANSLATE(A361 , ""tr"" , ""en"")"),"We've exceeded 110 million dose today! In Europe in the number of total vaccines that are applied against Covid-19, we are the 7th country in Europe all over the world! In the first 6 ranks, there are highly high-populated countries with vaccine manufactu"&amp;"rer and the population of the US again.")</f>
        <v>We've exceeded 110 million dose today! In Europe in the number of total vaccines that are applied against Covid-19, we are the 7th country in Europe all over the world! In the first 6 ranks, there are highly high-populated countries with vaccine manufacturer and the population of the US again.</v>
      </c>
    </row>
    <row r="362" spans="1:5" ht="15.75" customHeight="1" x14ac:dyDescent="0.25">
      <c r="A362" s="1" t="s">
        <v>724</v>
      </c>
      <c r="B362" s="1">
        <v>2047</v>
      </c>
      <c r="C362" s="3">
        <v>44471.479050925926</v>
      </c>
      <c r="D362" s="1" t="s">
        <v>725</v>
      </c>
      <c r="E362" s="4" t="str">
        <f ca="1">IFERROR(__xludf.DUMMYFUNCTION("GOOGLETRANSLATE(A362 , ""tr"" , ""en"")"),"Between 18-24 September of the Case Density The most increasing 10 provinces: Zonguldak, Kirsehir, Düzce, Bursa, Bolu, Kars, Bartin, Kütahya, Kocaeli, Bilecik. If you are in one of these provinces you should be even more careful now. The ultimate solution"&amp;" vaccine! Measures are indispensable. https://t.co/q52asfo95v")</f>
        <v>Between 18-24 September of the Case Density The most increasing 10 provinces: Zonguldak, Kirsehir, Düzce, Bursa, Bolu, Kars, Bartin, Kütahya, Kocaeli, Bilecik. If you are in one of these provinces you should be even more careful now. The ultimate solution vaccine! Measures are indispensable. https://t.co/q52asfo95v</v>
      </c>
    </row>
    <row r="363" spans="1:5" ht="15.75" customHeight="1" x14ac:dyDescent="0.25">
      <c r="A363" s="1" t="s">
        <v>726</v>
      </c>
      <c r="B363" s="1">
        <v>3335</v>
      </c>
      <c r="C363" s="3">
        <v>44471.475289351853</v>
      </c>
      <c r="D363" s="1" t="s">
        <v>727</v>
      </c>
      <c r="E363" s="4" t="str">
        <f ca="1">IFERROR(__xludf.DUMMYFUNCTION("GOOGLETRANSLATE(A363 , ""tr"" , ""en"")"),"From September 18-24, what was a total of weekly new Covid-19 cases in 100,000 people? You can learn the situation in the province where you are experiencing, from our weekly incidence map. https://t.co/yspkujnyl3")</f>
        <v>From September 18-24, what was a total of weekly new Covid-19 cases in 100,000 people? You can learn the situation in the province where you are experiencing, from our weekly incidence map. https://t.co/yspkujnyl3</v>
      </c>
    </row>
    <row r="364" spans="1:5" ht="15.75" customHeight="1" x14ac:dyDescent="0.25">
      <c r="A364" s="1" t="s">
        <v>728</v>
      </c>
      <c r="B364" s="1">
        <v>5441</v>
      </c>
      <c r="C364" s="3">
        <v>44470.780231481483</v>
      </c>
      <c r="D364" s="1" t="s">
        <v>729</v>
      </c>
      <c r="E364" s="4" t="str">
        <f ca="1">IFERROR(__xludf.DUMMYFUNCTION("GOOGLETRANSLATE(A364 , ""tr"" , ""en"")"),"The second overdose against Covid-19 has passed 75% in Artvin, Sinop and Bilecik. Thus, the number of blue provinces reached 19. Let us all compete in the second overdose rate for the results of all of us!")</f>
        <v>The second overdose against Covid-19 has passed 75% in Artvin, Sinop and Bilecik. Thus, the number of blue provinces reached 19. Let us all compete in the second overdose rate for the results of all of us!</v>
      </c>
    </row>
    <row r="365" spans="1:5" ht="15.75" customHeight="1" x14ac:dyDescent="0.25">
      <c r="A365" s="1" t="s">
        <v>730</v>
      </c>
      <c r="B365" s="1">
        <v>2109</v>
      </c>
      <c r="C365" s="3">
        <v>44470.731527777774</v>
      </c>
      <c r="D365" s="1" t="s">
        <v>731</v>
      </c>
      <c r="E365" s="4" t="str">
        <f ca="1">IFERROR(__xludf.DUMMYFUNCTION("GOOGLETRANSLATE(A365 , ""tr"" , ""en"")"),"Turkey Grand National Assembly, the 27th semester 5. Legislative year work started today. With the belief that the new legislative year of our Supreme Council will bring Nice to our country, I wish the representative of our nation to our saint nation. htt"&amp;"ps://t.co/obJL3RI4G2")</f>
        <v>Turkey Grand National Assembly, the 27th semester 5. Legislative year work started today. With the belief that the new legislative year of our Supreme Council will bring Nice to our country, I wish the representative of our nation to our saint nation. https://t.co/obJL3RI4G2</v>
      </c>
    </row>
    <row r="366" spans="1:5" ht="15.75" customHeight="1" x14ac:dyDescent="0.25">
      <c r="A366" s="1" t="s">
        <v>732</v>
      </c>
      <c r="B366" s="1">
        <v>3738</v>
      </c>
      <c r="C366" s="3">
        <v>44470.702407407407</v>
      </c>
      <c r="D366" s="1" t="s">
        <v>733</v>
      </c>
      <c r="E366" s="4" t="str">
        <f ca="1">IFERROR(__xludf.DUMMYFUNCTION("GOOGLETRANSLATE(A366 , ""tr"" , ""en"")"),"Our new case is 28.873. CAN Loss 210. We are facing the fact that the measures are in society and the fact that we do not implement regularly. The place is small falls but these decreases do not show stability. In the autumn conditions, we must be more ca"&amp;"reful, we must make our vaccines. https://t.co/debmwrtx3n")</f>
        <v>Our new case is 28.873. CAN Loss 210. We are facing the fact that the measures are in society and the fact that we do not implement regularly. The place is small falls but these decreases do not show stability. In the autumn conditions, we must be more careful, we must make our vaccines. https://t.co/debmwrtx3n</v>
      </c>
    </row>
    <row r="367" spans="1:5" ht="15.75" customHeight="1" x14ac:dyDescent="0.25">
      <c r="A367" s="1" t="s">
        <v>734</v>
      </c>
      <c r="B367" s="1">
        <v>3870</v>
      </c>
      <c r="C367" s="3">
        <v>44470.625636574077</v>
      </c>
      <c r="D367" s="1" t="s">
        <v>735</v>
      </c>
      <c r="E367" s="4" t="str">
        <f ca="1">IFERROR(__xludf.DUMMYFUNCTION("GOOGLETRANSLATE(A367 , ""tr"" , ""en"")"),"From the important names of Turkish politics, National Necmettin Erbakan's Road fellowship in the national opinion of Necmettin Erbakan, Oğuzhan Asiltürk gentleman has been treated in the hospital in the hospital. May the venue be in the heaven, the autho"&amp;"rity. I wish their condolences to lovers.")</f>
        <v>From the important names of Turkish politics, National Necmettin Erbakan's Road fellowship in the national opinion of Necmettin Erbakan, Oğuzhan Asiltürk gentleman has been treated in the hospital in the hospital. May the venue be in the heaven, the authority. I wish their condolences to lovers.</v>
      </c>
    </row>
    <row r="368" spans="1:5" ht="15.75" customHeight="1" x14ac:dyDescent="0.25">
      <c r="A368" s="1" t="s">
        <v>736</v>
      </c>
      <c r="B368" s="1">
        <v>5723</v>
      </c>
      <c r="C368" s="3">
        <v>44469.789212962962</v>
      </c>
      <c r="D368" s="1" t="s">
        <v>737</v>
      </c>
      <c r="E368" s="4" t="str">
        <f ca="1">IFERROR(__xludf.DUMMYFUNCTION("GOOGLETRANSLATE(A368 , ""tr"" , ""en"")"),"What is your tomorrow's plan against Covid-19?
Have you made your first dose vaccine? If you haven't had it, you can make an appointment immediately. If the continued dose is time, you may have your vaccine. In your workplace, remember to wear your mask w"&amp;"hen you are in the outside, with others, and to pay attention to your social distance.")</f>
        <v>What is your tomorrow's plan against Covid-19?
Have you made your first dose vaccine? If you haven't had it, you can make an appointment immediately. If the continued dose is time, you may have your vaccine. In your workplace, remember to wear your mask when you are in the outside, with others, and to pay attention to your social distance.</v>
      </c>
    </row>
    <row r="369" spans="1:5" ht="15.75" customHeight="1" x14ac:dyDescent="0.25">
      <c r="A369" s="1" t="s">
        <v>738</v>
      </c>
      <c r="B369" s="1">
        <v>3182</v>
      </c>
      <c r="C369" s="3">
        <v>44469.77684027778</v>
      </c>
      <c r="D369" s="1" t="s">
        <v>739</v>
      </c>
      <c r="E369" s="4" t="str">
        <f ca="1">IFERROR(__xludf.DUMMYFUNCTION("GOOGLETRANSLATE(A369 , ""tr"" , ""en"")"),"The second overdose rate against Covid-19 has passed 65% in the Kilis. Kilis's color on the map is yellow. Let us all compete to overcome 75% at the second overdose rate for the results of all of us!")</f>
        <v>The second overdose rate against Covid-19 has passed 65% in the Kilis. Kilis's color on the map is yellow. Let us all compete to overcome 75% at the second overdose rate for the results of all of us!</v>
      </c>
    </row>
    <row r="370" spans="1:5" ht="15.75" customHeight="1" x14ac:dyDescent="0.25">
      <c r="A370" s="1" t="s">
        <v>740</v>
      </c>
      <c r="B370" s="1">
        <v>4520</v>
      </c>
      <c r="C370" s="3">
        <v>44469.769166666665</v>
      </c>
      <c r="D370" s="1" t="s">
        <v>741</v>
      </c>
      <c r="E370" s="4" t="str">
        <f ca="1">IFERROR(__xludf.DUMMYFUNCTION("GOOGLETRANSLATE(A370 , ""tr"" , ""en"")"),"The second overdose against Covid-19 has passed 75% in Denizli. Thus, the blue province has reached 16. Let us all compete in the second overdose rate for the results of all of us!")</f>
        <v>The second overdose against Covid-19 has passed 75% in Denizli. Thus, the blue province has reached 16. Let us all compete in the second overdose rate for the results of all of us!</v>
      </c>
    </row>
    <row r="371" spans="1:5" ht="15.75" customHeight="1" x14ac:dyDescent="0.25">
      <c r="A371" s="1" t="s">
        <v>742</v>
      </c>
      <c r="B371" s="1">
        <v>3909</v>
      </c>
      <c r="C371" s="3">
        <v>44469.733402777776</v>
      </c>
      <c r="D371" s="1" t="s">
        <v>743</v>
      </c>
      <c r="E371" s="4" t="str">
        <f ca="1">IFERROR(__xludf.DUMMYFUNCTION("GOOGLETRANSLATE(A371 , ""tr"" , ""en"")"),"Our loss of today's loss 216. The people who lost themselves were not precautions, but the result would be very different that the other people had exactly the requirements of the struggle of epidemics. Contamination and passfunctions are realized as a re"&amp;"sult of chain negligence. Our vaccines and let's obey the measures. https://t.co/yhcomawnh9")</f>
        <v>Our loss of today's loss 216. The people who lost themselves were not precautions, but the result would be very different that the other people had exactly the requirements of the struggle of epidemics. Contamination and passfunctions are realized as a result of chain negligence. Our vaccines and let's obey the measures. https://t.co/yhcomawnh9</v>
      </c>
    </row>
    <row r="372" spans="1:5" ht="15.75" customHeight="1" x14ac:dyDescent="0.25">
      <c r="A372" s="1" t="s">
        <v>744</v>
      </c>
      <c r="B372" s="1">
        <v>4159</v>
      </c>
      <c r="C372" s="3">
        <v>44468.769872685189</v>
      </c>
      <c r="D372" s="1" t="s">
        <v>745</v>
      </c>
      <c r="E372" s="4" t="str">
        <f ca="1">IFERROR(__xludf.DUMMYFUNCTION("GOOGLETRANSLATE(A372 , ""tr"" , ""en"")"),"The second overdose against Covid-19 appeared over 65% in Yozgat, Erzincan and Malatya. These three products are yellow on the map. Let us race to pass 75% of the second overdose rate for the results of all of us!")</f>
        <v>The second overdose against Covid-19 appeared over 65% in Yozgat, Erzincan and Malatya. These three products are yellow on the map. Let us race to pass 75% of the second overdose rate for the results of all of us!</v>
      </c>
    </row>
    <row r="373" spans="1:5" ht="15.75" customHeight="1" x14ac:dyDescent="0.25">
      <c r="A373" s="1" t="s">
        <v>746</v>
      </c>
      <c r="B373" s="1">
        <v>6148</v>
      </c>
      <c r="C373" s="3">
        <v>44468.739351851851</v>
      </c>
      <c r="D373" s="1" t="s">
        <v>747</v>
      </c>
      <c r="E373" s="4" t="str">
        <f ca="1">IFERROR(__xludf.DUMMYFUNCTION("GOOGLETRANSLATE(A373 , ""tr"" , ""en"")"),"Our second dose of overdose against Covid-19 has been over 75% in Aydin and Zonguldak. Thus, the blue province has reached 15. Let us all compete in the second overdose rate for the results of all of us!")</f>
        <v>Our second dose of overdose against Covid-19 has been over 75% in Aydin and Zonguldak. Thus, the blue province has reached 15. Let us all compete in the second overdose rate for the results of all of us!</v>
      </c>
    </row>
    <row r="374" spans="1:5" ht="15.75" customHeight="1" x14ac:dyDescent="0.25">
      <c r="A374" s="1" t="s">
        <v>748</v>
      </c>
      <c r="B374" s="1">
        <v>4755</v>
      </c>
      <c r="C374" s="3">
        <v>44468.703148148146</v>
      </c>
      <c r="D374" s="1" t="s">
        <v>749</v>
      </c>
      <c r="E374" s="4" t="str">
        <f ca="1">IFERROR(__xludf.DUMMYFUNCTION("GOOGLETRANSLATE(A374 , ""tr"" , ""en"")"),"We accept the bottom of 20,000 critical thresholds in the number of daily cases. If our new case numbers are approached in 30,000. Our number of days of today is, as a result of the previous higher case numbers, 227. Against this table, the condition of s"&amp;"uccess is adapting and vaccine to the conditions of success! https://t.co/nikrl4xudq")</f>
        <v>We accept the bottom of 20,000 critical thresholds in the number of daily cases. If our new case numbers are approached in 30,000. Our number of days of today is, as a result of the previous higher case numbers, 227. Against this table, the condition of success is adapting and vaccine to the conditions of success! https://t.co/nikrl4xudq</v>
      </c>
    </row>
    <row r="375" spans="1:5" ht="15.75" customHeight="1" x14ac:dyDescent="0.25">
      <c r="A375" s="1" t="s">
        <v>750</v>
      </c>
      <c r="B375" s="1">
        <v>3066</v>
      </c>
      <c r="C375" s="3">
        <v>44468.694513888891</v>
      </c>
      <c r="D375" s="1" t="s">
        <v>751</v>
      </c>
      <c r="E375" s="4" t="str">
        <f ca="1">IFERROR(__xludf.DUMMYFUNCTION("GOOGLETRANSLATE(A375 , ""tr"" , ""en"")"),"In recent days, slackness in measures is reflected in the number of cases. If we want to return to our old days earlier, we have to comply with the measures tighter today. https://t.co/cktc53egke")</f>
        <v>In recent days, slackness in measures is reflected in the number of cases. If we want to return to our old days earlier, we have to comply with the measures tighter today. https://t.co/cktc53egke</v>
      </c>
    </row>
    <row r="376" spans="1:5" ht="15.75" customHeight="1" x14ac:dyDescent="0.25">
      <c r="A376" s="1" t="s">
        <v>752</v>
      </c>
      <c r="B376" s="1">
        <v>6330</v>
      </c>
      <c r="C376" s="3">
        <v>44467.820752314816</v>
      </c>
      <c r="D376" s="1" t="s">
        <v>753</v>
      </c>
      <c r="E376" s="4" t="str">
        <f ca="1">IFERROR(__xludf.DUMMYFUNCTION("GOOGLETRANSLATE(A376 , ""tr"" , ""en"")"),"We all get bored of living in the terms of epidemic. But the desire to return to the old flow of life should not be at the expense of our health. Let's obey the mask and distance rule, let's make our vaccines to gain resistance to the virus and provide co"&amp;"mmunity immunity.")</f>
        <v>We all get bored of living in the terms of epidemic. But the desire to return to the old flow of life should not be at the expense of our health. Let's obey the mask and distance rule, let's make our vaccines to gain resistance to the virus and provide community immunity.</v>
      </c>
    </row>
    <row r="377" spans="1:5" ht="15.75" customHeight="1" x14ac:dyDescent="0.25">
      <c r="A377" s="1" t="s">
        <v>754</v>
      </c>
      <c r="B377" s="1">
        <v>2996</v>
      </c>
      <c r="C377" s="3">
        <v>44467.813310185185</v>
      </c>
      <c r="D377" s="1" t="s">
        <v>755</v>
      </c>
      <c r="E377" s="4" t="str">
        <f ca="1">IFERROR(__xludf.DUMMYFUNCTION("GOOGLETRANSLATE(A377 , ""tr"" , ""en"")"),"Şırnak raises the second dose of vaccine against Covid-19, and turned its color in redhead in the map. The second overdose ratio is currently below 55% of our provinces in our Eastern and Southeastern Anatolia Regions. Let us all compete in the second ove"&amp;"rdose rate for the results of all of us!")</f>
        <v>Şırnak raises the second dose of vaccine against Covid-19, and turned its color in redhead in the map. The second overdose ratio is currently below 55% of our provinces in our Eastern and Southeastern Anatolia Regions. Let us all compete in the second overdose rate for the results of all of us!</v>
      </c>
    </row>
    <row r="378" spans="1:5" ht="15.75" customHeight="1" x14ac:dyDescent="0.25">
      <c r="A378" s="1" t="s">
        <v>756</v>
      </c>
      <c r="B378" s="1">
        <v>3534</v>
      </c>
      <c r="C378" s="3">
        <v>44467.785520833335</v>
      </c>
      <c r="D378" s="1" t="s">
        <v>757</v>
      </c>
      <c r="E378" s="4" t="str">
        <f ca="1">IFERROR(__xludf.DUMMYFUNCTION("GOOGLETRANSLATE(A378 , ""tr"" , ""en"")"),"Our second overdose against Covid-19 is over 75% in Bartin and Giresun. Thus, the blue province has reached 13. Let us all compete in the second overdose rate for the results of all of us!")</f>
        <v>Our second overdose against Covid-19 is over 75% in Bartin and Giresun. Thus, the blue province has reached 13. Let us all compete in the second overdose rate for the results of all of us!</v>
      </c>
    </row>
    <row r="379" spans="1:5" ht="15.75" customHeight="1" x14ac:dyDescent="0.25">
      <c r="A379" s="1" t="s">
        <v>758</v>
      </c>
      <c r="B379" s="1">
        <v>0</v>
      </c>
      <c r="C379" s="3">
        <v>44467.722569444442</v>
      </c>
      <c r="D379" s="1" t="s">
        <v>759</v>
      </c>
      <c r="E379" s="4" t="str">
        <f ca="1">IFERROR(__xludf.DUMMYFUNCTION("GOOGLETRANSLATE(A379 , ""tr"" , ""en"")"),"RT @tcbestepe: President @ rterdogan's video message sent to Global Kovid-19 Summit https://t.co/jmckvejx0e")</f>
        <v>RT @tcbestepe: President @ rterdogan's video message sent to Global Kovid-19 Summit https://t.co/jmckvejx0e</v>
      </c>
    </row>
    <row r="380" spans="1:5" ht="15.75" customHeight="1" x14ac:dyDescent="0.25">
      <c r="A380" s="1" t="s">
        <v>760</v>
      </c>
      <c r="B380" s="1">
        <v>4088</v>
      </c>
      <c r="C380" s="3">
        <v>44467.710717592592</v>
      </c>
      <c r="D380" s="1" t="s">
        <v>761</v>
      </c>
      <c r="E380" s="4" t="str">
        <f ca="1">IFERROR(__xludf.DUMMYFUNCTION("GOOGLETRANSLATE(A380 , ""tr"" , ""en"")"),"""Will you come in so many people and find me?""
Covid-19 The total number of cases increased today with 28,892 new cases, 7 million 95.580. Most people seemed to be self-risk until the tests are positively removed. Wareful on mask and distance, let's get"&amp;" our vaccinations! https://t.co/rjs3qra5vf")</f>
        <v>"Will you come in so many people and find me?"
Covid-19 The total number of cases increased today with 28,892 new cases, 7 million 95.580. Most people seemed to be self-risk until the tests are positively removed. Wareful on mask and distance, let's get our vaccinations! https://t.co/rjs3qra5vf</v>
      </c>
    </row>
    <row r="381" spans="1:5" ht="15.75" customHeight="1" x14ac:dyDescent="0.25">
      <c r="A381" s="1" t="s">
        <v>762</v>
      </c>
      <c r="B381" s="1">
        <v>3632</v>
      </c>
      <c r="C381" s="3">
        <v>44466.807824074072</v>
      </c>
      <c r="D381" s="1" t="s">
        <v>763</v>
      </c>
      <c r="E381" s="4" t="str">
        <f ca="1">IFERROR(__xludf.DUMMYFUNCTION("GOOGLETRANSLATE(A381 , ""tr"" , ""en"")"),"The second dose vaccine ratio against Covid-19 has been over 65% in Duzce. The risk color is now waiting for Düzce Yellow, which is yellow to this rate over 75% in a short time. For the results of all of us, all provinces will compete in the second overdo"&amp;"se!")</f>
        <v>The second dose vaccine ratio against Covid-19 has been over 65% in Duzce. The risk color is now waiting for Düzce Yellow, which is yellow to this rate over 75% in a short time. For the results of all of us, all provinces will compete in the second overdose!</v>
      </c>
    </row>
    <row r="382" spans="1:5" ht="15.75" customHeight="1" x14ac:dyDescent="0.25">
      <c r="A382" s="1" t="s">
        <v>764</v>
      </c>
      <c r="B382" s="1">
        <v>5911</v>
      </c>
      <c r="C382" s="3">
        <v>44466.80097222222</v>
      </c>
      <c r="D382" s="1" t="s">
        <v>765</v>
      </c>
      <c r="E382" s="4" t="str">
        <f ca="1">IFERROR(__xludf.DUMMYFUNCTION("GOOGLETRANSLATE(A382 , ""tr"" , ""en"")"),"The second overdose rate against Covid-19 is above 75% in Osmaniye. Thus, the blue province has reached 11. Let us race the second overdose for the results of all of us!")</f>
        <v>The second overdose rate against Covid-19 is above 75% in Osmaniye. Thus, the blue province has reached 11. Let us race the second overdose for the results of all of us!</v>
      </c>
    </row>
    <row r="383" spans="1:5" ht="15.75" customHeight="1" x14ac:dyDescent="0.25">
      <c r="A383" s="1" t="s">
        <v>766</v>
      </c>
      <c r="B383" s="1">
        <v>4212</v>
      </c>
      <c r="C383" s="3">
        <v>44466.784050925926</v>
      </c>
      <c r="D383" s="1" t="s">
        <v>767</v>
      </c>
      <c r="E383" s="4" t="str">
        <f ca="1">IFERROR(__xludf.DUMMYFUNCTION("GOOGLETRANSLATE(A383 , ""tr"" , ""en"")"),"""What I've Lived! I've missed the taste of a drop of water. Everyone get vaccination please. "" https://t.co/gtvyvs9jxk")</f>
        <v>"What I've Lived! I've missed the taste of a drop of water. Everyone get vaccination please. " https://t.co/gtvyvs9jxk</v>
      </c>
    </row>
    <row r="384" spans="1:5" ht="15.75" customHeight="1" x14ac:dyDescent="0.25">
      <c r="A384" s="1" t="s">
        <v>768</v>
      </c>
      <c r="B384" s="1">
        <v>4470</v>
      </c>
      <c r="C384" s="3">
        <v>44466.728750000002</v>
      </c>
      <c r="D384" s="1" t="s">
        <v>769</v>
      </c>
      <c r="E384" s="4" t="str">
        <f ca="1">IFERROR(__xludf.DUMMYFUNCTION("GOOGLETRANSLATE(A384 , ""tr"" , ""en"")"),"In the present table, we see that 27.188 people are not complying with the rules that they actually know that they should follow. He probably didn't think they had risks, they didn't see the measure. In the crowded environment, we must adhere to measures "&amp;"outside our house, we must be our vaccination. https://t.co/PMHIAE5NBV")</f>
        <v>In the present table, we see that 27.188 people are not complying with the rules that they actually know that they should follow. He probably didn't think they had risks, they didn't see the measure. In the crowded environment, we must adhere to measures outside our house, we must be our vaccination. https://t.co/PMHIAE5NBV</v>
      </c>
    </row>
    <row r="385" spans="1:5" ht="15.75" customHeight="1" x14ac:dyDescent="0.25">
      <c r="A385" s="1" t="s">
        <v>770</v>
      </c>
      <c r="B385" s="1">
        <v>0</v>
      </c>
      <c r="C385" s="3">
        <v>44466.681296296294</v>
      </c>
      <c r="D385" s="1" t="s">
        <v>771</v>
      </c>
      <c r="E385" s="4" t="str">
        <f ca="1">IFERROR(__xludf.DUMMYFUNCTION("GOOGLETRANSLATE(A385 , ""tr"" , ""en"")"),"RT @rterdogan: Shouting Nation After Cabinet Meeting https://t.co/laqqflaicn")</f>
        <v>RT @rterdogan: Shouting Nation After Cabinet Meeting https://t.co/laqqflaicn</v>
      </c>
    </row>
    <row r="386" spans="1:5" ht="15.75" customHeight="1" x14ac:dyDescent="0.25">
      <c r="A386" s="1" t="s">
        <v>772</v>
      </c>
      <c r="B386" s="1">
        <v>5067</v>
      </c>
      <c r="C386" s="3">
        <v>44465.804467592592</v>
      </c>
      <c r="D386" s="1" t="s">
        <v>773</v>
      </c>
      <c r="E386" s="4" t="str">
        <f ca="1">IFERROR(__xludf.DUMMYFUNCTION("GOOGLETRANSLATE(A386 , ""tr"" , ""en"")"),"Our Map continues to reshape for the target of community immunity. The number of blue provinces went 10 with Izmir. The second overdose against Covid-19 is now over 75% in Izmir. For the results of all of us, we will race the next 71 provinces!")</f>
        <v>Our Map continues to reshape for the target of community immunity. The number of blue provinces went 10 with Izmir. The second overdose against Covid-19 is now over 75% in Izmir. For the results of all of us, we will race the next 71 provinces!</v>
      </c>
    </row>
    <row r="387" spans="1:5" ht="15.75" customHeight="1" x14ac:dyDescent="0.25">
      <c r="A387" s="1" t="s">
        <v>774</v>
      </c>
      <c r="B387" s="1">
        <v>8247</v>
      </c>
      <c r="C387" s="3">
        <v>44465.715057870373</v>
      </c>
      <c r="D387" s="1" t="s">
        <v>775</v>
      </c>
      <c r="E387" s="4" t="str">
        <f ca="1">IFERROR(__xludf.DUMMYFUNCTION("GOOGLETRANSLATE(A387 , ""tr"" , ""en"")"),"""What can I do against the number of cases?"" Patients under treatment, testing positive and contacts are in isolation. But with other cases that are not diagnosed between us! We have to make against the number of cases is to protect ourselves and reduce"&amp;" the propagation as our vaccination.")</f>
        <v>"What can I do against the number of cases?" Patients under treatment, testing positive and contacts are in isolation. But with other cases that are not diagnosed between us! We have to make against the number of cases is to protect ourselves and reduce the propagation as our vaccination.</v>
      </c>
    </row>
    <row r="388" spans="1:5" ht="15.75" customHeight="1" x14ac:dyDescent="0.25">
      <c r="A388" s="1" t="s">
        <v>776</v>
      </c>
      <c r="B388" s="1">
        <v>3722</v>
      </c>
      <c r="C388" s="3">
        <v>44465.711412037039</v>
      </c>
      <c r="D388" s="1" t="s">
        <v>777</v>
      </c>
      <c r="E388" s="4" t="str">
        <f ca="1">IFERROR(__xludf.DUMMYFUNCTION("GOOGLETRANSLATE(A388 , ""tr"" , ""en"")"),"Number of wearers of mask? Number of attention to the social distance rule? Number of full dose vaccines?
As those who have the requirements of the epidemic struggle increases, our new case numbers will be reduced by our numbers and depending on it. Along"&amp;", with determination, let's do it to us. https://t.co/3lkgthe5j2")</f>
        <v>Number of wearers of mask? Number of attention to the social distance rule? Number of full dose vaccines?
As those who have the requirements of the epidemic struggle increases, our new case numbers will be reduced by our numbers and depending on it. Along, with determination, let's do it to us. https://t.co/3lkgthe5j2</v>
      </c>
    </row>
    <row r="389" spans="1:5" ht="15.75" customHeight="1" x14ac:dyDescent="0.25">
      <c r="A389" s="1" t="s">
        <v>778</v>
      </c>
      <c r="B389" s="1">
        <v>4196</v>
      </c>
      <c r="C389" s="3">
        <v>44464.829050925924</v>
      </c>
      <c r="D389" s="1" t="s">
        <v>779</v>
      </c>
      <c r="E389" s="4" t="str">
        <f ca="1">IFERROR(__xludf.DUMMYFUNCTION("GOOGLETRANSLATE(A389 , ""tr"" , ""en"")"),"Today is a colorless day, we have no province changing the category. Let's improve our Covid-19 Risk Map on the week with the second overdose vaccines! https://t.co/8bfjgqnjt4")</f>
        <v>Today is a colorless day, we have no province changing the category. Let's improve our Covid-19 Risk Map on the week with the second overdose vaccines! https://t.co/8bfjgqnjt4</v>
      </c>
    </row>
    <row r="390" spans="1:5" ht="15.75" customHeight="1" x14ac:dyDescent="0.25">
      <c r="A390" s="1" t="s">
        <v>780</v>
      </c>
      <c r="B390" s="1">
        <v>2575</v>
      </c>
      <c r="C390" s="3">
        <v>44464.790671296294</v>
      </c>
      <c r="D390" s="1" t="s">
        <v>781</v>
      </c>
      <c r="E390" s="4" t="str">
        <f ca="1">IFERROR(__xludf.DUMMYFUNCTION("GOOGLETRANSLATE(A390 , ""tr"" , ""en"")"),"We are at Teknofest'21 fair in which new ideas and projects will carry the world forward. This place is the heart of the future, where the dreams are winged. SN. Turkey's leadership of our President Turkey's potentials. I celebrate everyone who has been l"&amp;"aboring with all my heart. https://t.co/rtgudcwudi")</f>
        <v>We are at Teknofest'21 fair in which new ideas and projects will carry the world forward. This place is the heart of the future, where the dreams are winged. SN. Turkey's leadership of our President Turkey's potentials. I celebrate everyone who has been laboring with all my heart. https://t.co/rtgudcwudi</v>
      </c>
    </row>
    <row r="391" spans="1:5" ht="15.75" customHeight="1" x14ac:dyDescent="0.25">
      <c r="A391" s="1" t="s">
        <v>782</v>
      </c>
      <c r="B391" s="1">
        <v>5097</v>
      </c>
      <c r="C391" s="3">
        <v>44464.772905092592</v>
      </c>
      <c r="D391" s="1" t="s">
        <v>783</v>
      </c>
      <c r="E391" s="4" t="str">
        <f ca="1">IFERROR(__xludf.DUMMYFUNCTION("GOOGLETRANSLATE(A391 , ""tr"" , ""en"")"),"The condensation of the steppe (spurge) is the great folk oscillation, ertache, respect, longing and mercy in the ninth year of the vain. With its reed, it continues to be all the sound of us. ""The heart is always looking for you, where are you?"" Their "&amp;"Turkey is more touching today! https://t.co/ydtp2e4uez")</f>
        <v>The condensation of the steppe (spurge) is the great folk oscillation, ertache, respect, longing and mercy in the ninth year of the vain. With its reed, it continues to be all the sound of us. "The heart is always looking for you, where are you?" Their Turkey is more touching today! https://t.co/ydtp2e4uez</v>
      </c>
    </row>
    <row r="392" spans="1:5" ht="15.75" customHeight="1" x14ac:dyDescent="0.25">
      <c r="A392" s="1" t="s">
        <v>784</v>
      </c>
      <c r="B392" s="1">
        <v>7977</v>
      </c>
      <c r="C392" s="3">
        <v>44464.768495370372</v>
      </c>
      <c r="D392" s="1" t="s">
        <v>785</v>
      </c>
      <c r="E392" s="4" t="str">
        <f ca="1">IFERROR(__xludf.DUMMYFUNCTION("GOOGLETRANSLATE(A392 , ""tr"" , ""en"")"),"While the Covid-19 virus crosses the person from the person, the resistance is weakening to the bed. It uses everyone who has been contaminated to worse results. Protects others from the disease, death from death. Outside, let's get our mask near each oth"&amp;"er.")</f>
        <v>While the Covid-19 virus crosses the person from the person, the resistance is weakening to the bed. It uses everyone who has been contaminated to worse results. Protects others from the disease, death from death. Outside, let's get our mask near each other.</v>
      </c>
    </row>
    <row r="393" spans="1:5" ht="15.75" customHeight="1" x14ac:dyDescent="0.25">
      <c r="A393" s="1" t="s">
        <v>786</v>
      </c>
      <c r="B393" s="1">
        <v>4325</v>
      </c>
      <c r="C393" s="3">
        <v>44464.756782407407</v>
      </c>
      <c r="D393" s="1" t="s">
        <v>787</v>
      </c>
      <c r="E393" s="4" t="str">
        <f ca="1">IFERROR(__xludf.DUMMYFUNCTION("GOOGLETRANSLATE(A393 , ""tr"" , ""en"")"),"""The number of cases is 19 thousand!"" Do you think, under 20 thousand cases of cases of cases is a target to reach for this society? We can also decide together and download the number of cases with a critical threshold in a short time of 26.145 today. "&amp;"The measures and vaccine we know well is enough! https://t.co/w0huwqqrwm")</f>
        <v>"The number of cases is 19 thousand!" Do you think, under 20 thousand cases of cases of cases is a target to reach for this society? We can also decide together and download the number of cases with a critical threshold in a short time of 26.145 today. The measures and vaccine we know well is enough! https://t.co/w0huwqqrwm</v>
      </c>
    </row>
    <row r="394" spans="1:5" ht="15.75" customHeight="1" x14ac:dyDescent="0.25">
      <c r="A394" s="1" t="s">
        <v>788</v>
      </c>
      <c r="B394" s="1">
        <v>2994</v>
      </c>
      <c r="C394" s="3">
        <v>44464.617476851854</v>
      </c>
      <c r="D394" s="1" t="s">
        <v>789</v>
      </c>
      <c r="E394" s="4" t="str">
        <f ca="1">IFERROR(__xludf.DUMMYFUNCTION("GOOGLETRANSLATE(A394 , ""tr"" , ""en"")"),"We are the 7th country in the world in the number of dose!
In the total number of vaccines that are applied against Covid-19, we also left the population of Germany, which is close to us and the vaccine manufacturer. We are in 7th on all over the world."&amp;" The first 6 ranks before Turkey, the vaccine manufacturer is very highly populated with the United States. https://t.co/rckdl3rwme")</f>
        <v>We are the 7th country in the world in the number of dose!
In the total number of vaccines that are applied against Covid-19, we also left the population of Germany, which is close to us and the vaccine manufacturer. We are in 7th on all over the world. The first 6 ranks before Turkey, the vaccine manufacturer is very highly populated with the United States. https://t.co/rckdl3rwme</v>
      </c>
    </row>
    <row r="395" spans="1:5" ht="15.75" customHeight="1" x14ac:dyDescent="0.25">
      <c r="A395" s="1" t="s">
        <v>790</v>
      </c>
      <c r="B395" s="1">
        <v>5165</v>
      </c>
      <c r="C395" s="3">
        <v>44464.606979166667</v>
      </c>
      <c r="D395" s="1" t="s">
        <v>791</v>
      </c>
      <c r="E395" s="4" t="str">
        <f ca="1">IFERROR(__xludf.DUMMYFUNCTION("GOOGLETRANSLATE(A395 , ""tr"" , ""en"")"),"Did the duty pharmacy been a night you're looking for? Has been necessarily. We understand that a pharmacist is the best place in our pharmacy's lives. Today is the World Pharmacy Day. I offer our gratitude to our pharmacists from the most important membe"&amp;"rs of health services: You have always been medicine! https://t.co/hug3hxRIJQ")</f>
        <v>Did the duty pharmacy been a night you're looking for? Has been necessarily. We understand that a pharmacist is the best place in our pharmacy's lives. Today is the World Pharmacy Day. I offer our gratitude to our pharmacists from the most important members of health services: You have always been medicine! https://t.co/hug3hxRIJQ</v>
      </c>
    </row>
    <row r="396" spans="1:5" ht="15.75" customHeight="1" x14ac:dyDescent="0.25">
      <c r="A396" s="1" t="s">
        <v>792</v>
      </c>
      <c r="B396" s="1">
        <v>5511</v>
      </c>
      <c r="C396" s="3">
        <v>44463.817685185182</v>
      </c>
      <c r="D396" s="1" t="s">
        <v>793</v>
      </c>
      <c r="E396" s="4" t="str">
        <f ca="1">IFERROR(__xludf.DUMMYFUNCTION("GOOGLETRANSLATE(A396 , ""tr"" , ""en"")"),"Our Map continues to reshape for the target of community immunity. The number of blue provinces is today with Burdur. For the results of all of us, we will race the next 72 provinces!")</f>
        <v>Our Map continues to reshape for the target of community immunity. The number of blue provinces is today with Burdur. For the results of all of us, we will race the next 72 provinces!</v>
      </c>
    </row>
    <row r="397" spans="1:5" ht="15.75" customHeight="1" x14ac:dyDescent="0.25">
      <c r="A397" s="1" t="s">
        <v>794</v>
      </c>
      <c r="B397" s="1">
        <v>2225</v>
      </c>
      <c r="C397" s="3">
        <v>44463.706805555557</v>
      </c>
      <c r="D397" s="1" t="s">
        <v>795</v>
      </c>
      <c r="E397" s="4" t="str">
        <f ca="1">IFERROR(__xludf.DUMMYFUNCTION("GOOGLETRANSLATE(A397 , ""tr"" , ""en"")"),"Between 11-17 September Case Density The most increasing 10 provinces by the previous week: Kastamonu, Kırıkkale, Zonguldak, Tokat, Trabzon, Malatya, Yozgat, Düzce, Erzincan, Çorum! If you are in one of these provinces you should be even more careful now."&amp;" Ultimate solution vaccine, measures condition https://t.co/13uxmdnuv6")</f>
        <v>Between 11-17 September Case Density The most increasing 10 provinces by the previous week: Kastamonu, Kırıkkale, Zonguldak, Tokat, Trabzon, Malatya, Yozgat, Düzce, Erzincan, Çorum! If you are in one of these provinces you should be even more careful now. Ultimate solution vaccine, measures condition https://t.co/13uxmdnuv6</v>
      </c>
    </row>
    <row r="398" spans="1:5" ht="15.75" customHeight="1" x14ac:dyDescent="0.25">
      <c r="A398" s="1" t="s">
        <v>796</v>
      </c>
      <c r="B398" s="1">
        <v>3337</v>
      </c>
      <c r="C398" s="3">
        <v>44463.699965277781</v>
      </c>
      <c r="D398" s="1" t="s">
        <v>797</v>
      </c>
      <c r="E398" s="4" t="str">
        <f ca="1">IFERROR(__xludf.DUMMYFUNCTION("GOOGLETRANSLATE(A398 , ""tr"" , ""en"")"),"What was the total number of new Covid-19 Cases in 100,000 people in September 11-17? You can learn the situation in the province where you are experiencing, from our weekly incidence map. https://t.co/uv8dk8orfu")</f>
        <v>What was the total number of new Covid-19 Cases in 100,000 people in September 11-17? You can learn the situation in the province where you are experiencing, from our weekly incidence map. https://t.co/uv8dk8orfu</v>
      </c>
    </row>
    <row r="399" spans="1:5" ht="15.75" customHeight="1" x14ac:dyDescent="0.25">
      <c r="A399" s="1" t="s">
        <v>798</v>
      </c>
      <c r="B399" s="1">
        <v>4435</v>
      </c>
      <c r="C399" s="3">
        <v>44463.689560185187</v>
      </c>
      <c r="D399" s="1" t="s">
        <v>799</v>
      </c>
      <c r="E399" s="4" t="str">
        <f ca="1">IFERROR(__xludf.DUMMYFUNCTION("GOOGLETRANSLATE(A399 , ""tr"" , ""en"")"),"It increases the risk to get used! The number of cases today is 27.197. CAN Loss 221. In the last days, we are getting used to the results of the last days. We should take the situation as seriously as they live for the first time. We know that we have ac"&amp;"hieved success when we decide. https://t.co/Isbrgrlsmo")</f>
        <v>It increases the risk to get used! The number of cases today is 27.197. CAN Loss 221. In the last days, we are getting used to the results of the last days. We should take the situation as seriously as they live for the first time. We know that we have achieved success when we decide. https://t.co/Isbrgrlsmo</v>
      </c>
    </row>
    <row r="400" spans="1:5" ht="15.75" customHeight="1" x14ac:dyDescent="0.25">
      <c r="A400" s="1" t="s">
        <v>800</v>
      </c>
      <c r="B400" s="1">
        <v>4542</v>
      </c>
      <c r="C400" s="3">
        <v>44462.774363425924</v>
      </c>
      <c r="D400" s="1" t="s">
        <v>801</v>
      </c>
      <c r="E400" s="4" t="str">
        <f ca="1">IFERROR(__xludf.DUMMYFUNCTION("GOOGLETRANSLATE(A400 , ""tr"" , ""en"")"),"Our Map is rearranged to basis the second overdose rate. The second dose of vaccines in our provinces are above 65% in our provinces. Hatay joins today between the yellow provinces. We expect a much higher rate than Hatay to reach the target of community "&amp;"immunity.")</f>
        <v>Our Map is rearranged to basis the second overdose rate. The second dose of vaccines in our provinces are above 65% in our provinces. Hatay joins today between the yellow provinces. We expect a much higher rate than Hatay to reach the target of community immunity.</v>
      </c>
    </row>
    <row r="401" spans="1:5" ht="15.75" customHeight="1" x14ac:dyDescent="0.25">
      <c r="A401" s="1" t="s">
        <v>802</v>
      </c>
      <c r="B401" s="1">
        <v>4909</v>
      </c>
      <c r="C401" s="3">
        <v>44462.754548611112</v>
      </c>
      <c r="D401" s="1" t="s">
        <v>803</v>
      </c>
      <c r="E401" s="4" t="str">
        <f ca="1">IFERROR(__xludf.DUMMYFUNCTION("GOOGLETRANSLATE(A401 , ""tr"" , ""en"")"),"Our Map is rearranged to basis the second overdose rate. The second overdose rate is over 75% in our provinces that are blue now. Balıkesir joins today between the blue provinces. We celebrate Balıkesir for success in which we reach the target of communit"&amp;"y immunity.")</f>
        <v>Our Map is rearranged to basis the second overdose rate. The second overdose rate is over 75% in our provinces that are blue now. Balıkesir joins today between the blue provinces. We celebrate Balıkesir for success in which we reach the target of community immunity.</v>
      </c>
    </row>
    <row r="402" spans="1:5" ht="15.75" customHeight="1" x14ac:dyDescent="0.25">
      <c r="A402" s="1" t="s">
        <v>804</v>
      </c>
      <c r="B402" s="1">
        <v>2963</v>
      </c>
      <c r="C402" s="3">
        <v>44462.741851851853</v>
      </c>
      <c r="D402" s="1" t="s">
        <v>805</v>
      </c>
      <c r="E402" s="4" t="str">
        <f ca="1">IFERROR(__xludf.DUMMYFUNCTION("GOOGLETRANSLATE(A402 , ""tr"" , ""en"")"),"The vaccine continues when life is flowing. We are in the onion fields. https://t.co/tonRIF37DF")</f>
        <v>The vaccine continues when life is flowing. We are in the onion fields. https://t.co/tonRIF37DF</v>
      </c>
    </row>
    <row r="403" spans="1:5" ht="15.75" customHeight="1" x14ac:dyDescent="0.25">
      <c r="A403" s="1" t="s">
        <v>806</v>
      </c>
      <c r="B403" s="1">
        <v>4272</v>
      </c>
      <c r="C403" s="3">
        <v>44462.709085648145</v>
      </c>
      <c r="D403" s="1" t="s">
        <v>807</v>
      </c>
      <c r="E403" s="4" t="str">
        <f ca="1">IFERROR(__xludf.DUMMYFUNCTION("GOOGLETRANSLATE(A403 , ""tr"" , ""en"")"),"Our new case count is 27.844. CAN loss 217. The dramatic results of the epidemic are determined by the new case numbers. We can continuously decrease in life losses, but can continuously reduce the number of cases in stable manner. As our vaccinations of "&amp;"the table, let's control the measures. https://t.co/p60s9agp0b")</f>
        <v>Our new case count is 27.844. CAN loss 217. The dramatic results of the epidemic are determined by the new case numbers. We can continuously decrease in life losses, but can continuously reduce the number of cases in stable manner. As our vaccinations of the table, let's control the measures. https://t.co/p60s9agp0b</v>
      </c>
    </row>
    <row r="404" spans="1:5" ht="15.75" customHeight="1" x14ac:dyDescent="0.25">
      <c r="A404" s="1" t="s">
        <v>808</v>
      </c>
      <c r="B404" s="1">
        <v>4941</v>
      </c>
      <c r="C404" s="3">
        <v>44461.814768518518</v>
      </c>
      <c r="D404" s="1" t="s">
        <v>809</v>
      </c>
      <c r="E404" s="4" t="str">
        <f ca="1">IFERROR(__xludf.DUMMYFUNCTION("GOOGLETRANSLATE(A404 , ""tr"" , ""en"")"),"We met with our nationalities with European Ampute Soccer Champion, leaving behind 13 countries. On the Day of September 19, the trophy of the veterans were gifted with our veterans. We are proud. They're right! https://t.co/phabr1qo9b")</f>
        <v>We met with our nationalities with European Ampute Soccer Champion, leaving behind 13 countries. On the Day of September 19, the trophy of the veterans were gifted with our veterans. We are proud. They're right! https://t.co/phabr1qo9b</v>
      </c>
    </row>
    <row r="405" spans="1:5" ht="15.75" customHeight="1" x14ac:dyDescent="0.25">
      <c r="A405" s="1" t="s">
        <v>810</v>
      </c>
      <c r="B405" s="1">
        <v>7357</v>
      </c>
      <c r="C405" s="3">
        <v>44461.779687499999</v>
      </c>
      <c r="D405" s="1" t="s">
        <v>811</v>
      </c>
      <c r="E405" s="4" t="str">
        <f ca="1">IFERROR(__xludf.DUMMYFUNCTION("GOOGLETRANSLATE(A405 , ""tr"" , ""en"")"),"The Science Board: ""We are insisty that schools, including the vaccine is now the most recently closing institutions, including universities."" https://t.co/iabizIqojz")</f>
        <v>The Science Board: "We are insisty that schools, including the vaccine is now the most recently closing institutions, including universities." https://t.co/iabizIqojz</v>
      </c>
    </row>
    <row r="406" spans="1:5" ht="15.75" customHeight="1" x14ac:dyDescent="0.25">
      <c r="A406" s="1" t="s">
        <v>812</v>
      </c>
      <c r="B406" s="1">
        <v>4609</v>
      </c>
      <c r="C406" s="3">
        <v>44461.711886574078</v>
      </c>
      <c r="D406" s="1" t="s">
        <v>813</v>
      </c>
      <c r="E406" s="4" t="str">
        <f ca="1">IFERROR(__xludf.DUMMYFUNCTION("GOOGLETRANSLATE(A406 , ""tr"" , ""en"")"),"TURKEY in Turkey, the 18 years of age and over population of two dose of vaccines is 68.91%. Only in 7 provinces this rate is over 75%. In the two dose vaccines, 42.5% if our lowest rate on provincial basis. First dose start, we are starting to get result"&amp;"s with the second dose. Let's get our vaccinations against the Covid-19 table immediately. https://t.co/eookeum6mm")</f>
        <v>TURKEY in Turkey, the 18 years of age and over population of two dose of vaccines is 68.91%. Only in 7 provinces this rate is over 75%. In the two dose vaccines, 42.5% if our lowest rate on provincial basis. First dose start, we are starting to get results with the second dose. Let's get our vaccinations against the Covid-19 table immediately. https://t.co/eookeum6mm</v>
      </c>
    </row>
    <row r="407" spans="1:5" ht="15.75" customHeight="1" x14ac:dyDescent="0.25">
      <c r="A407" s="1" t="s">
        <v>814</v>
      </c>
      <c r="B407" s="1">
        <v>3481</v>
      </c>
      <c r="C407" s="3">
        <v>44460.877708333333</v>
      </c>
      <c r="D407" s="1" t="s">
        <v>815</v>
      </c>
      <c r="E407" s="4" t="str">
        <f ca="1">IFERROR(__xludf.DUMMYFUNCTION("GOOGLETRANSLATE(A407 , ""tr"" , ""en"")"),"SN. Our President, United Nations 76. In the conversation that they could address the General Assembly, our native vaccine turkovac is soon to be offered to the service of humanity along with our nation.")</f>
        <v>SN. Our President, United Nations 76. In the conversation that they could address the General Assembly, our native vaccine turkovac is soon to be offered to the service of humanity along with our nation.</v>
      </c>
    </row>
    <row r="408" spans="1:5" ht="15.75" customHeight="1" x14ac:dyDescent="0.25">
      <c r="A408" s="1" t="s">
        <v>816</v>
      </c>
      <c r="B408" s="1">
        <v>5320</v>
      </c>
      <c r="C408" s="3">
        <v>44460.811342592591</v>
      </c>
      <c r="D408" s="1" t="s">
        <v>817</v>
      </c>
      <c r="E408" s="4" t="str">
        <f ca="1">IFERROR(__xludf.DUMMYFUNCTION("GOOGLETRANSLATE(A408 , ""tr"" , ""en"")"),"The ratio of two overdose vaccines in 84 million, the ratio of 50% in the population of 50%, 18 years of age and older. Today in a shared message the vaccine rate in the total population was accidentally specified for 18 years of age or older. The right n"&amp;"ews is much better: we are one of us in a double dose!")</f>
        <v>The ratio of two overdose vaccines in 84 million, the ratio of 50% in the population of 50%, 18 years of age and older. Today in a shared message the vaccine rate in the total population was accidentally specified for 18 years of age or older. The right news is much better: we are one of us in a double dose!</v>
      </c>
    </row>
    <row r="409" spans="1:5" ht="15.75" customHeight="1" x14ac:dyDescent="0.25">
      <c r="A409" s="1" t="s">
        <v>818</v>
      </c>
      <c r="B409" s="1">
        <v>6182</v>
      </c>
      <c r="C409" s="3">
        <v>44460.755243055559</v>
      </c>
      <c r="D409" s="1" t="s">
        <v>819</v>
      </c>
      <c r="E409" s="4" t="str">
        <f ca="1">IFERROR(__xludf.DUMMYFUNCTION("GOOGLETRANSLATE(A409 , ""tr"" , ""en"")"),"The number of cases today is 29.338. Our new life loss 260. In the number of cases of cases, 20,000 critical thresholds are now approaching almost 30,000. Be very careful in social environments. Use your mask. Always book your vaccines you don't have. We "&amp;"are in a critical period. https://t.co/z8ycvpid9s")</f>
        <v>The number of cases today is 29.338. Our new life loss 260. In the number of cases of cases, 20,000 critical thresholds are now approaching almost 30,000. Be very careful in social environments. Use your mask. Always book your vaccines you don't have. We are in a critical period. https://t.co/z8ycvpid9s</v>
      </c>
    </row>
    <row r="410" spans="1:5" ht="15.75" customHeight="1" x14ac:dyDescent="0.25">
      <c r="A410" s="1" t="s">
        <v>820</v>
      </c>
      <c r="B410" s="1">
        <v>2938</v>
      </c>
      <c r="C410" s="3">
        <v>44459.78702546296</v>
      </c>
      <c r="D410" s="1" t="s">
        <v>821</v>
      </c>
      <c r="E410" s="4" t="str">
        <f ca="1">IFERROR(__xludf.DUMMYFUNCTION("GOOGLETRANSLATE(A410 , ""tr"" , ""en"")"),"""I wanted to be vaccinated in fact. I have negligent due to work. "" https://t.co/tcisirl81w")</f>
        <v>"I wanted to be vaccinated in fact. I have negligent due to work. " https://t.co/tcisirl81w</v>
      </c>
    </row>
    <row r="411" spans="1:5" ht="15.75" customHeight="1" x14ac:dyDescent="0.25">
      <c r="A411" s="1" t="s">
        <v>822</v>
      </c>
      <c r="B411" s="1">
        <v>7522</v>
      </c>
      <c r="C411" s="3">
        <v>44459.747662037036</v>
      </c>
      <c r="D411" s="1" t="s">
        <v>823</v>
      </c>
      <c r="E411" s="4" t="str">
        <f ca="1">IFERROR(__xludf.DUMMYFUNCTION("GOOGLETRANSLATE(A411 , ""tr"" , ""en"")"),"Daily Covid-19 has changed our tabloid. From today, we will share the rates of at least two overdose vaccines instead of the first dose of provincial. Let's reduce the number of case numbers by making our vaccines, reduce our life losses. We have recorded"&amp;" an important distance in the first overdose. https://t.co/gsso98hdck")</f>
        <v>Daily Covid-19 has changed our tabloid. From today, we will share the rates of at least two overdose vaccines instead of the first dose of provincial. Let's reduce the number of case numbers by making our vaccines, reduce our life losses. We have recorded an important distance in the first overdose. https://t.co/gsso98hdck</v>
      </c>
    </row>
    <row r="412" spans="1:5" ht="15.75" customHeight="1" x14ac:dyDescent="0.25">
      <c r="A412" s="1" t="s">
        <v>824</v>
      </c>
      <c r="B412" s="1">
        <v>7313</v>
      </c>
      <c r="C412" s="3">
        <v>44458.865347222221</v>
      </c>
      <c r="D412" s="1" t="s">
        <v>825</v>
      </c>
      <c r="E412" s="4" t="str">
        <f ca="1">IFERROR(__xludf.DUMMYFUNCTION("GOOGLETRANSLATE(A412 , ""tr"" , ""en"")"),"They revealed their hearts, they won with their forces! In the final match, we renew Spain 6-0 by celebrating the European Amputee Football Championship Cup. https://t.co/iiy469vjdv")</f>
        <v>They revealed their hearts, they won with their forces! In the final match, we renew Spain 6-0 by celebrating the European Amputee Football Championship Cup. https://t.co/iiy469vjdv</v>
      </c>
    </row>
    <row r="413" spans="1:5" ht="15.75" customHeight="1" x14ac:dyDescent="0.25">
      <c r="A413" s="1" t="s">
        <v>826</v>
      </c>
      <c r="B413" s="1">
        <v>6232</v>
      </c>
      <c r="C413" s="3">
        <v>44458.831307870372</v>
      </c>
      <c r="D413" s="1" t="s">
        <v>827</v>
      </c>
      <c r="E413" s="4" t="str">
        <f ca="1">IFERROR(__xludf.DUMMYFUNCTION("GOOGLETRANSLATE(A413 , ""tr"" , ""en"")"),"Single color against Covid-19! We have 10 products in the yellow risk category. Upgrade our first dose of vaccines and meet 81 provinces, the whole country, in blue. Blue means to complete the first dose preparation for community immunity!")</f>
        <v>Single color against Covid-19! We have 10 products in the yellow risk category. Upgrade our first dose of vaccines and meet 81 provinces, the whole country, in blue. Blue means to complete the first dose preparation for community immunity!</v>
      </c>
    </row>
    <row r="414" spans="1:5" ht="15.75" customHeight="1" x14ac:dyDescent="0.25">
      <c r="A414" s="1" t="s">
        <v>828</v>
      </c>
      <c r="B414" s="1">
        <v>4575</v>
      </c>
      <c r="C414" s="3">
        <v>44458.818229166667</v>
      </c>
      <c r="D414" s="1" t="s">
        <v>829</v>
      </c>
      <c r="E414" s="4" t="str">
        <f ca="1">IFERROR(__xludf.DUMMYFUNCTION("GOOGLETRANSLATE(A414 , ""tr"" , ""en"")"),"Bitlis, the first dose of vaccination is over 75% today, Turkey was blue on Covid-19 risk map. 10 of our 81 is still yellow. Let's take action to complete the success in the first dose rate.")</f>
        <v>Bitlis, the first dose of vaccination is over 75% today, Turkey was blue on Covid-19 risk map. 10 of our 81 is still yellow. Let's take action to complete the success in the first dose rate.</v>
      </c>
    </row>
    <row r="415" spans="1:5" ht="15.75" customHeight="1" x14ac:dyDescent="0.25">
      <c r="A415" s="1" t="s">
        <v>830</v>
      </c>
      <c r="B415" s="1">
        <v>5035</v>
      </c>
      <c r="C415" s="3">
        <v>44458.678124999999</v>
      </c>
      <c r="D415" s="1" t="s">
        <v>831</v>
      </c>
      <c r="E415" s="4" t="str">
        <f ca="1">IFERROR(__xludf.DUMMYFUNCTION("GOOGLETRANSLATE(A415 , ""tr"" , ""en"")"),"The number of cases today is 26.398. Our new life loss 213. If the case numbers continue in the last week, we will not be able to avoid a high number of losses. We must provide a stable decline with measures and vaccine. The last week is warning us. https"&amp;"://t.co/gmdk8mz621")</f>
        <v>The number of cases today is 26.398. Our new life loss 213. If the case numbers continue in the last week, we will not be able to avoid a high number of losses. We must provide a stable decline with measures and vaccine. The last week is warning us. https://t.co/gmdk8mz621</v>
      </c>
    </row>
    <row r="416" spans="1:5" ht="15.75" customHeight="1" x14ac:dyDescent="0.25">
      <c r="A416" s="1" t="s">
        <v>832</v>
      </c>
      <c r="B416" s="1">
        <v>5557</v>
      </c>
      <c r="C416" s="3">
        <v>44457.812199074076</v>
      </c>
      <c r="D416" s="1" t="s">
        <v>833</v>
      </c>
      <c r="E416" s="4" t="str">
        <f ca="1">IFERROR(__xludf.DUMMYFUNCTION("GOOGLETRANSLATE(A416 , ""tr"" , ""en"")"),"""Make a minute, a second without spending a second. The mistake I do is just and only negligent. "" https://t.co/zhh6pqmy6r")</f>
        <v>"Make a minute, a second without spending a second. The mistake I do is just and only negligent. " https://t.co/zhh6pqmy6r</v>
      </c>
    </row>
    <row r="417" spans="1:5" ht="15.75" customHeight="1" x14ac:dyDescent="0.25">
      <c r="A417" s="1" t="s">
        <v>834</v>
      </c>
      <c r="B417" s="1">
        <v>5434</v>
      </c>
      <c r="C417" s="3">
        <v>44457.687858796293</v>
      </c>
      <c r="D417" s="1" t="s">
        <v>835</v>
      </c>
      <c r="E417" s="4" t="str">
        <f ca="1">IFERROR(__xludf.DUMMYFUNCTION("GOOGLETRANSLATE(A417 , ""tr"" , ""en"")"),"Case Numbers
September 18: 26.161
September 17: 27.692
September 16: 28.118
September 15: 28.224
September 14: 27.802
September 13: 24.613
September 12: 21.352
The number of cases should be compared with an average week before a day before. The last week "&amp;"is warning us. Let the rules, let us be our vaccine. https://t.co/dm24aucszl")</f>
        <v>Case Numbers
September 18: 26.161
September 17: 27.692
September 16: 28.118
September 15: 28.224
September 14: 27.802
September 13: 24.613
September 12: 21.352
The number of cases should be compared with an average week before a day before. The last week is warning us. Let the rules, let us be our vaccine. https://t.co/dm24aucszl</v>
      </c>
    </row>
    <row r="418" spans="1:5" ht="15.75" customHeight="1" x14ac:dyDescent="0.25">
      <c r="A418" s="1" t="s">
        <v>836</v>
      </c>
      <c r="B418" s="1">
        <v>5057</v>
      </c>
      <c r="C418" s="3">
        <v>44456.745347222219</v>
      </c>
      <c r="D418" s="1" t="s">
        <v>837</v>
      </c>
      <c r="E418" s="4" t="str">
        <f ca="1">IFERROR(__xludf.DUMMYFUNCTION("GOOGLETRANSLATE(A418 , ""tr"" , ""en"")"),"Adiyaman, the first dose of the vaccination was over 75% today, Turkey was blue on Covid-19 risk map. We expect that the second dose of vaccine from Adiyaman to upgrade the in the same way, are still in the blue risk category of our provinces that are sti"&amp;"ll yellow.")</f>
        <v>Adiyaman, the first dose of the vaccination was over 75% today, Turkey was blue on Covid-19 risk map. We expect that the second dose of vaccine from Adiyaman to upgrade the in the same way, are still in the blue risk category of our provinces that are still yellow.</v>
      </c>
    </row>
    <row r="419" spans="1:5" ht="15.75" customHeight="1" x14ac:dyDescent="0.25">
      <c r="A419" s="1" t="s">
        <v>838</v>
      </c>
      <c r="B419" s="1">
        <v>4748</v>
      </c>
      <c r="C419" s="3">
        <v>44456.717152777775</v>
      </c>
      <c r="D419" s="1" t="s">
        <v>839</v>
      </c>
      <c r="E419" s="4" t="str">
        <f ca="1">IFERROR(__xludf.DUMMYFUNCTION("GOOGLETRANSLATE(A419 , ""tr"" , ""en"")"),"Prime Minister Adnan Menderes was executed today 60 years ago. During the trial, it was not even that a crime will lead to this result. But the will of May 27 asked his execution. We remember Adnan Menderes and his friends who are executed with him. https"&amp;"://t.co/4ee4uy9nhd")</f>
        <v>Prime Minister Adnan Menderes was executed today 60 years ago. During the trial, it was not even that a crime will lead to this result. But the will of May 27 asked his execution. We remember Adnan Menderes and his friends who are executed with him. https://t.co/4ee4uy9nhd</v>
      </c>
    </row>
    <row r="420" spans="1:5" ht="15.75" customHeight="1" x14ac:dyDescent="0.25">
      <c r="A420" s="1" t="s">
        <v>840</v>
      </c>
      <c r="B420" s="1">
        <v>4383</v>
      </c>
      <c r="C420" s="3">
        <v>44456.709062499998</v>
      </c>
      <c r="D420" s="1" t="s">
        <v>841</v>
      </c>
      <c r="E420" s="4" t="str">
        <f ca="1">IFERROR(__xludf.DUMMYFUNCTION("GOOGLETRANSLATE(A420 , ""tr"" , ""en"")"),"Our loss is not as much as yesterday's. Our case count reflects the mobility period in which we are in the same seriousness. This will continue to reflect on the number of passages in close days. Our full dose is that we must give the necessary struggle a"&amp;"gainst the outbreak of the measures. https://t.co/uvstkxbdd3")</f>
        <v>Our loss is not as much as yesterday's. Our case count reflects the mobility period in which we are in the same seriousness. This will continue to reflect on the number of passages in close days. Our full dose is that we must give the necessary struggle against the outbreak of the measures. https://t.co/uvstkxbdd3</v>
      </c>
    </row>
    <row r="421" spans="1:5" ht="15.75" customHeight="1" x14ac:dyDescent="0.25">
      <c r="A421" s="1" t="s">
        <v>842</v>
      </c>
      <c r="B421" s="1">
        <v>4194</v>
      </c>
      <c r="C421" s="3">
        <v>44455.798726851855</v>
      </c>
      <c r="D421" s="1" t="s">
        <v>843</v>
      </c>
      <c r="E421" s="4" t="str">
        <f ca="1">IFERROR(__xludf.DUMMYFUNCTION("GOOGLETRANSLATE(A421 , ""tr"" , ""en"")"),"The vaccines should not remove the fact that the vaccines are completed, ie 14 days after the 2nd dose of 14 days. Measures are required for all of us until social immunity is obtained. Let's not compromise the mask, distance, cleaning rules. https://t.co"&amp;"/r5vnu3k8hq")</f>
        <v>The vaccines should not remove the fact that the vaccines are completed, ie 14 days after the 2nd dose of 14 days. Measures are required for all of us until social immunity is obtained. Let's not compromise the mask, distance, cleaning rules. https://t.co/r5vnu3k8hq</v>
      </c>
    </row>
    <row r="422" spans="1:5" ht="15.75" customHeight="1" x14ac:dyDescent="0.25">
      <c r="A422" s="1" t="s">
        <v>844</v>
      </c>
      <c r="B422" s="1">
        <v>5335</v>
      </c>
      <c r="C422" s="3">
        <v>44455.680162037039</v>
      </c>
      <c r="D422" s="1" t="s">
        <v>845</v>
      </c>
      <c r="E422" s="4" t="str">
        <f ca="1">IFERROR(__xludf.DUMMYFUNCTION("GOOGLETRANSLATE(A422 , ""tr"" , ""en"")"),"CAN Loss 262. Case Count 28.118. The risk with increasing mobility is even more common. By implementing the measures tomorrow, you may have a share in the variation of the results in the table after average after 1 week, as well as 2 weeks after 2 weeks. "&amp;"https://t.co/gaoi95mrcr")</f>
        <v>CAN Loss 262. Case Count 28.118. The risk with increasing mobility is even more common. By implementing the measures tomorrow, you may have a share in the variation of the results in the table after average after 1 week, as well as 2 weeks after 2 weeks. https://t.co/gaoi95mrcr</v>
      </c>
    </row>
    <row r="423" spans="1:5" ht="15.75" customHeight="1" x14ac:dyDescent="0.25">
      <c r="A423" s="1" t="s">
        <v>846</v>
      </c>
      <c r="B423" s="1">
        <v>2360</v>
      </c>
      <c r="C423" s="3">
        <v>44455.611666666664</v>
      </c>
      <c r="D423" s="1" t="s">
        <v>847</v>
      </c>
      <c r="E423" s="4" t="str">
        <f ca="1">IFERROR(__xludf.DUMMYFUNCTION("GOOGLETRANSLATE(A423 , ""tr"" , ""en"")"),"We have exited anxiety and confusion environment. We have to make it permanent. We will fit the measures together and obtain social immunity as vaccines. https://t.co/qndwx1zx9h")</f>
        <v>We have exited anxiety and confusion environment. We have to make it permanent. We will fit the measures together and obtain social immunity as vaccines. https://t.co/qndwx1zx9h</v>
      </c>
    </row>
    <row r="424" spans="1:5" ht="15.75" customHeight="1" x14ac:dyDescent="0.25">
      <c r="A424" s="1" t="s">
        <v>848</v>
      </c>
      <c r="B424" s="1">
        <v>2449</v>
      </c>
      <c r="C424" s="3">
        <v>44455.595393518517</v>
      </c>
      <c r="D424" s="1" t="s">
        <v>849</v>
      </c>
      <c r="E424" s="4" t="str">
        <f ca="1">IFERROR(__xludf.DUMMYFUNCTION("GOOGLETRANSLATE(A424 , ""tr"" , ""en"")"),"In the last days, we are witnessing that the number of our losses are highly associated with the vaccination effectiveness. However, the rate of non-pudding in our cases and losses is very high. This shows that the results may be heavier if there were no "&amp;"vaccines. We must be vaccinated necessarily. https://t.co/9d28yjzjwc")</f>
        <v>In the last days, we are witnessing that the number of our losses are highly associated with the vaccination effectiveness. However, the rate of non-pudding in our cases and losses is very high. This shows that the results may be heavier if there were no vaccines. We must be vaccinated necessarily. https://t.co/9d28yjzjwc</v>
      </c>
    </row>
    <row r="425" spans="1:5" ht="15.75" customHeight="1" x14ac:dyDescent="0.25">
      <c r="A425" s="1" t="s">
        <v>850</v>
      </c>
      <c r="B425" s="1">
        <v>2265</v>
      </c>
      <c r="C425" s="3">
        <v>44455.471712962964</v>
      </c>
      <c r="D425" s="1" t="s">
        <v>851</v>
      </c>
      <c r="E425" s="4" t="str">
        <f ca="1">IFERROR(__xludf.DUMMYFUNCTION("GOOGLETRANSLATE(A425 , ""tr"" , ""en"")"),"1. We have made development at a high rate in the dose inoculation. The queue came to upgrade the second overdose rate. We will share the 1st dose vaccination rate map with you every day, and we will offer each day with two dose of vaccination rates from "&amp;"the Map Monday. https://t.co/admgaI4xvh")</f>
        <v>1. We have made development at a high rate in the dose inoculation. The queue came to upgrade the second overdose rate. We will share the 1st dose vaccination rate map with you every day, and we will offer each day with two dose of vaccination rates from the Map Monday. https://t.co/admgaI4xvh</v>
      </c>
    </row>
    <row r="426" spans="1:5" ht="15.75" customHeight="1" x14ac:dyDescent="0.25">
      <c r="A426" s="1" t="s">
        <v>852</v>
      </c>
      <c r="B426" s="1">
        <v>2714</v>
      </c>
      <c r="C426" s="3">
        <v>44455.46466435185</v>
      </c>
      <c r="D426" s="1" t="s">
        <v>853</v>
      </c>
      <c r="E426" s="4" t="str">
        <f ca="1">IFERROR(__xludf.DUMMYFUNCTION("GOOGLETRANSLATE(A426 , ""tr"" , ""en"")"),"The tests to be made for scanning students are dependent on the permission of all parents. The sampling process for the test will be made by solely samples from the throat if our parents are allowed in the consent presented to them. Otherwise there is no "&amp;"matter of medical ethics. https://t.co/vlu86jdk2b")</f>
        <v>The tests to be made for scanning students are dependent on the permission of all parents. The sampling process for the test will be made by solely samples from the throat if our parents are allowed in the consent presented to them. Otherwise there is no matter of medical ethics. https://t.co/vlu86jdk2b</v>
      </c>
    </row>
    <row r="427" spans="1:5" ht="15.75" customHeight="1" x14ac:dyDescent="0.25">
      <c r="A427" s="1" t="s">
        <v>854</v>
      </c>
      <c r="B427" s="1">
        <v>2129</v>
      </c>
      <c r="C427" s="3">
        <v>44455.434212962966</v>
      </c>
      <c r="D427" s="1" t="s">
        <v>855</v>
      </c>
      <c r="E427" s="4" t="str">
        <f ca="1">IFERROR(__xludf.DUMMYFUNCTION("GOOGLETRANSLATE(A427 , ""tr"" , ""en"")"),"Between 4-10 September Case Density The most increasing 10 of our previous week: Kilis, Erzincan, Malatya, Karabük, Kastamonu, Erzurum, Adiyaman, Kayseri, Slap, Sinop! If you are in one of these provinces you should be even more careful now. https://t.co/"&amp;"ggqfekqgez")</f>
        <v>Between 4-10 September Case Density The most increasing 10 of our previous week: Kilis, Erzincan, Malatya, Karabük, Kastamonu, Erzurum, Adiyaman, Kayseri, Slap, Sinop! If you are in one of these provinces you should be even more careful now. https://t.co/ggqfekqgez</v>
      </c>
    </row>
    <row r="428" spans="1:5" ht="15.75" customHeight="1" x14ac:dyDescent="0.25">
      <c r="A428" s="1" t="s">
        <v>856</v>
      </c>
      <c r="B428" s="1">
        <v>3337</v>
      </c>
      <c r="C428" s="3">
        <v>44455.430509259262</v>
      </c>
      <c r="D428" s="1" t="s">
        <v>857</v>
      </c>
      <c r="E428" s="4" t="str">
        <f ca="1">IFERROR(__xludf.DUMMYFUNCTION("GOOGLETRANSLATE(A428 , ""tr"" , ""en"")"),"From 4-10 September, what was a total of weekly new Covid-19 cases in 100,000 people? You can learn the situation in the province where you are experiencing, from our weekly incidence map. https://t.co/edk9gyxjbk")</f>
        <v>From 4-10 September, what was a total of weekly new Covid-19 cases in 100,000 people? You can learn the situation in the province where you are experiencing, from our weekly incidence map. https://t.co/edk9gyxjbk</v>
      </c>
    </row>
    <row r="429" spans="1:5" ht="15.75" customHeight="1" x14ac:dyDescent="0.25">
      <c r="A429" s="1" t="s">
        <v>858</v>
      </c>
      <c r="B429" s="1">
        <v>1949</v>
      </c>
      <c r="C429" s="3">
        <v>44454.759814814817</v>
      </c>
      <c r="D429" s="1" t="s">
        <v>859</v>
      </c>
      <c r="E429" s="4" t="str">
        <f ca="1">IFERROR(__xludf.DUMMYFUNCTION("GOOGLETRANSLATE(A429 , ""tr"" , ""en"")"),"Live: After our Science Board Meeting, our press statement:
https://t.co/ygsth0dreh")</f>
        <v>Live: After our Science Board Meeting, our press statement:
https://t.co/ygsth0dreh</v>
      </c>
    </row>
    <row r="430" spans="1:5" ht="15.75" customHeight="1" x14ac:dyDescent="0.25">
      <c r="A430" s="1" t="s">
        <v>860</v>
      </c>
      <c r="B430" s="1">
        <v>7080</v>
      </c>
      <c r="C430" s="3">
        <v>44454.750196759262</v>
      </c>
      <c r="D430" s="1" t="s">
        <v>861</v>
      </c>
      <c r="E430" s="4" t="str">
        <f ca="1">IFERROR(__xludf.DUMMYFUNCTION("GOOGLETRANSLATE(A430 , ""tr"" , ""en"")"),"Our orange is not left. Turkey Covid-19 on the risk map of the last orange on the risk of Gümüşhane, the first dose of the vaccine rate was over 65%. Now the turn shows the success to go blue. We celebrate Gumushane.")</f>
        <v>Our orange is not left. Turkey Covid-19 on the risk map of the last orange on the risk of Gümüşhane, the first dose of the vaccine rate was over 65%. Now the turn shows the success to go blue. We celebrate Gumushane.</v>
      </c>
    </row>
    <row r="431" spans="1:5" ht="15.75" customHeight="1" x14ac:dyDescent="0.25">
      <c r="A431" s="1" t="s">
        <v>862</v>
      </c>
      <c r="B431" s="1">
        <v>4813</v>
      </c>
      <c r="C431" s="3">
        <v>44454.745254629626</v>
      </c>
      <c r="D431" s="1" t="s">
        <v>863</v>
      </c>
      <c r="E431" s="4" t="str">
        <f ca="1">IFERROR(__xludf.DUMMYFUNCTION("GOOGLETRANSLATE(A431 , ""tr"" , ""en"")"),"CAN Loss 248. Case Count 28.224. We are in a period where mobility is so intense with contacts. We must be all measures in the double dose vaccine, against the number of new cases over 28. The requirement of success towards the epidemic is to act together"&amp;". https://t.co/rxjwqxaaId")</f>
        <v>CAN Loss 248. Case Count 28.224. We are in a period where mobility is so intense with contacts. We must be all measures in the double dose vaccine, against the number of new cases over 28. The requirement of success towards the epidemic is to act together. https://t.co/rxjwqxaaId</v>
      </c>
    </row>
    <row r="432" spans="1:5" ht="15.75" customHeight="1" x14ac:dyDescent="0.25">
      <c r="A432" s="1" t="s">
        <v>864</v>
      </c>
      <c r="B432" s="1">
        <v>3900</v>
      </c>
      <c r="C432" s="3">
        <v>44453.764918981484</v>
      </c>
      <c r="D432" s="1" t="s">
        <v>865</v>
      </c>
      <c r="E432" s="4" t="str">
        <f ca="1">IFERROR(__xludf.DUMMYFUNCTION("GOOGLETRANSLATE(A432 , ""tr"" , ""en"")"),"Rize with music, tea gardens and vaccination stories! https://t.co/wgdgrnx5pk")</f>
        <v>Rize with music, tea gardens and vaccination stories! https://t.co/wgdgrnx5pk</v>
      </c>
    </row>
    <row r="433" spans="1:5" ht="15.75" customHeight="1" x14ac:dyDescent="0.25">
      <c r="A433" s="1" t="s">
        <v>866</v>
      </c>
      <c r="B433" s="1">
        <v>6690</v>
      </c>
      <c r="C433" s="3">
        <v>44453.726701388892</v>
      </c>
      <c r="D433" s="1" t="s">
        <v>867</v>
      </c>
      <c r="E433" s="4" t="str">
        <f ca="1">IFERROR(__xludf.DUMMYFUNCTION("GOOGLETRANSLATE(A433 , ""tr"" , ""en"")"),"Şanlıurfa increased the first overdose rate over 65%. Yellow in the color of the orange in our map. Currently, the first overdose ratio is below 65%, Gumushane. All Provinces in Yellow and Blue Let's call in Gumushane?")</f>
        <v>Şanlıurfa increased the first overdose rate over 65%. Yellow in the color of the orange in our map. Currently, the first overdose ratio is below 65%, Gumushane. All Provinces in Yellow and Blue Let's call in Gumushane?</v>
      </c>
    </row>
    <row r="434" spans="1:5" ht="15.75" customHeight="1" x14ac:dyDescent="0.25">
      <c r="A434" s="1" t="s">
        <v>868</v>
      </c>
      <c r="B434" s="1">
        <v>5510</v>
      </c>
      <c r="C434" s="3">
        <v>44453.692199074074</v>
      </c>
      <c r="D434" s="1" t="s">
        <v>869</v>
      </c>
      <c r="E434" s="4" t="str">
        <f ca="1">IFERROR(__xludf.DUMMYFUNCTION("GOOGLETRANSLATE(A434 , ""tr"" , ""en"")"),"Our new life loss 276. 276 of the cases previously mentioned in the table resulted in death today. If we provide unity and together in vaccines and measures; Case numbers in a short time, followed by losses quickly falls. The requirement of success agains"&amp;"t the epidemic is union and stability. https://t.co/iu3oIzX27I")</f>
        <v>Our new life loss 276. 276 of the cases previously mentioned in the table resulted in death today. If we provide unity and together in vaccines and measures; Case numbers in a short time, followed by losses quickly falls. The requirement of success against the epidemic is union and stability. https://t.co/iu3oIzX27I</v>
      </c>
    </row>
    <row r="435" spans="1:5" ht="15.75" customHeight="1" x14ac:dyDescent="0.25">
      <c r="A435" s="1" t="s">
        <v>870</v>
      </c>
      <c r="B435" s="1">
        <v>5412</v>
      </c>
      <c r="C435" s="3">
        <v>44452.815358796295</v>
      </c>
      <c r="D435" s="1" t="s">
        <v>871</v>
      </c>
      <c r="E435" s="4" t="str">
        <f ca="1">IFERROR(__xludf.DUMMYFUNCTION("GOOGLETRANSLATE(A435 , ""tr"" , ""en"")"),"They completed the vaccines while completing the hazelnut harvest! https://t.co/90ydcdlr0z")</f>
        <v>They completed the vaccines while completing the hazelnut harvest! https://t.co/90ydcdlr0z</v>
      </c>
    </row>
    <row r="436" spans="1:5" ht="15.75" customHeight="1" x14ac:dyDescent="0.25">
      <c r="A436" s="1" t="s">
        <v>872</v>
      </c>
      <c r="B436" s="1">
        <v>6322</v>
      </c>
      <c r="C436" s="3">
        <v>44452.677743055552</v>
      </c>
      <c r="D436" s="1" t="s">
        <v>873</v>
      </c>
      <c r="E436" s="4" t="str">
        <f ca="1">IFERROR(__xludf.DUMMYFUNCTION("GOOGLETRANSLATE(A436 , ""tr"" , ""en"")"),"As of this evening, the number of at least 2 dose of overdose is 40.635.924. As the rate of vaccination increases, we will be approaching society immunity. Case numbers and depending on the decrease in our life-losses, double-dose vaccines are due to the "&amp;"completion rate, compliance with measures. https://t.co/oirerqdzjl")</f>
        <v>As of this evening, the number of at least 2 dose of overdose is 40.635.924. As the rate of vaccination increases, we will be approaching society immunity. Case numbers and depending on the decrease in our life-losses, double-dose vaccines are due to the completion rate, compliance with measures. https://t.co/oirerqdzjl</v>
      </c>
    </row>
    <row r="437" spans="1:5" ht="15.75" customHeight="1" x14ac:dyDescent="0.25">
      <c r="A437" s="1" t="s">
        <v>874</v>
      </c>
      <c r="B437" s="1">
        <v>4408</v>
      </c>
      <c r="C437" s="3">
        <v>44452.656435185185</v>
      </c>
      <c r="D437" s="1" t="s">
        <v>875</v>
      </c>
      <c r="E437" s="4" t="str">
        <f ca="1">IFERROR(__xludf.DUMMYFUNCTION("GOOGLETRANSLATE(A437 , ""tr"" , ""en"")"),"We are on the 100th anniversary of the Sakarya Challenge Battle victory. The 22 days of combat, the war of salvation was the greatest news of our victory. At the beginning of Gazi Mustafa Kemal Atatürk and we are self-esteem, especially for friends and fr"&amp;"iends, all our heroes and martyrs. https://t.co/rvugkzodz2")</f>
        <v>We are on the 100th anniversary of the Sakarya Challenge Battle victory. The 22 days of combat, the war of salvation was the greatest news of our victory. At the beginning of Gazi Mustafa Kemal Atatürk and we are self-esteem, especially for friends and friends, all our heroes and martyrs. https://t.co/rvugkzodz2</v>
      </c>
    </row>
    <row r="438" spans="1:5" ht="15.75" customHeight="1" x14ac:dyDescent="0.25">
      <c r="A438" s="1" t="s">
        <v>876</v>
      </c>
      <c r="B438" s="1">
        <v>6916</v>
      </c>
      <c r="C438" s="3">
        <v>44451.739664351851</v>
      </c>
      <c r="D438" s="1" t="s">
        <v>877</v>
      </c>
      <c r="E438" s="4" t="str">
        <f ca="1">IFERROR(__xludf.DUMMYFUNCTION("GOOGLETRANSLATE(A438 , ""tr"" , ""en"")"),"12 September 1980 pulses, people's life costs Turkey's years. On the night of July 15, we did not give a new blow to a new impact. Our democracy is our soul diphdy. We have pulse experiences in our memory, it will never be in our future.")</f>
        <v>12 September 1980 pulses, people's life costs Turkey's years. On the night of July 15, we did not give a new blow to a new impact. Our democracy is our soul diphdy. We have pulse experiences in our memory, it will never be in our future.</v>
      </c>
    </row>
    <row r="439" spans="1:5" ht="15.75" customHeight="1" x14ac:dyDescent="0.25">
      <c r="A439" s="1" t="s">
        <v>878</v>
      </c>
      <c r="B439" s="1">
        <v>6341</v>
      </c>
      <c r="C439" s="3">
        <v>44451.686377314814</v>
      </c>
      <c r="D439" s="1" t="s">
        <v>879</v>
      </c>
      <c r="E439" s="4" t="str">
        <f ca="1">IFERROR(__xludf.DUMMYFUNCTION("GOOGLETRANSLATE(A439 , ""tr"" , ""en"")"),"""NOTHING HAPPENS TO ME!"" Number of cases today: 21.352. To these cases ""not me anything."" leads to negligence. Today's Loss: 243. The reason for the passage of the passage, which causes omissions. Our full dose of overdose should be on time, we must c"&amp;"omply with the measures regularly and together. The risk continues. https://t.co/bcjy8cmolt")</f>
        <v>"NOTHING HAPPENS TO ME!" Number of cases today: 21.352. To these cases "not me anything." leads to negligence. Today's Loss: 243. The reason for the passage of the passage, which causes omissions. Our full dose of overdose should be on time, we must comply with the measures regularly and together. The risk continues. https://t.co/bcjy8cmolt</v>
      </c>
    </row>
    <row r="440" spans="1:5" ht="15.75" customHeight="1" x14ac:dyDescent="0.25">
      <c r="A440" s="1" t="s">
        <v>880</v>
      </c>
      <c r="B440" s="1">
        <v>5148</v>
      </c>
      <c r="C440" s="3">
        <v>44450.921840277777</v>
      </c>
      <c r="D440" s="1" t="s">
        <v>881</v>
      </c>
      <c r="E440" s="4" t="str">
        <f ca="1">IFERROR(__xludf.DUMMYFUNCTION("GOOGLETRANSLATE(A440 , ""tr"" , ""en"")"),"We were in the Poetry Night in Kahramanmaras yesterday with our president. A poetry registration of 1999 was located in the night: ""You, me, my homeland, the people of my country"". We share a chapter from the famous poetry of Erdem Bayazıt: ""Sleeps fro"&amp;"m white clothes spilled ..."" https://t.co/5awxwy4v2a")</f>
        <v>We were in the Poetry Night in Kahramanmaras yesterday with our president. A poetry registration of 1999 was located in the night: "You, me, my homeland, the people of my country". We share a chapter from the famous poetry of Erdem Bayazıt: "Sleeps from white clothes spilled ..." https://t.co/5awxwy4v2a</v>
      </c>
    </row>
    <row r="441" spans="1:5" ht="15.75" customHeight="1" x14ac:dyDescent="0.25">
      <c r="A441" s="1" t="s">
        <v>882</v>
      </c>
      <c r="B441" s="1">
        <v>6275</v>
      </c>
      <c r="C441" s="3">
        <v>44450.789675925924</v>
      </c>
      <c r="D441" s="1" t="s">
        <v>883</v>
      </c>
      <c r="E441" s="4" t="str">
        <f ca="1">IFERROR(__xludf.DUMMYFUNCTION("GOOGLETRANSLATE(A441 , ""tr"" , ""en"")"),"Diyarbakır increased the first overdose rate over 65%. Yellow in the color of the orange in our map. At the moment, the first overdose rate is below 65%, orange two products: Şanlıurfa with Gumushane. Do you call all the provinces of yellow and blue, espe"&amp;"cially in Diyarbakir?")</f>
        <v>Diyarbakır increased the first overdose rate over 65%. Yellow in the color of the orange in our map. At the moment, the first overdose rate is below 65%, orange two products: Şanlıurfa with Gumushane. Do you call all the provinces of yellow and blue, especially in Diyarbakir?</v>
      </c>
    </row>
    <row r="442" spans="1:5" ht="15.75" customHeight="1" x14ac:dyDescent="0.25">
      <c r="A442" s="1" t="s">
        <v>884</v>
      </c>
      <c r="B442" s="1">
        <v>3654</v>
      </c>
      <c r="C442" s="3">
        <v>44450.764027777775</v>
      </c>
      <c r="D442" s="1" t="s">
        <v>885</v>
      </c>
      <c r="E442" s="4" t="str">
        <f ca="1">IFERROR(__xludf.DUMMYFUNCTION("GOOGLETRANSLATE(A442 , ""tr"" , ""en"")"),"The two heroes of our nation have married the martyrs today. Idlib Tension Reducing Duties in the Reduction Zone The treacherous attack in the treacherous attack on the ramazan iron and the mujahide bordepan to the Mujahide Bordepe siblings and their cond"&amp;"olences to their families. Our pain is big. https://t.co/rv47jxcnjc")</f>
        <v>The two heroes of our nation have married the martyrs today. Idlib Tension Reducing Duties in the Reduction Zone The treacherous attack in the treacherous attack on the ramazan iron and the mujahide bordepan to the Mujahide Bordepe siblings and their condolences to their families. Our pain is big. https://t.co/rv47jxcnjc</v>
      </c>
    </row>
    <row r="443" spans="1:5" ht="15.75" customHeight="1" x14ac:dyDescent="0.25">
      <c r="A443" s="1" t="s">
        <v>886</v>
      </c>
      <c r="B443" s="1">
        <v>4740</v>
      </c>
      <c r="C443" s="3">
        <v>44450.717280092591</v>
      </c>
      <c r="D443" s="1" t="s">
        <v>887</v>
      </c>
      <c r="E443" s="4" t="str">
        <f ca="1">IFERROR(__xludf.DUMMYFUNCTION("GOOGLETRANSLATE(A443 , ""tr"" , ""en"")"),"Our Case Count is 22,923. CAN loss 259. The decrease in the number of passages; The measures are connected to everyone's rapidly increasing the full dose of vaccines. We can stop the propagation and consequences like that. Each new day we should take non-"&amp;"return steps from outbreaks. https://t.co/se8i06jplh")</f>
        <v>Our Case Count is 22,923. CAN loss 259. The decrease in the number of passages; The measures are connected to everyone's rapidly increasing the full dose of vaccines. We can stop the propagation and consequences like that. Each new day we should take non-return steps from outbreaks. https://t.co/se8i06jplh</v>
      </c>
    </row>
    <row r="444" spans="1:5" ht="15.75" customHeight="1" x14ac:dyDescent="0.25">
      <c r="A444" s="1" t="s">
        <v>888</v>
      </c>
      <c r="B444" s="1">
        <v>2409</v>
      </c>
      <c r="C444" s="3">
        <v>44450.381689814814</v>
      </c>
      <c r="D444" s="1" t="s">
        <v>889</v>
      </c>
      <c r="E444" s="4" t="str">
        <f ca="1">IFERROR(__xludf.DUMMYFUNCTION("GOOGLETRANSLATE(A444 , ""tr"" , ""en"")"),"28 August-3 September Case Density Between the previous week of the previous week: Kayseri, Elazig, Karaman, Bolu, Malatya, Kırşehir, Yozgat, Kırıkkale, Tunceli, Bartin! If you are in one of these provinces you should be even more careful now. The ultimat"&amp;"e solution vaccine! The rules are very necessary. https://t.co/wh4muvxrjn")</f>
        <v>28 August-3 September Case Density Between the previous week of the previous week: Kayseri, Elazig, Karaman, Bolu, Malatya, Kırşehir, Yozgat, Kırıkkale, Tunceli, Bartin! If you are in one of these provinces you should be even more careful now. The ultimate solution vaccine! The rules are very necessary. https://t.co/wh4muvxrjn</v>
      </c>
    </row>
    <row r="445" spans="1:5" ht="15.75" customHeight="1" x14ac:dyDescent="0.25">
      <c r="A445" s="1" t="s">
        <v>890</v>
      </c>
      <c r="B445" s="1">
        <v>4027</v>
      </c>
      <c r="C445" s="3">
        <v>44450.378263888888</v>
      </c>
      <c r="D445" s="1" t="s">
        <v>891</v>
      </c>
      <c r="E445" s="4" t="str">
        <f ca="1">IFERROR(__xludf.DUMMYFUNCTION("GOOGLETRANSLATE(A445 , ""tr"" , ""en"")"),"28 August-From September 3, what was a total of weekly new Covid-19 cases in 100,000 people? You can learn the situation in the province where you are experiencing, from our weekly incidence map. https://t.co/oxz9tvzpy3")</f>
        <v>28 August-From September 3, what was a total of weekly new Covid-19 cases in 100,000 people? You can learn the situation in the province where you are experiencing, from our weekly incidence map. https://t.co/oxz9tvzpy3</v>
      </c>
    </row>
    <row r="446" spans="1:5" ht="15.75" customHeight="1" x14ac:dyDescent="0.25">
      <c r="A446" s="1" t="s">
        <v>892</v>
      </c>
      <c r="B446" s="1">
        <v>2877</v>
      </c>
      <c r="C446" s="3">
        <v>44449.873773148145</v>
      </c>
      <c r="D446" s="1" t="s">
        <v>893</v>
      </c>
      <c r="E446" s="4" t="str">
        <f ca="1">IFERROR(__xludf.DUMMYFUNCTION("GOOGLETRANSLATE(A446 , ""tr"" , ""en"")"),"The rate of 2 dose of overdose in our teachers has found 77%. The rate of at least 1 dose of overdose is over 90%. If the ratio of those who undergo Covid-19 disease is in 4.4%. As a result, teachers currently have nearly vaccinated and protection rate of"&amp;" 95%. https://t.co/Ie95uulgvn")</f>
        <v>The rate of 2 dose of overdose in our teachers has found 77%. The rate of at least 1 dose of overdose is over 90%. If the ratio of those who undergo Covid-19 disease is in 4.4%. As a result, teachers currently have nearly vaccinated and protection rate of 95%. https://t.co/Ie95uulgvn</v>
      </c>
    </row>
    <row r="447" spans="1:5" ht="15.75" customHeight="1" x14ac:dyDescent="0.25">
      <c r="A447" s="1" t="s">
        <v>894</v>
      </c>
      <c r="B447" s="1">
        <v>3548</v>
      </c>
      <c r="C447" s="3">
        <v>44449.86787037037</v>
      </c>
      <c r="D447" s="1" t="s">
        <v>895</v>
      </c>
      <c r="E447" s="4" t="str">
        <f ca="1">IFERROR(__xludf.DUMMYFUNCTION("GOOGLETRANSLATE(A447 , ""tr"" , ""en"")"),"There are 15 million people with 2 dose synovac vaccines. Dosing the 3rd of 9 million. 3. The hospital burden of 9 million people who made the dose is 1.5-1.6%. Ag- 2 dose effective, 3rd dose is necessarily necessary! https://t.co/1wggzyseI6")</f>
        <v>There are 15 million people with 2 dose synovac vaccines. Dosing the 3rd of 9 million. 3. The hospital burden of 9 million people who made the dose is 1.5-1.6%. Ag- 2 dose effective, 3rd dose is necessarily necessary! https://t.co/1wggzyseI6</v>
      </c>
    </row>
    <row r="448" spans="1:5" ht="15.75" customHeight="1" x14ac:dyDescent="0.25">
      <c r="A448" s="1" t="s">
        <v>896</v>
      </c>
      <c r="B448" s="1">
        <v>2878</v>
      </c>
      <c r="C448" s="3">
        <v>44449.860960648148</v>
      </c>
      <c r="D448" s="1" t="s">
        <v>897</v>
      </c>
      <c r="E448" s="4" t="str">
        <f ca="1">IFERROR(__xludf.DUMMYFUNCTION("GOOGLETRANSLATE(A448 , ""tr"" , ""en"")"),"There is no longer the vaccine, we never want to close schools in the new period. Though, this may be valid on a class basis due to case. We don't want to even get it possible. In order to maintain training from no disruption, we will try to upgrade the v"&amp;"accine rate with our citizens. https://t.co/9ziIsuetmx")</f>
        <v>There is no longer the vaccine, we never want to close schools in the new period. Though, this may be valid on a class basis due to case. We don't want to even get it possible. In order to maintain training from no disruption, we will try to upgrade the vaccine rate with our citizens. https://t.co/9ziIsuetmx</v>
      </c>
    </row>
    <row r="449" spans="1:5" ht="15.75" customHeight="1" x14ac:dyDescent="0.25">
      <c r="A449" s="1" t="s">
        <v>898</v>
      </c>
      <c r="B449" s="1">
        <v>2203</v>
      </c>
      <c r="C449" s="3">
        <v>44449.856261574074</v>
      </c>
      <c r="D449" s="1" t="s">
        <v>899</v>
      </c>
      <c r="E449" s="4" t="str">
        <f ca="1">IFERROR(__xludf.DUMMYFUNCTION("GOOGLETRANSLATE(A449 , ""tr"" , ""en"")"),"This society makes their children with 13 different vaccines by 98%. There is no problem in the vaccination of society. Currently we are in the world in the world as the number of dose. Only Germany from European countries is us in front of us. If the dai"&amp;"ly dose of vaccine compared to the population is usually 3rd or fourth in the world! https://t.co/zbeICQGUTW")</f>
        <v>This society makes their children with 13 different vaccines by 98%. There is no problem in the vaccination of society. Currently we are in the world in the world as the number of dose. Only Germany from European countries is us in front of us. If the daily dose of vaccine compared to the population is usually 3rd or fourth in the world! https://t.co/zbeICQGUTW</v>
      </c>
    </row>
    <row r="450" spans="1:5" ht="15.75" customHeight="1" x14ac:dyDescent="0.25">
      <c r="A450" s="1" t="s">
        <v>900</v>
      </c>
      <c r="B450" s="1">
        <v>3643</v>
      </c>
      <c r="C450" s="3">
        <v>44449.847442129627</v>
      </c>
      <c r="D450" s="1" t="s">
        <v>901</v>
      </c>
      <c r="E450" s="4" t="str">
        <f ca="1">IFERROR(__xludf.DUMMYFUNCTION("GOOGLETRANSLATE(A450 , ""tr"" , ""en"")"),"Our city of Istiklal medal is our city in Maras. Maraş also has the title of heroism by the Almighty Council. A Surprise with love and regards to marches with heroes: We have seen the Identiquity medal certificate given to our city in 1925? https://t.co/l"&amp;"mafocpjcq")</f>
        <v>Our city of Istiklal medal is our city in Maras. Maraş also has the title of heroism by the Almighty Council. A Surprise with love and regards to marches with heroes: We have seen the Identiquity medal certificate given to our city in 1925? https://t.co/lmafocpjcq</v>
      </c>
    </row>
    <row r="451" spans="1:5" ht="15.75" customHeight="1" x14ac:dyDescent="0.25">
      <c r="A451" s="1" t="s">
        <v>902</v>
      </c>
      <c r="B451" s="1">
        <v>4173</v>
      </c>
      <c r="C451" s="3">
        <v>44449.771157407406</v>
      </c>
      <c r="D451" s="1" t="s">
        <v>903</v>
      </c>
      <c r="E451" s="4" t="str">
        <f ca="1">IFERROR(__xludf.DUMMYFUNCTION("GOOGLETRANSLATE(A451 , ""tr"" , ""en"")"),"Erzurum is among our blue provinces with the first overdose ratio over 75% today! Now the sequence is to increase the second dose of vaccines. On the other hand, we still have provinces with orange and yellow. Each side of a blue Turkey will do what you n"&amp;"eed for a map of risk. Our new instance get erzurum!")</f>
        <v>Erzurum is among our blue provinces with the first overdose ratio over 75% today! Now the sequence is to increase the second dose of vaccines. On the other hand, we still have provinces with orange and yellow. Each side of a blue Turkey will do what you need for a map of risk. Our new instance get erzurum!</v>
      </c>
    </row>
    <row r="452" spans="1:5" ht="15.75" customHeight="1" x14ac:dyDescent="0.25">
      <c r="A452" s="1" t="s">
        <v>904</v>
      </c>
      <c r="B452" s="1">
        <v>3840</v>
      </c>
      <c r="C452" s="3">
        <v>44449.766388888886</v>
      </c>
      <c r="D452" s="1" t="s">
        <v>905</v>
      </c>
      <c r="E452" s="4" t="str">
        <f ca="1">IFERROR(__xludf.DUMMYFUNCTION("GOOGLETRANSLATE(A452 , ""tr"" , ""en"")"),"Yozgat is among our blue provinces with the first overdose ratio over 75% today! Now the sequence is to increase the second dose of vaccines. On the other hand, we still have provinces with orange and yellow. Each side of a blue Turkey will do what you ne"&amp;"ed for a map of risk. Our new example get yozgat!")</f>
        <v>Yozgat is among our blue provinces with the first overdose ratio over 75% today! Now the sequence is to increase the second dose of vaccines. On the other hand, we still have provinces with orange and yellow. Each side of a blue Turkey will do what you need for a map of risk. Our new example get yozgat!</v>
      </c>
    </row>
    <row r="453" spans="1:5" ht="15.75" customHeight="1" x14ac:dyDescent="0.25">
      <c r="A453" s="1" t="s">
        <v>906</v>
      </c>
      <c r="B453" s="1">
        <v>4395</v>
      </c>
      <c r="C453" s="3">
        <v>44449.723703703705</v>
      </c>
      <c r="D453" s="1" t="s">
        <v>907</v>
      </c>
      <c r="E453" s="4" t="str">
        <f ca="1">IFERROR(__xludf.DUMMYFUNCTION("GOOGLETRANSLATE(A453 , ""tr"" , ""en"")"),"The number of cases is 23.562. Our loss of 257 yesterdays yesterday 214. There is no obvious decline in the course of cases. The reduction in the number of loss is promising for the moment. But this is a possible situation in the opposite tomorrow. In the"&amp;" epidemic environment, we must take non-return steps. Measures of Measures Our friend. https://t.co/agybzpfgaw")</f>
        <v>The number of cases is 23.562. Our loss of 257 yesterdays yesterday 214. There is no obvious decline in the course of cases. The reduction in the number of loss is promising for the moment. But this is a possible situation in the opposite tomorrow. In the epidemic environment, we must take non-return steps. Measures of Measures Our friend. https://t.co/agybzpfgaw</v>
      </c>
    </row>
    <row r="454" spans="1:5" ht="15.75" customHeight="1" x14ac:dyDescent="0.25">
      <c r="A454" s="1" t="s">
        <v>908</v>
      </c>
      <c r="B454" s="1">
        <v>10388</v>
      </c>
      <c r="C454" s="3">
        <v>44449.678333333337</v>
      </c>
      <c r="D454" s="1" t="s">
        <v>909</v>
      </c>
      <c r="E454" s="4" t="str">
        <f ca="1">IFERROR(__xludf.DUMMYFUNCTION("GOOGLETRANSLATE(A454 , ""tr"" , ""en"")"),"PCR test in schools? It will be held at a limited number of schools to understand the disclosure of lesis. Our parents will be informed in advance and approvals. PCR scan is for the continuation of the healthy education environment and possible preparatio"&amp;"n. With children, the most experienced friends will meet.")</f>
        <v>PCR test in schools? It will be held at a limited number of schools to understand the disclosure of lesis. Our parents will be informed in advance and approvals. PCR scan is for the continuation of the healthy education environment and possible preparation. With children, the most experienced friends will meet.</v>
      </c>
    </row>
    <row r="455" spans="1:5" ht="15.75" customHeight="1" x14ac:dyDescent="0.25">
      <c r="A455" s="1" t="s">
        <v>910</v>
      </c>
      <c r="B455" s="1">
        <v>2830</v>
      </c>
      <c r="C455" s="3">
        <v>44449.643587962964</v>
      </c>
      <c r="D455" s="1" t="s">
        <v>911</v>
      </c>
      <c r="E455" s="4" t="str">
        <f ca="1">IFERROR(__xludf.DUMMYFUNCTION("GOOGLETRANSLATE(A455 , ""tr"" , ""en"")"),"With the factors of our Mr. President, we realized the Kahramanmaras Bulk Opening Ceremony. We will be a more beautiful, safer and more prosperous than today with one and quite tomorrow today. https://t.co/puehew6fvm")</f>
        <v>With the factors of our Mr. President, we realized the Kahramanmaras Bulk Opening Ceremony. We will be a more beautiful, safer and more prosperous than today with one and quite tomorrow today. https://t.co/puehew6fvm</v>
      </c>
    </row>
    <row r="456" spans="1:5" ht="15.75" customHeight="1" x14ac:dyDescent="0.25">
      <c r="A456" s="1" t="s">
        <v>912</v>
      </c>
      <c r="B456" s="1">
        <v>0</v>
      </c>
      <c r="C456" s="3">
        <v>44449.579259259262</v>
      </c>
      <c r="D456" s="1" t="s">
        <v>913</v>
      </c>
      <c r="E456" s="4" t="str">
        <f ca="1">IFERROR(__xludf.DUMMYFUNCTION("GOOGLETRANSLATE(A456 , ""tr"" , ""en"")"),"RT @rterdogan: Kahramanmaras Bulk Opening Ceremony https://t.co/pe6vbqzyau")</f>
        <v>RT @rterdogan: Kahramanmaras Bulk Opening Ceremony https://t.co/pe6vbqzyau</v>
      </c>
    </row>
    <row r="457" spans="1:5" ht="15.75" customHeight="1" x14ac:dyDescent="0.25">
      <c r="A457" s="1" t="s">
        <v>914</v>
      </c>
      <c r="B457" s="1">
        <v>4812</v>
      </c>
      <c r="C457" s="3">
        <v>44448.838680555556</v>
      </c>
      <c r="D457" s="1" t="s">
        <v>915</v>
      </c>
      <c r="E457" s="4" t="str">
        <f ca="1">IFERROR(__xludf.DUMMYFUNCTION("GOOGLETRANSLATE(A457 , ""tr"" , ""en"")"),"I have a news to you. Our domestic vaccine TURKOVAC came to the stage that can be applied to the approval of emergency use. Our Turkovac vaccine we started production in a facility reached the lower structure to be produced in a second facility today. In "&amp;"order to obtain approval, we will switch to mass production in October. https://t.co/bvokuwbq0g")</f>
        <v>I have a news to you. Our domestic vaccine TURKOVAC came to the stage that can be applied to the approval of emergency use. Our Turkovac vaccine we started production in a facility reached the lower structure to be produced in a second facility today. In order to obtain approval, we will switch to mass production in October. https://t.co/bvokuwbq0g</v>
      </c>
    </row>
    <row r="458" spans="1:5" ht="15.75" customHeight="1" x14ac:dyDescent="0.25">
      <c r="A458" s="1" t="s">
        <v>916</v>
      </c>
      <c r="B458" s="1">
        <v>2843</v>
      </c>
      <c r="C458" s="3">
        <v>44448.831712962965</v>
      </c>
      <c r="D458" s="1" t="s">
        <v>917</v>
      </c>
      <c r="E458" s="4" t="str">
        <f ca="1">IFERROR(__xludf.DUMMYFUNCTION("GOOGLETRANSLATE(A458 , ""tr"" , ""en"")"),"For the community immunity against Covid-19, the bride in the vaccine between us and the tie on the vaccination. The vaccine is the trust against risks, the sense of freedom for tomorrow. The vaccine reduces the risk for everyone. I invite you to unity an"&amp;"d unity in the vaccine enclosing each of us. https://t.co/t1jgvn0zij")</f>
        <v>For the community immunity against Covid-19, the bride in the vaccine between us and the tie on the vaccination. The vaccine is the trust against risks, the sense of freedom for tomorrow. The vaccine reduces the risk for everyone. I invite you to unity and unity in the vaccine enclosing each of us. https://t.co/t1jgvn0zij</v>
      </c>
    </row>
    <row r="459" spans="1:5" ht="15.75" customHeight="1" x14ac:dyDescent="0.25">
      <c r="A459" s="1" t="s">
        <v>918</v>
      </c>
      <c r="B459" s="1">
        <v>2519</v>
      </c>
      <c r="C459" s="3">
        <v>44448.825046296297</v>
      </c>
      <c r="D459" s="1" t="s">
        <v>919</v>
      </c>
      <c r="E459" s="4" t="str">
        <f ca="1">IFERROR(__xludf.DUMMYFUNCTION("GOOGLETRANSLATE(A459 , ""tr"" , ""en"")"),"3 months after the inactive vaccine, we know that the reminder dose increases the protection very significantly. 3 The rate of overdose citizens within the number of cases is less than 2%. As of today, we have about 6 million people from the ""reminder do"&amp;"se"" time. https://t.co/ykxobb8oki")</f>
        <v>3 months after the inactive vaccine, we know that the reminder dose increases the protection very significantly. 3 The rate of overdose citizens within the number of cases is less than 2%. As of today, we have about 6 million people from the "reminder dose" time. https://t.co/ykxobb8oki</v>
      </c>
    </row>
    <row r="460" spans="1:5" ht="15.75" customHeight="1" x14ac:dyDescent="0.25">
      <c r="A460" s="1" t="s">
        <v>920</v>
      </c>
      <c r="B460" s="1">
        <v>0</v>
      </c>
      <c r="C460" s="3">
        <v>44448.822546296295</v>
      </c>
      <c r="D460" s="1" t="s">
        <v>921</v>
      </c>
      <c r="E460" s="4" t="str">
        <f ca="1">IFERROR(__xludf.DUMMYFUNCTION("GOOGLETRANSLATE(A460 , ""tr"" , ""en"")"),"RT @rterdogan: Today, we have reached the number of 100 million dose of overdose. Our domestic vaccine is also the widespread use of Turkovac ...")</f>
        <v>RT @rterdogan: Today, we have reached the number of 100 million dose of overdose. Our domestic vaccine is also the widespread use of Turkovac ...</v>
      </c>
    </row>
    <row r="461" spans="1:5" ht="15.75" customHeight="1" x14ac:dyDescent="0.25">
      <c r="A461" s="1" t="s">
        <v>922</v>
      </c>
      <c r="B461" s="1">
        <v>2065</v>
      </c>
      <c r="C461" s="3">
        <v>44448.81590277778</v>
      </c>
      <c r="D461" s="1" t="s">
        <v>923</v>
      </c>
      <c r="E461" s="4" t="str">
        <f ca="1">IFERROR(__xludf.DUMMYFUNCTION("GOOGLETRANSLATE(A461 , ""tr"" , ""en"")"),"Our success today is preparing us to a great conclusion, community immunity. The community immunity can be achieved with full doses of vaccination. There are 11.3 million people who do not have the second overdose yet. Whereas the only dose vaccine is not"&amp;" protective. With the first dose we are starting our vaccination process. https://t.co/etrhyljtcb")</f>
        <v>Our success today is preparing us to a great conclusion, community immunity. The community immunity can be achieved with full doses of vaccination. There are 11.3 million people who do not have the second overdose yet. Whereas the only dose vaccine is not protective. With the first dose we are starting our vaccination process. https://t.co/etrhyljtcb</v>
      </c>
    </row>
    <row r="462" spans="1:5" ht="15.75" customHeight="1" x14ac:dyDescent="0.25">
      <c r="A462" s="1" t="s">
        <v>924</v>
      </c>
      <c r="B462" s="1">
        <v>6062</v>
      </c>
      <c r="C462" s="3">
        <v>44448.802384259259</v>
      </c>
      <c r="D462" s="1" t="s">
        <v>925</v>
      </c>
      <c r="E462" s="4" t="str">
        <f ca="1">IFERROR(__xludf.DUMMYFUNCTION("GOOGLETRANSLATE(A462 , ""tr"" , ""en"")"),"The pain is among our blue provinces with the first overdose ratio over 75% today! In the orange and yellow risk group we only stayed in 14 products. Against Covid-19, let's do what is required for a blue risk map with all their provinces. Our new example"&amp;" is pain!")</f>
        <v>The pain is among our blue provinces with the first overdose ratio over 75% today! In the orange and yellow risk group we only stayed in 14 products. Against Covid-19, let's do what is required for a blue risk map with all their provinces. Our new example is pain!</v>
      </c>
    </row>
    <row r="463" spans="1:5" ht="15.75" customHeight="1" x14ac:dyDescent="0.25">
      <c r="A463" s="1" t="s">
        <v>926</v>
      </c>
      <c r="B463" s="1">
        <v>2470</v>
      </c>
      <c r="C463" s="3">
        <v>44448.791516203702</v>
      </c>
      <c r="D463" s="1" t="s">
        <v>927</v>
      </c>
      <c r="E463" s="4" t="str">
        <f ca="1">IFERROR(__xludf.DUMMYFUNCTION("GOOGLETRANSLATE(A463 , ""tr"" , ""en"")"),"100 million dose is the name of common success. In 100 million dose vaccines, I celebrate everyone who has contributed to his decision. When the place comes to the highlands, I offer my gratitude to my friends. The point we arrived shows that a very high "&amp;"speed of vaccination is possible. https://t.co/htwu69cdym")</f>
        <v>100 million dose is the name of common success. In 100 million dose vaccines, I celebrate everyone who has contributed to his decision. When the place comes to the highlands, I offer my gratitude to my friends. The point we arrived shows that a very high speed of vaccination is possible. https://t.co/htwu69cdym</v>
      </c>
    </row>
    <row r="464" spans="1:5" ht="15.75" customHeight="1" x14ac:dyDescent="0.25">
      <c r="A464" s="1" t="s">
        <v>928</v>
      </c>
      <c r="B464" s="1">
        <v>3732</v>
      </c>
      <c r="C464" s="3">
        <v>44448.760601851849</v>
      </c>
      <c r="D464" s="1" t="s">
        <v>929</v>
      </c>
      <c r="E464" s="4" t="str">
        <f ca="1">IFERROR(__xludf.DUMMYFUNCTION("GOOGLETRANSLATE(A464 , ""tr"" , ""en"")"),"Today,
18 months is a day worth being celebrated in our ongoing struggle!
100 million dose, get auspicious to 84 million! https://t.co/2llwmqfqio")</f>
        <v>Today,
18 months is a day worth being celebrated in our ongoing struggle!
100 million dose, get auspicious to 84 million! https://t.co/2llwmqfqio</v>
      </c>
    </row>
    <row r="465" spans="1:5" ht="15.75" customHeight="1" x14ac:dyDescent="0.25">
      <c r="A465" s="1" t="s">
        <v>930</v>
      </c>
      <c r="B465" s="1">
        <v>5096</v>
      </c>
      <c r="C465" s="3">
        <v>44448.743356481478</v>
      </c>
      <c r="D465" s="1" t="s">
        <v>931</v>
      </c>
      <c r="E465" s="4" t="str">
        <f ca="1">IFERROR(__xludf.DUMMYFUNCTION("GOOGLETRANSLATE(A465 , ""tr"" , ""en"")"),"Our Case Count is 23,846. There are 68 differences in our favor between yesterdays today. Our loss of life is 262 yesterday, today 257. The number of painful news has declined. In these differences, there are results that cannot be expressed in numbers. H"&amp;"ave life. We have reached 100 million overdose vaccines today. We can change this table all together. https://t.co/n3oskv1nuw")</f>
        <v>Our Case Count is 23,846. There are 68 differences in our favor between yesterdays today. Our loss of life is 262 yesterday, today 257. The number of painful news has declined. In these differences, there are results that cannot be expressed in numbers. Have life. We have reached 100 million overdose vaccines today. We can change this table all together. https://t.co/n3oskv1nuw</v>
      </c>
    </row>
    <row r="466" spans="1:5" ht="15.75" customHeight="1" x14ac:dyDescent="0.25">
      <c r="A466" s="1" t="s">
        <v>932</v>
      </c>
      <c r="B466" s="1">
        <v>4225</v>
      </c>
      <c r="C466" s="3">
        <v>44448.637349537035</v>
      </c>
      <c r="D466" s="1" t="s">
        <v>933</v>
      </c>
      <c r="E466" s="4" t="str">
        <f ca="1">IFERROR(__xludf.DUMMYFUNCTION("GOOGLETRANSLATE(A466 , ""tr"" , ""en"")"),"The icon is a day in our fight against the epidemic! We have reached a total of 100 million dose in the vaccine. I am in your peace with a agenda that includes common success of society with the success plan of the coming weeks. Among our many topics you "&amp;"are wondering. https://t.co/tqz5tlybmk")</f>
        <v>The icon is a day in our fight against the epidemic! We have reached a total of 100 million dose in the vaccine. I am in your peace with a agenda that includes common success of society with the success plan of the coming weeks. Among our many topics you are wondering. https://t.co/tqz5tlybmk</v>
      </c>
    </row>
    <row r="467" spans="1:5" ht="15.75" customHeight="1" x14ac:dyDescent="0.25">
      <c r="A467" s="1" t="s">
        <v>934</v>
      </c>
      <c r="B467" s="1">
        <v>15502</v>
      </c>
      <c r="C467" s="3">
        <v>44448.365787037037</v>
      </c>
      <c r="D467" s="1" t="s">
        <v>935</v>
      </c>
      <c r="E467" s="4" t="str">
        <f ca="1">IFERROR(__xludf.DUMMYFUNCTION("GOOGLETRANSLATE(A467 , ""tr"" , ""en"")"),"The icon is a day in terms of our fighting process! At 18:00, I will be in your peace with a speech outside the routine course. Topics on your agenda are among our headings. About to meet at 18:00 pm.")</f>
        <v>The icon is a day in terms of our fighting process! At 18:00, I will be in your peace with a speech outside the routine course. Topics on your agenda are among our headings. About to meet at 18:00 pm.</v>
      </c>
    </row>
    <row r="468" spans="1:5" ht="15.75" customHeight="1" x14ac:dyDescent="0.25">
      <c r="A468" s="1" t="s">
        <v>936</v>
      </c>
      <c r="B468" s="1">
        <v>5707</v>
      </c>
      <c r="C468" s="3">
        <v>44447.797384259262</v>
      </c>
      <c r="D468" s="1" t="s">
        <v>937</v>
      </c>
      <c r="E468" s="4" t="str">
        <f ca="1">IFERROR(__xludf.DUMMYFUNCTION("GOOGLETRANSLATE(A468 , ""tr"" , ""en"")"),"IğDIR is between the first dose of the first dose of vaccines in 75%, between the provinces in the blue risk group against Covid-19! IgDIR must be an example of other provinces at the second overdose speed. Congratulations in advance!")</f>
        <v>IğDIR is between the first dose of the first dose of vaccines in 75%, between the provinces in the blue risk group against Covid-19! IgDIR must be an example of other provinces at the second overdose speed. Congratulations in advance!</v>
      </c>
    </row>
    <row r="469" spans="1:5" ht="15.75" customHeight="1" x14ac:dyDescent="0.25">
      <c r="A469" s="1" t="s">
        <v>938</v>
      </c>
      <c r="B469" s="1">
        <v>7045</v>
      </c>
      <c r="C469" s="3">
        <v>44447.792523148149</v>
      </c>
      <c r="D469" s="1" t="s">
        <v>939</v>
      </c>
      <c r="E469" s="4" t="str">
        <f ca="1">IFERROR(__xludf.DUMMYFUNCTION("GOOGLETRANSLATE(A469 , ""tr"" , ""en"")"),"Aksaray is among the provinces in the blue risk group against Covid-19 with the first overdose ratio over 75%! Aksaray should be an example of other provinces at the second overdose speed. Congratulations in advance!")</f>
        <v>Aksaray is among the provinces in the blue risk group against Covid-19 with the first overdose ratio over 75%! Aksaray should be an example of other provinces at the second overdose speed. Congratulations in advance!</v>
      </c>
    </row>
    <row r="470" spans="1:5" ht="15.75" customHeight="1" x14ac:dyDescent="0.25">
      <c r="A470" s="1" t="s">
        <v>940</v>
      </c>
      <c r="B470" s="1">
        <v>4875</v>
      </c>
      <c r="C470" s="3">
        <v>44447.763124999998</v>
      </c>
      <c r="D470" s="1" t="s">
        <v>941</v>
      </c>
      <c r="E470" s="4" t="str">
        <f ca="1">IFERROR(__xludf.DUMMYFUNCTION("GOOGLETRANSLATE(A470 , ""tr"" , ""en"")"),"Case Count 23,914. Our loss is 262. It is the possibility and vaccine to control the serious course in the table and to reduce life losses. Let's provide full overdose vaccines and provide society immunity. Mask, distance, cleaning rule is indispensable r"&amp;"ight now. https://t.co/flju1e7j3J")</f>
        <v>Case Count 23,914. Our loss is 262. It is the possibility and vaccine to control the serious course in the table and to reduce life losses. Let's provide full overdose vaccines and provide society immunity. Mask, distance, cleaning rule is indispensable right now. https://t.co/flju1e7j3J</v>
      </c>
    </row>
    <row r="471" spans="1:5" ht="15.75" customHeight="1" x14ac:dyDescent="0.25">
      <c r="A471" s="1" t="s">
        <v>942</v>
      </c>
      <c r="B471" s="1">
        <v>4482</v>
      </c>
      <c r="C471" s="3">
        <v>44447.752268518518</v>
      </c>
      <c r="D471" s="1" t="s">
        <v>943</v>
      </c>
      <c r="E471" s="4" t="str">
        <f ca="1">IFERROR(__xludf.DUMMYFUNCTION("GOOGLETRANSLATE(A471 , ""tr"" , ""en"")"),"Today, our Science Board met with the agenda of our face-to-face education, the course of the outbreak and the continuity of our vaccination program. After the Meeting of Science Board, our press statement: https://t.co/g8fvv04flr")</f>
        <v>Today, our Science Board met with the agenda of our face-to-face education, the course of the outbreak and the continuity of our vaccination program. After the Meeting of Science Board, our press statement: https://t.co/g8fvv04flr</v>
      </c>
    </row>
    <row r="472" spans="1:5" ht="15.75" customHeight="1" x14ac:dyDescent="0.25">
      <c r="A472" s="1" t="s">
        <v>944</v>
      </c>
      <c r="B472" s="1">
        <v>5424</v>
      </c>
      <c r="C472" s="3">
        <v>44446.762719907405</v>
      </c>
      <c r="D472" s="1" t="s">
        <v>945</v>
      </c>
      <c r="E472" s="4" t="str">
        <f ca="1">IFERROR(__xludf.DUMMYFUNCTION("GOOGLETRANSLATE(A472 , ""tr"" , ""en"")"),"Mardin turned his color in the risk map in yellow. The rate of vaccination against Covid-19 is over 65%. The more the number of days in yellow is the better. We want to see Mardin between blue provinces.")</f>
        <v>Mardin turned his color in the risk map in yellow. The rate of vaccination against Covid-19 is over 65%. The more the number of days in yellow is the better. We want to see Mardin between blue provinces.</v>
      </c>
    </row>
    <row r="473" spans="1:5" ht="15.75" customHeight="1" x14ac:dyDescent="0.25">
      <c r="A473" s="1" t="s">
        <v>946</v>
      </c>
      <c r="B473" s="1">
        <v>4274</v>
      </c>
      <c r="C473" s="3">
        <v>44446.75849537037</v>
      </c>
      <c r="D473" s="1" t="s">
        <v>947</v>
      </c>
      <c r="E473" s="4" t="str">
        <f ca="1">IFERROR(__xludf.DUMMYFUNCTION("GOOGLETRANSLATE(A473 , ""tr"" , ""en"")"),"Niğde is blue now in our risk map. The first overdose was over 75%. We celebrate the city of determination to nigde. Niğde must be an example of other provinces at the second overdose speed. Congratulations in advance!")</f>
        <v>Niğde is blue now in our risk map. The first overdose was over 75%. We celebrate the city of determination to nigde. Niğde must be an example of other provinces at the second overdose speed. Congratulations in advance!</v>
      </c>
    </row>
    <row r="474" spans="1:5" ht="15.75" customHeight="1" x14ac:dyDescent="0.25">
      <c r="A474" s="1" t="s">
        <v>948</v>
      </c>
      <c r="B474" s="1">
        <v>6534</v>
      </c>
      <c r="C474" s="3">
        <v>44446.754965277774</v>
      </c>
      <c r="D474" s="1" t="s">
        <v>949</v>
      </c>
      <c r="E474" s="4" t="str">
        <f ca="1">IFERROR(__xludf.DUMMYFUNCTION("GOOGLETRANSLATE(A474 , ""tr"" , ""en"")"),"The number of blue provinces in Eastern Anatolia began to increase. The first overdose rate in Van is over 75%. Celebrating Van, we take an example. Van should also be an example with the second overdose rate against Covid-19!")</f>
        <v>The number of blue provinces in Eastern Anatolia began to increase. The first overdose rate in Van is over 75%. Celebrating Van, we take an example. Van should also be an example with the second overdose rate against Covid-19!</v>
      </c>
    </row>
    <row r="475" spans="1:5" ht="15.75" customHeight="1" x14ac:dyDescent="0.25">
      <c r="A475" s="1" t="s">
        <v>950</v>
      </c>
      <c r="B475" s="1">
        <v>3374</v>
      </c>
      <c r="C475" s="3">
        <v>44446.745879629627</v>
      </c>
      <c r="D475" s="1" t="s">
        <v>951</v>
      </c>
      <c r="E475" s="4" t="str">
        <f ca="1">IFERROR(__xludf.DUMMYFUNCTION("GOOGLETRANSLATE(A475 , ""tr"" , ""en"")"),"Today, DMD muscle disease awareness day. In this disease, which is generally found in this disease, progressive damage occurs in all muscle groups in this disease. We provide regular polyclinic services to patients. We are constantly in touch with their r"&amp;"elatives. Health needs widespread awareness.")</f>
        <v>Today, DMD muscle disease awareness day. In this disease, which is generally found in this disease, progressive damage occurs in all muscle groups in this disease. We provide regular polyclinic services to patients. We are constantly in touch with their relatives. Health needs widespread awareness.</v>
      </c>
    </row>
    <row r="476" spans="1:5" ht="15.75" customHeight="1" x14ac:dyDescent="0.25">
      <c r="A476" s="1" t="s">
        <v>952</v>
      </c>
      <c r="B476" s="1">
        <v>5598</v>
      </c>
      <c r="C476" s="3">
        <v>44446.700208333335</v>
      </c>
      <c r="D476" s="1" t="s">
        <v>953</v>
      </c>
      <c r="E476" s="4" t="str">
        <f ca="1">IFERROR(__xludf.DUMMYFUNCTION("GOOGLETRANSLATE(A476 , ""tr"" , ""en"")"),"Case Count 23,638. With Covid-19, our new life loss 274. We must reduce the case numbers steadily and reduce the deaths. This is the way to increase the rate of vaccination is to comply with the measures until community immunity is provided. The result we"&amp;" want is to vaccine with the precautionary, so it is connected to us! https://t.co/y34ippfrxp")</f>
        <v>Case Count 23,638. With Covid-19, our new life loss 274. We must reduce the case numbers steadily and reduce the deaths. This is the way to increase the rate of vaccination is to comply with the measures until community immunity is provided. The result we want is to vaccine with the precautionary, so it is connected to us! https://t.co/y34ippfrxp</v>
      </c>
    </row>
    <row r="477" spans="1:5" ht="15.75" customHeight="1" x14ac:dyDescent="0.25">
      <c r="A477" s="1" t="s">
        <v>954</v>
      </c>
      <c r="B477" s="1">
        <v>5242</v>
      </c>
      <c r="C477" s="3">
        <v>44445.86959490741</v>
      </c>
      <c r="D477" s="1" t="s">
        <v>955</v>
      </c>
      <c r="E477" s="4" t="str">
        <f ca="1">IFERROR(__xludf.DUMMYFUNCTION("GOOGLETRANSLATE(A477 , ""tr"" , ""en"")"),"Kars passed 75% at the first overdose rate to the low risk level of the middle risk level. 4 orange, 15 yellow provinces in front of our new sample! We celebrate Blue Kars.")</f>
        <v>Kars passed 75% at the first overdose rate to the low risk level of the middle risk level. 4 orange, 15 yellow provinces in front of our new sample! We celebrate Blue Kars.</v>
      </c>
    </row>
    <row r="478" spans="1:5" ht="15.75" customHeight="1" x14ac:dyDescent="0.25">
      <c r="A478" s="1" t="s">
        <v>956</v>
      </c>
      <c r="B478" s="1">
        <v>7256</v>
      </c>
      <c r="C478" s="3">
        <v>44445.863182870373</v>
      </c>
      <c r="D478" s="1" t="s">
        <v>957</v>
      </c>
      <c r="E478" s="4" t="str">
        <f ca="1">IFERROR(__xludf.DUMMYFUNCTION("GOOGLETRANSLATE(A478 , ""tr"" , ""en"")"),"""The only orange between us was yellow!"" Eastern Anatolia celebrates the MUŞ over 65% of the first overdose ratio. And Turkey's four sides!")</f>
        <v>"The only orange between us was yellow!" Eastern Anatolia celebrates the MUŞ over 65% of the first overdose ratio. And Turkey's four sides!</v>
      </c>
    </row>
    <row r="479" spans="1:5" ht="15.75" customHeight="1" x14ac:dyDescent="0.25">
      <c r="A479" s="1" t="s">
        <v>958</v>
      </c>
      <c r="B479" s="1">
        <v>13385</v>
      </c>
      <c r="C479" s="3">
        <v>44445.854004629633</v>
      </c>
      <c r="D479" s="1" t="s">
        <v>959</v>
      </c>
      <c r="E479" s="4" t="str">
        <f ca="1">IFERROR(__xludf.DUMMYFUNCTION("GOOGLETRANSLATE(A479 , ""tr"" , ""en"")"),"He made one of the largest changes on the risk map of Konya. Our population is the most crowded seventh city is now blue. This blue will reduce the risk of risk in Turkey! We are celebrating, Konya.")</f>
        <v>He made one of the largest changes on the risk map of Konya. Our population is the most crowded seventh city is now blue. This blue will reduce the risk of risk in Turkey! We are celebrating, Konya.</v>
      </c>
    </row>
    <row r="480" spans="1:5" ht="15.75" customHeight="1" x14ac:dyDescent="0.25">
      <c r="A480" s="1" t="s">
        <v>960</v>
      </c>
      <c r="B480" s="1">
        <v>6758</v>
      </c>
      <c r="C480" s="3">
        <v>44445.752592592595</v>
      </c>
      <c r="D480" s="1" t="s">
        <v>961</v>
      </c>
      <c r="E480" s="4" t="str">
        <f ca="1">IFERROR(__xludf.DUMMYFUNCTION("GOOGLETRANSLATE(A480 , ""tr"" , ""en"")"),"Case Count 20.962. Covid-19, our new life loss 271. Schools opened. Turned back to large cities. Risk with social mobility will increase. The mask and the distance rule is even more important. The ultimate solution vaccine! When we have completed our vacc"&amp;"ines we will get our freedom to Covid-19. https://t.co/caaqbcwf32")</f>
        <v>Case Count 20.962. Covid-19, our new life loss 271. Schools opened. Turned back to large cities. Risk with social mobility will increase. The mask and the distance rule is even more important. The ultimate solution vaccine! When we have completed our vaccines we will get our freedom to Covid-19. https://t.co/caaqbcwf32</v>
      </c>
    </row>
    <row r="481" spans="1:5" ht="15.75" customHeight="1" x14ac:dyDescent="0.25">
      <c r="A481" s="1" t="s">
        <v>962</v>
      </c>
      <c r="B481" s="1">
        <v>0</v>
      </c>
      <c r="C481" s="3">
        <v>44445.69190972222</v>
      </c>
      <c r="D481" s="1" t="s">
        <v>963</v>
      </c>
      <c r="E481" s="4" t="str">
        <f ca="1">IFERROR(__xludf.DUMMYFUNCTION("GOOGLETRANSLATE(A481 , ""tr"" , ""en"")"),"RT @rterdogan: Shouting Nation after Cabinet Meeting https://t.co/ibdkcerrtx")</f>
        <v>RT @rterdogan: Shouting Nation after Cabinet Meeting https://t.co/ibdkcerrtx</v>
      </c>
    </row>
    <row r="482" spans="1:5" ht="15.75" customHeight="1" x14ac:dyDescent="0.25">
      <c r="A482" s="1" t="s">
        <v>964</v>
      </c>
      <c r="B482" s="1">
        <v>9059</v>
      </c>
      <c r="C482" s="3">
        <v>44444.835034722222</v>
      </c>
      <c r="D482" s="1" t="s">
        <v>965</v>
      </c>
      <c r="E482" s="4" t="str">
        <f ca="1">IFERROR(__xludf.DUMMYFUNCTION("GOOGLETRANSLATE(A482 , ""tr"" , ""en"")"),"Sakarya, the blue provincial issue to 60! https://t.co/y5zbv5RI76")</f>
        <v>Sakarya, the blue provincial issue to 60! https://t.co/y5zbv5RI76</v>
      </c>
    </row>
    <row r="483" spans="1:5" ht="15.75" customHeight="1" x14ac:dyDescent="0.25">
      <c r="A483" s="1" t="s">
        <v>966</v>
      </c>
      <c r="B483" s="1">
        <v>2389</v>
      </c>
      <c r="C483" s="3">
        <v>44444.720717592594</v>
      </c>
      <c r="D483" s="1" t="s">
        <v>967</v>
      </c>
      <c r="E483" s="4" t="str">
        <f ca="1">IFERROR(__xludf.DUMMYFUNCTION("GOOGLETRANSLATE(A483 , ""tr"" , ""en"")"),"We have made a conversation in the session titled the Evaluation of the Effects of the G20 Health Ministry Meeting, the evaluation of the influence on the global health and sustainable development targets. The G20 Health Ministry Meeting is held under Ita"&amp;"ly. https://t.co/4jaelfoq5m")</f>
        <v>We have made a conversation in the session titled the Evaluation of the Effects of the G20 Health Ministry Meeting, the evaluation of the influence on the global health and sustainable development targets. The G20 Health Ministry Meeting is held under Italy. https://t.co/4jaelfoq5m</v>
      </c>
    </row>
    <row r="484" spans="1:5" ht="15.75" customHeight="1" x14ac:dyDescent="0.25">
      <c r="A484" s="1" t="s">
        <v>968</v>
      </c>
      <c r="B484" s="1">
        <v>6670</v>
      </c>
      <c r="C484" s="3">
        <v>44444.710601851853</v>
      </c>
      <c r="D484" s="1" t="s">
        <v>969</v>
      </c>
      <c r="E484" s="4" t="str">
        <f ca="1">IFERROR(__xludf.DUMMYFUNCTION("GOOGLETRANSLATE(A484 , ""tr"" , ""en"")"),"Our new case count is 19.391. Covid-19 is today's life loss 269. Schools are opening tomorrow. Our seven-year-old children will be masked in their classes. We all fall for great responsibility. The ultimate solution is the vaccine! Let's get our vaccinati"&amp;"ons immediately. Let us be as sensitive as our children in measures. https://t.co/p3ahebyf5g")</f>
        <v>Our new case count is 19.391. Covid-19 is today's life loss 269. Schools are opening tomorrow. Our seven-year-old children will be masked in their classes. We all fall for great responsibility. The ultimate solution is the vaccine! Let's get our vaccinations immediately. Let us be as sensitive as our children in measures. https://t.co/p3ahebyf5g</v>
      </c>
    </row>
    <row r="485" spans="1:5" ht="15.75" customHeight="1" x14ac:dyDescent="0.25">
      <c r="A485" s="1" t="s">
        <v>970</v>
      </c>
      <c r="B485" s="1">
        <v>3117</v>
      </c>
      <c r="C485" s="3">
        <v>44444.671076388891</v>
      </c>
      <c r="D485" s="1" t="s">
        <v>971</v>
      </c>
      <c r="E485" s="4" t="str">
        <f ca="1">IFERROR(__xludf.DUMMYFUNCTION("GOOGLETRANSLATE(A485 , ""tr"" , ""en"")"),"21-27 August Case Density Between the previous week by the previous week we are most increasing 10 provinces: Rize, Bayburt, Nevsehir, Kayseri, Kilis, Trabzon, Aksaray, Gaziantep, Bolu, slap. If you are one of these provinces, you have to be even more car"&amp;"eful on these days. The ultimate solution vaccine! The rules are very necessary. https://t.co/xsg0z5hxks")</f>
        <v>21-27 August Case Density Between the previous week by the previous week we are most increasing 10 provinces: Rize, Bayburt, Nevsehir, Kayseri, Kilis, Trabzon, Aksaray, Gaziantep, Bolu, slap. If you are one of these provinces, you have to be even more careful on these days. The ultimate solution vaccine! The rules are very necessary. https://t.co/xsg0z5hxks</v>
      </c>
    </row>
    <row r="486" spans="1:5" ht="15.75" customHeight="1" x14ac:dyDescent="0.25">
      <c r="A486" s="1" t="s">
        <v>972</v>
      </c>
      <c r="B486" s="1">
        <v>4455</v>
      </c>
      <c r="C486" s="3">
        <v>44444.668587962966</v>
      </c>
      <c r="D486" s="1" t="s">
        <v>973</v>
      </c>
      <c r="E486" s="4" t="str">
        <f ca="1">IFERROR(__xludf.DUMMYFUNCTION("GOOGLETRANSLATE(A486 , ""tr"" , ""en"")"),"What was the total number of new Covid-19 cases in 100,000 people between 21-27 August? You can learn the situation in the province where you are experiencing, from our weekly incidence map. https://t.co/g9ukxzyrr8")</f>
        <v>What was the total number of new Covid-19 cases in 100,000 people between 21-27 August? You can learn the situation in the province where you are experiencing, from our weekly incidence map. https://t.co/g9ukxzyrr8</v>
      </c>
    </row>
    <row r="487" spans="1:5" ht="15.75" customHeight="1" x14ac:dyDescent="0.25">
      <c r="A487" s="1" t="s">
        <v>974</v>
      </c>
      <c r="B487" s="1">
        <v>4571</v>
      </c>
      <c r="C487" s="3">
        <v>44443.770613425928</v>
      </c>
      <c r="D487" s="1" t="s">
        <v>975</v>
      </c>
      <c r="E487" s="4" t="str">
        <f ca="1">IFERROR(__xludf.DUMMYFUNCTION("GOOGLETRANSLATE(A487 , ""tr"" , ""en"")"),"Kahramanmaras gave the anticipated news in the first dose of vaccine that exceeded 75%. The color is blue on the risk map of the city of resistance and the city of Victory! We have new expectations from Maraş. Schools are opening Monday. Now it is the tim"&amp;"e to upgrade the dose rates in the same way. Congratulations from today! https://t.co/rptjijmzbq")</f>
        <v>Kahramanmaras gave the anticipated news in the first dose of vaccine that exceeded 75%. The color is blue on the risk map of the city of resistance and the city of Victory! We have new expectations from Maraş. Schools are opening Monday. Now it is the time to upgrade the dose rates in the same way. Congratulations from today! https://t.co/rptjijmzbq</v>
      </c>
    </row>
    <row r="488" spans="1:5" ht="15.75" customHeight="1" x14ac:dyDescent="0.25">
      <c r="A488" s="1" t="s">
        <v>976</v>
      </c>
      <c r="B488" s="1">
        <v>12092</v>
      </c>
      <c r="C488" s="3">
        <v>44443.739027777781</v>
      </c>
      <c r="D488" s="1" t="s">
        <v>977</v>
      </c>
      <c r="E488" s="4" t="str">
        <f ca="1">IFERROR(__xludf.DUMMYFUNCTION("GOOGLETRANSLATE(A488 , ""tr"" , ""en"")"),"Three-zero!
Turkey A National Women's Volleyball Team, the Netherlands was the third of the European 3-0. We celebrate the Turkish woman and the Sultans of the File representing Turkey. A separate applause for each number! https://t.co/hpzwmvyxnl")</f>
        <v>Three-zero!
Turkey A National Women's Volleyball Team, the Netherlands was the third of the European 3-0. We celebrate the Turkish woman and the Sultans of the File representing Turkey. A separate applause for each number! https://t.co/hpzwmvyxnl</v>
      </c>
    </row>
    <row r="489" spans="1:5" ht="15.75" customHeight="1" x14ac:dyDescent="0.25">
      <c r="A489" s="1" t="s">
        <v>978</v>
      </c>
      <c r="B489" s="1">
        <v>7294</v>
      </c>
      <c r="C489" s="3">
        <v>44443.70826388889</v>
      </c>
      <c r="D489" s="1" t="s">
        <v>979</v>
      </c>
      <c r="E489" s="4" t="str">
        <f ca="1">IFERROR(__xludf.DUMMYFUNCTION("GOOGLETRANSLATE(A489 , ""tr"" , ""en"")"),"Our new case number is 20.033. Covid-19 is due to today's loss 278. In the first and secondary education, the schools are opened on September 6, while universities are opening. We have more than 24 million students in formal education. We are committed to"&amp;" uninterrupted, face-to-face training. There must be the same determination in vaccination and measure! https://t.co/4joupmmkgp")</f>
        <v>Our new case number is 20.033. Covid-19 is due to today's loss 278. In the first and secondary education, the schools are opened on September 6, while universities are opening. We have more than 24 million students in formal education. We are committed to uninterrupted, face-to-face training. There must be the same determination in vaccination and measure! https://t.co/4joupmmkgp</v>
      </c>
    </row>
    <row r="490" spans="1:5" ht="15.75" customHeight="1" x14ac:dyDescent="0.25">
      <c r="A490" s="1" t="s">
        <v>980</v>
      </c>
      <c r="B490" s="1">
        <v>5533</v>
      </c>
      <c r="C490" s="3">
        <v>44443.649247685185</v>
      </c>
      <c r="D490" s="1" t="s">
        <v>981</v>
      </c>
      <c r="E490" s="4" t="str">
        <f ca="1">IFERROR(__xludf.DUMMYFUNCTION("GOOGLETRANSLATE(A490 , ""tr"" , ""en"")"),"""Hey go crazy heart,
Either independence or death!""
102 years ago in Sivas Congress, Turkey said that. Congress opened the way to full independence to our country under occupation. Was basic to our new state with their decisions. Mustafa Kemal Atatürk, "&amp;"we remember all members of the congress. https://t.co/tqtmtzgd88")</f>
        <v>"Hey go crazy heart,
Either independence or death!"
102 years ago in Sivas Congress, Turkey said that. Congress opened the way to full independence to our country under occupation. Was basic to our new state with their decisions. Mustafa Kemal Atatürk, we remember all members of the congress. https://t.co/tqtmtzgd88</v>
      </c>
    </row>
    <row r="491" spans="1:5" ht="15.75" customHeight="1" x14ac:dyDescent="0.25">
      <c r="A491" s="1" t="s">
        <v>982</v>
      </c>
      <c r="B491" s="1">
        <v>4828</v>
      </c>
      <c r="C491" s="3">
        <v>44443.563715277778</v>
      </c>
      <c r="D491" s="1" t="s">
        <v>983</v>
      </c>
      <c r="E491" s="4" t="str">
        <f ca="1">IFERROR(__xludf.DUMMYFUNCTION("GOOGLETRANSLATE(A491 , ""tr"" , ""en"")"),"University records started today. Many young people are preparing to read in places where Covid-19 is less than the city they desire to read. Have chronic diseases. The results of our neglects are more than we know! Let's make life easier for everyone wit"&amp;"h vaccination and measure. https://t.co/hg5uumt4ch")</f>
        <v>University records started today. Many young people are preparing to read in places where Covid-19 is less than the city they desire to read. Have chronic diseases. The results of our neglects are more than we know! Let's make life easier for everyone with vaccination and measure. https://t.co/hg5uumt4ch</v>
      </c>
    </row>
    <row r="492" spans="1:5" ht="15.75" customHeight="1" x14ac:dyDescent="0.25">
      <c r="A492" s="1" t="s">
        <v>984</v>
      </c>
      <c r="B492" s="1">
        <v>4995</v>
      </c>
      <c r="C492" s="3">
        <v>44442.887326388889</v>
      </c>
      <c r="D492" s="1" t="s">
        <v>985</v>
      </c>
      <c r="E492" s="4" t="str">
        <f ca="1">IFERROR(__xludf.DUMMYFUNCTION("GOOGLETRANSLATE(A492 , ""tr"" , ""en"")"),"Bitlis, Batman and Bingöl are no longer in the Covid-19 risk map with the first overdose rates over 65%. These three provinces should be higher in the first dose. Schools open on September 6th. We have to make life easier. Bitlisli, Batmanli, Bingelle Fri"&amp;"ends! When is the new news?")</f>
        <v>Bitlis, Batman and Bingöl are no longer in the Covid-19 risk map with the first overdose rates over 65%. These three provinces should be higher in the first dose. Schools open on September 6th. We have to make life easier. Bitlisli, Batmanli, Bingelle Friends! When is the new news?</v>
      </c>
    </row>
    <row r="493" spans="1:5" ht="15.75" customHeight="1" x14ac:dyDescent="0.25">
      <c r="A493" s="1" t="s">
        <v>986</v>
      </c>
      <c r="B493" s="1">
        <v>3440</v>
      </c>
      <c r="C493" s="3">
        <v>44442.872870370367</v>
      </c>
      <c r="D493" s="1" t="s">
        <v>987</v>
      </c>
      <c r="E493" s="4" t="str">
        <f ca="1">IFERROR(__xludf.DUMMYFUNCTION("GOOGLETRANSLATE(A493 , ""tr"" , ""en"")"),"Erzincan gave the anticipated news in the first overdose ratio of 75%. The color is blue on the risk map! We have new expectations from this city establishing history with their success. Schools open on September 6th. Now it is the time to upgrade the dos"&amp;"e rates in the same way. Congratulations from today! https://t.co/wn5hrqupqd")</f>
        <v>Erzincan gave the anticipated news in the first overdose ratio of 75%. The color is blue on the risk map! We have new expectations from this city establishing history with their success. Schools open on September 6th. Now it is the time to upgrade the dose rates in the same way. Congratulations from today! https://t.co/wn5hrqupqd</v>
      </c>
    </row>
    <row r="494" spans="1:5" ht="15.75" customHeight="1" x14ac:dyDescent="0.25">
      <c r="A494" s="1" t="s">
        <v>988</v>
      </c>
      <c r="B494" s="1">
        <v>2734</v>
      </c>
      <c r="C494" s="3">
        <v>44442.863287037035</v>
      </c>
      <c r="D494" s="1" t="s">
        <v>989</v>
      </c>
      <c r="E494" s="4" t="str">
        <f ca="1">IFERROR(__xludf.DUMMYFUNCTION("GOOGLETRANSLATE(A494 , ""tr"" , ""en"")"),"Çanırıırıırıırıırı verdi verdi verdi verdi verdi verdi verdi verdi verdi verdi verdi verdi verdi verdi verdi verdi verdi verdi verdi verdi verdi verdi verdi verdi verdi verdi verdi verdi verdi verdi verdi verdi verdi verdi 7 7 verdi 7 verdi verdi 7 verdi "&amp;"verdi verdi 7 7 7 verdi verdi verdi verdi 7 verdi verdi verdi verdi verdi verdi verdi verdi 7 7 7 verdi verdi verdi verdi verdi verdi verdi verdi 7 verdi verdi 7 verdi verdi verdi verdi verdi verdi verdi verdi verdi verdi verdi verdi çan The color is blue"&amp;" on the risk map! We have new expectations from this historic city coming out from each struggle. Schools open on September 6th. Now it's time to upgrade the dose rates of continuing. Congratulations from today! https://t.co/uonezrck2j")</f>
        <v>Çanırıırıırıırıırı verdi verdi verdi verdi verdi verdi verdi verdi verdi verdi verdi verdi verdi verdi verdi verdi verdi verdi verdi verdi verdi verdi verdi verdi verdi verdi verdi verdi verdi verdi verdi verdi verdi verdi 7 7 verdi 7 verdi verdi 7 verdi verdi verdi 7 7 7 verdi verdi verdi verdi 7 verdi verdi verdi verdi verdi verdi verdi verdi 7 7 7 verdi verdi verdi verdi verdi verdi verdi verdi 7 verdi verdi 7 verdi verdi verdi verdi verdi verdi verdi verdi verdi verdi verdi verdi çan The color is blue on the risk map! We have new expectations from this historic city coming out from each struggle. Schools open on September 6th. Now it's time to upgrade the dose rates of continuing. Congratulations from today! https://t.co/uonezrck2j</v>
      </c>
    </row>
    <row r="495" spans="1:5" ht="15.75" customHeight="1" x14ac:dyDescent="0.25">
      <c r="A495" s="1" t="s">
        <v>990</v>
      </c>
      <c r="B495" s="1">
        <v>3393</v>
      </c>
      <c r="C495" s="3">
        <v>44442.858425925922</v>
      </c>
      <c r="D495" s="1" t="s">
        <v>991</v>
      </c>
      <c r="E495" s="4" t="str">
        <f ca="1">IFERROR(__xludf.DUMMYFUNCTION("GOOGLETRANSLATE(A495 , ""tr"" , ""en"")"),"Düzce gave the expected news in the first overdose rate. All our provinces are blue at the Black Sea coast. We have new expectations from the city of Waterfalls. Schools open on September 6th. Now is the time to upgrade the second, third overdose rates in"&amp;" the same way. Congratulations from today! https://t.co/ja7pna6dl5")</f>
        <v>Düzce gave the expected news in the first overdose rate. All our provinces are blue at the Black Sea coast. We have new expectations from the city of Waterfalls. Schools open on September 6th. Now is the time to upgrade the second, third overdose rates in the same way. Congratulations from today! https://t.co/ja7pna6dl5</v>
      </c>
    </row>
    <row r="496" spans="1:5" ht="15.75" customHeight="1" x14ac:dyDescent="0.25">
      <c r="A496" s="1" t="s">
        <v>992</v>
      </c>
      <c r="B496" s="1">
        <v>14471</v>
      </c>
      <c r="C496" s="3">
        <v>44442.795983796299</v>
      </c>
      <c r="D496" s="1" t="s">
        <v>993</v>
      </c>
      <c r="E496" s="4" t="str">
        <f ca="1">IFERROR(__xludf.DUMMYFUNCTION("GOOGLETRANSLATE(A496 , ""tr"" , ""en"")"),"The Sultans of the File,
Even the championship was scarcely. Tomorrow is in your tiny palm! We are already celebrating. https://t.co/zkzIJR351Q")</f>
        <v>The Sultans of the File,
Even the championship was scarcely. Tomorrow is in your tiny palm! We are already celebrating. https://t.co/zkzIJR351Q</v>
      </c>
    </row>
    <row r="497" spans="1:5" ht="15.75" customHeight="1" x14ac:dyDescent="0.25">
      <c r="A497" s="1" t="s">
        <v>994</v>
      </c>
      <c r="B497" s="1">
        <v>6593</v>
      </c>
      <c r="C497" s="3">
        <v>44442.687268518515</v>
      </c>
      <c r="D497" s="1" t="s">
        <v>995</v>
      </c>
      <c r="E497" s="4" t="str">
        <f ca="1">IFERROR(__xludf.DUMMYFUNCTION("GOOGLETRANSLATE(A497 , ""tr"" , ""en"")"),"Monday schools are opening. We are committed to a face-to-face and uninterrupted year of education. Now with us our children, the eye of our young people in this table: 22,867 new cases, 276 life loss! If you haven't been vaccinated yet, there are some qu"&amp;"estions that are justified if you are out of mask outside. https://t.co/xrqxeryibr")</f>
        <v>Monday schools are opening. We are committed to a face-to-face and uninterrupted year of education. Now with us our children, the eye of our young people in this table: 22,867 new cases, 276 life loss! If you haven't been vaccinated yet, there are some questions that are justified if you are out of mask outside. https://t.co/xrqxeryibr</v>
      </c>
    </row>
    <row r="498" spans="1:5" ht="15.75" customHeight="1" x14ac:dyDescent="0.25">
      <c r="A498" s="1" t="s">
        <v>996</v>
      </c>
      <c r="B498" s="1">
        <v>7990</v>
      </c>
      <c r="C498" s="3">
        <v>44442.595775462964</v>
      </c>
      <c r="D498" s="1" t="s">
        <v>997</v>
      </c>
      <c r="E498" s="4" t="str">
        <f ca="1">IFERROR(__xludf.DUMMYFUNCTION("GOOGLETRANSLATE(A498 , ""tr"" , ""en"")"),"Our children and youth gets Monday schools. We must be in solidarity for education under reliable conditions. The motivation of our teachers is high from all of us. Their own health up to his students' love. Great responsibility of all society falls!")</f>
        <v>Our children and youth gets Monday schools. We must be in solidarity for education under reliable conditions. The motivation of our teachers is high from all of us. Their own health up to his students' love. Great responsibility of all society falls!</v>
      </c>
    </row>
    <row r="499" spans="1:5" ht="15.75" customHeight="1" x14ac:dyDescent="0.25">
      <c r="A499" s="1" t="s">
        <v>998</v>
      </c>
      <c r="B499" s="1">
        <v>7307</v>
      </c>
      <c r="C499" s="3">
        <v>44442.590787037036</v>
      </c>
      <c r="D499" s="1" t="s">
        <v>999</v>
      </c>
      <c r="E499" s="4" t="str">
        <f ca="1">IFERROR(__xludf.DUMMYFUNCTION("GOOGLETRANSLATE(A499 , ""tr"" , ""en"")"),"We made yesterday's Science Board Meeting with the participation of our National Education Minister, our YÖK President, Youth and Sports. We have evaluated the measures we received for the continuous continuation of face-to-face training. Measures will fo"&amp;"rm trust in schools, in schools.")</f>
        <v>We made yesterday's Science Board Meeting with the participation of our National Education Minister, our YÖK President, Youth and Sports. We have evaluated the measures we received for the continuous continuation of face-to-face training. Measures will form trust in schools, in schools.</v>
      </c>
    </row>
    <row r="500" spans="1:5" ht="15.75" customHeight="1" x14ac:dyDescent="0.25">
      <c r="A500" s="1" t="s">
        <v>1000</v>
      </c>
      <c r="B500" s="1">
        <v>2824</v>
      </c>
      <c r="C500" s="3">
        <v>44442.486018518517</v>
      </c>
      <c r="D500" s="1" t="s">
        <v>1001</v>
      </c>
      <c r="E500" s="4" t="str">
        <f ca="1">IFERROR(__xludf.DUMMYFUNCTION("GOOGLETRANSLATE(A500 , ""tr"" , ""en"")"),"Our parents are uneasy. But our parents must carry responsibility to our least teachers at the point of making responsibility on their responsibility. https://t.co/dyrtkp6J9I")</f>
        <v>Our parents are uneasy. But our parents must carry responsibility to our least teachers at the point of making responsibility on their responsibility. https://t.co/dyrtkp6J9I</v>
      </c>
    </row>
    <row r="501" spans="1:5" ht="15.75" customHeight="1" x14ac:dyDescent="0.25">
      <c r="A501" s="1" t="s">
        <v>1002</v>
      </c>
      <c r="B501" s="1">
        <v>2452</v>
      </c>
      <c r="C501" s="3">
        <v>44442.476840277777</v>
      </c>
      <c r="D501" s="1" t="s">
        <v>1003</v>
      </c>
      <c r="E501" s="4" t="str">
        <f ca="1">IFERROR(__xludf.DUMMYFUNCTION("GOOGLETRANSLATE(A501 , ""tr"" , ""en"")"),"We want to get this outbreak out of our agenda. This epidemic should now be out of a situation that hurts in front of the country. This is possible with all of us, 84 million moves together and together. And we know that the vaccine is effective, we see t"&amp;"he results very clearly. https://t.co/vciiybmfiy")</f>
        <v>We want to get this outbreak out of our agenda. This epidemic should now be out of a situation that hurts in front of the country. This is possible with all of us, 84 million moves together and together. And we know that the vaccine is effective, we see the results very clearly. https://t.co/vciiybmfiy</v>
      </c>
    </row>
    <row r="502" spans="1:5" ht="15.75" customHeight="1" x14ac:dyDescent="0.25">
      <c r="A502" s="1" t="s">
        <v>1004</v>
      </c>
      <c r="B502" s="1">
        <v>4515</v>
      </c>
      <c r="C502" s="3">
        <v>44442.462233796294</v>
      </c>
      <c r="D502" s="1" t="s">
        <v>1005</v>
      </c>
      <c r="E502" s="4" t="str">
        <f ca="1">IFERROR(__xludf.DUMMYFUNCTION("GOOGLETRANSLATE(A502 , ""tr"" , ""en"")"),"Our citizen is a 98 percent of their child and a society that has been able to start both days after both the newborn period and two days of birth. Why won't we get the vaccination to ourselves? We know the results. https://t.co/ns1g7pngqm")</f>
        <v>Our citizen is a 98 percent of their child and a society that has been able to start both days after both the newborn period and two days of birth. Why won't we get the vaccination to ourselves? We know the results. https://t.co/ns1g7pngqm</v>
      </c>
    </row>
    <row r="503" spans="1:5" ht="15.75" customHeight="1" x14ac:dyDescent="0.25">
      <c r="A503" s="1" t="s">
        <v>1006</v>
      </c>
      <c r="B503" s="1">
        <v>3383</v>
      </c>
      <c r="C503" s="3">
        <v>44442.453912037039</v>
      </c>
      <c r="D503" s="1" t="s">
        <v>1007</v>
      </c>
      <c r="E503" s="4" t="str">
        <f ca="1">IFERROR(__xludf.DUMMYFUNCTION("GOOGLETRANSLATE(A503 , ""tr"" , ""en"")"),"The Bouncy of Science does not want to take the closing of schools in any way, in the new period. And in the new period, there will be no cause of the relief of epidemics. Because we have anymore vaccines. https://t.co/lwczstjgxs")</f>
        <v>The Bouncy of Science does not want to take the closing of schools in any way, in the new period. And in the new period, there will be no cause of the relief of epidemics. Because we have anymore vaccines. https://t.co/lwczstjgxs</v>
      </c>
    </row>
    <row r="504" spans="1:5" ht="15.75" customHeight="1" x14ac:dyDescent="0.25">
      <c r="A504" s="1" t="s">
        <v>1008</v>
      </c>
      <c r="B504" s="1">
        <v>3185</v>
      </c>
      <c r="C504" s="3">
        <v>44441.871886574074</v>
      </c>
      <c r="D504" s="1" t="s">
        <v>1009</v>
      </c>
      <c r="E504" s="4" t="str">
        <f ca="1">IFERROR(__xludf.DUMMYFUNCTION("GOOGLETRANSLATE(A504 , ""tr"" , ""en"")"),"If we always endeavor, we will be unjustified by the ringtone that says the alarm sound. We have to remove. I believe we will remove it. https://t.co/wxzvjf4ddo")</f>
        <v>If we always endeavor, we will be unjustified by the ringtone that says the alarm sound. We have to remove. I believe we will remove it. https://t.co/wxzvjf4ddo</v>
      </c>
    </row>
    <row r="505" spans="1:5" ht="15.75" customHeight="1" x14ac:dyDescent="0.25">
      <c r="A505" s="1" t="s">
        <v>1010</v>
      </c>
      <c r="B505" s="1">
        <v>3390</v>
      </c>
      <c r="C505" s="3">
        <v>44441.865057870367</v>
      </c>
      <c r="D505" s="1" t="s">
        <v>1011</v>
      </c>
      <c r="E505" s="4" t="str">
        <f ca="1">IFERROR(__xludf.DUMMYFUNCTION("GOOGLETRANSLATE(A505 , ""tr"" , ""en"")"),"As of today, 81% of our active cases are not full-grown. Approximately 90% of our hospital citizens are not full-grown. 90% of our passing citizens are either no vaccination or vaccinations are missing people. https://t.co/wiwlhvfjl1")</f>
        <v>As of today, 81% of our active cases are not full-grown. Approximately 90% of our hospital citizens are not full-grown. 90% of our passing citizens are either no vaccination or vaccinations are missing people. https://t.co/wiwlhvfjl1</v>
      </c>
    </row>
    <row r="506" spans="1:5" ht="15.75" customHeight="1" x14ac:dyDescent="0.25">
      <c r="A506" s="1" t="s">
        <v>1012</v>
      </c>
      <c r="B506" s="1">
        <v>2539</v>
      </c>
      <c r="C506" s="3">
        <v>44441.850057870368</v>
      </c>
      <c r="D506" s="1" t="s">
        <v>1013</v>
      </c>
      <c r="E506" s="4" t="str">
        <f ca="1">IFERROR(__xludf.DUMMYFUNCTION("GOOGLETRANSLATE(A506 , ""tr"" , ""en"")"),"Today is over 78% of our 18 years of age and over 78% of the single dose, more than 60% is inoculated with 2 dose vaccines. When our vaccination program started the light appeared on the end of the tunnel. I can say that the tunnel looks out today. https:"&amp;"//t.co/qpk8difvwp")</f>
        <v>Today is over 78% of our 18 years of age and over 78% of the single dose, more than 60% is inoculated with 2 dose vaccines. When our vaccination program started the light appeared on the end of the tunnel. I can say that the tunnel looks out today. https://t.co/qpk8difvwp</v>
      </c>
    </row>
    <row r="507" spans="1:5" ht="15.75" customHeight="1" x14ac:dyDescent="0.25">
      <c r="A507" s="1" t="s">
        <v>1014</v>
      </c>
      <c r="B507" s="1">
        <v>5885</v>
      </c>
      <c r="C507" s="3">
        <v>44441.846018518518</v>
      </c>
      <c r="D507" s="1" t="s">
        <v>1015</v>
      </c>
      <c r="E507" s="4" t="str">
        <f ca="1">IFERROR(__xludf.DUMMYFUNCTION("GOOGLETRANSLATE(A507 , ""tr"" , ""en"")"),"Sivas and Malatya is now blue at Covid-19 on the risk map of Covid-19. The rate of the second overdose is 61.8% in Sivas, 57.2% in Malatya. As soon as the first dose ratio is rapidly approaching 100%, we expect high success at 2nd dose. CONGRATULATIONS!")</f>
        <v>Sivas and Malatya is now blue at Covid-19 on the risk map of Covid-19. The rate of the second overdose is 61.8% in Sivas, 57.2% in Malatya. As soon as the first dose ratio is rapidly approaching 100%, we expect high success at 2nd dose. CONGRATULATIONS!</v>
      </c>
    </row>
    <row r="508" spans="1:5" ht="15.75" customHeight="1" x14ac:dyDescent="0.25">
      <c r="A508" s="1" t="s">
        <v>1016</v>
      </c>
      <c r="B508" s="1">
        <v>6348</v>
      </c>
      <c r="C508" s="3">
        <v>44441.787719907406</v>
      </c>
      <c r="D508" s="1" t="s">
        <v>1017</v>
      </c>
      <c r="E508" s="4" t="str">
        <f ca="1">IFERROR(__xludf.DUMMYFUNCTION("GOOGLETRANSLATE(A508 , ""tr"" , ""en"")"),"Case Tables and Vaccine: We are in a single, 60% of our 78% of us. Case increases in the last 4 weeks are due to non-vaccinated persons. 81% of the active cases is those who are in total 90% of those who are hospitalized. Only 10% of the losses are full g"&amp;"rafted. https://t.co/ezaxjisgjj")</f>
        <v>Case Tables and Vaccine: We are in a single, 60% of our 78% of us. Case increases in the last 4 weeks are due to non-vaccinated persons. 81% of the active cases is those who are in total 90% of those who are hospitalized. Only 10% of the losses are full grafted. https://t.co/ezaxjisgjj</v>
      </c>
    </row>
    <row r="509" spans="1:5" ht="15.75" customHeight="1" x14ac:dyDescent="0.25">
      <c r="A509" s="1" t="s">
        <v>1018</v>
      </c>
      <c r="B509" s="1">
        <v>3696</v>
      </c>
      <c r="C509" s="3">
        <v>44441.729212962964</v>
      </c>
      <c r="D509" s="1" t="s">
        <v>1019</v>
      </c>
      <c r="E509" s="4" t="str">
        <f ca="1">IFERROR(__xludf.DUMMYFUNCTION("GOOGLETRANSLATE(A509 , ""tr"" , ""en"")"),"After our Science Board meeting, our press statement on the latest developments on the coronavirus.
https://t.co/iqhb6kqemb")</f>
        <v>After our Science Board meeting, our press statement on the latest developments on the coronavirus.
https://t.co/iqhb6kqemb</v>
      </c>
    </row>
    <row r="510" spans="1:5" ht="15.75" customHeight="1" x14ac:dyDescent="0.25">
      <c r="A510" s="1" t="s">
        <v>1020</v>
      </c>
      <c r="B510" s="1">
        <v>9507</v>
      </c>
      <c r="C510" s="3">
        <v>44441.540694444448</v>
      </c>
      <c r="D510" s="1" t="s">
        <v>1021</v>
      </c>
      <c r="E510" s="4" t="str">
        <f ca="1">IFERROR(__xludf.DUMMYFUNCTION("GOOGLETRANSLATE(A510 , ""tr"" , ""en"")"),"78.5% of our 18 years of age and older population has made the first dose of overdose. We have passed 95 million in the first, second and third dose of dose. We will soon share 100 million dose information.")</f>
        <v>78.5% of our 18 years of age and older population has made the first dose of overdose. We have passed 95 million in the first, second and third dose of dose. We will soon share 100 million dose information.</v>
      </c>
    </row>
    <row r="511" spans="1:5" ht="15.75" customHeight="1" x14ac:dyDescent="0.25">
      <c r="A511" s="1" t="s">
        <v>1022</v>
      </c>
      <c r="B511" s="1">
        <v>33726</v>
      </c>
      <c r="C511" s="3">
        <v>44441.292627314811</v>
      </c>
      <c r="D511" s="1" t="s">
        <v>1023</v>
      </c>
      <c r="E511" s="4" t="str">
        <f ca="1">IFERROR(__xludf.DUMMYFUNCTION("GOOGLETRANSLATE(A511 , ""tr"" , ""en"")"),"What happened to us?
The mask is extracted with each other in distance!")</f>
        <v>What happened to us?
The mask is extracted with each other in distance!</v>
      </c>
    </row>
    <row r="512" spans="1:5" ht="15.75" customHeight="1" x14ac:dyDescent="0.25">
      <c r="A512" s="1" t="s">
        <v>1024</v>
      </c>
      <c r="B512" s="1">
        <v>4419</v>
      </c>
      <c r="C512" s="3">
        <v>44440.887002314812</v>
      </c>
      <c r="D512" s="1" t="s">
        <v>1025</v>
      </c>
      <c r="E512" s="4" t="str">
        <f ca="1">IFERROR(__xludf.DUMMYFUNCTION("GOOGLETRANSLATE(A512 , ""tr"" , ""en"")"),"""Şen Ol Bayburt!"" The risk of risk against Covid-19 was slightly lessened. We expect that the first overdose ratio of 65% is over 75%, and expect you to translate the risk color on the map to blue. https://t.co/hzmhssyp4k")</f>
        <v>"Şen Ol Bayburt!" The risk of risk against Covid-19 was slightly lessened. We expect that the first overdose ratio of 65% is over 75%, and expect you to translate the risk color on the map to blue. https://t.co/hzmhssyp4k</v>
      </c>
    </row>
    <row r="513" spans="1:5" ht="15.75" customHeight="1" x14ac:dyDescent="0.25">
      <c r="A513" s="1" t="s">
        <v>1026</v>
      </c>
      <c r="B513" s="1">
        <v>7376</v>
      </c>
      <c r="C513" s="3">
        <v>44440.874363425923</v>
      </c>
      <c r="D513" s="1" t="s">
        <v>1027</v>
      </c>
      <c r="E513" s="4" t="str">
        <f ca="1">IFERROR(__xludf.DUMMYFUNCTION("GOOGLETRANSLATE(A513 , ""tr"" , ""en"")"),"Hi Gaziantep,
We now have a blue like your pen. Our first overdose rate against Covid-19 is upgrading 75%. Let's decrease the risk with continuing doses as it should be required.")</f>
        <v>Hi Gaziantep,
We now have a blue like your pen. Our first overdose rate against Covid-19 is upgrading 75%. Let's decrease the risk with continuing doses as it should be required.</v>
      </c>
    </row>
    <row r="514" spans="1:5" ht="15.75" customHeight="1" x14ac:dyDescent="0.25">
      <c r="A514" s="1" t="s">
        <v>1028</v>
      </c>
      <c r="B514" s="1">
        <v>10960</v>
      </c>
      <c r="C514" s="3">
        <v>44440.793993055559</v>
      </c>
      <c r="D514" s="1" t="s">
        <v>1029</v>
      </c>
      <c r="E514" s="4" t="str">
        <f ca="1">IFERROR(__xludf.DUMMYFUNCTION("GOOGLETRANSLATE(A514 , ""tr"" , ""en"")"),"Teachers, school employees disrupted the process of vaccination; The concert will be found in public environments such as cinema and the PCR test is required as of September 6 for the intercity trip. The test Covid-19 is the meaning of the health status m"&amp;"onitoring. Let's get good results from PCR. Let's be our vaccinations.")</f>
        <v>Teachers, school employees disrupted the process of vaccination; The concert will be found in public environments such as cinema and the PCR test is required as of September 6 for the intercity trip. The test Covid-19 is the meaning of the health status monitoring. Let's get good results from PCR. Let's be our vaccinations.</v>
      </c>
    </row>
    <row r="515" spans="1:5" ht="15.75" customHeight="1" x14ac:dyDescent="0.25">
      <c r="A515" s="1" t="s">
        <v>1030</v>
      </c>
      <c r="B515" s="1">
        <v>8024</v>
      </c>
      <c r="C515" s="3">
        <v>44440.710034722222</v>
      </c>
      <c r="D515" s="1" t="s">
        <v>1031</v>
      </c>
      <c r="E515" s="4" t="str">
        <f ca="1">IFERROR(__xludf.DUMMYFUNCTION("GOOGLETRANSLATE(A515 , ""tr"" , ""en"")"),"If the situation in the table continues as today as today, we have at least 335,000 new cases in 2 weeks, we will have 4,000 new life loss. By ignoring the fact of epidemic in daily life, we pay heavy price as society to delay the first dose of overdose. "&amp;"https://t.co/rvlhe7786o https://t.co/hcttmnzgea")</f>
        <v>If the situation in the table continues as today as today, we have at least 335,000 new cases in 2 weeks, we will have 4,000 new life loss. By ignoring the fact of epidemic in daily life, we pay heavy price as society to delay the first dose of overdose. https://t.co/rvlhe7786o https://t.co/hcttmnzgea</v>
      </c>
    </row>
    <row r="516" spans="1:5" ht="15.75" customHeight="1" x14ac:dyDescent="0.25">
      <c r="A516" s="1" t="s">
        <v>1032</v>
      </c>
      <c r="B516" s="1">
        <v>5663</v>
      </c>
      <c r="C516" s="3">
        <v>44439.769733796296</v>
      </c>
      <c r="D516" s="1" t="s">
        <v>1033</v>
      </c>
      <c r="E516" s="4" t="str">
        <f ca="1">IFERROR(__xludf.DUMMYFUNCTION("GOOGLETRANSLATE(A516 , ""tr"" , ""en"")"),"In our Kırıkkale, the first overdose rate was over 75%. The new color of Kırıkkale on the Covid-19 risk map held according to the first overdose rate. We celebrate Kırıkkale along with Sirnak that changed the risk color today. These rates are more than, i"&amp;"n progress doses!")</f>
        <v>In our Kırıkkale, the first overdose rate was over 75%. The new color of Kırıkkale on the Covid-19 risk map held according to the first overdose rate. We celebrate Kırıkkale along with Sirnak that changed the risk color today. These rates are more than, in progress doses!</v>
      </c>
    </row>
    <row r="517" spans="1:5" ht="15.75" customHeight="1" x14ac:dyDescent="0.25">
      <c r="A517" s="1" t="s">
        <v>1034</v>
      </c>
      <c r="B517" s="1">
        <v>4180</v>
      </c>
      <c r="C517" s="3">
        <v>44439.760185185187</v>
      </c>
      <c r="D517" s="1" t="s">
        <v>1035</v>
      </c>
      <c r="E517" s="4" t="str">
        <f ca="1">IFERROR(__xludf.DUMMYFUNCTION("GOOGLETRANSLATE(A517 , ""tr"" , ""en"")"),"Sertab ERENER: What our hospitals are dolve nor our scenes are empty. The solution is simple and cut. However, we can return to the ordinary we miss by making the vaccination as it comes. https://t.co/glbl2ba0lg")</f>
        <v>Sertab ERENER: What our hospitals are dolve nor our scenes are empty. The solution is simple and cut. However, we can return to the ordinary we miss by making the vaccination as it comes. https://t.co/glbl2ba0lg</v>
      </c>
    </row>
    <row r="518" spans="1:5" ht="15.75" customHeight="1" x14ac:dyDescent="0.25">
      <c r="A518" s="1" t="s">
        <v>1036</v>
      </c>
      <c r="B518" s="1">
        <v>3993</v>
      </c>
      <c r="C518" s="3">
        <v>44439.75304398148</v>
      </c>
      <c r="D518" s="1" t="s">
        <v>1037</v>
      </c>
      <c r="E518" s="4" t="str">
        <f ca="1">IFERROR(__xludf.DUMMYFUNCTION("GOOGLETRANSLATE(A518 , ""tr"" , ""en"")"),"Demet Akbağ: Doctors, nurses, health workers, the experts of the subject, while fighting all the world's pandem, has gave very great struggles. We can also contribute to this challenge. Let's not neglect to be vaccinated. https://t.co/d4k7kICazc")</f>
        <v>Demet Akbağ: Doctors, nurses, health workers, the experts of the subject, while fighting all the world's pandem, has gave very great struggles. We can also contribute to this challenge. Let's not neglect to be vaccinated. https://t.co/d4k7kICazc</v>
      </c>
    </row>
    <row r="519" spans="1:5" ht="15.75" customHeight="1" x14ac:dyDescent="0.25">
      <c r="A519" s="1" t="s">
        <v>1038</v>
      </c>
      <c r="B519" s="1">
        <v>5436</v>
      </c>
      <c r="C519" s="3">
        <v>44439.730138888888</v>
      </c>
      <c r="D519" s="1" t="s">
        <v>1039</v>
      </c>
      <c r="E519" s="4" t="str">
        <f ca="1">IFERROR(__xludf.DUMMYFUNCTION("GOOGLETRANSLATE(A519 , ""tr"" , ""en"")"),"Assuming that you are now conducinent for one of our 252 Covid-19 patients who passed away today. The test called a positive one, you say that you get the past. This table will be included in the warning, you have to consider exactly the moment. Let's mak"&amp;"e a prudent start tomorrow. https://t.co/rvlhe7786o https://t.co/gfpeqzwncm")</f>
        <v>Assuming that you are now conducinent for one of our 252 Covid-19 patients who passed away today. The test called a positive one, you say that you get the past. This table will be included in the warning, you have to consider exactly the moment. Let's make a prudent start tomorrow. https://t.co/rvlhe7786o https://t.co/gfpeqzwncm</v>
      </c>
    </row>
    <row r="520" spans="1:5" ht="15.75" customHeight="1" x14ac:dyDescent="0.25">
      <c r="A520" s="1" t="s">
        <v>1040</v>
      </c>
      <c r="B520" s="1">
        <v>16606</v>
      </c>
      <c r="C520" s="3">
        <v>44439.687361111108</v>
      </c>
      <c r="D520" s="1" t="s">
        <v>1041</v>
      </c>
      <c r="E520" s="4" t="str">
        <f ca="1">IFERROR(__xludf.DUMMYFUNCTION("GOOGLETRANSLATE(A520 , ""tr"" , ""en"")"),"This news does not wait for the evening: Sirnak didn't leave tomorrow, blue!")</f>
        <v>This news does not wait for the evening: Sirnak didn't leave tomorrow, blue!</v>
      </c>
    </row>
    <row r="521" spans="1:5" ht="15.75" customHeight="1" x14ac:dyDescent="0.25">
      <c r="A521" s="1" t="s">
        <v>1042</v>
      </c>
      <c r="B521" s="1">
        <v>7963</v>
      </c>
      <c r="C521" s="3">
        <v>44439.657546296294</v>
      </c>
      <c r="D521" s="1" t="s">
        <v>1043</v>
      </c>
      <c r="E521" s="4" t="str">
        <f ca="1">IFERROR(__xludf.DUMMYFUNCTION("GOOGLETRANSLATE(A521 , ""tr"" , ""en"")"),"YKS preferred results are announced. Congratulations. Let us be the second or third dose that is the first dose of time in our net 18 or if we were at the top of 18. Let's get our adaptation in the environment.")</f>
        <v>YKS preferred results are announced. Congratulations. Let us be the second or third dose that is the first dose of time in our net 18 or if we were at the top of 18. Let's get our adaptation in the environment.</v>
      </c>
    </row>
    <row r="522" spans="1:5" ht="15.75" customHeight="1" x14ac:dyDescent="0.25">
      <c r="A522" s="1" t="s">
        <v>1044</v>
      </c>
      <c r="B522" s="1">
        <v>6443</v>
      </c>
      <c r="C522" s="3">
        <v>44438.834247685183</v>
      </c>
      <c r="D522" s="1" t="s">
        <v>1045</v>
      </c>
      <c r="E522" s="4" t="str">
        <f ca="1">IFERROR(__xludf.DUMMYFUNCTION("GOOGLETRANSLATE(A522 , ""tr"" , ""en"")"),"Eyes in syrnak!
The Şırnak has left behind 7 provinces in a week at the first overdose rate. Very close to the blue. Tomorrow HISIM relative, bride-in mother-in-law, father son, let us go to our vaccines. Eyes are ultimately to be obtained against Covid-1"&amp;"9. We must guarantee this work Wednesday!")</f>
        <v>Eyes in syrnak!
The Şırnak has left behind 7 provinces in a week at the first overdose rate. Very close to the blue. Tomorrow HISIM relative, bride-in mother-in-law, father son, let us go to our vaccines. Eyes are ultimately to be obtained against Covid-19. We must guarantee this work Wednesday!</v>
      </c>
    </row>
    <row r="523" spans="1:5" ht="15.75" customHeight="1" x14ac:dyDescent="0.25">
      <c r="A523" s="1" t="s">
        <v>1046</v>
      </c>
      <c r="B523" s="1">
        <v>3453</v>
      </c>
      <c r="C523" s="3">
        <v>44438.761597222219</v>
      </c>
      <c r="D523" s="1" t="s">
        <v>1047</v>
      </c>
      <c r="E523" s="4" t="str">
        <f ca="1">IFERROR(__xludf.DUMMYFUNCTION("GOOGLETRANSLATE(A523 , ""tr"" , ""en"")"),"How is a patient to expect to heal? If life is your friend! https://t.co/S3IM2YSP8K")</f>
        <v>How is a patient to expect to heal? If life is your friend! https://t.co/S3IM2YSP8K</v>
      </c>
    </row>
    <row r="524" spans="1:5" ht="15.75" customHeight="1" x14ac:dyDescent="0.25">
      <c r="A524" s="1" t="s">
        <v>1048</v>
      </c>
      <c r="B524" s="1">
        <v>9224</v>
      </c>
      <c r="C524" s="3">
        <v>44438.72152777778</v>
      </c>
      <c r="D524" s="1" t="s">
        <v>1049</v>
      </c>
      <c r="E524" s="4" t="str">
        <f ca="1">IFERROR(__xludf.DUMMYFUNCTION("GOOGLETRANSLATE(A524 , ""tr"" , ""en"")"),"01 Adn Blue
03 afy blue
43 kth blue
78 krb blue
Adana, Afyon, Kütahya and Karabük are the first overdose rates over 75% of Covid-19 on the risk map of Covid-19 are now among low risk provinces. All in the name of Turkey, thanks with these four. We expec"&amp;"t a higher speed in the vaccine!")</f>
        <v>01 Adn Blue
03 afy blue
43 kth blue
78 krb blue
Adana, Afyon, Kütahya and Karabük are the first overdose rates over 75% of Covid-19 on the risk map of Covid-19 are now among low risk provinces. All in the name of Turkey, thanks with these four. We expect a higher speed in the vaccine!</v>
      </c>
    </row>
    <row r="525" spans="1:5" ht="15.75" customHeight="1" x14ac:dyDescent="0.25">
      <c r="A525" s="1" t="s">
        <v>1050</v>
      </c>
      <c r="B525" s="1">
        <v>5104</v>
      </c>
      <c r="C525" s="3">
        <v>44438.706307870372</v>
      </c>
      <c r="D525" s="1" t="s">
        <v>1051</v>
      </c>
      <c r="E525" s="4" t="str">
        <f ca="1">IFERROR(__xludf.DUMMYFUNCTION("GOOGLETRANSLATE(A525 , ""tr"" , ""en"")"),"Our new case number could have been 9.557 instead of 19.557. If the measures are kept tight and we know that the number of passages will fall quickly. Social immunity is an easy target for measure and vaccine! Let's change this table with heavy results ev"&amp;"ery day. We can succeed! https://t.co/rvlhe7786o https://t.co/hsqskmkqqp")</f>
        <v>Our new case number could have been 9.557 instead of 19.557. If the measures are kept tight and we know that the number of passages will fall quickly. Social immunity is an easy target for measure and vaccine! Let's change this table with heavy results every day. We can succeed! https://t.co/rvlhe7786o https://t.co/hsqskmkqqp</v>
      </c>
    </row>
    <row r="526" spans="1:5" ht="15.75" customHeight="1" x14ac:dyDescent="0.25">
      <c r="A526" s="1" t="s">
        <v>1052</v>
      </c>
      <c r="B526" s="1">
        <v>4692</v>
      </c>
      <c r="C526" s="3">
        <v>44438.641979166663</v>
      </c>
      <c r="D526" s="1" t="s">
        <v>1053</v>
      </c>
      <c r="E526" s="4" t="str">
        <f ca="1">IFERROR(__xludf.DUMMYFUNCTION("GOOGLETRANSLATE(A526 , ""tr"" , ""en"")"),"The Uzm is under treatment in Gülhane training and research hospital. Sergeant Ismail Şebelek Erdi Yesterday. Our soldier was seriously injured in the treacherous attack on the cross-border terrorist operation. Mercy from Allah to himself; Wishing your fa"&amp;"mily and hero condolences to our army. https://t.co/oo2l1rlznn")</f>
        <v>The Uzm is under treatment in Gülhane training and research hospital. Sergeant Ismail Şebelek Erdi Yesterday. Our soldier was seriously injured in the treacherous attack on the cross-border terrorist operation. Mercy from Allah to himself; Wishing your family and hero condolences to our army. https://t.co/oo2l1rlznn</v>
      </c>
    </row>
    <row r="527" spans="1:5" ht="15.75" customHeight="1" x14ac:dyDescent="0.25">
      <c r="A527" s="1" t="s">
        <v>1054</v>
      </c>
      <c r="B527" s="1">
        <v>8909</v>
      </c>
      <c r="C527" s="3">
        <v>44438.301516203705</v>
      </c>
      <c r="D527" s="1" t="s">
        <v>1055</v>
      </c>
      <c r="E527" s="4" t="str">
        <f ca="1">IFERROR(__xludf.DUMMYFUNCTION("GOOGLETRANSLATE(A527 , ""tr"" , ""en"")"),"His immortal day! Today, the 99th anniversary of the Dumlupınar victory, which is very large in reaching the success of our salvation battle. Gazi Mustafa Kemal Atatürk, we verify our lives and leave us a country that leaves us a country. August 30 will r"&amp;"emain as immortal day. https://t.co/medostvjcd")</f>
        <v>His immortal day! Today, the 99th anniversary of the Dumlupınar victory, which is very large in reaching the success of our salvation battle. Gazi Mustafa Kemal Atatürk, we verify our lives and leave us a country that leaves us a country. August 30 will remain as immortal day. https://t.co/medostvjcd</v>
      </c>
    </row>
    <row r="528" spans="1:5" ht="15.75" customHeight="1" x14ac:dyDescent="0.25">
      <c r="A528" s="1" t="s">
        <v>1056</v>
      </c>
      <c r="B528" s="1">
        <v>9251</v>
      </c>
      <c r="C528" s="3">
        <v>44437.918032407404</v>
      </c>
      <c r="D528" s="1" t="s">
        <v>1057</v>
      </c>
      <c r="E528" s="4" t="str">
        <f ca="1">IFERROR(__xludf.DUMMYFUNCTION("GOOGLETRANSLATE(A528 , ""tr"" , ""en"")"),"Bayraktar Akıncı We celebrate those who contribute to the realization of the Tiha project. The goal of all of us is said to this nation in this nation of the word ""get auspicious"". https://t.co/dqge5zt10o")</f>
        <v>Bayraktar Akıncı We celebrate those who contribute to the realization of the Tiha project. The goal of all of us is said to this nation in this nation of the word "get auspicious". https://t.co/dqge5zt10o</v>
      </c>
    </row>
    <row r="529" spans="1:5" ht="15.75" customHeight="1" x14ac:dyDescent="0.25">
      <c r="A529" s="1" t="s">
        <v>1058</v>
      </c>
      <c r="B529" s="1">
        <v>4026</v>
      </c>
      <c r="C529" s="3">
        <v>44437.869953703703</v>
      </c>
      <c r="D529" s="1" t="s">
        <v>1059</v>
      </c>
      <c r="E529" s="4" t="str">
        <f ca="1">IFERROR(__xludf.DUMMYFUNCTION("GOOGLETRANSLATE(A529 , ""tr"" , ""en"")"),"Covid-19 We have no new provinces lasting blue on the risk map. 255 Wouldn't it be good against new life loss news! Kütahya, Adana, Karabuk, Afyonkarahisar, Kırıkkale is the closest to 75% in the first overdose vaccination. Tomorrow with new vaccines, Tur"&amp;"key needs blue news! https://t.co/jtelnpxaez")</f>
        <v>Covid-19 We have no new provinces lasting blue on the risk map. 255 Wouldn't it be good against new life loss news! Kütahya, Adana, Karabuk, Afyonkarahisar, Kırıkkale is the closest to 75% in the first overdose vaccination. Tomorrow with new vaccines, Turkey needs blue news! https://t.co/jtelnpxaez</v>
      </c>
    </row>
    <row r="530" spans="1:5" ht="15.75" customHeight="1" x14ac:dyDescent="0.25">
      <c r="A530" s="1" t="s">
        <v>1060</v>
      </c>
      <c r="B530" s="1">
        <v>6136</v>
      </c>
      <c r="C530" s="3">
        <v>44437.700891203705</v>
      </c>
      <c r="D530" s="1" t="s">
        <v>1061</v>
      </c>
      <c r="E530" s="4" t="str">
        <f ca="1">IFERROR(__xludf.DUMMYFUNCTION("GOOGLETRANSLATE(A530 , ""tr"" , ""en"")"),"Our new case count is 17.332. ""This is an epidemic. Whether to do not want to be caught in the disease. "" So is it possible at all? Our new passive number 255. These deaths are preparing previous cases. There are two things to do until community immunit"&amp;"y: to be vaccinated, complying with measures! https://t.co/rvlhe7786o https://t.co/ck9npqfr19")</f>
        <v>Our new case count is 17.332. "This is an epidemic. Whether to do not want to be caught in the disease. " So is it possible at all? Our new passive number 255. These deaths are preparing previous cases. There are two things to do until community immunity: to be vaccinated, complying with measures! https://t.co/rvlhe7786o https://t.co/ck9npqfr19</v>
      </c>
    </row>
    <row r="531" spans="1:5" ht="15.75" customHeight="1" x14ac:dyDescent="0.25">
      <c r="A531" s="1" t="s">
        <v>1062</v>
      </c>
      <c r="B531" s="1">
        <v>5353</v>
      </c>
      <c r="C531" s="3">
        <v>44436.757187499999</v>
      </c>
      <c r="D531" s="1" t="s">
        <v>1063</v>
      </c>
      <c r="E531" s="4" t="str">
        <f ca="1">IFERROR(__xludf.DUMMYFUNCTION("GOOGLETRANSLATE(A531 , ""tr"" , ""en"")"),"SN. Nilgun lady,
Your question is important. Covid-19 should have a vaccination of those who have an antibody level? According to the world common in the world, yes! As in the epidemic, the patient antibody is not recommended in society-scale vaccines, ar"&amp;"e not recommended, if the precisely protection is in the subject. https://t.co/qxmjez7wya")</f>
        <v>SN. Nilgun lady,
Your question is important. Covid-19 should have a vaccination of those who have an antibody level? According to the world common in the world, yes! As in the epidemic, the patient antibody is not recommended in society-scale vaccines, are not recommended, if the precisely protection is in the subject. https://t.co/qxmjez7wya</v>
      </c>
    </row>
    <row r="532" spans="1:5" ht="15.75" customHeight="1" x14ac:dyDescent="0.25">
      <c r="A532" s="1" t="s">
        <v>1064</v>
      </c>
      <c r="B532" s="1">
        <v>3288</v>
      </c>
      <c r="C532" s="3">
        <v>44436.741087962961</v>
      </c>
      <c r="D532" s="1" t="s">
        <v>1065</v>
      </c>
      <c r="E532" s="4" t="str">
        <f ca="1">IFERROR(__xludf.DUMMYFUNCTION("GOOGLETRANSLATE(A532 , ""tr"" , ""en"")"),"No regret to tell you. https://t.co/uzqqaoqguz")</f>
        <v>No regret to tell you. https://t.co/uzqqaoqguz</v>
      </c>
    </row>
    <row r="533" spans="1:5" ht="15.75" customHeight="1" x14ac:dyDescent="0.25">
      <c r="A533" s="1" t="s">
        <v>1066</v>
      </c>
      <c r="B533" s="1">
        <v>6150</v>
      </c>
      <c r="C533" s="3">
        <v>44436.709236111114</v>
      </c>
      <c r="D533" s="1" t="s">
        <v>1067</v>
      </c>
      <c r="E533" s="4" t="str">
        <f ca="1">IFERROR(__xludf.DUMMYFUNCTION("GOOGLETRANSLATE(A533 , ""tr"" , ""en"")"),"How many people will look at the table? We used to live with an epidemic agenda. The habits are not tight if the measures required by the epidemic. Look at the table every day. Help you remember neglected measures. If you delayed allows you to raise the v"&amp;"accine. https://t.co/rvlhe7786o https://t.co/xmiI9swdnz")</f>
        <v>How many people will look at the table? We used to live with an epidemic agenda. The habits are not tight if the measures required by the epidemic. Look at the table every day. Help you remember neglected measures. If you delayed allows you to raise the vaccine. https://t.co/rvlhe7786o https://t.co/xmiI9swdnz</v>
      </c>
    </row>
    <row r="534" spans="1:5" ht="15.75" customHeight="1" x14ac:dyDescent="0.25">
      <c r="A534" s="1" t="s">
        <v>1068</v>
      </c>
      <c r="B534" s="1">
        <v>3434</v>
      </c>
      <c r="C534" s="3">
        <v>44436.426481481481</v>
      </c>
      <c r="D534" s="1" t="s">
        <v>1069</v>
      </c>
      <c r="E534" s="4" t="str">
        <f ca="1">IFERROR(__xludf.DUMMYFUNCTION("GOOGLETRANSLATE(A534 , ""tr"" , ""en"")"),"Igdir has passed yellow at risk level. Ardahan and Hakkâri in the region are already blue in the first overdose rates of 75%. Iy is; With Kars, With Pain, Van, the first dose of vaccine with Şırnak, is not good if the first dose of vaccination is not good"&amp;"? If we are examples of our surroundings! Including neighboring countries!")</f>
        <v>Igdir has passed yellow at risk level. Ardahan and Hakkâri in the region are already blue in the first overdose rates of 75%. Iy is; With Kars, With Pain, Van, the first dose of vaccine with Şırnak, is not good if the first dose of vaccination is not good? If we are examples of our surroundings! Including neighboring countries!</v>
      </c>
    </row>
    <row r="535" spans="1:5" ht="15.75" customHeight="1" x14ac:dyDescent="0.25">
      <c r="A535" s="1" t="s">
        <v>1070</v>
      </c>
      <c r="B535" s="1">
        <v>4433</v>
      </c>
      <c r="C535" s="3">
        <v>44436.424155092594</v>
      </c>
      <c r="D535" s="1" t="s">
        <v>1071</v>
      </c>
      <c r="E535" s="4" t="str">
        <f ca="1">IFERROR(__xludf.DUMMYFUNCTION("GOOGLETRANSLATE(A535 , ""tr"" , ""en"")"),"Nevsehir is in the low-risk provincial group with the first overdose ratio above 75%. The new color on the map is blue. If the first dose rate against Covid-19 is approached by 100%, continued doses will also be made in time to the market market, Nevsehir"&amp;" to Urgup from Avanos will be old Nevsehir!")</f>
        <v>Nevsehir is in the low-risk provincial group with the first overdose ratio above 75%. The new color on the map is blue. If the first dose rate against Covid-19 is approached by 100%, continued doses will also be made in time to the market market, Nevsehir to Urgup from Avanos will be old Nevsehir!</v>
      </c>
    </row>
    <row r="536" spans="1:5" ht="15.75" customHeight="1" x14ac:dyDescent="0.25">
      <c r="A536" s="1" t="s">
        <v>1072</v>
      </c>
      <c r="B536" s="1">
        <v>10717</v>
      </c>
      <c r="C536" s="3">
        <v>44436.422094907408</v>
      </c>
      <c r="D536" s="1" t="s">
        <v>1073</v>
      </c>
      <c r="E536" s="4" t="str">
        <f ca="1">IFERROR(__xludf.DUMMYFUNCTION("GOOGLETRANSLATE(A536 , ""tr"" , ""en"")"),"In Hatay, they ask the first dose vaccine, three of all four ""of course!"" says. Turkey's most crowded 13th city is the first overdose ratio of the first overdose. The color on the map is blue. Congratulations Hatay. There is more blue of the blue: the f"&amp;"irst dose rate close to 100%.")</f>
        <v>In Hatay, they ask the first dose vaccine, three of all four "of course!" says. Turkey's most crowded 13th city is the first overdose ratio of the first overdose. The color on the map is blue. Congratulations Hatay. There is more blue of the blue: the first dose rate close to 100%.</v>
      </c>
    </row>
    <row r="537" spans="1:5" ht="15.75" customHeight="1" x14ac:dyDescent="0.25">
      <c r="A537" s="1" t="s">
        <v>1074</v>
      </c>
      <c r="B537" s="1">
        <v>3070</v>
      </c>
      <c r="C537" s="3">
        <v>44436.33997685185</v>
      </c>
      <c r="D537" s="1" t="s">
        <v>1075</v>
      </c>
      <c r="E537" s="4" t="str">
        <f ca="1">IFERROR(__xludf.DUMMYFUNCTION("GOOGLETRANSLATE(A537 , ""tr"" , ""en"")"),"If you are in one of these 10 cities!
Bayburt, Gumushane, Kayseri, Gaziantep, Kilik, Bolu, Hakian, Nevsehir, Sinop, Kars: Case numbers between 14-20 August are the most increasing 10 products compared to the previous week! If you are in one of these citie"&amp;"s, you are less safe than before. The solution is certain. https://t.co/ukauxxlxdm")</f>
        <v>If you are in one of these 10 cities!
Bayburt, Gumushane, Kayseri, Gaziantep, Kilik, Bolu, Hakian, Nevsehir, Sinop, Kars: Case numbers between 14-20 August are the most increasing 10 products compared to the previous week! If you are in one of these cities, you are less safe than before. The solution is certain. https://t.co/ukauxxlxdm</v>
      </c>
    </row>
    <row r="538" spans="1:5" ht="15.75" customHeight="1" x14ac:dyDescent="0.25">
      <c r="A538" s="1" t="s">
        <v>1076</v>
      </c>
      <c r="B538" s="1">
        <v>3852</v>
      </c>
      <c r="C538" s="3">
        <v>44436.336516203701</v>
      </c>
      <c r="D538" s="1" t="s">
        <v>1077</v>
      </c>
      <c r="E538" s="4" t="str">
        <f ca="1">IFERROR(__xludf.DUMMYFUNCTION("GOOGLETRANSLATE(A538 , ""tr"" , ""en"")"),"What was the total number of new Covid-19 Cases in 100,000 people between 14-20 August? You can learn the situation in the situation in the province where you live or go to and from our weekly incidence map. According to the last map, the new case density"&amp;" is the highest rise. https://t.co/kd3vjce6MI")</f>
        <v>What was the total number of new Covid-19 Cases in 100,000 people between 14-20 August? You can learn the situation in the situation in the province where you live or go to and from our weekly incidence map. According to the last map, the new case density is the highest rise. https://t.co/kd3vjce6MI</v>
      </c>
    </row>
    <row r="539" spans="1:5" ht="15.75" customHeight="1" x14ac:dyDescent="0.25">
      <c r="A539" s="1" t="s">
        <v>1078</v>
      </c>
      <c r="B539" s="1">
        <v>7253</v>
      </c>
      <c r="C539" s="3">
        <v>44435.881377314814</v>
      </c>
      <c r="D539" s="1" t="s">
        <v>1079</v>
      </c>
      <c r="E539" s="4" t="str">
        <f ca="1">IFERROR(__xludf.DUMMYFUNCTION("GOOGLETRANSLATE(A539 , ""tr"" , ""en"")"),"In Siirt, the rate of becoming the first dose of 18 years of age or older, today is above 65%. Siirt's new color is yellow on the risk map of Covid-19. Be right siirt. But the work isn't over yet!")</f>
        <v>In Siirt, the rate of becoming the first dose of 18 years of age or older, today is above 65%. Siirt's new color is yellow on the risk map of Covid-19. Be right siirt. But the work isn't over yet!</v>
      </c>
    </row>
    <row r="540" spans="1:5" ht="15.75" customHeight="1" x14ac:dyDescent="0.25">
      <c r="A540" s="1" t="s">
        <v>1080</v>
      </c>
      <c r="B540" s="1">
        <v>5552</v>
      </c>
      <c r="C540" s="3">
        <v>44435.848055555558</v>
      </c>
      <c r="D540" s="1" t="s">
        <v>1081</v>
      </c>
      <c r="E540" s="4" t="str">
        <f ca="1">IFERROR(__xludf.DUMMYFUNCTION("GOOGLETRANSLATE(A540 , ""tr"" , ""en"")"),"Karaman is blue. So, Izmir, Hakkâri, Kıraykale, Artvin is more blue! The risk of risk level in a province, the risk falls in Turkey. Society of immunity is solidarity! Right is Karaman. Let's further upgrade the first overdose ratio over 75%.")</f>
        <v>Karaman is blue. So, Izmir, Hakkâri, Kıraykale, Artvin is more blue! The risk of risk level in a province, the risk falls in Turkey. Society of immunity is solidarity! Right is Karaman. Let's further upgrade the first overdose ratio over 75%.</v>
      </c>
    </row>
    <row r="541" spans="1:5" ht="15.75" customHeight="1" x14ac:dyDescent="0.25">
      <c r="A541" s="1" t="s">
        <v>1082</v>
      </c>
      <c r="B541" s="1">
        <v>35491</v>
      </c>
      <c r="C541" s="3">
        <v>44435.789363425924</v>
      </c>
      <c r="D541" s="1" t="s">
        <v>1083</v>
      </c>
      <c r="E541" s="4" t="str">
        <f ca="1">IFERROR(__xludf.DUMMYFUNCTION("GOOGLETRANSLATE(A541 , ""tr"" , ""en"")"),"We can all be glad: our Istanbul is blue.")</f>
        <v>We can all be glad: our Istanbul is blue.</v>
      </c>
    </row>
    <row r="542" spans="1:5" ht="15.75" customHeight="1" x14ac:dyDescent="0.25">
      <c r="A542" s="1" t="s">
        <v>1084</v>
      </c>
      <c r="B542" s="1">
        <v>6891</v>
      </c>
      <c r="C542" s="3">
        <v>44435.701377314814</v>
      </c>
      <c r="D542" s="1" t="s">
        <v>1085</v>
      </c>
      <c r="E542" s="4" t="str">
        <f ca="1">IFERROR(__xludf.DUMMYFUNCTION("GOOGLETRANSLATE(A542 , ""tr"" , ""en"")"),"Our passage number is very high than yesterday. Our case count is very high by yesterday. But there is also the eid of the eid in the eid. Compliment with the measures all together and depends on being our vaccines! https://t.co/rvlhe7786o https://t.co/6j"&amp;"nsafkpbl")</f>
        <v>Our passage number is very high than yesterday. Our case count is very high by yesterday. But there is also the eid of the eid in the eid. Compliment with the measures all together and depends on being our vaccines! https://t.co/rvlhe7786o https://t.co/6jnsafkpbl</v>
      </c>
    </row>
    <row r="543" spans="1:5" ht="15.75" customHeight="1" x14ac:dyDescent="0.25">
      <c r="A543" s="1" t="s">
        <v>1086</v>
      </c>
      <c r="B543" s="1">
        <v>7666</v>
      </c>
      <c r="C543" s="3">
        <v>44435.322233796294</v>
      </c>
      <c r="D543" s="1" t="s">
        <v>1087</v>
      </c>
      <c r="E543" s="4" t="str">
        <f ca="1">IFERROR(__xludf.DUMMYFUNCTION("GOOGLETRANSLATE(A543 , ""tr"" , ""en"")"),"The first dose of vaccine between teachers is 84.06%. The first dose of overdose in the whole community is 76.12%. The second overdose rate is 72.57% among teachers. This rate is 58.23% in all society. Schools are opening. Non-vaccination teachers will be"&amp;" examples of us soon. They haven't always been? https://t.co/ubr3IInwm")</f>
        <v>The first dose of vaccine between teachers is 84.06%. The first dose of overdose in the whole community is 76.12%. The second overdose rate is 72.57% among teachers. This rate is 58.23% in all society. Schools are opening. Non-vaccination teachers will be examples of us soon. They haven't always been? https://t.co/ubr3IInwm</v>
      </c>
    </row>
    <row r="544" spans="1:5" ht="15.75" customHeight="1" x14ac:dyDescent="0.25">
      <c r="A544" s="1" t="s">
        <v>1088</v>
      </c>
      <c r="B544" s="1">
        <v>20276</v>
      </c>
      <c r="C544" s="3">
        <v>44434.847361111111</v>
      </c>
      <c r="D544" s="1" t="s">
        <v>1089</v>
      </c>
      <c r="E544" s="4" t="str">
        <f ca="1">IFERROR(__xludf.DUMMYFUNCTION("GOOGLETRANSLATE(A544 , ""tr"" , ""en"")"),"Last minute message: Turkey Covid-19 did not remain red on the risk map. It's very nice to finish up to start the job. Greetings to you from 80 provinces, love Şanlıurfa!")</f>
        <v>Last minute message: Turkey Covid-19 did not remain red on the risk map. It's very nice to finish up to start the job. Greetings to you from 80 provinces, love Şanlıurfa!</v>
      </c>
    </row>
    <row r="545" spans="1:5" ht="15.75" customHeight="1" x14ac:dyDescent="0.25">
      <c r="A545" s="1" t="s">
        <v>1090</v>
      </c>
      <c r="B545" s="1">
        <v>6089</v>
      </c>
      <c r="C545" s="3">
        <v>44434.837337962963</v>
      </c>
      <c r="D545" s="1" t="s">
        <v>1091</v>
      </c>
      <c r="E545" s="4" t="str">
        <f ca="1">IFERROR(__xludf.DUMMYFUNCTION("GOOGLETRANSLATE(A545 , ""tr"" , ""en"")"),"Kayseri is now blue on the risk map. The first overdose rate is over 75%. All of the surroundings are yellow. The low risk movement in the inner Anatolia started from the heart of Anatolia!")</f>
        <v>Kayseri is now blue on the risk map. The first overdose rate is over 75%. All of the surroundings are yellow. The low risk movement in the inner Anatolia started from the heart of Anatolia!</v>
      </c>
    </row>
    <row r="546" spans="1:5" ht="15.75" customHeight="1" x14ac:dyDescent="0.25">
      <c r="A546" s="1" t="s">
        <v>1092</v>
      </c>
      <c r="B546" s="1">
        <v>6824</v>
      </c>
      <c r="C546" s="3">
        <v>44434.814872685187</v>
      </c>
      <c r="D546" s="1" t="s">
        <v>1093</v>
      </c>
      <c r="E546" s="4" t="str">
        <f ca="1">IFERROR(__xludf.DUMMYFUNCTION("GOOGLETRANSLATE(A546 , ""tr"" , ""en"")"),"Pain has turned the risk of risk in yellow. Congratulations pain! Actually, not yellow, not Blue, Turkey's highest inoculation rate is most famizing the most pain?")</f>
        <v>Pain has turned the risk of risk in yellow. Congratulations pain! Actually, not yellow, not Blue, Turkey's highest inoculation rate is most famizing the most pain?</v>
      </c>
    </row>
    <row r="547" spans="1:5" ht="15.75" customHeight="1" x14ac:dyDescent="0.25">
      <c r="A547" s="1" t="s">
        <v>1094</v>
      </c>
      <c r="B547" s="1">
        <v>14022</v>
      </c>
      <c r="C547" s="3">
        <v>44434.775520833333</v>
      </c>
      <c r="D547" s="1" t="s">
        <v>1095</v>
      </c>
      <c r="E547" s="4" t="str">
        <f ca="1">IFERROR(__xludf.DUMMYFUNCTION("GOOGLETRANSLATE(A547 , ""tr"" , ""en"")"),"In the traffic accidents today you didn't read the news that 257 people died what would you feel? The number of deaths due to Covid-19 Today 257. We have taken away from the measure, we neglected the vaccine, and we started getting used to the results?")</f>
        <v>In the traffic accidents today you didn't read the news that 257 people died what would you feel? The number of deaths due to Covid-19 Today 257. We have taken away from the measure, we neglected the vaccine, and we started getting used to the results?</v>
      </c>
    </row>
    <row r="548" spans="1:5" ht="15.75" customHeight="1" x14ac:dyDescent="0.25">
      <c r="A548" s="1" t="s">
        <v>1096</v>
      </c>
      <c r="B548" s="1">
        <v>3471</v>
      </c>
      <c r="C548" s="3">
        <v>44434.760960648149</v>
      </c>
      <c r="D548" s="1" t="s">
        <v>1097</v>
      </c>
      <c r="E548" s="4" t="str">
        <f ca="1">IFERROR(__xludf.DUMMYFUNCTION("GOOGLETRANSLATE(A548 , ""tr"" , ""en"")"),"The only vaccine is not enough. The province will be two. The only vaccine is not enough. The province will be two. Have the second one with the only vaccine. Be the second dose: Ali Aydoğdu. 80 years old. The 4th day of Covid-19 treatment. Warns for the "&amp;"second dose. https://t.co/ohcpveo9od")</f>
        <v>The only vaccine is not enough. The province will be two. The only vaccine is not enough. The province will be two. Have the second one with the only vaccine. Be the second dose: Ali Aydoğdu. 80 years old. The 4th day of Covid-19 treatment. Warns for the second dose. https://t.co/ohcpveo9od</v>
      </c>
    </row>
    <row r="549" spans="1:5" ht="15.75" customHeight="1" x14ac:dyDescent="0.25">
      <c r="A549" s="1" t="s">
        <v>1098</v>
      </c>
      <c r="B549" s="1">
        <v>5292</v>
      </c>
      <c r="C549" s="3">
        <v>44434.672893518517</v>
      </c>
      <c r="D549" s="1" t="s">
        <v>1099</v>
      </c>
      <c r="E549" s="4" t="str">
        <f ca="1">IFERROR(__xludf.DUMMYFUNCTION("GOOGLETRANSLATE(A549 , ""tr"" , ""en"")"),"The number of passes of the passage 217 yesterday is today 257. The number of cases is on the limit of 20,000. Won't we do everything we can? May the shoulder postponing the first overdose. May you make an appointment of the second dose. Conform to the ru"&amp;"les that go out. This table stayed here very long. https://t.co/rvlhe7786o https://t.co/6gcx9gysc9")</f>
        <v>The number of passes of the passage 217 yesterday is today 257. The number of cases is on the limit of 20,000. Won't we do everything we can? May the shoulder postponing the first overdose. May you make an appointment of the second dose. Conform to the rules that go out. This table stayed here very long. https://t.co/rvlhe7786o https://t.co/6gcx9gysc9</v>
      </c>
    </row>
    <row r="550" spans="1:5" ht="15.75" customHeight="1" x14ac:dyDescent="0.25">
      <c r="A550" s="1" t="s">
        <v>1100</v>
      </c>
      <c r="B550" s="1">
        <v>7895</v>
      </c>
      <c r="C550" s="3">
        <v>44434.64439814815</v>
      </c>
      <c r="D550" s="1" t="s">
        <v>1101</v>
      </c>
      <c r="E550" s="4" t="str">
        <f ca="1">IFERROR(__xludf.DUMMYFUNCTION("GOOGLETRANSLATE(A550 , ""tr"" , ""en"")"),"We make Covid-19 meeting each week with the science board. Mask, distance no longer heard of the trivial promise. But they have those who do it as if it was. Let's obey the rules.")</f>
        <v>We make Covid-19 meeting each week with the science board. Mask, distance no longer heard of the trivial promise. But they have those who do it as if it was. Let's obey the rules.</v>
      </c>
    </row>
    <row r="551" spans="1:5" ht="15.75" customHeight="1" x14ac:dyDescent="0.25">
      <c r="A551" s="1" t="s">
        <v>1102</v>
      </c>
      <c r="B551" s="1">
        <v>12869</v>
      </c>
      <c r="C551" s="3">
        <v>44434.633750000001</v>
      </c>
      <c r="D551" s="1" t="s">
        <v>1103</v>
      </c>
      <c r="E551" s="4" t="str">
        <f ca="1">IFERROR(__xludf.DUMMYFUNCTION("GOOGLETRANSLATE(A551 , ""tr"" , ""en"")"),"Among not being vaccinated, there is a difference in intense care in some cases.")</f>
        <v>Among not being vaccinated, there is a difference in intense care in some cases.</v>
      </c>
    </row>
    <row r="552" spans="1:5" ht="15.75" customHeight="1" x14ac:dyDescent="0.25">
      <c r="A552" s="1" t="s">
        <v>1104</v>
      </c>
      <c r="B552" s="1">
        <v>13741</v>
      </c>
      <c r="C552" s="3">
        <v>44434.6016087963</v>
      </c>
      <c r="D552" s="1" t="s">
        <v>1105</v>
      </c>
      <c r="E552" s="4" t="str">
        <f ca="1">IFERROR(__xludf.DUMMYFUNCTION("GOOGLETRANSLATE(A552 , ""tr"" , ""en"")"),"Now those who say to be the vaccine, then you can say that you get the past.")</f>
        <v>Now those who say to be the vaccine, then you can say that you get the past.</v>
      </c>
    </row>
    <row r="553" spans="1:5" ht="15.75" customHeight="1" x14ac:dyDescent="0.25">
      <c r="A553" s="1" t="s">
        <v>1106</v>
      </c>
      <c r="B553" s="1">
        <v>18879</v>
      </c>
      <c r="C553" s="3">
        <v>44434.511006944442</v>
      </c>
      <c r="D553" s="1" t="s">
        <v>1107</v>
      </c>
      <c r="E553" s="4" t="str">
        <f ca="1">IFERROR(__xludf.DUMMYFUNCTION("GOOGLETRANSLATE(A553 , ""tr"" , ""en"")"),"All this case neglect the second one with the first overdose when there are all these deaths?")</f>
        <v>All this case neglect the second one with the first overdose when there are all these deaths?</v>
      </c>
    </row>
    <row r="554" spans="1:5" ht="15.75" customHeight="1" x14ac:dyDescent="0.25">
      <c r="A554" s="1" t="s">
        <v>1108</v>
      </c>
      <c r="B554" s="1">
        <v>0</v>
      </c>
      <c r="C554" s="3">
        <v>44434.365578703706</v>
      </c>
      <c r="D554" s="1" t="s">
        <v>1109</v>
      </c>
      <c r="E554" s="4" t="str">
        <f ca="1">IFERROR(__xludf.DUMMYFUNCTION("GOOGLETRANSLATE(A554 , ""tr"" , ""en"")"),"RT @rterdogan: Malazgirt victory's 950th anniversary https://t.co/wk8oi7tvab")</f>
        <v>RT @rterdogan: Malazgirt victory's 950th anniversary https://t.co/wk8oi7tvab</v>
      </c>
    </row>
    <row r="555" spans="1:5" ht="15.75" customHeight="1" x14ac:dyDescent="0.25">
      <c r="A555" s="1" t="s">
        <v>1110</v>
      </c>
      <c r="B555" s="1">
        <v>9769</v>
      </c>
      <c r="C555" s="3">
        <v>44434.283472222225</v>
      </c>
      <c r="D555" s="1" t="s">
        <v>1111</v>
      </c>
      <c r="E555" s="4" t="str">
        <f ca="1">IFERROR(__xludf.DUMMYFUNCTION("GOOGLETRANSLATE(A555 , ""tr"" , ""en"")"),"Today, let's call our loved ones in Urfa and ask the case. Let's open the first dose of overdose. Şanlıurfa is still our only province with red. The rate of vaccine is low, the risk level is very high. The relatives are also available for those in place. "&amp;"Thank you in advance for your beautiful tenderness.")</f>
        <v>Today, let's call our loved ones in Urfa and ask the case. Let's open the first dose of overdose. Şanlıurfa is still our only province with red. The rate of vaccine is low, the risk level is very high. The relatives are also available for those in place. Thank you in advance for your beautiful tenderness.</v>
      </c>
    </row>
    <row r="556" spans="1:5" ht="15.75" customHeight="1" x14ac:dyDescent="0.25">
      <c r="A556" s="1" t="s">
        <v>1112</v>
      </c>
      <c r="B556" s="1">
        <v>14145</v>
      </c>
      <c r="C556" s="3">
        <v>44433.835185185184</v>
      </c>
      <c r="D556" s="1" t="s">
        <v>1113</v>
      </c>
      <c r="E556" s="4" t="str">
        <f ca="1">IFERROR(__xludf.DUMMYFUNCTION("GOOGLETRANSLATE(A556 , ""tr"" , ""en"")"),"Our two friends were defeated to Covid-19. Operator Dr. İlhami Atlan 55, Pathologist Dr. Murat TAD was 49 years old. Unfortunately, we have learned that the two valuable physicians are unoccupied. We wish our colleagues from Allah, to their families condo"&amp;"lences. Similar suffering is no longer experiencing.")</f>
        <v>Our two friends were defeated to Covid-19. Operator Dr. İlhami Atlan 55, Pathologist Dr. Murat TAD was 49 years old. Unfortunately, we have learned that the two valuable physicians are unoccupied. We wish our colleagues from Allah, to their families condolences. Similar suffering is no longer experiencing.</v>
      </c>
    </row>
    <row r="557" spans="1:5" ht="15.75" customHeight="1" x14ac:dyDescent="0.25">
      <c r="A557" s="1" t="s">
        <v>1114</v>
      </c>
      <c r="B557" s="1">
        <v>6317</v>
      </c>
      <c r="C557" s="3">
        <v>44433.829224537039</v>
      </c>
      <c r="D557" s="1" t="s">
        <v>1115</v>
      </c>
      <c r="E557" s="4" t="str">
        <f ca="1">IFERROR(__xludf.DUMMYFUNCTION("GOOGLETRANSLATE(A557 , ""tr"" , ""en"")"),"Elazig among mid-risk provinces. Yellow. The first overdose rate is now over 65%. The risk of Elazig is as sweet as the excitement of the excitement of reducing.")</f>
        <v>Elazig among mid-risk provinces. Yellow. The first overdose rate is now over 65%. The risk of Elazig is as sweet as the excitement of the excitement of reducing.</v>
      </c>
    </row>
    <row r="558" spans="1:5" ht="15.75" customHeight="1" x14ac:dyDescent="0.25">
      <c r="A558" s="1" t="s">
        <v>1116</v>
      </c>
      <c r="B558" s="1">
        <v>14811</v>
      </c>
      <c r="C558" s="3">
        <v>44433.797442129631</v>
      </c>
      <c r="D558" s="1" t="s">
        <v>1117</v>
      </c>
      <c r="E558" s="4" t="str">
        <f ca="1">IFERROR(__xludf.DUMMYFUNCTION("GOOGLETRANSLATE(A558 , ""tr"" , ""en"")"),"-Slap?
+ Blueii!
-Kocaeli?
+ Blueii!
Turkey is joyful. Our two provinces are lower at the first overdose ratio above 75%.")</f>
        <v>-Slap?
+ Blueii!
-Kocaeli?
+ Blueii!
Turkey is joyful. Our two provinces are lower at the first overdose ratio above 75%.</v>
      </c>
    </row>
    <row r="559" spans="1:5" ht="15.75" customHeight="1" x14ac:dyDescent="0.25">
      <c r="A559" s="1" t="s">
        <v>1118</v>
      </c>
      <c r="B559" s="1">
        <v>25662</v>
      </c>
      <c r="C559" s="3">
        <v>44433.71601851852</v>
      </c>
      <c r="D559" s="1" t="s">
        <v>1119</v>
      </c>
      <c r="E559" s="4" t="str">
        <f ca="1">IFERROR(__xludf.DUMMYFUNCTION("GOOGLETRANSLATE(A559 , ""tr"" , ""en"")"),"Two doubtful people said that I am not a vaccination of anyone from my family. Where? On social media! I was the first vaccination in Turkey. Made every member of my parents. Confusing name, the account is fake, though this claim to suit people?")</f>
        <v>Two doubtful people said that I am not a vaccination of anyone from my family. Where? On social media! I was the first vaccination in Turkey. Made every member of my parents. Confusing name, the account is fake, though this claim to suit people?</v>
      </c>
    </row>
    <row r="560" spans="1:5" ht="15.75" customHeight="1" x14ac:dyDescent="0.25">
      <c r="A560" s="1" t="s">
        <v>1120</v>
      </c>
      <c r="B560" s="1">
        <v>4957</v>
      </c>
      <c r="C560" s="3">
        <v>44433.681041666663</v>
      </c>
      <c r="D560" s="1" t="s">
        <v>1121</v>
      </c>
      <c r="E560" s="4" t="str">
        <f ca="1">IFERROR(__xludf.DUMMYFUNCTION("GOOGLETRANSLATE(A560 , ""tr"" , ""en"")"),"Table that appears and visible: about 5 million tests in one month. A very large number! Today 217 can not prevent the cause of our loss of life. The understanding of our deposited by our head. Postponed vaccine. If we do not pay if we do not pay, they ar"&amp;"e payers! https://t.co/rvlhe7786o https://t.co/qm0fuxllfq")</f>
        <v>Table that appears and visible: about 5 million tests in one month. A very large number! Today 217 can not prevent the cause of our loss of life. The understanding of our deposited by our head. Postponed vaccine. If we do not pay if we do not pay, they are payers! https://t.co/rvlhe7786o https://t.co/qm0fuxllfq</v>
      </c>
    </row>
    <row r="561" spans="1:5" ht="15.75" customHeight="1" x14ac:dyDescent="0.25">
      <c r="A561" s="1" t="s">
        <v>1122</v>
      </c>
      <c r="B561" s="1">
        <v>4813</v>
      </c>
      <c r="C561" s="3">
        <v>44433.571053240739</v>
      </c>
      <c r="D561" s="1" t="s">
        <v>1123</v>
      </c>
      <c r="E561" s="4" t="str">
        <f ca="1">IFERROR(__xludf.DUMMYFUNCTION("GOOGLETRANSLATE(A561 , ""tr"" , ""en"")"),"We left us a victory celebrated for 950 years! You have prepared a homeland. You have opened the dreamy fethin path in 1453. Today your son is where you have installed the Otah. Malazgirt victory 950. Year festivities, enthusiasm in the whole country. 107"&amp;"1 pioneers of your soul in the Chad! https://t.co/ihszlckqn0")</f>
        <v>We left us a victory celebrated for 950 years! You have prepared a homeland. You have opened the dreamy fethin path in 1453. Today your son is where you have installed the Otah. Malazgirt victory 950. Year festivities, enthusiasm in the whole country. 1071 pioneers of your soul in the Chad! https://t.co/ihszlckqn0</v>
      </c>
    </row>
    <row r="562" spans="1:5" ht="15.75" customHeight="1" x14ac:dyDescent="0.25">
      <c r="A562" s="1" t="s">
        <v>1124</v>
      </c>
      <c r="B562" s="1">
        <v>0</v>
      </c>
      <c r="C562" s="3">
        <v>44433.530624999999</v>
      </c>
      <c r="D562" s="1" t="s">
        <v>1125</v>
      </c>
      <c r="E562" s="4" t="str">
        <f ca="1">IFERROR(__xludf.DUMMYFUNCTION("GOOGLETRANSLATE(A562 , ""tr"" , ""en"")"),"RT @rterdogan: We're on Ahlat. https://t.co/3b4anm2pfz")</f>
        <v>RT @rterdogan: We're on Ahlat. https://t.co/3b4anm2pfz</v>
      </c>
    </row>
    <row r="563" spans="1:5" ht="15.75" customHeight="1" x14ac:dyDescent="0.25">
      <c r="A563" s="1" t="s">
        <v>1126</v>
      </c>
      <c r="B563" s="1">
        <v>14492</v>
      </c>
      <c r="C563" s="3">
        <v>44433.443298611113</v>
      </c>
      <c r="D563" s="1" t="s">
        <v>1127</v>
      </c>
      <c r="E563" s="4" t="str">
        <f ca="1">IFERROR(__xludf.DUMMYFUNCTION("GOOGLETRANSLATE(A563 , ""tr"" , ""en"")"),"Let's have the first overdose that we neglect. Against disease, loss of life! Isn't worth it?")</f>
        <v>Let's have the first overdose that we neglect. Against disease, loss of life! Isn't worth it?</v>
      </c>
    </row>
    <row r="564" spans="1:5" ht="15.75" customHeight="1" x14ac:dyDescent="0.25">
      <c r="A564" s="1" t="s">
        <v>1128</v>
      </c>
      <c r="B564" s="1">
        <v>14199</v>
      </c>
      <c r="C564" s="3">
        <v>44433.289120370369</v>
      </c>
      <c r="D564" s="1" t="s">
        <v>1129</v>
      </c>
      <c r="E564" s="4" t="str">
        <f ca="1">IFERROR(__xludf.DUMMYFUNCTION("GOOGLETRANSLATE(A564 , ""tr"" , ""en"")"),"Good morning Şanlıurfa.
Today we decide the first dose and reduce our level of risk that is very high. Red single release on the map. This loneliness is not even good!")</f>
        <v>Good morning Şanlıurfa.
Today we decide the first dose and reduce our level of risk that is very high. Red single release on the map. This loneliness is not even good!</v>
      </c>
    </row>
    <row r="565" spans="1:5" ht="15.75" customHeight="1" x14ac:dyDescent="0.25">
      <c r="A565" s="1" t="s">
        <v>1130</v>
      </c>
      <c r="B565" s="1">
        <v>5099</v>
      </c>
      <c r="C565" s="3">
        <v>44432.912499999999</v>
      </c>
      <c r="D565" s="1" t="s">
        <v>1131</v>
      </c>
      <c r="E565" s="4" t="str">
        <f ca="1">IFERROR(__xludf.DUMMYFUNCTION("GOOGLETRANSLATE(A565 , ""tr"" , ""en"")"),"4 Good news! We mentioned Bursa and Trabzon. Our 2 other news is also important: Mardin lowered the high risk level of Mardin to the high risk level, the high risk level of Adiyaman to the middle risk level. We have a red single province, Şanlıurfa. With "&amp;"the first dose of vaccination, he will also glad us all!")</f>
        <v>4 Good news! We mentioned Bursa and Trabzon. Our 2 other news is also important: Mardin lowered the high risk level of Mardin to the high risk level, the high risk level of Adiyaman to the middle risk level. We have a red single province, Şanlıurfa. With the first dose of vaccination, he will also glad us all!</v>
      </c>
    </row>
    <row r="566" spans="1:5" ht="15.75" customHeight="1" x14ac:dyDescent="0.25">
      <c r="A566" s="1" t="s">
        <v>1132</v>
      </c>
      <c r="B566" s="1">
        <v>8398</v>
      </c>
      <c r="C566" s="3">
        <v>44432.881412037037</v>
      </c>
      <c r="D566" s="1" t="s">
        <v>1133</v>
      </c>
      <c r="E566" s="4" t="str">
        <f ca="1">IFERROR(__xludf.DUMMYFUNCTION("GOOGLETRANSLATE(A566 , ""tr"" , ""en"")"),"Green Bursa was blue.
Which city does not have the first overdose rate exceeding 75%! https://t.co/q4utw2u9ay")</f>
        <v>Green Bursa was blue.
Which city does not have the first overdose rate exceeding 75%! https://t.co/q4utw2u9ay</v>
      </c>
    </row>
    <row r="567" spans="1:5" ht="15.75" customHeight="1" x14ac:dyDescent="0.25">
      <c r="A567" s="1" t="s">
        <v>1134</v>
      </c>
      <c r="B567" s="1">
        <v>11776</v>
      </c>
      <c r="C567" s="3">
        <v>44432.858958333331</v>
      </c>
      <c r="D567" s="1" t="s">
        <v>1135</v>
      </c>
      <c r="E567" s="4" t="str">
        <f ca="1">IFERROR(__xludf.DUMMYFUNCTION("GOOGLETRANSLATE(A567 , ""tr"" , ""en"")"),"Black Sea Coast Sizedan Paint Blue! https://t.co/B7FLBJIW4E")</f>
        <v>Black Sea Coast Sizedan Paint Blue! https://t.co/B7FLBJIW4E</v>
      </c>
    </row>
    <row r="568" spans="1:5" ht="15.75" customHeight="1" x14ac:dyDescent="0.25">
      <c r="A568" s="1" t="s">
        <v>1136</v>
      </c>
      <c r="B568" s="1">
        <v>18815</v>
      </c>
      <c r="C568" s="3">
        <v>44432.84915509259</v>
      </c>
      <c r="D568" s="1" t="s">
        <v>1137</v>
      </c>
      <c r="E568" s="4" t="str">
        <f ca="1">IFERROR(__xludf.DUMMYFUNCTION("GOOGLETRANSLATE(A568 , ""tr"" , ""en"")"),"We will see more beautiful days Trabzon, we will drive the motors to blues. Respect to Trabzon exceeding 75% at the rate of first dose!")</f>
        <v>We will see more beautiful days Trabzon, we will drive the motors to blues. Respect to Trabzon exceeding 75% at the rate of first dose!</v>
      </c>
    </row>
    <row r="569" spans="1:5" ht="15.75" customHeight="1" x14ac:dyDescent="0.25">
      <c r="A569" s="1" t="s">
        <v>1138</v>
      </c>
      <c r="B569" s="1">
        <v>4737</v>
      </c>
      <c r="C569" s="3">
        <v>44432.843564814815</v>
      </c>
      <c r="D569" s="1" t="s">
        <v>1139</v>
      </c>
      <c r="E569" s="4" t="str">
        <f ca="1">IFERROR(__xludf.DUMMYFUNCTION("GOOGLETRANSLATE(A569 , ""tr"" , ""en"")"),"""What happens don't take unconscious people to the TV. Everyone speaks, health is involved in politics. People are not informed correctly. I'm saying that I don't be a vaccination until yesterday. ""
Uğur Hardkind 35 years old, engineer. Pine and Sakura "&amp;"in the city hospital are in intensive care for 20 days. https://t.co/oa3gnk90ti")</f>
        <v>"What happens don't take unconscious people to the TV. Everyone speaks, health is involved in politics. People are not informed correctly. I'm saying that I don't be a vaccination until yesterday. "
Uğur Hardkind 35 years old, engineer. Pine and Sakura in the city hospital are in intensive care for 20 days. https://t.co/oa3gnk90ti</v>
      </c>
    </row>
    <row r="570" spans="1:5" ht="15.75" customHeight="1" x14ac:dyDescent="0.25">
      <c r="A570" s="1" t="s">
        <v>1140</v>
      </c>
      <c r="B570" s="1">
        <v>4136</v>
      </c>
      <c r="C570" s="3">
        <v>44432.778935185182</v>
      </c>
      <c r="D570" s="1" t="s">
        <v>1141</v>
      </c>
      <c r="E570" s="4" t="str">
        <f ca="1">IFERROR(__xludf.DUMMYFUNCTION("GOOGLETRANSLATE(A570 , ""tr"" , ""en"")"),"In the world of total dose we are in the world. The population is the same as Turkey is the same as the manufacturer of Turkey in Germany. The first ranked country is 1 billion 400 million populations, again vaccination manufacturer in China. Many Europea"&amp;"n countries, the same rate as this country could not show the same performance. ""Come on but expect!"" https://t.co/9w2aptog4v")</f>
        <v>In the world of total dose we are in the world. The population is the same as Turkey is the same as the manufacturer of Turkey in Germany. The first ranked country is 1 billion 400 million populations, again vaccination manufacturer in China. Many European countries, the same rate as this country could not show the same performance. "Come on but expect!" https://t.co/9w2aptog4v</v>
      </c>
    </row>
    <row r="571" spans="1:5" ht="15.75" customHeight="1" x14ac:dyDescent="0.25">
      <c r="A571" s="1" t="s">
        <v>1142</v>
      </c>
      <c r="B571" s="1">
        <v>11666</v>
      </c>
      <c r="C571" s="3">
        <v>44432.734652777777</v>
      </c>
      <c r="D571" s="1" t="s">
        <v>1143</v>
      </c>
      <c r="E571" s="4" t="str">
        <f ca="1">IFERROR(__xludf.DUMMYFUNCTION("GOOGLETRANSLATE(A571 , ""tr"" , ""en"")"),"We are in the world in the world in the total number of vaccines that are applied against Covid-19.")</f>
        <v>We are in the world in the world in the total number of vaccines that are applied against Covid-19.</v>
      </c>
    </row>
    <row r="572" spans="1:5" ht="15.75" customHeight="1" x14ac:dyDescent="0.25">
      <c r="A572" s="1" t="s">
        <v>1144</v>
      </c>
      <c r="B572" s="1">
        <v>4855</v>
      </c>
      <c r="C572" s="3">
        <v>44432.728807870371</v>
      </c>
      <c r="D572" s="1" t="s">
        <v>1145</v>
      </c>
      <c r="E572" s="4" t="str">
        <f ca="1">IFERROR(__xludf.DUMMYFUNCTION("GOOGLETRANSLATE(A572 , ""tr"" , ""en"")"),"Our losses are not reduced unless the case numbers are reduced. We can carry heavier loads tomorrow if we do not take measures today. For our loved ones and let's obey the measures. https://t.co/rvlhe7786o https://t.co/vcjjmqr1w4")</f>
        <v>Our losses are not reduced unless the case numbers are reduced. We can carry heavier loads tomorrow if we do not take measures today. For our loved ones and let's obey the measures. https://t.co/rvlhe7786o https://t.co/vcjjmqr1w4</v>
      </c>
    </row>
    <row r="573" spans="1:5" ht="15.75" customHeight="1" x14ac:dyDescent="0.25">
      <c r="A573" s="1" t="s">
        <v>1146</v>
      </c>
      <c r="B573" s="1">
        <v>5722</v>
      </c>
      <c r="C573" s="3">
        <v>44432.565335648149</v>
      </c>
      <c r="D573" s="1" t="s">
        <v>1147</v>
      </c>
      <c r="E573" s="4" t="str">
        <f ca="1">IFERROR(__xludf.DUMMYFUNCTION("GOOGLETRANSLATE(A573 , ""tr"" , ""en"")"),"Three of all four of the 18 years and older had at least 1 dose of overdose. Your 75% of our first dose of the first dose is clear: ""Don't postpone. We all have to provide the same together in the vaccine. Have an epidemic in front of us. """)</f>
        <v>Three of all four of the 18 years and older had at least 1 dose of overdose. Your 75% of our first dose of the first dose is clear: "Don't postpone. We all have to provide the same together in the vaccine. Have an epidemic in front of us. "</v>
      </c>
    </row>
    <row r="574" spans="1:5" ht="15.75" customHeight="1" x14ac:dyDescent="0.25">
      <c r="A574" s="1" t="s">
        <v>1148</v>
      </c>
      <c r="B574" s="1">
        <v>7252</v>
      </c>
      <c r="C574" s="3">
        <v>44432.501539351855</v>
      </c>
      <c r="D574" s="1" t="s">
        <v>1149</v>
      </c>
      <c r="E574" s="4" t="str">
        <f ca="1">IFERROR(__xludf.DUMMYFUNCTION("GOOGLETRANSLATE(A574 , ""tr"" , ""en"")"),"Millions of thanks to those who have their vaccinations. We passed a total of 90 million dose. When the postpone decides, the result cannot be expressed in numbers.")</f>
        <v>Millions of thanks to those who have their vaccinations. We passed a total of 90 million dose. When the postpone decides, the result cannot be expressed in numbers.</v>
      </c>
    </row>
    <row r="575" spans="1:5" ht="15.75" customHeight="1" x14ac:dyDescent="0.25">
      <c r="A575" s="1" t="s">
        <v>1150</v>
      </c>
      <c r="B575" s="1">
        <v>9676</v>
      </c>
      <c r="C575" s="3">
        <v>44432.483414351853</v>
      </c>
      <c r="D575" s="1" t="s">
        <v>1151</v>
      </c>
      <c r="E575" s="4" t="str">
        <f ca="1">IFERROR(__xludf.DUMMYFUNCTION("GOOGLETRANSLATE(A575 , ""tr"" , ""en"")"),"September 6 message to fathers. 15.5 million people have not yet built the first dose Covid-19 vaccine. The first doses are completed in 10 days. Help us by explaining the importance of vaccine to your surroundings. Schools open on September 6th. Those wh"&amp;"o are caught in the disease are on their children.")</f>
        <v>September 6 message to fathers. 15.5 million people have not yet built the first dose Covid-19 vaccine. The first doses are completed in 10 days. Help us by explaining the importance of vaccine to your surroundings. Schools open on September 6th. Those who are caught in the disease are on their children.</v>
      </c>
    </row>
    <row r="576" spans="1:5" ht="15.75" customHeight="1" x14ac:dyDescent="0.25">
      <c r="A576" s="1" t="s">
        <v>1152</v>
      </c>
      <c r="B576" s="1">
        <v>5791</v>
      </c>
      <c r="C576" s="3">
        <v>44432.482743055552</v>
      </c>
      <c r="D576" s="1" t="s">
        <v>1153</v>
      </c>
      <c r="E576" s="4" t="str">
        <f ca="1">IFERROR(__xludf.DUMMYFUNCTION("GOOGLETRANSLATE(A576 , ""tr"" , ""en"")"),"September 6 message to mothers. 15.5 million people have not yet built the first dose Covid-19 vaccine. The first doses are completed in 10 days. Help us by explaining the importance of vaccine to your surroundings. Schools open on September 6th. Those wh"&amp;"o are caught in the disease are on their children.")</f>
        <v>September 6 message to mothers. 15.5 million people have not yet built the first dose Covid-19 vaccine. The first doses are completed in 10 days. Help us by explaining the importance of vaccine to your surroundings. Schools open on September 6th. Those who are caught in the disease are on their children.</v>
      </c>
    </row>
    <row r="577" spans="1:5" ht="15.75" customHeight="1" x14ac:dyDescent="0.25">
      <c r="A577" s="1" t="s">
        <v>1154</v>
      </c>
      <c r="B577" s="1">
        <v>5162</v>
      </c>
      <c r="C577" s="3">
        <v>44431.805034722223</v>
      </c>
      <c r="D577" s="1" t="s">
        <v>1155</v>
      </c>
      <c r="E577" s="4" t="str">
        <f ca="1">IFERROR(__xludf.DUMMYFUNCTION("GOOGLETRANSLATE(A577 , ""tr"" , ""en"")"),"Alparslan Bey tells us the story of a vaccine lazy. https://t.co/dug7aqpq2v")</f>
        <v>Alparslan Bey tells us the story of a vaccine lazy. https://t.co/dug7aqpq2v</v>
      </c>
    </row>
    <row r="578" spans="1:5" ht="15.75" customHeight="1" x14ac:dyDescent="0.25">
      <c r="A578" s="1" t="s">
        <v>1156</v>
      </c>
      <c r="B578" s="1">
        <v>4903</v>
      </c>
      <c r="C578" s="3">
        <v>44431.72960648148</v>
      </c>
      <c r="D578" s="1" t="s">
        <v>1157</v>
      </c>
      <c r="E578" s="4" t="str">
        <f ca="1">IFERROR(__xludf.DUMMYFUNCTION("GOOGLETRANSLATE(A578 , ""tr"" , ""en"")"),"Rize replaced between low risk provinces. The ratio of the epidemic against the disease and the rate of being the first overdose is over 75%. The new color on the map is blue. Our number of low-risk provinces 37. Low risk level depends on a decision.")</f>
        <v>Rize replaced between low risk provinces. The ratio of the epidemic against the disease and the rate of being the first overdose is over 75%. The new color on the map is blue. Our number of low-risk provinces 37. Low risk level depends on a decision.</v>
      </c>
    </row>
    <row r="579" spans="1:5" ht="15.75" customHeight="1" x14ac:dyDescent="0.25">
      <c r="A579" s="1" t="s">
        <v>1158</v>
      </c>
      <c r="B579" s="1">
        <v>9882</v>
      </c>
      <c r="C579" s="3">
        <v>44431.700810185182</v>
      </c>
      <c r="D579" s="1" t="s">
        <v>1159</v>
      </c>
      <c r="E579" s="4" t="str">
        <f ca="1">IFERROR(__xludf.DUMMYFUNCTION("GOOGLETRANSLATE(A579 , ""tr"" , ""en"")"),"Sharan voided the vaccine in the vaccine, expressed important veriments that a single information is leaving the other words. Dear Gökbakar did not necessarily vaccinate the state tourism sector employees. We should not say that the teachers should be obl"&amp;"igatory if they are obliged to them.")</f>
        <v>Sharan voided the vaccine in the vaccine, expressed important veriments that a single information is leaving the other words. Dear Gökbakar did not necessarily vaccinate the state tourism sector employees. We should not say that the teachers should be obligatory if they are obliged to them.</v>
      </c>
    </row>
    <row r="580" spans="1:5" ht="15.75" customHeight="1" x14ac:dyDescent="0.25">
      <c r="A580" s="1" t="s">
        <v>1160</v>
      </c>
      <c r="B580" s="1">
        <v>4771</v>
      </c>
      <c r="C580" s="3">
        <v>44431.680648148147</v>
      </c>
      <c r="D580" s="1" t="s">
        <v>1161</v>
      </c>
      <c r="E580" s="4" t="str">
        <f ca="1">IFERROR(__xludf.DUMMYFUNCTION("GOOGLETRANSLATE(A580 , ""tr"" , ""en"")"),"Our losses are on the level of craving. We will also protect their loved ones that will stop this course. It's enough to be cautious and vaccinated. https://t.co/rvlhe7786o https://t.co/cuwnauykf9")</f>
        <v>Our losses are on the level of craving. We will also protect their loved ones that will stop this course. It's enough to be cautious and vaccinated. https://t.co/rvlhe7786o https://t.co/cuwnauykf9</v>
      </c>
    </row>
    <row r="581" spans="1:5" ht="15.75" customHeight="1" x14ac:dyDescent="0.25">
      <c r="A581" s="1" t="s">
        <v>1162</v>
      </c>
      <c r="B581" s="1">
        <v>6524</v>
      </c>
      <c r="C581" s="3">
        <v>44431.657997685186</v>
      </c>
      <c r="D581" s="1" t="s">
        <v>1163</v>
      </c>
      <c r="E581" s="4" t="str">
        <f ca="1">IFERROR(__xludf.DUMMYFUNCTION("GOOGLETRANSLATE(A581 , ""tr"" , ""en"")"),"The longest challenge of history started 100 years ago today. With the victory in September 13, 1921, our army agreed that a new Turkish state was established to the whole world. Sakarya Challenge War Condominant Gazi Mustafa Kemal Atatürk and all the wea"&amp;"pons are respectfully, we are self-mentioned. https://t.co/qwgn94vlsq")</f>
        <v>The longest challenge of history started 100 years ago today. With the victory in September 13, 1921, our army agreed that a new Turkish state was established to the whole world. Sakarya Challenge War Condominant Gazi Mustafa Kemal Atatürk and all the weapons are respectfully, we are self-mentioned. https://t.co/qwgn94vlsq</v>
      </c>
    </row>
    <row r="582" spans="1:5" ht="15.75" customHeight="1" x14ac:dyDescent="0.25">
      <c r="A582" s="1" t="s">
        <v>1164</v>
      </c>
      <c r="B582" s="1">
        <v>7643</v>
      </c>
      <c r="C582" s="3">
        <v>44431.564062500001</v>
      </c>
      <c r="D582" s="1" t="s">
        <v>1165</v>
      </c>
      <c r="E582" s="4" t="str">
        <f ca="1">IFERROR(__xludf.DUMMYFUNCTION("GOOGLETRANSLATE(A582 , ""tr"" , ""en"")"),"In Burdur State Hospital, 4 people have been detained in the violence in the violence experienced in the violence. We will be the uncompromising follower on behalf of our camiam to take penalties to take the penalties to which the attackers deserve.")</f>
        <v>In Burdur State Hospital, 4 people have been detained in the violence in the violence experienced in the violence. We will be the uncompromising follower on behalf of our camiam to take penalties to take the penalties to which the attackers deserve.</v>
      </c>
    </row>
    <row r="583" spans="1:5" ht="15.75" customHeight="1" x14ac:dyDescent="0.25">
      <c r="A583" s="1" t="s">
        <v>1166</v>
      </c>
      <c r="B583" s="1">
        <v>11172</v>
      </c>
      <c r="C583" s="3">
        <v>44431.293414351851</v>
      </c>
      <c r="D583" s="1" t="s">
        <v>1167</v>
      </c>
      <c r="E583" s="4" t="str">
        <f ca="1">IFERROR(__xludf.DUMMYFUNCTION("GOOGLETRANSLATE(A583 , ""tr"" , ""en"")"),"Preparing the DUMP report instead of taking care of the next patient? To go to the police center instead of listening to the patient complaint? Has no explanable as well. Society with us. We are the followers of justice. The following report came from our"&amp;" Provincial Health Directorate of Burdur. I offer the judiciary to 84 million. https://t.co/uhyg2tlm8f")</f>
        <v>Preparing the DUMP report instead of taking care of the next patient? To go to the police center instead of listening to the patient complaint? Has no explanable as well. Society with us. We are the followers of justice. The following report came from our Provincial Health Directorate of Burdur. I offer the judiciary to 84 million. https://t.co/uhyg2tlm8f</v>
      </c>
    </row>
    <row r="584" spans="1:5" ht="15.75" customHeight="1" x14ac:dyDescent="0.25">
      <c r="A584" s="1" t="s">
        <v>1168</v>
      </c>
      <c r="B584" s="1">
        <v>5742</v>
      </c>
      <c r="C584" s="3">
        <v>44430.766979166663</v>
      </c>
      <c r="D584" s="1" t="s">
        <v>1169</v>
      </c>
      <c r="E584" s="4" t="str">
        <f ca="1">IFERROR(__xludf.DUMMYFUNCTION("GOOGLETRANSLATE(A584 , ""tr"" , ""en"")"),"If the sound of the respirator will be uneasy, please follow the patient's warnings from the sub-post. https://t.co/cgzy8mzj1j")</f>
        <v>If the sound of the respirator will be uneasy, please follow the patient's warnings from the sub-post. https://t.co/cgzy8mzj1j</v>
      </c>
    </row>
    <row r="585" spans="1:5" ht="15.75" customHeight="1" x14ac:dyDescent="0.25">
      <c r="A585" s="1" t="s">
        <v>1170</v>
      </c>
      <c r="B585" s="1">
        <v>6198</v>
      </c>
      <c r="C585" s="3">
        <v>44430.731076388889</v>
      </c>
      <c r="D585" s="1" t="s">
        <v>1171</v>
      </c>
      <c r="E585" s="4" t="str">
        <f ca="1">IFERROR(__xludf.DUMMYFUNCTION("GOOGLETRANSLATE(A585 , ""tr"" , ""en"")"),"The decreases we expected in the number of cases of the weekend did not occur. This is in the warning that we should be more insistent in compliance with more careful and measures. Able to achieve vaccine. https://t.co/rvlhe7786o https://t.co/9dzıhv02ne")</f>
        <v>The decreases we expected in the number of cases of the weekend did not occur. This is in the warning that we should be more insistent in compliance with more careful and measures. Able to achieve vaccine. https://t.co/rvlhe7786o https://t.co/9dzıhv02ne</v>
      </c>
    </row>
    <row r="586" spans="1:5" ht="15.75" customHeight="1" x14ac:dyDescent="0.25">
      <c r="A586" s="1" t="s">
        <v>1172</v>
      </c>
      <c r="B586" s="1">
        <v>9301</v>
      </c>
      <c r="C586" s="3">
        <v>44429.762569444443</v>
      </c>
      <c r="D586" s="1" t="s">
        <v>1173</v>
      </c>
      <c r="E586" s="4" t="str">
        <f ca="1">IFERROR(__xludf.DUMMYFUNCTION("GOOGLETRANSLATE(A586 , ""tr"" , ""en"")"),"""We've been to those who say that the vaccine is caught in coronavirs. Maybe if I had been done, perhaps I was at my 14-day child right now. "" https://t.co/wme1rfbaoe")</f>
        <v>"We've been to those who say that the vaccine is caught in coronavirs. Maybe if I had been done, perhaps I was at my 14-day child right now. " https://t.co/wme1rfbaoe</v>
      </c>
    </row>
    <row r="587" spans="1:5" ht="15.75" customHeight="1" x14ac:dyDescent="0.25">
      <c r="A587" s="1" t="s">
        <v>1174</v>
      </c>
      <c r="B587" s="1">
        <v>6659</v>
      </c>
      <c r="C587" s="3">
        <v>44429.744409722225</v>
      </c>
      <c r="D587" s="1" t="s">
        <v>1175</v>
      </c>
      <c r="E587" s="4" t="str">
        <f ca="1">IFERROR(__xludf.DUMMYFUNCTION("GOOGLETRANSLATE(A587 , ""tr"" , ""en"")"),"A portion of the disease is severe or losing the disease. Unfortunately the number of high case numbers means high loss. If we make our vaccination, we go to the motion to end the epidemic. Let's get back to the re-fight with vaccination and measure.
http"&amp;"s://t.co/rvlhe7786o https://t.co/u5utvhhv2d")</f>
        <v>A portion of the disease is severe or losing the disease. Unfortunately the number of high case numbers means high loss. If we make our vaccination, we go to the motion to end the epidemic. Let's get back to the re-fight with vaccination and measure.
https://t.co/rvlhe7786o https://t.co/u5utvhhv2d</v>
      </c>
    </row>
    <row r="588" spans="1:5" ht="15.75" customHeight="1" x14ac:dyDescent="0.25">
      <c r="A588" s="1" t="s">
        <v>1176</v>
      </c>
      <c r="B588" s="1">
        <v>7195</v>
      </c>
      <c r="C588" s="3">
        <v>44428.761030092595</v>
      </c>
      <c r="D588" s="1" t="s">
        <v>1177</v>
      </c>
      <c r="E588" s="4" t="str">
        <f ca="1">IFERROR(__xludf.DUMMYFUNCTION("GOOGLETRANSLATE(A588 , ""tr"" , ""en"")"),"Diyarbakır, Mus and Bitlis 55% of 55% of 55% of 55% of 55% of 55% of 55%. Between Diyarbakir, Mus and Bitlis Orange Provinces.")</f>
        <v>Diyarbakır, Mus and Bitlis 55% of 55% of 55% of 55% of 55% of 55% of 55%. Between Diyarbakir, Mus and Bitlis Orange Provinces.</v>
      </c>
    </row>
    <row r="589" spans="1:5" ht="15.75" customHeight="1" x14ac:dyDescent="0.25">
      <c r="A589" s="1" t="s">
        <v>1178</v>
      </c>
      <c r="B589" s="1">
        <v>5266</v>
      </c>
      <c r="C589" s="3">
        <v>44428.758784722224</v>
      </c>
      <c r="D589" s="1" t="s">
        <v>1179</v>
      </c>
      <c r="E589" s="4" t="str">
        <f ca="1">IFERROR(__xludf.DUMMYFUNCTION("GOOGLETRANSLATE(A589 , ""tr"" , ""en"")"),"Kastamonu and Kırşehir were replaced by low-risk provinces. The rates of the first dose vaccination against epidemic disease are over 75%. Our two cities on the map are more blue. Our low-risk provincial count increased to 36.")</f>
        <v>Kastamonu and Kırşehir were replaced by low-risk provinces. The rates of the first dose vaccination against epidemic disease are over 75%. Our two cities on the map are more blue. Our low-risk provincial count increased to 36.</v>
      </c>
    </row>
    <row r="590" spans="1:5" ht="15.75" customHeight="1" x14ac:dyDescent="0.25">
      <c r="A590" s="1" t="s">
        <v>1180</v>
      </c>
      <c r="B590" s="1">
        <v>6826</v>
      </c>
      <c r="C590" s="3">
        <v>44428.680613425924</v>
      </c>
      <c r="D590" s="1" t="s">
        <v>1181</v>
      </c>
      <c r="E590" s="4" t="str">
        <f ca="1">IFERROR(__xludf.DUMMYFUNCTION("GOOGLETRANSLATE(A590 , ""tr"" , ""en"")"),"We have losses. The epidemic disease is separated by our loved ones. We must be careful and cautious. We will achieve vaccine. https://t.co/rvlhe7786o https://t.co/a2eoumgfag")</f>
        <v>We have losses. The epidemic disease is separated by our loved ones. We must be careful and cautious. We will achieve vaccine. https://t.co/rvlhe7786o https://t.co/a2eoumgfag</v>
      </c>
    </row>
    <row r="591" spans="1:5" ht="15.75" customHeight="1" x14ac:dyDescent="0.25">
      <c r="A591" s="1" t="s">
        <v>1182</v>
      </c>
      <c r="B591" s="1">
        <v>4514</v>
      </c>
      <c r="C591" s="3">
        <v>44427.805231481485</v>
      </c>
      <c r="D591" s="1" t="s">
        <v>1183</v>
      </c>
      <c r="E591" s="4" t="str">
        <f ca="1">IFERROR(__xludf.DUMMYFUNCTION("GOOGLETRANSLATE(A591 , ""tr"" , ""en"")"),"We are in the house of Bahiye Yildirim living in the village of Kestanelik in Sinop's Ayancık district. Due to the hip replacement, the general examination of our patient needs to be maintained. Behiye will get health care at aunty house. If we have noted"&amp;" the news, no one is headed with the chief. https://t.co/mptqriylnz")</f>
        <v>We are in the house of Bahiye Yildirim living in the village of Kestanelik in Sinop's Ayancık district. Due to the hip replacement, the general examination of our patient needs to be maintained. Behiye will get health care at aunty house. If we have noted the news, no one is headed with the chief. https://t.co/mptqriylnz</v>
      </c>
    </row>
    <row r="592" spans="1:5" ht="15.75" customHeight="1" x14ac:dyDescent="0.25">
      <c r="A592" s="1" t="s">
        <v>1184</v>
      </c>
      <c r="B592" s="1">
        <v>5554</v>
      </c>
      <c r="C592" s="3">
        <v>44427.794108796297</v>
      </c>
      <c r="D592" s="1" t="s">
        <v>1185</v>
      </c>
      <c r="E592" s="4" t="str">
        <f ca="1">IFERROR(__xludf.DUMMYFUNCTION("GOOGLETRANSLATE(A592 , ""tr"" , ""en"")"),"In Kahramanmaras and Aksaray, the ratio of at least one dose of the population of 18 years and older is above 65%. The color of these provinces on Covid-19 risk map is yellow instead of orange.")</f>
        <v>In Kahramanmaras and Aksaray, the ratio of at least one dose of the population of 18 years and older is above 65%. The color of these provinces on Covid-19 risk map is yellow instead of orange.</v>
      </c>
    </row>
    <row r="593" spans="1:5" ht="15.75" customHeight="1" x14ac:dyDescent="0.25">
      <c r="A593" s="1" t="s">
        <v>1186</v>
      </c>
      <c r="B593" s="1">
        <v>9619</v>
      </c>
      <c r="C593" s="3">
        <v>44427.782407407409</v>
      </c>
      <c r="D593" s="1" t="s">
        <v>1187</v>
      </c>
      <c r="E593" s="4" t="str">
        <f ca="1">IFERROR(__xludf.DUMMYFUNCTION("GOOGLETRANSLATE(A593 , ""tr"" , ""en"")"),"Samsun has been replaced between low-risk provinces. The rates of the first dose vaccination against epidemic disease are over 75%. Our city on the map is more blue. Our low-risk provincial count increased to 34.")</f>
        <v>Samsun has been replaced between low-risk provinces. The rates of the first dose vaccination against epidemic disease are over 75%. Our city on the map is more blue. Our low-risk provincial count increased to 34.</v>
      </c>
    </row>
    <row r="594" spans="1:5" ht="15.75" customHeight="1" x14ac:dyDescent="0.25">
      <c r="A594" s="1" t="s">
        <v>1188</v>
      </c>
      <c r="B594" s="1">
        <v>5321</v>
      </c>
      <c r="C594" s="3">
        <v>44427.754317129627</v>
      </c>
      <c r="D594" s="1" t="s">
        <v>1189</v>
      </c>
      <c r="E594" s="4" t="str">
        <f ca="1">IFERROR(__xludf.DUMMYFUNCTION("GOOGLETRANSLATE(A594 , ""tr"" , ""en"")"),"The number of cases is not sufficient to remain below 20 thousand. We have to reach rapidly lower case numbers. The mask is fully compliance with the distance and cleaning rules. https://t.co/rvlhe7786o https://t.co/yhcelwklmc")</f>
        <v>The number of cases is not sufficient to remain below 20 thousand. We have to reach rapidly lower case numbers. The mask is fully compliance with the distance and cleaning rules. https://t.co/rvlhe7786o https://t.co/yhcelwklmc</v>
      </c>
    </row>
    <row r="595" spans="1:5" ht="15.75" customHeight="1" x14ac:dyDescent="0.25">
      <c r="A595" s="1" t="s">
        <v>1190</v>
      </c>
      <c r="B595" s="1">
        <v>0</v>
      </c>
      <c r="C595" s="3">
        <v>44427.684548611112</v>
      </c>
      <c r="D595" s="1" t="s">
        <v>1191</v>
      </c>
      <c r="E595" s="4" t="str">
        <f ca="1">IFERROR(__xludf.DUMMYFUNCTION("GOOGLETRANSLATE(A595 , ""tr"" , ""en"")"),"RT @rterdogan: Shouting after Cabinet Meeting Nation https://t.co/kcdi5qzuuc")</f>
        <v>RT @rterdogan: Shouting after Cabinet Meeting Nation https://t.co/kcdi5qzuuc</v>
      </c>
    </row>
    <row r="596" spans="1:5" ht="15.75" customHeight="1" x14ac:dyDescent="0.25">
      <c r="A596" s="1" t="s">
        <v>1192</v>
      </c>
      <c r="B596" s="1">
        <v>2808</v>
      </c>
      <c r="C596" s="3">
        <v>44427.349340277775</v>
      </c>
      <c r="D596" s="1" t="s">
        <v>1193</v>
      </c>
      <c r="E596" s="4" t="str">
        <f ca="1">IFERROR(__xludf.DUMMYFUNCTION("GOOGLETRANSLATE(A596 , ""tr"" , ""en"")"),"The number of cases in a final week is the most increasing provinces; Batman, Bayburt, Aksaray, Gumushane and Ardahan. Complete compliance with measures until immune to the vaccine is required. Mask, distance and cleanliness. https://t.co/3rtefy2tlx")</f>
        <v>The number of cases in a final week is the most increasing provinces; Batman, Bayburt, Aksaray, Gumushane and Ardahan. Complete compliance with measures until immune to the vaccine is required. Mask, distance and cleanliness. https://t.co/3rtefy2tlx</v>
      </c>
    </row>
    <row r="597" spans="1:5" ht="15.75" customHeight="1" x14ac:dyDescent="0.25">
      <c r="A597" s="1" t="s">
        <v>1194</v>
      </c>
      <c r="B597" s="1">
        <v>4247</v>
      </c>
      <c r="C597" s="3">
        <v>44427.345729166664</v>
      </c>
      <c r="D597" s="1" t="s">
        <v>1195</v>
      </c>
      <c r="E597" s="4" t="str">
        <f ca="1">IFERROR(__xludf.DUMMYFUNCTION("GOOGLETRANSLATE(A597 , ""tr"" , ""en"")"),"In our provinces, you can see the current version of the incidence map that shows a total number of considers who correspond to 100,000 population. The last patient is not considered uncomfortable without recovery. Let's obey the rules of mask, distance a"&amp;"nd cleanliness. https://t.co/x7pzqctCIF")</f>
        <v>In our provinces, you can see the current version of the incidence map that shows a total number of considers who correspond to 100,000 population. The last patient is not considered uncomfortable without recovery. Let's obey the rules of mask, distance and cleanliness. https://t.co/x7pzqctCIF</v>
      </c>
    </row>
    <row r="598" spans="1:5" ht="15.75" customHeight="1" x14ac:dyDescent="0.25">
      <c r="A598" s="1" t="s">
        <v>1196</v>
      </c>
      <c r="B598" s="1">
        <v>2681</v>
      </c>
      <c r="C598" s="3">
        <v>44427.334976851853</v>
      </c>
      <c r="D598" s="1" t="s">
        <v>1197</v>
      </c>
      <c r="E598" s="4" t="str">
        <f ca="1">IFERROR(__xludf.DUMMYFUNCTION("GOOGLETRANSLATE(A598 , ""tr"" , ""en"")"),"Our Science Board prepared the work guide that includes the measures necessary for our schools to be confidently opened. https://t.co/jauto3mtbu")</f>
        <v>Our Science Board prepared the work guide that includes the measures necessary for our schools to be confidently opened. https://t.co/jauto3mtbu</v>
      </c>
    </row>
    <row r="599" spans="1:5" ht="15.75" customHeight="1" x14ac:dyDescent="0.25">
      <c r="A599" s="1" t="s">
        <v>1198</v>
      </c>
      <c r="B599" s="1">
        <v>3211</v>
      </c>
      <c r="C599" s="3">
        <v>44427.328402777777</v>
      </c>
      <c r="D599" s="1" t="s">
        <v>1199</v>
      </c>
      <c r="E599" s="4" t="str">
        <f ca="1">IFERROR(__xludf.DUMMYFUNCTION("GOOGLETRANSLATE(A599 , ""tr"" , ""en"")"),"We have moving with an unfoundless courage in the last days. https://t.co/lekfmstNIO")</f>
        <v>We have moving with an unfoundless courage in the last days. https://t.co/lekfmstNIO</v>
      </c>
    </row>
    <row r="600" spans="1:5" ht="15.75" customHeight="1" x14ac:dyDescent="0.25">
      <c r="A600" s="1" t="s">
        <v>1200</v>
      </c>
      <c r="B600" s="1">
        <v>5245</v>
      </c>
      <c r="C600" s="3">
        <v>44426.860983796294</v>
      </c>
      <c r="D600" s="1" t="s">
        <v>1201</v>
      </c>
      <c r="E600" s="4" t="str">
        <f ca="1">IFERROR(__xludf.DUMMYFUNCTION("GOOGLETRANSLATE(A600 , ""tr"" , ""en"")"),"Van, Yozgat and Erzurum The ratio of at least one dose of the population of 18 years and older is above 65%. The color of these provinces on Covid-19 risk map is yellow instead of orange.")</f>
        <v>Van, Yozgat and Erzurum The ratio of at least one dose of the population of 18 years and older is above 65%. The color of these provinces on Covid-19 risk map is yellow instead of orange.</v>
      </c>
    </row>
    <row r="601" spans="1:5" ht="15.75" customHeight="1" x14ac:dyDescent="0.25">
      <c r="A601" s="1" t="s">
        <v>1202</v>
      </c>
      <c r="B601" s="1">
        <v>4083</v>
      </c>
      <c r="C601" s="3">
        <v>44426.852094907408</v>
      </c>
      <c r="D601" s="1" t="s">
        <v>1203</v>
      </c>
      <c r="E601" s="4" t="str">
        <f ca="1">IFERROR(__xludf.DUMMYFUNCTION("GOOGLETRANSLATE(A601 , ""tr"" , ""en"")"),"Kilis and Zonguldak were replaced between low-risk provinces. The rates of the first dose vaccination against epidemic disease are over 75%. Our two cities on the map are more blue. Our low-risk provincial count increased to 33.")</f>
        <v>Kilis and Zonguldak were replaced between low-risk provinces. The rates of the first dose vaccination against epidemic disease are over 75%. Our two cities on the map are more blue. Our low-risk provincial count increased to 33.</v>
      </c>
    </row>
    <row r="602" spans="1:5" ht="15.75" customHeight="1" x14ac:dyDescent="0.25">
      <c r="A602" s="1" t="s">
        <v>1204</v>
      </c>
      <c r="B602" s="1">
        <v>12164</v>
      </c>
      <c r="C602" s="3">
        <v>44426.844027777777</v>
      </c>
      <c r="D602" s="1" t="s">
        <v>1205</v>
      </c>
      <c r="E602" s="4" t="str">
        <f ca="1">IFERROR(__xludf.DUMMYFUNCTION("GOOGLETRANSLATE(A602 , ""tr"" , ""en"")"),"Today is one of the most important days of unity, draw and fraternity. Aşure is the sweetest state of differences. We are on the 10th day of the Muharrem Moon. Get in ADURA Today's Blessed.")</f>
        <v>Today is one of the most important days of unity, draw and fraternity. Aşure is the sweetest state of differences. We are on the 10th day of the Muharrem Moon. Get in ADURA Today's Blessed.</v>
      </c>
    </row>
    <row r="603" spans="1:5" ht="15.75" customHeight="1" x14ac:dyDescent="0.25">
      <c r="A603" s="1" t="s">
        <v>1206</v>
      </c>
      <c r="B603" s="1">
        <v>2653</v>
      </c>
      <c r="C603" s="3">
        <v>44426.793796296297</v>
      </c>
      <c r="D603" s="1" t="s">
        <v>1207</v>
      </c>
      <c r="E603" s="4" t="str">
        <f ca="1">IFERROR(__xludf.DUMMYFUNCTION("GOOGLETRANSLATE(A603 , ""tr"" , ""en"")"),"People under 18 years of age to register for higher education institutions in our country can also request vaccine. https://t.co/johpimpd9o")</f>
        <v>People under 18 years of age to register for higher education institutions in our country can also request vaccine. https://t.co/johpimpd9o</v>
      </c>
    </row>
    <row r="604" spans="1:5" ht="15.75" customHeight="1" x14ac:dyDescent="0.25">
      <c r="A604" s="1" t="s">
        <v>1208</v>
      </c>
      <c r="B604" s="1">
        <v>2712</v>
      </c>
      <c r="C604" s="3">
        <v>44426.785439814812</v>
      </c>
      <c r="D604" s="1" t="s">
        <v>1209</v>
      </c>
      <c r="E604" s="4" t="str">
        <f ca="1">IFERROR(__xludf.DUMMYFUNCTION("GOOGLETRANSLATE(A604 , ""tr"" , ""en"")"),"The most important result for today is that if you have been two dose inactive vaccines 3. We need to upgrade our protection level by delaying the application without delaying the application. https://t.co/o77zcpcmji")</f>
        <v>The most important result for today is that if you have been two dose inactive vaccines 3. We need to upgrade our protection level by delaying the application without delaying the application. https://t.co/o77zcpcmji</v>
      </c>
    </row>
    <row r="605" spans="1:5" ht="15.75" customHeight="1" x14ac:dyDescent="0.25">
      <c r="A605" s="1" t="s">
        <v>1210</v>
      </c>
      <c r="B605" s="1">
        <v>4032</v>
      </c>
      <c r="C605" s="3">
        <v>44426.766886574071</v>
      </c>
      <c r="D605" s="1" t="s">
        <v>1211</v>
      </c>
      <c r="E605" s="4" t="str">
        <f ca="1">IFERROR(__xludf.DUMMYFUNCTION("GOOGLETRANSLATE(A605 , ""tr"" , ""en"")"),"3 Dose inactive vaccines with 2 dose of inactive vaccines and a dose of mRNA vaccine are protected by similar proportion. In addition, 3 dose of overdose people are better protected from two dose-vaccinated persons. https://t.co/lb340wyavx")</f>
        <v>3 Dose inactive vaccines with 2 dose of inactive vaccines and a dose of mRNA vaccine are protected by similar proportion. In addition, 3 dose of overdose people are better protected from two dose-vaccinated persons. https://t.co/lb340wyavx</v>
      </c>
    </row>
    <row r="606" spans="1:5" ht="15.75" customHeight="1" x14ac:dyDescent="0.25">
      <c r="A606" s="1" t="s">
        <v>1212</v>
      </c>
      <c r="B606" s="1">
        <v>2573</v>
      </c>
      <c r="C606" s="3">
        <v>44426.748252314814</v>
      </c>
      <c r="D606" s="1" t="s">
        <v>1213</v>
      </c>
      <c r="E606" s="4" t="str">
        <f ca="1">IFERROR(__xludf.DUMMYFUNCTION("GOOGLETRANSLATE(A606 , ""tr"" , ""en"")"),"We have to remove the epidemic disease from our agenda. However, by ignoring the disease, we cannot do by accepting the epidemic. https://t.co/bb28zqypp8")</f>
        <v>We have to remove the epidemic disease from our agenda. However, by ignoring the disease, we cannot do by accepting the epidemic. https://t.co/bb28zqypp8</v>
      </c>
    </row>
    <row r="607" spans="1:5" ht="15.75" customHeight="1" x14ac:dyDescent="0.25">
      <c r="A607" s="1" t="s">
        <v>1214</v>
      </c>
      <c r="B607" s="1">
        <v>5495</v>
      </c>
      <c r="C607" s="3">
        <v>44426.741585648146</v>
      </c>
      <c r="D607" s="1" t="s">
        <v>1215</v>
      </c>
      <c r="E607" s="4" t="str">
        <f ca="1">IFERROR(__xludf.DUMMYFUNCTION("GOOGLETRANSLATE(A607 , ""tr"" , ""en"")"),"As the rate of vaccination increases, the number of new cases will also decrease. Tomorrow will be safer than today. https://t.co/rvlhe7786o https://t.co/1hbwhzrdcd")</f>
        <v>As the rate of vaccination increases, the number of new cases will also decrease. Tomorrow will be safer than today. https://t.co/rvlhe7786o https://t.co/1hbwhzrdcd</v>
      </c>
    </row>
    <row r="608" spans="1:5" ht="15.75" customHeight="1" x14ac:dyDescent="0.25">
      <c r="A608" s="1" t="s">
        <v>1216</v>
      </c>
      <c r="B608" s="1">
        <v>2474</v>
      </c>
      <c r="C608" s="3">
        <v>44426.69740740741</v>
      </c>
      <c r="D608" s="1" t="s">
        <v>1217</v>
      </c>
      <c r="E608" s="4" t="str">
        <f ca="1">IFERROR(__xludf.DUMMYFUNCTION("GOOGLETRANSLATE(A608 , ""tr"" , ""en"")"),"Live: After our Science Board Meeting, our press statement:
https://t.co/aqebceybun")</f>
        <v>Live: After our Science Board Meeting, our press statement:
https://t.co/aqebceybun</v>
      </c>
    </row>
    <row r="609" spans="1:5" ht="15.75" customHeight="1" x14ac:dyDescent="0.25">
      <c r="A609" s="1" t="s">
        <v>1218</v>
      </c>
      <c r="B609" s="1">
        <v>5264</v>
      </c>
      <c r="C609" s="3">
        <v>44425.846736111111</v>
      </c>
      <c r="D609" s="1" t="s">
        <v>1219</v>
      </c>
      <c r="E609" s="4" t="str">
        <f ca="1">IFERROR(__xludf.DUMMYFUNCTION("GOOGLETRANSLATE(A609 , ""tr"" , ""en"")"),"Zeynep lady, get your head right.
Health workers for the alert are grateful to you. https://t.co/omb8tgzdfy")</f>
        <v>Zeynep lady, get your head right.
Health workers for the alert are grateful to you. https://t.co/omb8tgzdfy</v>
      </c>
    </row>
    <row r="610" spans="1:5" ht="15.75" customHeight="1" x14ac:dyDescent="0.25">
      <c r="A610" s="1" t="s">
        <v>1220</v>
      </c>
      <c r="B610" s="1">
        <v>5722</v>
      </c>
      <c r="C610" s="3">
        <v>44425.829780092594</v>
      </c>
      <c r="D610" s="1" t="s">
        <v>1221</v>
      </c>
      <c r="E610" s="4" t="str">
        <f ca="1">IFERROR(__xludf.DUMMYFUNCTION("GOOGLETRANSLATE(A610 , ""tr"" , ""en"")"),"The ratio of the Şırnak 18 years and over the population of the population is at least one dose of vaccines. Covid-19 on the risk map of this province is yellow instead of orange.")</f>
        <v>The ratio of the Şırnak 18 years and over the population of the population is at least one dose of vaccines. Covid-19 on the risk map of this province is yellow instead of orange.</v>
      </c>
    </row>
    <row r="611" spans="1:5" ht="15.75" customHeight="1" x14ac:dyDescent="0.25">
      <c r="A611" s="1" t="s">
        <v>1222</v>
      </c>
      <c r="B611" s="1">
        <v>4465</v>
      </c>
      <c r="C611" s="3">
        <v>44425.826921296299</v>
      </c>
      <c r="D611" s="1" t="s">
        <v>1223</v>
      </c>
      <c r="E611" s="4" t="str">
        <f ca="1">IFERROR(__xludf.DUMMYFUNCTION("GOOGLETRANSLATE(A611 , ""tr"" , ""en"")"),"Ardahan, Corum and Mersin was replaced by low-risk provinces. The rates of the first dose vaccination against epidemic disease are over 75%. Our three cities on the map are more blue. Our low-risk provincial count increased to 31.")</f>
        <v>Ardahan, Corum and Mersin was replaced by low-risk provinces. The rates of the first dose vaccination against epidemic disease are over 75%. Our three cities on the map are more blue. Our low-risk provincial count increased to 31.</v>
      </c>
    </row>
    <row r="612" spans="1:5" ht="15.75" customHeight="1" x14ac:dyDescent="0.25">
      <c r="A612" s="1" t="s">
        <v>1224</v>
      </c>
      <c r="B612" s="1">
        <v>12400</v>
      </c>
      <c r="C612" s="3">
        <v>44425.757013888891</v>
      </c>
      <c r="D612" s="1" t="s">
        <v>1225</v>
      </c>
      <c r="E612" s="4" t="str">
        <f ca="1">IFERROR(__xludf.DUMMYFUNCTION("GOOGLETRANSLATE(A612 , ""tr"" , ""en"")"),"A total of 85 million dose: Campus joy from the university screen, in case you rotate in place! We are ready to complete the first doses, missing vaccines quickly. You decide for the vaccination, give it the shoulder to achieve.")</f>
        <v>A total of 85 million dose: Campus joy from the university screen, in case you rotate in place! We are ready to complete the first doses, missing vaccines quickly. You decide for the vaccination, give it the shoulder to achieve.</v>
      </c>
    </row>
    <row r="613" spans="1:5" ht="15.75" customHeight="1" x14ac:dyDescent="0.25">
      <c r="A613" s="1" t="s">
        <v>1226</v>
      </c>
      <c r="B613" s="1">
        <v>4318</v>
      </c>
      <c r="C613" s="3">
        <v>44425.753981481481</v>
      </c>
      <c r="D613" s="1" t="s">
        <v>1227</v>
      </c>
      <c r="E613" s="4" t="str">
        <f ca="1">IFERROR(__xludf.DUMMYFUNCTION("GOOGLETRANSLATE(A613 , ""tr"" , ""en"")"),"A total of 85 million dose: We are hugs of the grandchildren and the love of the facts, friends have a comfortable guest! We are ready to complete the first doses, missing vaccines quickly. You decide for the vaccination, give it the shoulder to achieve.")</f>
        <v>A total of 85 million dose: We are hugs of the grandchildren and the love of the facts, friends have a comfortable guest! We are ready to complete the first doses, missing vaccines quickly. You decide for the vaccination, give it the shoulder to achieve.</v>
      </c>
    </row>
    <row r="614" spans="1:5" ht="15.75" customHeight="1" x14ac:dyDescent="0.25">
      <c r="A614" s="1" t="s">
        <v>1228</v>
      </c>
      <c r="B614" s="1">
        <v>5178</v>
      </c>
      <c r="C614" s="3">
        <v>44425.750358796293</v>
      </c>
      <c r="D614" s="1" t="s">
        <v>1229</v>
      </c>
      <c r="E614" s="4" t="str">
        <f ca="1">IFERROR(__xludf.DUMMYFUNCTION("GOOGLETRANSLATE(A614 , ""tr"" , ""en"")"),"Total 85 million dose: Turkey's work to disrupt the power of work, in case you give the right of life on the street! We are ready to complete the first doses, missing vaccines quickly. You decide for the vaccination, give it the shoulder to achieve.")</f>
        <v>Total 85 million dose: Turkey's work to disrupt the power of work, in case you give the right of life on the street! We are ready to complete the first doses, missing vaccines quickly. You decide for the vaccination, give it the shoulder to achieve.</v>
      </c>
    </row>
    <row r="615" spans="1:5" ht="15.75" customHeight="1" x14ac:dyDescent="0.25">
      <c r="A615" s="1" t="s">
        <v>1230</v>
      </c>
      <c r="B615" s="1">
        <v>2555</v>
      </c>
      <c r="C615" s="3">
        <v>44425.73101851852</v>
      </c>
      <c r="D615" s="1" t="s">
        <v>1231</v>
      </c>
      <c r="E615" s="4" t="str">
        <f ca="1">IFERROR(__xludf.DUMMYFUNCTION("GOOGLETRANSLATE(A615 , ""tr"" , ""en"")"),"In the flood disaster in Kastamonu, the victim of the victim in the villages, the national medical rescue teams of Umke national medical recovery teams who need a patient and medicine. https://t.co/vbdzwlwhvr")</f>
        <v>In the flood disaster in Kastamonu, the victim of the victim in the villages, the national medical rescue teams of Umke national medical recovery teams who need a patient and medicine. https://t.co/vbdzwlwhvr</v>
      </c>
    </row>
    <row r="616" spans="1:5" ht="15.75" customHeight="1" x14ac:dyDescent="0.25">
      <c r="A616" s="1" t="s">
        <v>1232</v>
      </c>
      <c r="B616" s="1">
        <v>4792</v>
      </c>
      <c r="C616" s="3">
        <v>44425.682881944442</v>
      </c>
      <c r="D616" s="1" t="s">
        <v>1233</v>
      </c>
      <c r="E616" s="4" t="str">
        <f ca="1">IFERROR(__xludf.DUMMYFUNCTION("GOOGLETRANSLATE(A616 , ""tr"" , ""en"")"),"We will not move in controlled, we will have losses until we do not comply with the measures. We have to be cautious and we should be immediately. https://t.co/rvlhe7786o https://t.co/msx0amqfb4")</f>
        <v>We will not move in controlled, we will have losses until we do not comply with the measures. We have to be cautious and we should be immediately. https://t.co/rvlhe7786o https://t.co/msx0amqfb4</v>
      </c>
    </row>
    <row r="617" spans="1:5" ht="15.75" customHeight="1" x14ac:dyDescent="0.25">
      <c r="A617" s="1" t="s">
        <v>1234</v>
      </c>
      <c r="B617" s="1">
        <v>10465</v>
      </c>
      <c r="C617" s="3">
        <v>44425.638877314814</v>
      </c>
      <c r="D617" s="1" t="s">
        <v>1235</v>
      </c>
      <c r="E617" s="4" t="str">
        <f ca="1">IFERROR(__xludf.DUMMYFUNCTION("GOOGLETRANSLATE(A617 , ""tr"" , ""en"")"),"Total 85 million dose! The sum of the first, second and third dose Covid-19 vaccines reached 85 million. We are ready to make all the remaining vaccines. Those who postpone being vaccinated, please give the shoulder to achieve together")</f>
        <v>Total 85 million dose! The sum of the first, second and third dose Covid-19 vaccines reached 85 million. We are ready to make all the remaining vaccines. Those who postpone being vaccinated, please give the shoulder to achieve together</v>
      </c>
    </row>
    <row r="618" spans="1:5" ht="15.75" customHeight="1" x14ac:dyDescent="0.25">
      <c r="A618" s="1" t="s">
        <v>1236</v>
      </c>
      <c r="B618" s="1">
        <v>6200</v>
      </c>
      <c r="C618" s="3">
        <v>44425.42695601852</v>
      </c>
      <c r="D618" s="1" t="s">
        <v>1237</v>
      </c>
      <c r="E618" s="4" t="str">
        <f ca="1">IFERROR(__xludf.DUMMYFUNCTION("GOOGLETRANSLATE(A618 , ""tr"" , ""en"")"),"1939 We are on the 22nd anniversary of the 1999 Marmara earthquake, which is the greatest disaster we live after Erzincan Earthquake. We remember our 18,373 people who lost your life once again. He shields against destructions o The spirit of great solida"&amp;"rity is never figured out of these lands.")</f>
        <v>1939 We are on the 22nd anniversary of the 1999 Marmara earthquake, which is the greatest disaster we live after Erzincan Earthquake. We remember our 18,373 people who lost your life once again. He shields against destructions o The spirit of great solidarity is never figured out of these lands.</v>
      </c>
    </row>
    <row r="619" spans="1:5" ht="15.75" customHeight="1" x14ac:dyDescent="0.25">
      <c r="A619" s="1" t="s">
        <v>1238</v>
      </c>
      <c r="B619" s="1">
        <v>6451</v>
      </c>
      <c r="C619" s="3">
        <v>44424.834085648145</v>
      </c>
      <c r="D619" s="1" t="s">
        <v>1239</v>
      </c>
      <c r="E619" s="4" t="str">
        <f ca="1">IFERROR(__xludf.DUMMYFUNCTION("GOOGLETRANSLATE(A619 , ""tr"" , ""en"")"),"Konya, Niğde and Gaziantep are at least one overdose of the population of 18 years of age and older. The color of these provinces on Covid-19 risk map is yellow instead of orange.")</f>
        <v>Konya, Niğde and Gaziantep are at least one overdose of the population of 18 years of age and older. The color of these provinces on Covid-19 risk map is yellow instead of orange.</v>
      </c>
    </row>
    <row r="620" spans="1:5" ht="15.75" customHeight="1" x14ac:dyDescent="0.25">
      <c r="A620" s="1" t="s">
        <v>1240</v>
      </c>
      <c r="B620" s="1">
        <v>6084</v>
      </c>
      <c r="C620" s="3">
        <v>44424.831782407404</v>
      </c>
      <c r="D620" s="1" t="s">
        <v>1241</v>
      </c>
      <c r="E620" s="4" t="str">
        <f ca="1">IFERROR(__xludf.DUMMYFUNCTION("GOOGLETRANSLATE(A620 , ""tr"" , ""en"")"),"The first dose of Batman over 55% reduced the level of risk to high risk level with the inoculation rate. Batman between orange provinces.")</f>
        <v>The first dose of Batman over 55% reduced the level of risk to high risk level with the inoculation rate. Batman between orange provinces.</v>
      </c>
    </row>
    <row r="621" spans="1:5" ht="15.75" customHeight="1" x14ac:dyDescent="0.25">
      <c r="A621" s="1" t="s">
        <v>1242</v>
      </c>
      <c r="B621" s="1">
        <v>5200</v>
      </c>
      <c r="C621" s="3">
        <v>44424.81858796296</v>
      </c>
      <c r="D621" s="1" t="s">
        <v>1243</v>
      </c>
      <c r="E621" s="4" t="str">
        <f ca="1">IFERROR(__xludf.DUMMYFUNCTION("GOOGLETRANSLATE(A621 , ""tr"" , ""en"")"),"Sinop and Osmaniye were replaced by low-risk provinces. The rates of the first dose vaccination against epidemic disease are over 75%. Our two cities on the map are more blue. Our low-risk provincial count increased to 28.")</f>
        <v>Sinop and Osmaniye were replaced by low-risk provinces. The rates of the first dose vaccination against epidemic disease are over 75%. Our two cities on the map are more blue. Our low-risk provincial count increased to 28.</v>
      </c>
    </row>
    <row r="622" spans="1:5" ht="15.75" customHeight="1" x14ac:dyDescent="0.25">
      <c r="A622" s="1" t="s">
        <v>1244</v>
      </c>
      <c r="B622" s="1">
        <v>2662</v>
      </c>
      <c r="C622" s="3">
        <v>44424.777997685182</v>
      </c>
      <c r="D622" s="1" t="s">
        <v>1245</v>
      </c>
      <c r="E622" s="4" t="str">
        <f ca="1">IFERROR(__xludf.DUMMYFUNCTION("GOOGLETRANSLATE(A622 , ""tr"" , ""en"")"),"In Kastamonu Bozkurt, the patients who are affected by the flooding in the district center and the district are taken into health screening, drug and medical material needs were also met. Treated to some people. The People of the village of Incesu are tho"&amp;"se passed by health screening. https://t.co/ybxplo4dds")</f>
        <v>In Kastamonu Bozkurt, the patients who are affected by the flooding in the district center and the district are taken into health screening, drug and medical material needs were also met. Treated to some people. The People of the village of Incesu are those passed by health screening. https://t.co/ybxplo4dds</v>
      </c>
    </row>
    <row r="623" spans="1:5" ht="15.75" customHeight="1" x14ac:dyDescent="0.25">
      <c r="A623" s="1" t="s">
        <v>1246</v>
      </c>
      <c r="B623" s="1">
        <v>2910</v>
      </c>
      <c r="C623" s="3">
        <v>44424.773831018516</v>
      </c>
      <c r="D623" s="1" t="s">
        <v>1247</v>
      </c>
      <c r="E623" s="4" t="str">
        <f ca="1">IFERROR(__xludf.DUMMYFUNCTION("GOOGLETRANSLATE(A623 , ""tr"" , ""en"")"),"We continue to emergency health services in the villages of Bozkurt, where the flood disaster is experienced. In the health screening of national medical rescue teams, primarily the examinations of our elderly in the health screening were met by the exami"&amp;"nation of our elderly. https://t.co/lsk3dlvk71")</f>
        <v>We continue to emergency health services in the villages of Bozkurt, where the flood disaster is experienced. In the health screening of national medical rescue teams, primarily the examinations of our elderly in the health screening were met by the examination of our elderly. https://t.co/lsk3dlvk71</v>
      </c>
    </row>
    <row r="624" spans="1:5" ht="15.75" customHeight="1" x14ac:dyDescent="0.25">
      <c r="A624" s="1" t="s">
        <v>1248</v>
      </c>
      <c r="B624" s="1">
        <v>6463</v>
      </c>
      <c r="C624" s="3">
        <v>44424.733634259261</v>
      </c>
      <c r="D624" s="1" t="s">
        <v>1249</v>
      </c>
      <c r="E624" s="4" t="str">
        <f ca="1">IFERROR(__xludf.DUMMYFUNCTION("GOOGLETRANSLATE(A624 , ""tr"" , ""en"")"),"If we want to check the number of cases of cases, we should be vaccine and we have to fitting the measures more tightly for a while. We have the opportunity to keep control. https://t.co/rvlhe7786o https://t.co/ihxv1xhoeo")</f>
        <v>If we want to check the number of cases of cases, we should be vaccine and we have to fitting the measures more tightly for a while. We have the opportunity to keep control. https://t.co/rvlhe7786o https://t.co/ihxv1xhoeo</v>
      </c>
    </row>
    <row r="625" spans="1:5" ht="15.75" customHeight="1" x14ac:dyDescent="0.25">
      <c r="A625" s="1" t="s">
        <v>1250</v>
      </c>
      <c r="B625" s="1">
        <v>4431</v>
      </c>
      <c r="C625" s="3">
        <v>44424.437858796293</v>
      </c>
      <c r="D625" s="1" t="s">
        <v>1251</v>
      </c>
      <c r="E625" s="4" t="str">
        <f ca="1">IFERROR(__xludf.DUMMYFUNCTION("GOOGLETRANSLATE(A625 , ""tr"" , ""en"")"),"Our 3 hero soldiers in Yıldırım-Claw Operate were Martyrs. We wish our martyrs mercy from Allah, the patience to our nation. https://t.co/IXGVKHWILK")</f>
        <v>Our 3 hero soldiers in Yıldırım-Claw Operate were Martyrs. We wish our martyrs mercy from Allah, the patience to our nation. https://t.co/IXGVKHWILK</v>
      </c>
    </row>
    <row r="626" spans="1:5" ht="15.75" customHeight="1" x14ac:dyDescent="0.25">
      <c r="A626" s="1" t="s">
        <v>1252</v>
      </c>
      <c r="B626" s="1">
        <v>6564</v>
      </c>
      <c r="C626" s="3">
        <v>44424.426180555558</v>
      </c>
      <c r="D626" s="1" t="s">
        <v>1253</v>
      </c>
      <c r="E626" s="4" t="str">
        <f ca="1">IFERROR(__xludf.DUMMYFUNCTION("GOOGLETRANSLATE(A626 , ""tr"" , ""en"")"),"As of today, 2 dose MRNA vaccines or 3 dose inactive vaccinated no one requires an additional dose of vaccines. Such a medical requirement is absolutely absolutely.")</f>
        <v>As of today, 2 dose MRNA vaccines or 3 dose inactive vaccinated no one requires an additional dose of vaccines. Such a medical requirement is absolutely absolutely.</v>
      </c>
    </row>
    <row r="627" spans="1:5" ht="15.75" customHeight="1" x14ac:dyDescent="0.25">
      <c r="A627" s="1" t="s">
        <v>1254</v>
      </c>
      <c r="B627" s="1">
        <v>9281</v>
      </c>
      <c r="C627" s="3">
        <v>44424.426180555558</v>
      </c>
      <c r="D627" s="1" t="s">
        <v>1255</v>
      </c>
      <c r="E627" s="4" t="str">
        <f ca="1">IFERROR(__xludf.DUMMYFUNCTION("GOOGLETRANSLATE(A627 , ""tr"" , ""en"")"),"Only certain vaccine types are accepted on the entrance to some countries. A special arrangement has been made for people who demand 2 dose mRNA vaccines to comply with the relevant country regulations. There is no additional vaccination requirements exce"&amp;"pt for demanding for special travel.")</f>
        <v>Only certain vaccine types are accepted on the entrance to some countries. A special arrangement has been made for people who demand 2 dose mRNA vaccines to comply with the relevant country regulations. There is no additional vaccination requirements except for demanding for special travel.</v>
      </c>
    </row>
    <row r="628" spans="1:5" ht="15.75" customHeight="1" x14ac:dyDescent="0.25">
      <c r="A628" s="1" t="s">
        <v>1256</v>
      </c>
      <c r="B628" s="1">
        <v>7341</v>
      </c>
      <c r="C628" s="3">
        <v>44423.691608796296</v>
      </c>
      <c r="D628" s="1" t="s">
        <v>1257</v>
      </c>
      <c r="E628" s="4" t="str">
        <f ca="1">IFERROR(__xludf.DUMMYFUNCTION("GOOGLETRANSLATE(A628 , ""tr"" , ""en"")"),"We have a permanent control in case numbers. We will achieve more measures and more with the rate of vaccination. https://t.co/rvlhe7786o https://t.co/lnc1j3fgtt")</f>
        <v>We have a permanent control in case numbers. We will achieve more measures and more with the rate of vaccination. https://t.co/rvlhe7786o https://t.co/lnc1j3fgtt</v>
      </c>
    </row>
    <row r="629" spans="1:5" ht="15.75" customHeight="1" x14ac:dyDescent="0.25">
      <c r="A629" s="1" t="s">
        <v>1258</v>
      </c>
      <c r="B629" s="1">
        <v>16682</v>
      </c>
      <c r="C629" s="3">
        <v>44423.576967592591</v>
      </c>
      <c r="D629" s="1" t="s">
        <v>1259</v>
      </c>
      <c r="E629" s="4" t="str">
        <f ca="1">IFERROR(__xludf.DUMMYFUNCTION("GOOGLETRANSLATE(A629 , ""tr"" , ""en"")"),"Let's be unity for health. Let's all have our first dose vaccines.")</f>
        <v>Let's be unity for health. Let's all have our first dose vaccines.</v>
      </c>
    </row>
    <row r="630" spans="1:5" ht="15.75" customHeight="1" x14ac:dyDescent="0.25">
      <c r="A630" s="1" t="s">
        <v>1260</v>
      </c>
      <c r="B630" s="1">
        <v>8286</v>
      </c>
      <c r="C630" s="3">
        <v>44423.570023148146</v>
      </c>
      <c r="D630" s="1" t="s">
        <v>1261</v>
      </c>
      <c r="E630" s="4" t="str">
        <f ca="1">IFERROR(__xludf.DUMMYFUNCTION("GOOGLETRANSLATE(A630 , ""tr"" , ""en"")"),"Did you look at the map today? 26 of our 81 blue is blue. In the population of 18 years of age or over, the ratio of the epidemic disease and the ratio of at least one dose of vaccines is over 75% in 26 provinces.")</f>
        <v>Did you look at the map today? 26 of our 81 blue is blue. In the population of 18 years of age or over, the ratio of the epidemic disease and the ratio of at least one dose of vaccines is over 75% in 26 provinces.</v>
      </c>
    </row>
    <row r="631" spans="1:5" ht="15.75" customHeight="1" x14ac:dyDescent="0.25">
      <c r="A631" s="1" t="s">
        <v>1262</v>
      </c>
      <c r="B631" s="1">
        <v>5206</v>
      </c>
      <c r="C631" s="3">
        <v>44422.868796296294</v>
      </c>
      <c r="D631" s="1" t="s">
        <v>1263</v>
      </c>
      <c r="E631" s="4" t="str">
        <f ca="1">IFERROR(__xludf.DUMMYFUNCTION("GOOGLETRANSLATE(A631 , ""tr"" , ""en"")"),"Bingöl has lowered very high risk levels to high risk level. The new color on the map is orange. Being the correct decision on the vaccine and to be one of the risk of risk, depends on getting information from our health care employees.")</f>
        <v>Bingöl has lowered very high risk levels to high risk level. The new color on the map is orange. Being the correct decision on the vaccine and to be one of the risk of risk, depends on getting information from our health care employees.</v>
      </c>
    </row>
    <row r="632" spans="1:5" ht="15.75" customHeight="1" x14ac:dyDescent="0.25">
      <c r="A632" s="1" t="s">
        <v>1264</v>
      </c>
      <c r="B632" s="1">
        <v>7547</v>
      </c>
      <c r="C632" s="3">
        <v>44422.865752314814</v>
      </c>
      <c r="D632" s="1" t="s">
        <v>1265</v>
      </c>
      <c r="E632" s="4" t="str">
        <f ca="1">IFERROR(__xludf.DUMMYFUNCTION("GOOGLETRANSLATE(A632 , ""tr"" , ""en"")"),"Bolu replaced between low-risk provinces. The ratio of the epidemic decision against the disease and the rate of first dose is over 75%. Our city on the map is more blue. Our low-risk provincial count increased to 26.")</f>
        <v>Bolu replaced between low-risk provinces. The ratio of the epidemic decision against the disease and the rate of first dose is over 75%. Our city on the map is more blue. Our low-risk provincial count increased to 26.</v>
      </c>
    </row>
    <row r="633" spans="1:5" ht="15.75" customHeight="1" x14ac:dyDescent="0.25">
      <c r="A633" s="1" t="s">
        <v>1266</v>
      </c>
      <c r="B633" s="1">
        <v>4707</v>
      </c>
      <c r="C633" s="3">
        <v>44422.841863425929</v>
      </c>
      <c r="D633" s="1" t="s">
        <v>1267</v>
      </c>
      <c r="E633" s="4" t="str">
        <f ca="1">IFERROR(__xludf.DUMMYFUNCTION("GOOGLETRANSLATE(A633 , ""tr"" , ""en"")"),"Kastamonu rescued the turtle to the ground floor in Bozkurt, realizing our friends and left the natural habitat. Flood disasters are displeasing with people in nature. Umke teams are in the region in the region. https://t.co/uysr45fdon")</f>
        <v>Kastamonu rescued the turtle to the ground floor in Bozkurt, realizing our friends and left the natural habitat. Flood disasters are displeasing with people in nature. Umke teams are in the region in the region. https://t.co/uysr45fdon</v>
      </c>
    </row>
    <row r="634" spans="1:5" ht="15.75" customHeight="1" x14ac:dyDescent="0.25">
      <c r="A634" s="1" t="s">
        <v>1268</v>
      </c>
      <c r="B634" s="1">
        <v>4238</v>
      </c>
      <c r="C634" s="3">
        <v>44422.805613425924</v>
      </c>
      <c r="D634" s="1" t="s">
        <v>1269</v>
      </c>
      <c r="E634" s="4" t="str">
        <f ca="1">IFERROR(__xludf.DUMMYFUNCTION("GOOGLETRANSLATE(A634 , ""tr"" , ""en"")"),"From the great names of Turkish medicine Dr. The Iron is awarded the Eversion. Istanbul Faculty of Medicine, who is teacher, has pioneered the generations in the field of eye medicine. I wish Iron Başar to the mercy, family and medical community from Alla"&amp;"h.")</f>
        <v>From the great names of Turkish medicine Dr. The Iron is awarded the Eversion. Istanbul Faculty of Medicine, who is teacher, has pioneered the generations in the field of eye medicine. I wish Iron Başar to the mercy, family and medical community from Allah.</v>
      </c>
    </row>
    <row r="635" spans="1:5" ht="15.75" customHeight="1" x14ac:dyDescent="0.25">
      <c r="A635" s="1" t="s">
        <v>1270</v>
      </c>
      <c r="B635" s="1">
        <v>6365</v>
      </c>
      <c r="C635" s="3">
        <v>44422.803310185183</v>
      </c>
      <c r="D635" s="1" t="s">
        <v>1271</v>
      </c>
      <c r="E635" s="4" t="str">
        <f ca="1">IFERROR(__xludf.DUMMYFUNCTION("GOOGLETRANSLATE(A635 , ""tr"" , ""en"")"),"From our teachers in Cerrahpaşa Faculty of Medicine; Expert Sciences in Infectious Diseases and Clinical Microbiology Prof. Dr. Yaşar has left our Baghdatlate. Lifetime continuing his work. I wish Baghdatli's condolences from Allah to the mercy, his famil"&amp;"y and medical community.")</f>
        <v>From our teachers in Cerrahpaşa Faculty of Medicine; Expert Sciences in Infectious Diseases and Clinical Microbiology Prof. Dr. Yaşar has left our Baghdatlate. Lifetime continuing his work. I wish Baghdatli's condolences from Allah to the mercy, his family and medical community.</v>
      </c>
    </row>
    <row r="636" spans="1:5" ht="15.75" customHeight="1" x14ac:dyDescent="0.25">
      <c r="A636" s="1" t="s">
        <v>1272</v>
      </c>
      <c r="B636" s="1">
        <v>6847</v>
      </c>
      <c r="C636" s="3">
        <v>44422.683240740742</v>
      </c>
      <c r="D636" s="1" t="s">
        <v>1273</v>
      </c>
      <c r="E636" s="4" t="str">
        <f ca="1">IFERROR(__xludf.DUMMYFUNCTION("GOOGLETRANSLATE(A636 , ""tr"" , ""en"")"),"We have to obtain high vaccination rate and meet the measures to control the increase in the number of cases. https://t.co/rvlhe7786o https://t.co/rbdm1fbw5v")</f>
        <v>We have to obtain high vaccination rate and meet the measures to control the increase in the number of cases. https://t.co/rvlhe7786o https://t.co/rbdm1fbw5v</v>
      </c>
    </row>
    <row r="637" spans="1:5" ht="15.75" customHeight="1" x14ac:dyDescent="0.25">
      <c r="A637" s="1" t="s">
        <v>1274</v>
      </c>
      <c r="B637" s="1">
        <v>7697</v>
      </c>
      <c r="C637" s="3">
        <v>44422.420937499999</v>
      </c>
      <c r="D637" s="1" t="s">
        <v>1275</v>
      </c>
      <c r="E637" s="4" t="str">
        <f ca="1">IFERROR(__xludf.DUMMYFUNCTION("GOOGLETRANSLATE(A637 , ""tr"" , ""en"")"),"August 13 in the vaccine: Yesterday 1 million 145 thousand 321 dose vaccines were applied. The number of first dose of overdose is 384.945. The number of second overdose is 602.251. The number of third overdose is 158.125. The number of those who do not h"&amp;"ave the first overdose yet landed 18.313.689.")</f>
        <v>August 13 in the vaccine: Yesterday 1 million 145 thousand 321 dose vaccines were applied. The number of first dose of overdose is 384.945. The number of second overdose is 602.251. The number of third overdose is 158.125. The number of those who do not have the first overdose yet landed 18.313.689.</v>
      </c>
    </row>
    <row r="638" spans="1:5" ht="15.75" customHeight="1" x14ac:dyDescent="0.25">
      <c r="A638" s="1" t="s">
        <v>1276</v>
      </c>
      <c r="B638" s="1">
        <v>4145</v>
      </c>
      <c r="C638" s="3">
        <v>44421.798888888887</v>
      </c>
      <c r="D638" s="1" t="s">
        <v>1277</v>
      </c>
      <c r="E638" s="4" t="str">
        <f ca="1">IFERROR(__xludf.DUMMYFUNCTION("GOOGLETRANSLATE(A638 , ""tr"" , ""en"")"),"Like dialysis patients, we transfer our patients who are connected to a specific program from the disaster area of ​​the treatment to our nearest hospitals. Our state hospital in Bozkurt County in Bozkurt County is re-service with all the staff. https://t"&amp;".co/nmax75yv2v")</f>
        <v>Like dialysis patients, we transfer our patients who are connected to a specific program from the disaster area of ​​the treatment to our nearest hospitals. Our state hospital in Bozkurt County in Bozkurt County is re-service with all the staff. https://t.co/nmax75yv2v</v>
      </c>
    </row>
    <row r="639" spans="1:5" ht="15.75" customHeight="1" x14ac:dyDescent="0.25">
      <c r="A639" s="1" t="s">
        <v>1278</v>
      </c>
      <c r="B639" s="1">
        <v>8162</v>
      </c>
      <c r="C639" s="3">
        <v>44421.793761574074</v>
      </c>
      <c r="D639" s="1" t="s">
        <v>1279</v>
      </c>
      <c r="E639" s="4" t="str">
        <f ca="1">IFERROR(__xludf.DUMMYFUNCTION("GOOGLETRANSLATE(A639 , ""tr"" , ""en"")"),"Kars reduced the high risk level with the rate of vaccination in the first dose. Yellow on the map right now. Turkey knows that Turkey is blue that will open Kars.")</f>
        <v>Kars reduced the high risk level with the rate of vaccination in the first dose. Yellow on the map right now. Turkey knows that Turkey is blue that will open Kars.</v>
      </c>
    </row>
    <row r="640" spans="1:5" ht="15.75" customHeight="1" x14ac:dyDescent="0.25">
      <c r="A640" s="1" t="s">
        <v>1280</v>
      </c>
      <c r="B640" s="1">
        <v>4781</v>
      </c>
      <c r="C640" s="3">
        <v>44421.788298611114</v>
      </c>
      <c r="D640" s="1" t="s">
        <v>1281</v>
      </c>
      <c r="E640" s="4" t="str">
        <f ca="1">IFERROR(__xludf.DUMMYFUNCTION("GOOGLETRANSLATE(A640 , ""tr"" , ""en"")"),"Artvin, Manisa, butler replaces between low risk provinces. The rates of the first dose vaccination against epidemic disease are over 75%. Our three cities on the map are more blue. Our number of low-risk provinces increased to 25.")</f>
        <v>Artvin, Manisa, butler replaces between low risk provinces. The rates of the first dose vaccination against epidemic disease are over 75%. Our three cities on the map are more blue. Our number of low-risk provinces increased to 25.</v>
      </c>
    </row>
    <row r="641" spans="1:5" ht="15.75" customHeight="1" x14ac:dyDescent="0.25">
      <c r="A641" s="1" t="s">
        <v>1282</v>
      </c>
      <c r="B641" s="1">
        <v>3661</v>
      </c>
      <c r="C641" s="3">
        <v>44421.763726851852</v>
      </c>
      <c r="D641" s="1" t="s">
        <v>1283</v>
      </c>
      <c r="E641" s="4" t="str">
        <f ca="1">IFERROR(__xludf.DUMMYFUNCTION("GOOGLETRANSLATE(A641 , ""tr"" , ""en"")"),"Last situation in floods experienced: We have 6 life loss in Sinop. 38 of 56 patients who are treated at Ayancık State Hospital have been transmitted to Sinop Atatürk State Hospital. 18 patients were transported to their homes. 27 Ambulance, 16 Umke, a to"&amp;"tal of 149 medical staff in the 19th Mobile Command tool.")</f>
        <v>Last situation in floods experienced: We have 6 life loss in Sinop. 38 of 56 patients who are treated at Ayancık State Hospital have been transmitted to Sinop Atatürk State Hospital. 18 patients were transported to their homes. 27 Ambulance, 16 Umke, a total of 149 medical staff in the 19th Mobile Command tool.</v>
      </c>
    </row>
    <row r="642" spans="1:5" ht="15.75" customHeight="1" x14ac:dyDescent="0.25">
      <c r="A642" s="1" t="s">
        <v>1284</v>
      </c>
      <c r="B642" s="1">
        <v>6168</v>
      </c>
      <c r="C642" s="3">
        <v>44421.759791666664</v>
      </c>
      <c r="D642" s="1" t="s">
        <v>1285</v>
      </c>
      <c r="E642" s="4" t="str">
        <f ca="1">IFERROR(__xludf.DUMMYFUNCTION("GOOGLETRANSLATE(A642 , ""tr"" , ""en"")"),"In the floods experienced Last Status: We have 32 life loss in Kastamonu. 228 people were affected by the flood. In our hospitals, the treatment of 12 people is continued. 32 ambulance, 24 umke cls, 1 set of tents, 1 hospital equipment and 1 unimog total "&amp;"215 medical staff with a total of 215 health personnel.")</f>
        <v>In the floods experienced Last Status: We have 32 life loss in Kastamonu. 228 people were affected by the flood. In our hospitals, the treatment of 12 people is continued. 32 ambulance, 24 umke cls, 1 set of tents, 1 hospital equipment and 1 unimog total 215 medical staff with a total of 215 health personnel.</v>
      </c>
    </row>
    <row r="643" spans="1:5" ht="15.75" customHeight="1" x14ac:dyDescent="0.25">
      <c r="A643" s="1" t="s">
        <v>1286</v>
      </c>
      <c r="B643" s="1">
        <v>5044</v>
      </c>
      <c r="C643" s="3">
        <v>44421.685798611114</v>
      </c>
      <c r="D643" s="1" t="s">
        <v>1287</v>
      </c>
      <c r="E643" s="4" t="str">
        <f ca="1">IFERROR(__xludf.DUMMYFUNCTION("GOOGLETRANSLATE(A643 , ""tr"" , ""en"")"),"The decrease in the number of cases is not at the level we want yet. We will be successful as they are more immune and complied with the measures. If we want to be safer tomorrow, let's be more prudent today. https://t.co/rvlhe7786o https://t.co/M4PJRLBEI"&amp;"8")</f>
        <v>The decrease in the number of cases is not at the level we want yet. We will be successful as they are more immune and complied with the measures. If we want to be safer tomorrow, let's be more prudent today. https://t.co/rvlhe7786o https://t.co/M4PJRLBEI8</v>
      </c>
    </row>
    <row r="644" spans="1:5" ht="15.75" customHeight="1" x14ac:dyDescent="0.25">
      <c r="A644" s="1" t="s">
        <v>1288</v>
      </c>
      <c r="B644" s="1">
        <v>6960</v>
      </c>
      <c r="C644" s="3">
        <v>44421.662812499999</v>
      </c>
      <c r="D644" s="1" t="s">
        <v>1289</v>
      </c>
      <c r="E644" s="4" t="str">
        <f ca="1">IFERROR(__xludf.DUMMYFUNCTION("GOOGLETRANSLATE(A644 , ""tr"" , ""en"")"),"Being a human, always by the person!
Thanks to the UMKEs that run into disaster areas. https://t.co/af5ngclunr")</f>
        <v>Being a human, always by the person!
Thanks to the UMKEs that run into disaster areas. https://t.co/af5ngclunr</v>
      </c>
    </row>
    <row r="645" spans="1:5" ht="15.75" customHeight="1" x14ac:dyDescent="0.25">
      <c r="A645" s="1" t="s">
        <v>1290</v>
      </c>
      <c r="B645" s="1">
        <v>5503</v>
      </c>
      <c r="C645" s="3">
        <v>44421.500798611109</v>
      </c>
      <c r="D645" s="1" t="s">
        <v>1291</v>
      </c>
      <c r="E645" s="4" t="str">
        <f ca="1">IFERROR(__xludf.DUMMYFUNCTION("GOOGLETRANSLATE(A645 , ""tr"" , ""en"")"),"We have successfully maintaining our vaccination program. On the other hand, on the other hand, on the other hand, congratulates our family physicians and family health that successfully follow our chronic patients. We will continue to support our family "&amp;"physicians with positive performance.")</f>
        <v>We have successfully maintaining our vaccination program. On the other hand, on the other hand, on the other hand, congratulates our family physicians and family health that successfully follow our chronic patients. We will continue to support our family physicians with positive performance.</v>
      </c>
    </row>
    <row r="646" spans="1:5" ht="15.75" customHeight="1" x14ac:dyDescent="0.25">
      <c r="A646" s="1" t="s">
        <v>1292</v>
      </c>
      <c r="B646" s="1">
        <v>13227</v>
      </c>
      <c r="C646" s="3">
        <v>44421.497974537036</v>
      </c>
      <c r="D646" s="1" t="s">
        <v>1293</v>
      </c>
      <c r="E646" s="4" t="str">
        <f ca="1">IFERROR(__xludf.DUMMYFUNCTION("GOOGLETRANSLATE(A646 , ""tr"" , ""en"")"),"The rate of 18 years of age or older, at least one dose of vaccines has passed 70%.")</f>
        <v>The rate of 18 years of age or older, at least one dose of vaccines has passed 70%.</v>
      </c>
    </row>
    <row r="647" spans="1:5" ht="15.75" customHeight="1" x14ac:dyDescent="0.25">
      <c r="A647" s="1" t="s">
        <v>1294</v>
      </c>
      <c r="B647" s="1">
        <v>3950</v>
      </c>
      <c r="C647" s="3">
        <v>44421.386192129627</v>
      </c>
      <c r="D647" s="1" t="s">
        <v>1295</v>
      </c>
      <c r="E647" s="4" t="str">
        <f ca="1">IFERROR(__xludf.DUMMYFUNCTION("GOOGLETRANSLATE(A647 , ""tr"" , ""en"")"),"Siirt and Iğdir has lowered the high risk level with the first dose inoculation over 55% to high risk level. Between siirt and Iğdir orange provinces.")</f>
        <v>Siirt and Iğdir has lowered the high risk level with the first dose inoculation over 55% to high risk level. Between siirt and Iğdir orange provinces.</v>
      </c>
    </row>
    <row r="648" spans="1:5" ht="15.75" customHeight="1" x14ac:dyDescent="0.25">
      <c r="A648" s="1" t="s">
        <v>1296</v>
      </c>
      <c r="B648" s="1">
        <v>8726</v>
      </c>
      <c r="C648" s="3">
        <v>44421.379212962966</v>
      </c>
      <c r="D648" s="1" t="s">
        <v>1297</v>
      </c>
      <c r="E648" s="4" t="str">
        <f ca="1">IFERROR(__xludf.DUMMYFUNCTION("GOOGLETRANSLATE(A648 , ""tr"" , ""en"")"),"Malatya The rate of being at least one dose of the population of 18 years of age or older appeared above 65%. Covid-19 on the risk map of this province is yellow instead of orange.")</f>
        <v>Malatya The rate of being at least one dose of the population of 18 years of age or older appeared above 65%. Covid-19 on the risk map of this province is yellow instead of orange.</v>
      </c>
    </row>
    <row r="649" spans="1:5" ht="15.75" customHeight="1" x14ac:dyDescent="0.25">
      <c r="A649" s="1" t="s">
        <v>1298</v>
      </c>
      <c r="B649" s="1">
        <v>5556</v>
      </c>
      <c r="C649" s="3">
        <v>44421.369155092594</v>
      </c>
      <c r="D649" s="1" t="s">
        <v>1299</v>
      </c>
      <c r="E649" s="4" t="str">
        <f ca="1">IFERROR(__xludf.DUMMYFUNCTION("GOOGLETRANSLATE(A649 , ""tr"" , ""en"")"),"Isparta, our new province of the blue category. The first dose of vaccination is over 75%. With this province, our low-risk provincial count increased to 22.")</f>
        <v>Isparta, our new province of the blue category. The first dose of vaccination is over 75%. With this province, our low-risk provincial count increased to 22.</v>
      </c>
    </row>
    <row r="650" spans="1:5" ht="15.75" customHeight="1" x14ac:dyDescent="0.25">
      <c r="A650" s="1" t="s">
        <v>1300</v>
      </c>
      <c r="B650" s="1">
        <v>5222</v>
      </c>
      <c r="C650" s="3">
        <v>44420.81145833333</v>
      </c>
      <c r="D650" s="1" t="s">
        <v>1301</v>
      </c>
      <c r="E650" s="4" t="str">
        <f ca="1">IFERROR(__xludf.DUMMYFUNCTION("GOOGLETRANSLATE(A650 , ""tr"" , ""en"")"),"Umke Teams and Emergency Health Services We are in the Western Black Sea provinces where there is a flood disaster last night. Mission consciousness and voluntary power overcoming disasters come. https://t.co/nbq2jv2q31")</f>
        <v>Umke Teams and Emergency Health Services We are in the Western Black Sea provinces where there is a flood disaster last night. Mission consciousness and voluntary power overcoming disasters come. https://t.co/nbq2jv2q31</v>
      </c>
    </row>
    <row r="651" spans="1:5" ht="15.75" customHeight="1" x14ac:dyDescent="0.25">
      <c r="A651" s="1" t="s">
        <v>1302</v>
      </c>
      <c r="B651" s="1">
        <v>5301</v>
      </c>
      <c r="C651" s="3">
        <v>44420.729733796295</v>
      </c>
      <c r="D651" s="1" t="s">
        <v>1303</v>
      </c>
      <c r="E651" s="4" t="str">
        <f ca="1">IFERROR(__xludf.DUMMYFUNCTION("GOOGLETRANSLATE(A651 , ""tr"" , ""en"")"),"In order to keep the course of the number of cases under control, the two great opportunities are measures and vaccines. We should continue to comply with the measures until you get immunity. Ending the epidemic with the vaccine. https://t.co/rvlhe7786o h"&amp;"ttps://t.co/jvga0ekIJV")</f>
        <v>In order to keep the course of the number of cases under control, the two great opportunities are measures and vaccines. We should continue to comply with the measures until you get immunity. Ending the epidemic with the vaccine. https://t.co/rvlhe7786o https://t.co/jvga0ekIJV</v>
      </c>
    </row>
    <row r="652" spans="1:5" ht="15.75" customHeight="1" x14ac:dyDescent="0.25">
      <c r="A652" s="1" t="s">
        <v>1304</v>
      </c>
      <c r="B652" s="1">
        <v>4391</v>
      </c>
      <c r="C652" s="3">
        <v>44420.725011574075</v>
      </c>
      <c r="D652" s="1" t="s">
        <v>1305</v>
      </c>
      <c r="E652" s="4" t="str">
        <f ca="1">IFERROR(__xludf.DUMMYFUNCTION("GOOGLETRANSLATE(A652 , ""tr"" , ""en"")"),"Today, the newly appointed to the Ministry of National Education Prof. Dr. I had a visit to Mahmut Özer in your visit to our visit. We will work hard to give great services together. I wish our teacher. https://t.co/rtbllj7cpu")</f>
        <v>Today, the newly appointed to the Ministry of National Education Prof. Dr. I had a visit to Mahmut Özer in your visit to our visit. We will work hard to give great services together. I wish our teacher. https://t.co/rtbllj7cpu</v>
      </c>
    </row>
    <row r="653" spans="1:5" ht="15.75" customHeight="1" x14ac:dyDescent="0.25">
      <c r="A653" s="1" t="s">
        <v>1306</v>
      </c>
      <c r="B653" s="1">
        <v>2340</v>
      </c>
      <c r="C653" s="3">
        <v>44420.721805555557</v>
      </c>
      <c r="D653" s="1" t="s">
        <v>1307</v>
      </c>
      <c r="E653" s="4" t="str">
        <f ca="1">IFERROR(__xludf.DUMMYFUNCTION("GOOGLETRANSLATE(A653 , ""tr"" , ""en"")"),"We have visited the Text to the President of the Court of Text, and we've visited the gentleman in the author. I wish our new President in his task. https://t.co/bqyuyz31lh")</f>
        <v>We have visited the Text to the President of the Court of Text, and we've visited the gentleman in the author. I wish our new President in his task. https://t.co/bqyuyz31lh</v>
      </c>
    </row>
    <row r="654" spans="1:5" ht="15.75" customHeight="1" x14ac:dyDescent="0.25">
      <c r="A654" s="1" t="s">
        <v>1308</v>
      </c>
      <c r="B654" s="1">
        <v>3383</v>
      </c>
      <c r="C654" s="3">
        <v>44420.716585648152</v>
      </c>
      <c r="D654" s="1" t="s">
        <v>1309</v>
      </c>
      <c r="E654" s="4" t="str">
        <f ca="1">IFERROR(__xludf.DUMMYFUNCTION("GOOGLETRANSLATE(A654 , ""tr"" , ""en"")"),"Assigned to President of Higher Education Council Dr. Erol Özvar I have visited our teacher in the office. I'm sure our teacher will offer great services to our higher education camiazes. I wish them self-opportunities and muvafufens. https://t.co/wrcgzzc"&amp;"ccb")</f>
        <v>Assigned to President of Higher Education Council Dr. Erol Özvar I have visited our teacher in the office. I'm sure our teacher will offer great services to our higher education camiazes. I wish them self-opportunities and muvafufens. https://t.co/wrcgzzcccb</v>
      </c>
    </row>
    <row r="655" spans="1:5" ht="15.75" customHeight="1" x14ac:dyDescent="0.25">
      <c r="A655" s="1" t="s">
        <v>1310</v>
      </c>
      <c r="B655" s="1">
        <v>2804</v>
      </c>
      <c r="C655" s="3">
        <v>44420.666388888887</v>
      </c>
      <c r="D655" s="1" t="s">
        <v>1311</v>
      </c>
      <c r="E655" s="4" t="str">
        <f ca="1">IFERROR(__xludf.DUMMYFUNCTION("GOOGLETRANSLATE(A655 , ""tr"" , ""en"")"),"Umke Teams and Emergency Health Services We are in the Western Black Sea provinces where there is a flood disaster last night. Mission consciousness and voluntary power overcoming disasters come. https://t.co/mmagxxaw0a")</f>
        <v>Umke Teams and Emergency Health Services We are in the Western Black Sea provinces where there is a flood disaster last night. Mission consciousness and voluntary power overcoming disasters come. https://t.co/mmagxxaw0a</v>
      </c>
    </row>
    <row r="656" spans="1:5" ht="15.75" customHeight="1" x14ac:dyDescent="0.25">
      <c r="A656" s="1" t="s">
        <v>1312</v>
      </c>
      <c r="B656" s="1">
        <v>2659</v>
      </c>
      <c r="C656" s="3">
        <v>44420.547048611108</v>
      </c>
      <c r="D656" s="1" t="s">
        <v>1313</v>
      </c>
      <c r="E656" s="4" t="str">
        <f ca="1">IFERROR(__xludf.DUMMYFUNCTION("GOOGLETRANSLATE(A656 , ""tr"" , ""en"")"),"The number of cases in a final week is the most increasing provinces; Rize, Batman, Diyarbakir, Artvin and Bingöl. The number of cases will fall as the number of at least two dose of overdoses increases. Make your vaccination without time. https://t.co/fd"&amp;"zhpbf2nm")</f>
        <v>The number of cases in a final week is the most increasing provinces; Rize, Batman, Diyarbakir, Artvin and Bingöl. The number of cases will fall as the number of at least two dose of overdoses increases. Make your vaccination without time. https://t.co/fdzhpbf2nm</v>
      </c>
    </row>
    <row r="657" spans="1:5" ht="15.75" customHeight="1" x14ac:dyDescent="0.25">
      <c r="A657" s="1" t="s">
        <v>1314</v>
      </c>
      <c r="B657" s="1">
        <v>3088</v>
      </c>
      <c r="C657" s="3">
        <v>44420.541944444441</v>
      </c>
      <c r="D657" s="1" t="s">
        <v>1315</v>
      </c>
      <c r="E657" s="4" t="str">
        <f ca="1">IFERROR(__xludf.DUMMYFUNCTION("GOOGLETRANSLATE(A657 , ""tr"" , ""en"")"),"In our provinces, you can see the current version of the incidence map that shows a total number of considers who correspond to 100,000 population. As the number of at least two dose vaccines increases, the case numbers will also fall. https://t.co/5xv1qa"&amp;"Iuynn")</f>
        <v>In our provinces, you can see the current version of the incidence map that shows a total number of considers who correspond to 100,000 population. As the number of at least two dose vaccines increases, the case numbers will also fall. https://t.co/5xv1qaIuynn</v>
      </c>
    </row>
    <row r="658" spans="1:5" ht="15.75" customHeight="1" x14ac:dyDescent="0.25">
      <c r="A658" s="1" t="s">
        <v>1316</v>
      </c>
      <c r="B658" s="1">
        <v>4864</v>
      </c>
      <c r="C658" s="3">
        <v>44420.536886574075</v>
      </c>
      <c r="D658" s="1" t="s">
        <v>1317</v>
      </c>
      <c r="E658" s="4" t="str">
        <f ca="1">IFERROR(__xludf.DUMMYFUNCTION("GOOGLETRANSLATE(A658 , ""tr"" , ""en"")"),"The pain lowered the high risk level to the high risk level with the first dose inoculation of 55%. Pain is between orange provinces.")</f>
        <v>The pain lowered the high risk level to the high risk level with the first dose inoculation of 55%. Pain is between orange provinces.</v>
      </c>
    </row>
    <row r="659" spans="1:5" ht="15.75" customHeight="1" x14ac:dyDescent="0.25">
      <c r="A659" s="1" t="s">
        <v>1318</v>
      </c>
      <c r="B659" s="1">
        <v>3738</v>
      </c>
      <c r="C659" s="3">
        <v>44420.53328703704</v>
      </c>
      <c r="D659" s="1" t="s">
        <v>1319</v>
      </c>
      <c r="E659" s="4" t="str">
        <f ca="1">IFERROR(__xludf.DUMMYFUNCTION("GOOGLETRANSLATE(A659 , ""tr"" , ""en"")"),"Bayburt has lowered the high risk level with the first dose inoculation of 55% to high risk level. Bayburt among the orange provinces.")</f>
        <v>Bayburt has lowered the high risk level with the first dose inoculation of 55% to high risk level. Bayburt among the orange provinces.</v>
      </c>
    </row>
    <row r="660" spans="1:5" ht="15.75" customHeight="1" x14ac:dyDescent="0.25">
      <c r="A660" s="1" t="s">
        <v>1320</v>
      </c>
      <c r="B660" s="1">
        <v>6901</v>
      </c>
      <c r="C660" s="3">
        <v>44420.530613425923</v>
      </c>
      <c r="D660" s="1" t="s">
        <v>1321</v>
      </c>
      <c r="E660" s="4" t="str">
        <f ca="1">IFERROR(__xludf.DUMMYFUNCTION("GOOGLETRANSLATE(A660 , ""tr"" , ""en"")"),"Antalya, Denizli, Tunceli and Giresun, our new provinces lasting in blue category. First dose of vaccination rates are over 75%. With these three provinces, the low-risk provincial count increased to 21.")</f>
        <v>Antalya, Denizli, Tunceli and Giresun, our new provinces lasting in blue category. First dose of vaccination rates are over 75%. With these three provinces, the low-risk provincial count increased to 21.</v>
      </c>
    </row>
    <row r="661" spans="1:5" ht="15.75" customHeight="1" x14ac:dyDescent="0.25">
      <c r="A661" s="1" t="s">
        <v>1322</v>
      </c>
      <c r="B661" s="1">
        <v>4038</v>
      </c>
      <c r="C661" s="3">
        <v>44420.527766203704</v>
      </c>
      <c r="D661" s="1" t="s">
        <v>1323</v>
      </c>
      <c r="E661" s="4" t="str">
        <f ca="1">IFERROR(__xludf.DUMMYFUNCTION("GOOGLETRANSLATE(A661 , ""tr"" , ""en"")"),"August 11: Yesterday 1 million 274 thousand 368 dose vaccines were applied. The number of the first dose of overdose is 385.519. The number of the second overdose is 698.312. The number of third overdose is 190.537. The number of those who do not have the"&amp;" first overdose yet landed in 19.070.186.")</f>
        <v>August 11: Yesterday 1 million 274 thousand 368 dose vaccines were applied. The number of the first dose of overdose is 385.519. The number of the second overdose is 698.312. The number of third overdose is 190.537. The number of those who do not have the first overdose yet landed in 19.070.186.</v>
      </c>
    </row>
    <row r="662" spans="1:5" ht="15.75" customHeight="1" x14ac:dyDescent="0.25">
      <c r="A662" s="1" t="s">
        <v>1324</v>
      </c>
      <c r="B662" s="1">
        <v>4238</v>
      </c>
      <c r="C662" s="3">
        <v>44419.900694444441</v>
      </c>
      <c r="D662" s="1" t="s">
        <v>1325</v>
      </c>
      <c r="E662" s="4" t="str">
        <f ca="1">IFERROR(__xludf.DUMMYFUNCTION("GOOGLETRANSLATE(A662 , ""tr"" , ""en"")"),"Our Science Board determined the applicable rules. We will share these studies with your Ministry of National Education and Consulting with our higher education board. Our relevant institutions will work in a complete coordination of our ministries and ex"&amp;"pect our students in schools. https://t.co/eawvf6hwlm")</f>
        <v>Our Science Board determined the applicable rules. We will share these studies with your Ministry of National Education and Consulting with our higher education board. Our relevant institutions will work in a complete coordination of our ministries and expect our students in schools. https://t.co/eawvf6hwlm</v>
      </c>
    </row>
    <row r="663" spans="1:5" ht="15.75" customHeight="1" x14ac:dyDescent="0.25">
      <c r="A663" s="1" t="s">
        <v>1326</v>
      </c>
      <c r="B663" s="1">
        <v>5254</v>
      </c>
      <c r="C663" s="3">
        <v>44419.752326388887</v>
      </c>
      <c r="D663" s="1" t="s">
        <v>1327</v>
      </c>
      <c r="E663" s="4" t="str">
        <f ca="1">IFERROR(__xludf.DUMMYFUNCTION("GOOGLETRANSLATE(A663 , ""tr"" , ""en"")"),"We have to reach our social immunity goal without opening our schools. https://t.co/paoo8emlr4")</f>
        <v>We have to reach our social immunity goal without opening our schools. https://t.co/paoo8emlr4</v>
      </c>
    </row>
    <row r="664" spans="1:5" ht="15.75" customHeight="1" x14ac:dyDescent="0.25">
      <c r="A664" s="1" t="s">
        <v>1328</v>
      </c>
      <c r="B664" s="1">
        <v>3149</v>
      </c>
      <c r="C664" s="3">
        <v>44419.748414351852</v>
      </c>
      <c r="D664" s="1" t="s">
        <v>1329</v>
      </c>
      <c r="E664" s="4" t="str">
        <f ca="1">IFERROR(__xludf.DUMMYFUNCTION("GOOGLETRANSLATE(A664 , ""tr"" , ""en"")"),"Our own vaccine is our own weapon, we shouldn't forget that. https://t.co/LC1LXUDZWI")</f>
        <v>Our own vaccine is our own weapon, we shouldn't forget that. https://t.co/LC1LXUDZWI</v>
      </c>
    </row>
    <row r="665" spans="1:5" ht="15.75" customHeight="1" x14ac:dyDescent="0.25">
      <c r="A665" s="1" t="s">
        <v>1330</v>
      </c>
      <c r="B665" s="1">
        <v>3191</v>
      </c>
      <c r="C665" s="3">
        <v>44419.744444444441</v>
      </c>
      <c r="D665" s="1" t="s">
        <v>1331</v>
      </c>
      <c r="E665" s="4" t="str">
        <f ca="1">IFERROR(__xludf.DUMMYFUNCTION("GOOGLETRANSLATE(A665 , ""tr"" , ""en"")"),"Our citizens with inactive vaccines are in our citizens with 3 dose inactive vaccines in our citizens. The closest level of protection is two dose inactive vaccines and 3. In our citizens with MRNA vaccination. https://t.co/e5vfkwxozb")</f>
        <v>Our citizens with inactive vaccines are in our citizens with 3 dose inactive vaccines in our citizens. The closest level of protection is two dose inactive vaccines and 3. In our citizens with MRNA vaccination. https://t.co/e5vfkwxozb</v>
      </c>
    </row>
    <row r="666" spans="1:5" ht="15.75" customHeight="1" x14ac:dyDescent="0.25">
      <c r="A666" s="1" t="s">
        <v>1332</v>
      </c>
      <c r="B666" s="1">
        <v>11613</v>
      </c>
      <c r="C666" s="3">
        <v>44419.73715277778</v>
      </c>
      <c r="D666" s="1" t="s">
        <v>1333</v>
      </c>
      <c r="E666" s="4" t="str">
        <f ca="1">IFERROR(__xludf.DUMMYFUNCTION("GOOGLETRANSLATE(A666 , ""tr"" , ""en"")"),"Our vaccine program was an encouragement and preference to date, no longer the continuation of education and business life is a social assignment that cannot be preferable for each of our citizens. https://t.co/zoa8so7bdi")</f>
        <v>Our vaccine program was an encouragement and preference to date, no longer the continuation of education and business life is a social assignment that cannot be preferable for each of our citizens. https://t.co/zoa8so7bdi</v>
      </c>
    </row>
    <row r="667" spans="1:5" ht="15.75" customHeight="1" x14ac:dyDescent="0.25">
      <c r="A667" s="1" t="s">
        <v>1334</v>
      </c>
      <c r="B667" s="1">
        <v>10604</v>
      </c>
      <c r="C667" s="3">
        <v>44419.73170138889</v>
      </c>
      <c r="D667" s="1" t="s">
        <v>1335</v>
      </c>
      <c r="E667" s="4" t="str">
        <f ca="1">IFERROR(__xludf.DUMMYFUNCTION("GOOGLETRANSLATE(A667 , ""tr"" , ""en"")"),"We give up face-to-face training is definitely impossible. All levels will provide face-to-face training, and practical trainings will continue uninterrupted. https://t.co/u5qmorlesu")</f>
        <v>We give up face-to-face training is definitely impossible. All levels will provide face-to-face training, and practical trainings will continue uninterrupted. https://t.co/u5qmorlesu</v>
      </c>
    </row>
    <row r="668" spans="1:5" ht="15.75" customHeight="1" x14ac:dyDescent="0.25">
      <c r="A668" s="1" t="s">
        <v>1336</v>
      </c>
      <c r="B668" s="1">
        <v>4505</v>
      </c>
      <c r="C668" s="3">
        <v>44419.727083333331</v>
      </c>
      <c r="D668" s="1" t="s">
        <v>1337</v>
      </c>
      <c r="E668" s="4" t="str">
        <f ca="1">IFERROR(__xludf.DUMMYFUNCTION("GOOGLETRANSLATE(A668 , ""tr"" , ""en"")"),"There is no longer vaccine. https://t.co/y47xmk0oa3")</f>
        <v>There is no longer vaccine. https://t.co/y47xmk0oa3</v>
      </c>
    </row>
    <row r="669" spans="1:5" ht="15.75" customHeight="1" x14ac:dyDescent="0.25">
      <c r="A669" s="1" t="s">
        <v>1338</v>
      </c>
      <c r="B669" s="1">
        <v>5758</v>
      </c>
      <c r="C669" s="3">
        <v>44419.720451388886</v>
      </c>
      <c r="D669" s="1" t="s">
        <v>1339</v>
      </c>
      <c r="E669" s="4" t="str">
        <f ca="1">IFERROR(__xludf.DUMMYFUNCTION("GOOGLETRANSLATE(A669 , ""tr"" , ""en"")"),"There is no longer vaccine. The control of increasing cases is possible. Should not commit to our time. Make your vaccine in a moment. https://t.co/rvlhe7786o https://t.co/qjlvhrkkp6")</f>
        <v>There is no longer vaccine. The control of increasing cases is possible. Should not commit to our time. Make your vaccine in a moment. https://t.co/rvlhe7786o https://t.co/qjlvhrkkp6</v>
      </c>
    </row>
    <row r="670" spans="1:5" ht="15.75" customHeight="1" x14ac:dyDescent="0.25">
      <c r="A670" s="1" t="s">
        <v>1340</v>
      </c>
      <c r="B670" s="1">
        <v>2549</v>
      </c>
      <c r="C670" s="3">
        <v>44419.699988425928</v>
      </c>
      <c r="D670" s="1" t="s">
        <v>1341</v>
      </c>
      <c r="E670" s="4" t="str">
        <f ca="1">IFERROR(__xludf.DUMMYFUNCTION("GOOGLETRANSLATE(A670 , ""tr"" , ""en"")"),"Live: After our Science Board Meeting, our press statement:
https://t.co/vtbugxt5nz")</f>
        <v>Live: After our Science Board Meeting, our press statement:
https://t.co/vtbugxt5nz</v>
      </c>
    </row>
    <row r="671" spans="1:5" ht="15.75" customHeight="1" x14ac:dyDescent="0.25">
      <c r="A671" s="1" t="s">
        <v>1342</v>
      </c>
      <c r="B671" s="1">
        <v>3524</v>
      </c>
      <c r="C671" s="3">
        <v>44419.526574074072</v>
      </c>
      <c r="D671" s="1" t="s">
        <v>1343</v>
      </c>
      <c r="E671" s="4" t="str">
        <f ca="1">IFERROR(__xludf.DUMMYFUNCTION("GOOGLETRANSLATE(A671 , ""tr"" , ""en"")"),"3. Last night in the floods in the Western Black Sea provinces, the last situation: 1 person lost in Bartin Kumluca. 4 people were affected by the flood throughout the province. 7 112 ambulances instead of the scene, 1 Umke was assigned. In Kastamonu, 4 u"&amp;"mke in task due to the flood. Get to all of us.")</f>
        <v>3. Last night in the floods in the Western Black Sea provinces, the last situation: 1 person lost in Bartin Kumluca. 4 people were affected by the flood throughout the province. 7 112 ambulances instead of the scene, 1 Umke was assigned. In Kastamonu, 4 umke in task due to the flood. Get to all of us.</v>
      </c>
    </row>
    <row r="672" spans="1:5" ht="15.75" customHeight="1" x14ac:dyDescent="0.25">
      <c r="A672" s="1" t="s">
        <v>1344</v>
      </c>
      <c r="B672" s="1">
        <v>2715</v>
      </c>
      <c r="C672" s="3">
        <v>44419.523472222223</v>
      </c>
      <c r="D672" s="1" t="s">
        <v>1345</v>
      </c>
      <c r="E672" s="4" t="str">
        <f ca="1">IFERROR(__xludf.DUMMYFUNCTION("GOOGLETRANSLATE(A672 , ""tr"" , ""en"")"),"2. Last night in the floods in the Western Black Sea provinces: 13 people were affected in the crash in Karabuk Bahçecik. 8 has been transmitted to the hospital with ambulance. Health services were provided in their homes to 5 people who do not want to tr"&amp;"ansplant the hospital. 4 ambulance assigned.")</f>
        <v>2. Last night in the floods in the Western Black Sea provinces: 13 people were affected in the crash in Karabuk Bahçecik. 8 has been transmitted to the hospital with ambulance. Health services were provided in their homes to 5 people who do not want to transplant the hospital. 4 ambulance assigned.</v>
      </c>
    </row>
    <row r="673" spans="1:5" ht="15.75" customHeight="1" x14ac:dyDescent="0.25">
      <c r="A673" s="1" t="s">
        <v>1346</v>
      </c>
      <c r="B673" s="1">
        <v>3612</v>
      </c>
      <c r="C673" s="3">
        <v>44419.516122685185</v>
      </c>
      <c r="D673" s="1" t="s">
        <v>1347</v>
      </c>
      <c r="E673" s="4" t="str">
        <f ca="1">IFERROR(__xludf.DUMMYFUNCTION("GOOGLETRANSLATE(A673 , ""tr"" , ""en"")"),"1. Last night in the floods in the Western Black Sea provinces: Sinop Ayancık State Hospital is evacuated. 45 patients with intense care, 45 patients are transported to Sinop Atatürk State Hospital. 27 Ambulance, 6 Umke, 1 Mobile Command Tool was assigned"&amp;". Lost, no injured.")</f>
        <v>1. Last night in the floods in the Western Black Sea provinces: Sinop Ayancık State Hospital is evacuated. 45 patients with intense care, 45 patients are transported to Sinop Atatürk State Hospital. 27 Ambulance, 6 Umke, 1 Mobile Command Tool was assigned. Lost, no injured.</v>
      </c>
    </row>
    <row r="674" spans="1:5" ht="15.75" customHeight="1" x14ac:dyDescent="0.25">
      <c r="A674" s="1" t="s">
        <v>1348</v>
      </c>
      <c r="B674" s="1">
        <v>14665</v>
      </c>
      <c r="C674" s="3">
        <v>44419.507141203707</v>
      </c>
      <c r="D674" s="1" t="s">
        <v>1349</v>
      </c>
      <c r="E674" s="4" t="str">
        <f ca="1">IFERROR(__xludf.DUMMYFUNCTION("GOOGLETRANSLATE(A674 , ""tr"" , ""en"")"),"The rate of completing two dose overslay in the population of 18 years and older has over 50%.")</f>
        <v>The rate of completing two dose overslay in the population of 18 years and older has over 50%.</v>
      </c>
    </row>
    <row r="675" spans="1:5" ht="15.75" customHeight="1" x14ac:dyDescent="0.25">
      <c r="A675" s="1" t="s">
        <v>1350</v>
      </c>
      <c r="B675" s="1">
        <v>13168</v>
      </c>
      <c r="C675" s="3">
        <v>44419.484722222223</v>
      </c>
      <c r="D675" s="1" t="s">
        <v>1351</v>
      </c>
      <c r="E675" s="4" t="str">
        <f ca="1">IFERROR(__xludf.DUMMYFUNCTION("GOOGLETRANSLATE(A675 , ""tr"" , ""en"")"),"The number of vaccines applied against Covid-19 epidemic has passed 80 million.")</f>
        <v>The number of vaccines applied against Covid-19 epidemic has passed 80 million.</v>
      </c>
    </row>
    <row r="676" spans="1:5" ht="15.75" customHeight="1" x14ac:dyDescent="0.25">
      <c r="A676" s="1" t="s">
        <v>1352</v>
      </c>
      <c r="B676" s="1">
        <v>7599</v>
      </c>
      <c r="C676" s="3">
        <v>44418.885150462964</v>
      </c>
      <c r="D676" s="1" t="s">
        <v>1353</v>
      </c>
      <c r="E676" s="4" t="str">
        <f ca="1">IFERROR(__xludf.DUMMYFUNCTION("GOOGLETRANSLATE(A676 , ""tr"" , ""en"")"),"We're not less today!
The total number of dose is 1.434.181.
410,098 People decided and became the first overdose. 812.852 The 2nd dose of 211,231 people had the overdose of 211,231 in the course of age and chronic disease. Let's be even more tomorrow.")</f>
        <v>We're not less today!
The total number of dose is 1.434.181.
410,098 People decided and became the first overdose. 812.852 The 2nd dose of 211,231 people had the overdose of 211,231 in the course of age and chronic disease. Let's be even more tomorrow.</v>
      </c>
    </row>
    <row r="677" spans="1:5" ht="15.75" customHeight="1" x14ac:dyDescent="0.25">
      <c r="A677" s="1" t="s">
        <v>1354</v>
      </c>
      <c r="B677" s="1">
        <v>6947</v>
      </c>
      <c r="C677" s="3">
        <v>44418.856273148151</v>
      </c>
      <c r="D677" s="1" t="s">
        <v>1355</v>
      </c>
      <c r="E677" s="4" t="str">
        <f ca="1">IFERROR(__xludf.DUMMYFUNCTION("GOOGLETRANSLATE(A677 , ""tr"" , ""en"")"),"Our low-risk provincial count has reached 17. We are approaching the provincial conclusion. Target is a blue map against Covid-19! Let's accelerate the process of community immunity by making the first dose vaccines. 64 love to our city.")</f>
        <v>Our low-risk provincial count has reached 17. We are approaching the provincial conclusion. Target is a blue map against Covid-19! Let's accelerate the process of community immunity by making the first dose vaccines. 64 love to our city.</v>
      </c>
    </row>
    <row r="678" spans="1:5" ht="15.75" customHeight="1" x14ac:dyDescent="0.25">
      <c r="A678" s="1" t="s">
        <v>1356</v>
      </c>
      <c r="B678" s="1">
        <v>6551</v>
      </c>
      <c r="C678" s="3">
        <v>44418.824629629627</v>
      </c>
      <c r="D678" s="1" t="s">
        <v>1357</v>
      </c>
      <c r="E678" s="4" t="str">
        <f ca="1">IFERROR(__xludf.DUMMYFUNCTION("GOOGLETRANSLATE(A678 , ""tr"" , ""en"")"),"In Sivas and Adana, the rate of at least one dose of the population of 18 years and older is above 65%. The color of these two provinces on the risk map of Covid-19 is yellow instead of orange. We would like to see the high risk level to the Middle Risk l"&amp;"evel with Sivas with the Map of Adana in a moment.")</f>
        <v>In Sivas and Adana, the rate of at least one dose of the population of 18 years and older is above 65%. The color of these two provinces on the risk map of Covid-19 is yellow instead of orange. We would like to see the high risk level to the Middle Risk level with Sivas with the Map of Adana in a moment.</v>
      </c>
    </row>
    <row r="679" spans="1:5" ht="15.75" customHeight="1" x14ac:dyDescent="0.25">
      <c r="A679" s="1" t="s">
        <v>1358</v>
      </c>
      <c r="B679" s="1">
        <v>9978</v>
      </c>
      <c r="C679" s="3">
        <v>44418.812638888892</v>
      </c>
      <c r="D679" s="1" t="s">
        <v>1359</v>
      </c>
      <c r="E679" s="4" t="str">
        <f ca="1">IFERROR(__xludf.DUMMYFUNCTION("GOOGLETRANSLATE(A679 , ""tr"" , ""en"")"),"The Bartin and Burdur are blue too. The ratio of at least one dose of vaccines in the population of 18 years and older has been above 75% in these two provinces. We celebrate their residents. Let's be azure by increasing the second overdose vaccines.")</f>
        <v>The Bartin and Burdur are blue too. The ratio of at least one dose of vaccines in the population of 18 years and older has been above 75% in these two provinces. We celebrate their residents. Let's be azure by increasing the second overdose vaccines.</v>
      </c>
    </row>
    <row r="680" spans="1:5" ht="15.75" customHeight="1" x14ac:dyDescent="0.25">
      <c r="A680" s="1" t="s">
        <v>1360</v>
      </c>
      <c r="B680" s="1">
        <v>6202</v>
      </c>
      <c r="C680" s="3">
        <v>44418.787928240738</v>
      </c>
      <c r="D680" s="1" t="s">
        <v>1361</v>
      </c>
      <c r="E680" s="4" t="str">
        <f ca="1">IFERROR(__xludf.DUMMYFUNCTION("GOOGLETRANSLATE(A680 , ""tr"" , ""en"")"),"We have to keep the increase in the number of cases under control. Imprudence without immunity with vaccination results in vicious cycle. Be vaccination. Follow the measures. https://t.co/rvlhe7786o https://t.co/6wc9lkibqa")</f>
        <v>We have to keep the increase in the number of cases under control. Imprudence without immunity with vaccination results in vicious cycle. Be vaccination. Follow the measures. https://t.co/rvlhe7786o https://t.co/6wc9lkibqa</v>
      </c>
    </row>
    <row r="681" spans="1:5" ht="15.75" customHeight="1" x14ac:dyDescent="0.25">
      <c r="A681" s="1" t="s">
        <v>1362</v>
      </c>
      <c r="B681" s="1">
        <v>4987</v>
      </c>
      <c r="C681" s="3">
        <v>44418.650613425925</v>
      </c>
      <c r="D681" s="1" t="s">
        <v>1363</v>
      </c>
      <c r="E681" s="4" t="str">
        <f ca="1">IFERROR(__xludf.DUMMYFUNCTION("GOOGLETRANSLATE(A681 , ""tr"" , ""en"")"),"""The 1 millionth vaccine was us?"" Ali Haydar Polat's vaccine in the Sekin City Hospital of the Elâzak Fethi Sekin city hospital was 1 millionth of the day. In 15.14, the vaccine is Leyla has applied Güngör. He was very glad to have 1 million vaccines to"&amp;" have been made up to 1 millionth vaccination. That's it! https://t.co/1t4e0re57b")</f>
        <v>"The 1 millionth vaccine was us?" Ali Haydar Polat's vaccine in the Sekin City Hospital of the Elâzak Fethi Sekin city hospital was 1 millionth of the day. In 15.14, the vaccine is Leyla has applied Güngör. He was very glad to have 1 million vaccines to have been made up to 1 millionth vaccination. That's it! https://t.co/1t4e0re57b</v>
      </c>
    </row>
    <row r="682" spans="1:5" ht="15.75" customHeight="1" x14ac:dyDescent="0.25">
      <c r="A682" s="1" t="s">
        <v>1364</v>
      </c>
      <c r="B682" s="1">
        <v>7218</v>
      </c>
      <c r="C682" s="3">
        <v>44418.61959490741</v>
      </c>
      <c r="D682" s="1" t="s">
        <v>1365</v>
      </c>
      <c r="E682" s="4" t="str">
        <f ca="1">IFERROR(__xludf.DUMMYFUNCTION("GOOGLETRANSLATE(A682 , ""tr"" , ""en"")"),"The number of the first overdose has passed 42 million. As 62 million years of age and older, we have two-thirds implementing the decision to protect our health! Let's have the second dose on time. Let's take action if we have no vaccination. Essentiality"&amp;" for health.")</f>
        <v>The number of the first overdose has passed 42 million. As 62 million years of age and older, we have two-thirds implementing the decision to protect our health! Let's have the second dose on time. Let's take action if we have no vaccination. Essentiality for health.</v>
      </c>
    </row>
    <row r="683" spans="1:5" ht="15.75" customHeight="1" x14ac:dyDescent="0.25">
      <c r="A683" s="1" t="s">
        <v>1366</v>
      </c>
      <c r="B683" s="1">
        <v>11602</v>
      </c>
      <c r="C683" s="3">
        <v>44418.597662037035</v>
      </c>
      <c r="D683" s="1" t="s">
        <v>1367</v>
      </c>
      <c r="E683" s="4" t="str">
        <f ca="1">IFERROR(__xludf.DUMMYFUNCTION("GOOGLETRANSLATE(A683 , ""tr"" , ""en"")"),"The number of two dose of overdoses has reached 30 million. As 62 million years of age and older, we are in halfway, we have applied the decision to protect our health with double dose vaccine! Those with the first dose are not put on the second. Have no "&amp;"vaccines to take action. Essentiality for health.")</f>
        <v>The number of two dose of overdoses has reached 30 million. As 62 million years of age and older, we are in halfway, we have applied the decision to protect our health with double dose vaccine! Those with the first dose are not put on the second. Have no vaccines to take action. Essentiality for health.</v>
      </c>
    </row>
    <row r="684" spans="1:5" ht="15.75" customHeight="1" x14ac:dyDescent="0.25">
      <c r="A684" s="1" t="s">
        <v>1368</v>
      </c>
      <c r="B684" s="1">
        <v>12571</v>
      </c>
      <c r="C684" s="3">
        <v>44417.919039351851</v>
      </c>
      <c r="D684" s="1" t="s">
        <v>1369</v>
      </c>
      <c r="E684" s="4" t="str">
        <f ca="1">IFERROR(__xludf.DUMMYFUNCTION("GOOGLETRANSLATE(A684 , ""tr"" , ""en"")"),"We're Third Today! In the last 24 hours, 1 million 508 thousand 939 dose Covid-19 vaccine was held. August 9 is the third in the rankings of the days we are in vaccination performance. 1.582.232 Catching the daily record, the daily record, it depends on t"&amp;"he speed of deciding a little bit of the vaccine. We are ready tomorrow!")</f>
        <v>We're Third Today! In the last 24 hours, 1 million 508 thousand 939 dose Covid-19 vaccine was held. August 9 is the third in the rankings of the days we are in vaccination performance. 1.582.232 Catching the daily record, the daily record, it depends on the speed of deciding a little bit of the vaccine. We are ready tomorrow!</v>
      </c>
    </row>
    <row r="685" spans="1:5" ht="15.75" customHeight="1" x14ac:dyDescent="0.25">
      <c r="A685" s="1" t="s">
        <v>1370</v>
      </c>
      <c r="B685" s="1">
        <v>4175</v>
      </c>
      <c r="C685" s="3">
        <v>44417.887974537036</v>
      </c>
      <c r="D685" s="1" t="s">
        <v>1371</v>
      </c>
      <c r="E685" s="4" t="str">
        <f ca="1">IFERROR(__xludf.DUMMYFUNCTION("GOOGLETRANSLATE(A685 , ""tr"" , ""en"")"),"""Government of courage gains the lion. I invite everyone to the vaccine. I've seen the benefit. "" 96-year-old Hüseyin is calling to you and 84 million: https://t.co/2O8GIOOSSL")</f>
        <v>"Government of courage gains the lion. I invite everyone to the vaccine. I've seen the benefit. " 96-year-old Hüseyin is calling to you and 84 million: https://t.co/2O8GIOOSSL</v>
      </c>
    </row>
    <row r="686" spans="1:5" ht="15.75" customHeight="1" x14ac:dyDescent="0.25">
      <c r="A686" s="1" t="s">
        <v>1372</v>
      </c>
      <c r="B686" s="1">
        <v>9807</v>
      </c>
      <c r="C686" s="3">
        <v>44417.766435185185</v>
      </c>
      <c r="D686" s="1" t="s">
        <v>1373</v>
      </c>
      <c r="E686" s="4" t="str">
        <f ca="1">IFERROR(__xludf.DUMMYFUNCTION("GOOGLETRANSLATE(A686 , ""tr"" , ""en"")"),"The Army showed the common sense of over 75% against Covid-19. The new color is blue in our Map in the rate of vaccination that reduced the risk. All coastline provincials should turn the color to blue. (Doesn't matter tons. The Black Sea blue also fits u"&amp;"s too.)")</f>
        <v>The Army showed the common sense of over 75% against Covid-19. The new color is blue in our Map in the rate of vaccination that reduced the risk. All coastline provincials should turn the color to blue. (Doesn't matter tons. The Black Sea blue also fits us too.)</v>
      </c>
    </row>
    <row r="687" spans="1:5" ht="15.75" customHeight="1" x14ac:dyDescent="0.25">
      <c r="A687" s="1" t="s">
        <v>1374</v>
      </c>
      <c r="B687" s="1">
        <v>10079</v>
      </c>
      <c r="C687" s="3">
        <v>44417.738726851851</v>
      </c>
      <c r="D687" s="1" t="s">
        <v>1375</v>
      </c>
      <c r="E687" s="4" t="str">
        <f ca="1">IFERROR(__xludf.DUMMYFUNCTION("GOOGLETRANSLATE(A687 , ""tr"" , ""en"")"),"Ankara is now at the rate of vaccination exceeding 75% against Covid-19. The new color in our map is blue. Bolu, Çankırı, Kırıkkale, Kırşehir, Aksaray and Konya) should take an example of the application speed as the decision to become the capital of the "&amp;"capital.")</f>
        <v>Ankara is now at the rate of vaccination exceeding 75% against Covid-19. The new color in our map is blue. Bolu, Çankırı, Kırıkkale, Kırşehir, Aksaray and Konya) should take an example of the application speed as the decision to become the capital of the capital.</v>
      </c>
    </row>
    <row r="688" spans="1:5" ht="15.75" customHeight="1" x14ac:dyDescent="0.25">
      <c r="A688" s="1" t="s">
        <v>1376</v>
      </c>
      <c r="B688" s="1">
        <v>5125</v>
      </c>
      <c r="C688" s="3">
        <v>44417.700601851851</v>
      </c>
      <c r="D688" s="1" t="s">
        <v>1377</v>
      </c>
      <c r="E688" s="4" t="str">
        <f ca="1">IFERROR(__xludf.DUMMYFUNCTION("GOOGLETRANSLATE(A688 , ""tr"" , ""en"")"),"Hakkâri is between 13 provinces against Covid-19 with the rate of vaccination. The rate is low, Pain, Mus, Bingöl, Bitlis, Diyarbakır, Şanlıurfa, Mardin, Batman, Siirt, Hakkâri's vaccination decision should be examples of vaccination. With Van, 75% of the"&amp;" Şırnak are invited to the news.")</f>
        <v>Hakkâri is between 13 provinces against Covid-19 with the rate of vaccination. The rate is low, Pain, Mus, Bingöl, Bitlis, Diyarbakır, Şanlıurfa, Mardin, Batman, Siirt, Hakkâri's vaccination decision should be examples of vaccination. With Van, 75% of the Şırnak are invited to the news.</v>
      </c>
    </row>
    <row r="689" spans="1:5" ht="15.75" customHeight="1" x14ac:dyDescent="0.25">
      <c r="A689" s="1" t="s">
        <v>1378</v>
      </c>
      <c r="B689" s="1">
        <v>5274</v>
      </c>
      <c r="C689" s="3">
        <v>44417.694398148145</v>
      </c>
      <c r="D689" s="1" t="s">
        <v>1379</v>
      </c>
      <c r="E689" s="4" t="str">
        <f ca="1">IFERROR(__xludf.DUMMYFUNCTION("GOOGLETRANSLATE(A689 , ""tr"" , ""en"")"),"The rate of increase in the number of cases is to stable and decrease the number of cases, the next 10 days is very important. We should obey the measures and do not neglect to be vaccinated. https://t.co/7wdz2ssc4j https://t.co/3ujcfq6es9")</f>
        <v>The rate of increase in the number of cases is to stable and decrease the number of cases, the next 10 days is very important. We should obey the measures and do not neglect to be vaccinated. https://t.co/7wdz2ssc4j https://t.co/3ujcfq6es9</v>
      </c>
    </row>
    <row r="690" spans="1:5" ht="15.75" customHeight="1" x14ac:dyDescent="0.25">
      <c r="A690" s="1" t="s">
        <v>1380</v>
      </c>
      <c r="B690" s="1">
        <v>13660</v>
      </c>
      <c r="C690" s="3">
        <v>44417.674525462964</v>
      </c>
      <c r="D690" s="1" t="s">
        <v>1381</v>
      </c>
      <c r="E690" s="4" t="str">
        <f ca="1">IFERROR(__xludf.DUMMYFUNCTION("GOOGLETRANSLATE(A690 , ""tr"" , ""en"")"),"1 millionth Covid-19 vaccine shows 15.07 o'clock. Turkey returns to normal in vaccination. The decision to be vaccination was accelerated.")</f>
        <v>1 millionth Covid-19 vaccine shows 15.07 o'clock. Turkey returns to normal in vaccination. The decision to be vaccination was accelerated.</v>
      </c>
    </row>
    <row r="691" spans="1:5" ht="15.75" customHeight="1" x14ac:dyDescent="0.25">
      <c r="A691" s="1" t="s">
        <v>1382</v>
      </c>
      <c r="B691" s="1">
        <v>6072</v>
      </c>
      <c r="C691" s="3">
        <v>44417.596597222226</v>
      </c>
      <c r="D691" s="1" t="s">
        <v>1383</v>
      </c>
      <c r="E691" s="4" t="str">
        <f ca="1">IFERROR(__xludf.DUMMYFUNCTION("GOOGLETRANSLATE(A691 , ""tr"" , ""en"")"),"Aybüke nurse is correct. You have made 1 millionth vaccination today. According to our records, our citizens who made vaccination is Buzing Uşar, 42 years old. BUCA Greetings to family physician employees 126. https://t.co/aduj5tun7z")</f>
        <v>Aybüke nurse is correct. You have made 1 millionth vaccination today. According to our records, our citizens who made vaccination is Buzing Uşar, 42 years old. BUCA Greetings to family physician employees 126. https://t.co/aduj5tun7z</v>
      </c>
    </row>
    <row r="692" spans="1:5" ht="15.75" customHeight="1" x14ac:dyDescent="0.25">
      <c r="A692" s="1" t="s">
        <v>1384</v>
      </c>
      <c r="B692" s="1">
        <v>4805</v>
      </c>
      <c r="C692" s="3">
        <v>44417.526678240742</v>
      </c>
      <c r="D692" s="1" t="s">
        <v>1385</v>
      </c>
      <c r="E692" s="4" t="str">
        <f ca="1">IFERROR(__xludf.DUMMYFUNCTION("GOOGLETRANSLATE(A692 , ""tr"" , ""en"")"),"From our Old Health Ministers Prof. Dr. Yaşar has left our erylazing call. In Erzurum Atatürk University, our teacher with many years of faculty members and four-term pain deputies were of the largest of the region. I wish his condolences to the mercy, lo"&amp;"vers from Allah.")</f>
        <v>From our Old Health Ministers Prof. Dr. Yaşar has left our erylazing call. In Erzurum Atatürk University, our teacher with many years of faculty members and four-term pain deputies were of the largest of the region. I wish his condolences to the mercy, lovers from Allah.</v>
      </c>
    </row>
    <row r="693" spans="1:5" ht="15.75" customHeight="1" x14ac:dyDescent="0.25">
      <c r="A693" s="1" t="s">
        <v>1386</v>
      </c>
      <c r="B693" s="1">
        <v>4271</v>
      </c>
      <c r="C693" s="3">
        <v>44417.490960648145</v>
      </c>
      <c r="D693" s="1" t="s">
        <v>1387</v>
      </c>
      <c r="E693" s="4" t="str">
        <f ca="1">IFERROR(__xludf.DUMMYFUNCTION("GOOGLETRANSLATE(A693 , ""tr"" , ""en"")"),"From the Hakki Vaccine Team, Melike et al. they were saying. I am working in the morning at the evening I would like to thank our teams that provide over 75% vaccination success. https://t.co/yxz4q5tqzm")</f>
        <v>From the Hakki Vaccine Team, Melike et al. they were saying. I am working in the morning at the evening I would like to thank our teams that provide over 75% vaccination success. https://t.co/yxz4q5tqzm</v>
      </c>
    </row>
    <row r="694" spans="1:5" ht="15.75" customHeight="1" x14ac:dyDescent="0.25">
      <c r="A694" s="1" t="s">
        <v>1388</v>
      </c>
      <c r="B694" s="1">
        <v>9026</v>
      </c>
      <c r="C694" s="3">
        <v>44417.486145833333</v>
      </c>
      <c r="D694" s="1" t="s">
        <v>1389</v>
      </c>
      <c r="E694" s="4" t="str">
        <f ca="1">IFERROR(__xludf.DUMMYFUNCTION("GOOGLETRANSLATE(A694 , ""tr"" , ""en"")"),"The Hakkâri entered the low-risk provinces on the Covid-19 risk map with the inoculation ratio above 75%! I would like to thank the Hakkâri people who decided by taking information on the vaccination from our experts in the field, as we host our teams lik"&amp;"e guests.")</f>
        <v>The Hakkâri entered the low-risk provinces on the Covid-19 risk map with the inoculation ratio above 75%! I would like to thank the Hakkâri people who decided by taking information on the vaccination from our experts in the field, as we host our teams like guests.</v>
      </c>
    </row>
    <row r="695" spans="1:5" ht="15.75" customHeight="1" x14ac:dyDescent="0.25">
      <c r="A695" s="1" t="s">
        <v>1390</v>
      </c>
      <c r="B695" s="1">
        <v>12409</v>
      </c>
      <c r="C695" s="3">
        <v>44416.826608796298</v>
      </c>
      <c r="D695" s="1" t="s">
        <v>1391</v>
      </c>
      <c r="E695" s="4" t="str">
        <f ca="1">IFERROR(__xludf.DUMMYFUNCTION("GOOGLETRANSLATE(A695 , ""tr"" , ""en"")"),"Hakkâri risen at the rate of vaccination, only one week, 40th ordinary 13th. With the vaccines to do tomorrow, we expect to switch to the low-risk provincial category of Covid-19 on the risk map of the risk. A sample should be taken in the race of communi"&amp;"ty immunity to the epidemic!")</f>
        <v>Hakkâri risen at the rate of vaccination, only one week, 40th ordinary 13th. With the vaccines to do tomorrow, we expect to switch to the low-risk provincial category of Covid-19 on the risk map of the risk. A sample should be taken in the race of community immunity to the epidemic!</v>
      </c>
    </row>
    <row r="696" spans="1:5" ht="15.75" customHeight="1" x14ac:dyDescent="0.25">
      <c r="A696" s="1" t="s">
        <v>1392</v>
      </c>
      <c r="B696" s="1">
        <v>8141</v>
      </c>
      <c r="C696" s="3">
        <v>44416.684733796297</v>
      </c>
      <c r="D696" s="1" t="s">
        <v>1393</v>
      </c>
      <c r="E696" s="4" t="str">
        <f ca="1">IFERROR(__xludf.DUMMYFUNCTION("GOOGLETRANSLATE(A696 , ""tr"" , ""en"")"),"Vaccines our most powerful weapon. However with the condition of completing at least two dose. Be your vaccine and follow the measures until the immunity is obtained. We cannot achieve the desired result without the vaccination without taking measures. ht"&amp;"tps://t.co/rvlhe7786o https://t.co/7wvn6cunro")</f>
        <v>Vaccines our most powerful weapon. However with the condition of completing at least two dose. Be your vaccine and follow the measures until the immunity is obtained. We cannot achieve the desired result without the vaccination without taking measures. https://t.co/rvlhe7786o https://t.co/7wvn6cunro</v>
      </c>
    </row>
    <row r="697" spans="1:5" ht="15.75" customHeight="1" x14ac:dyDescent="0.25">
      <c r="A697" s="1" t="s">
        <v>1394</v>
      </c>
      <c r="B697" s="1">
        <v>8097</v>
      </c>
      <c r="C697" s="3">
        <v>44415.798206018517</v>
      </c>
      <c r="D697" s="1" t="s">
        <v>1395</v>
      </c>
      <c r="E697" s="4" t="str">
        <f ca="1">IFERROR(__xludf.DUMMYFUNCTION("GOOGLETRANSLATE(A697 , ""tr"" , ""en"")"),"""The day in which the vaccine has come to go!"" Our 30-year-old patient is the Zekeriya Atabey, from postponing the vaccine. Although he tried to protect itself, he could not prevent caught in Covid-19. Professor Dr. Under treatment in the Feriha self-em"&amp;"ergency hospital. Says the hardest days of my life. Please listen. https://t.co/sqd5j1f99p")</f>
        <v>"The day in which the vaccine has come to go!" Our 30-year-old patient is the Zekeriya Atabey, from postponing the vaccine. Although he tried to protect itself, he could not prevent caught in Covid-19. Professor Dr. Under treatment in the Feriha self-emergency hospital. Says the hardest days of my life. Please listen. https://t.co/sqd5j1f99p</v>
      </c>
    </row>
    <row r="698" spans="1:5" ht="15.75" customHeight="1" x14ac:dyDescent="0.25">
      <c r="A698" s="1" t="s">
        <v>1396</v>
      </c>
      <c r="B698" s="1">
        <v>11396</v>
      </c>
      <c r="C698" s="3">
        <v>44415.792615740742</v>
      </c>
      <c r="D698" s="1" t="s">
        <v>1397</v>
      </c>
      <c r="E698" s="4" t="str">
        <f ca="1">IFERROR(__xludf.DUMMYFUNCTION("GOOGLETRANSLATE(A698 , ""tr"" , ""en"")"),"Our Interior Minister Süleyman Siller's uncle Hüseyin noble has left this world. I wish her condolence and patience to the noy family, especially from Allah. Hussein's spaces of my uncle be heaven.")</f>
        <v>Our Interior Minister Süleyman Siller's uncle Hüseyin noble has left this world. I wish her condolence and patience to the noy family, especially from Allah. Hussein's spaces of my uncle be heaven.</v>
      </c>
    </row>
    <row r="699" spans="1:5" ht="15.75" customHeight="1" x14ac:dyDescent="0.25">
      <c r="A699" s="1" t="s">
        <v>1398</v>
      </c>
      <c r="B699" s="1">
        <v>6387</v>
      </c>
      <c r="C699" s="3">
        <v>44415.763831018521</v>
      </c>
      <c r="D699" s="1" t="s">
        <v>1399</v>
      </c>
      <c r="E699" s="4" t="str">
        <f ca="1">IFERROR(__xludf.DUMMYFUNCTION("GOOGLETRANSLATE(A699 , ""tr"" , ""en"")"),"Although the number of cases is the weekend, it may be a problem. In order to get the way it has to be vaccine and we should comply with the measures until it is immune. https://t.co/rvlhe7786o https://t.co/e0ousk1opz")</f>
        <v>Although the number of cases is the weekend, it may be a problem. In order to get the way it has to be vaccine and we should comply with the measures until it is immune. https://t.co/rvlhe7786o https://t.co/e0ousk1opz</v>
      </c>
    </row>
    <row r="700" spans="1:5" ht="15.75" customHeight="1" x14ac:dyDescent="0.25">
      <c r="A700" s="1" t="s">
        <v>1400</v>
      </c>
      <c r="B700" s="1">
        <v>11054</v>
      </c>
      <c r="C700" s="3">
        <v>44415.611909722225</v>
      </c>
      <c r="D700" s="1" t="s">
        <v>1401</v>
      </c>
      <c r="E700" s="4" t="str">
        <f ca="1">IFERROR(__xludf.DUMMYFUNCTION("GOOGLETRANSLATE(A700 , ""tr"" , ""en"")"),"In Tokyo Olympics, we can save our gold medal in our country and we are the pride that we have been proud to listen to our Idiklal starter to the world, we celebrate the Buse Naz Çakıroglu of the Buse Naz Çakıroglu. Don't you see the iron fists of BUSEs! "&amp;"https://t.co/uxajtlsgza")</f>
        <v>In Tokyo Olympics, we can save our gold medal in our country and we are the pride that we have been proud to listen to our Idiklal starter to the world, we celebrate the Buse Naz Çakıroglu of the Buse Naz Çakıroglu. Don't you see the iron fists of BUSEs! https://t.co/uxajtlsgza</v>
      </c>
    </row>
    <row r="701" spans="1:5" ht="15.75" customHeight="1" x14ac:dyDescent="0.25">
      <c r="A701" s="1" t="s">
        <v>1402</v>
      </c>
      <c r="B701" s="1">
        <v>4775</v>
      </c>
      <c r="C701" s="3">
        <v>44414.888124999998</v>
      </c>
      <c r="D701" s="1" t="s">
        <v>1403</v>
      </c>
      <c r="E701" s="4" t="str">
        <f ca="1">IFERROR(__xludf.DUMMYFUNCTION("GOOGLETRANSLATE(A701 , ""tr"" , ""en"")"),"Bircan affected by the fire in Alanya has gained ceylan health. Umke crews treated the problems of breathing and nutrition, cough and sound difficulty with their intervention. Ceylan with Bircan? Two goats of our beautiful people who have a human name to "&amp;"their animals! https://t.co/8eseef7cbs")</f>
        <v>Bircan affected by the fire in Alanya has gained ceylan health. Umke crews treated the problems of breathing and nutrition, cough and sound difficulty with their intervention. Ceylan with Bircan? Two goats of our beautiful people who have a human name to their animals! https://t.co/8eseef7cbs</v>
      </c>
    </row>
    <row r="702" spans="1:5" ht="15.75" customHeight="1" x14ac:dyDescent="0.25">
      <c r="A702" s="1" t="s">
        <v>1404</v>
      </c>
      <c r="B702" s="1">
        <v>13624</v>
      </c>
      <c r="C702" s="3">
        <v>44414.822233796294</v>
      </c>
      <c r="D702" s="1" t="s">
        <v>1405</v>
      </c>
      <c r="E702" s="4" t="str">
        <f ca="1">IFERROR(__xludf.DUMMYFUNCTION("GOOGLETRANSLATE(A702 , ""tr"" , ""en"")"),"Yalova replaces the first dose of over 75% in the low-risk provincial category with the rate of vaccination. Covid-19 is blue in Yalova anymore in the risk map.")</f>
        <v>Yalova replaces the first dose of over 75% in the low-risk provincial category with the rate of vaccination. Covid-19 is blue in Yalova anymore in the risk map.</v>
      </c>
    </row>
    <row r="703" spans="1:5" ht="15.75" customHeight="1" x14ac:dyDescent="0.25">
      <c r="A703" s="1" t="s">
        <v>1406</v>
      </c>
      <c r="B703" s="1">
        <v>5345</v>
      </c>
      <c r="C703" s="3">
        <v>44414.769641203704</v>
      </c>
      <c r="D703" s="1" t="s">
        <v>1407</v>
      </c>
      <c r="E703" s="4" t="str">
        <f ca="1">IFERROR(__xludf.DUMMYFUNCTION("GOOGLETRANSLATE(A703 , ""tr"" , ""en"")"),"""THANK YOU VERY MUCH."" These thanks, with health workers, to you to grow them up and to grow them. With all your heart; Your older brothers are the same place as your older ss, your son. https://t.co/jhv3a94Ieu")</f>
        <v>"THANK YOU VERY MUCH." These thanks, with health workers, to you to grow them up and to grow them. With all your heart; Your older brothers are the same place as your older ss, your son. https://t.co/jhv3a94Ieu</v>
      </c>
    </row>
    <row r="704" spans="1:5" ht="15.75" customHeight="1" x14ac:dyDescent="0.25">
      <c r="A704" s="1" t="s">
        <v>1408</v>
      </c>
      <c r="B704" s="1">
        <v>5462</v>
      </c>
      <c r="C704" s="3">
        <v>44414.7419212963</v>
      </c>
      <c r="D704" s="1" t="s">
        <v>1409</v>
      </c>
      <c r="E704" s="4" t="str">
        <f ca="1">IFERROR(__xludf.DUMMYFUNCTION("GOOGLETRANSLATE(A704 , ""tr"" , ""en"")"),"The Ministry of Health continues with health screening and psychosocial support services for citizens affected by the fire in the woodland of Antalya in Manavgat district. In the region, there are doctors and nurses as well as psychologist and social work"&amp;"ers. https://t.co/w8otfjiemm")</f>
        <v>The Ministry of Health continues with health screening and psychosocial support services for citizens affected by the fire in the woodland of Antalya in Manavgat district. In the region, there are doctors and nurses as well as psychologist and social workers. https://t.co/w8otfjiemm</v>
      </c>
    </row>
    <row r="705" spans="1:5" ht="15.75" customHeight="1" x14ac:dyDescent="0.25">
      <c r="A705" s="1" t="s">
        <v>1410</v>
      </c>
      <c r="B705" s="1">
        <v>6073</v>
      </c>
      <c r="C705" s="3">
        <v>44414.699699074074</v>
      </c>
      <c r="D705" s="1" t="s">
        <v>1411</v>
      </c>
      <c r="E705" s="4" t="str">
        <f ca="1">IFERROR(__xludf.DUMMYFUNCTION("GOOGLETRANSLATE(A705 , ""tr"" , ""en"")"),"If the increase speed of the case numbers fall at the desired level, we will be more confident. There are two ways for that; measure and vaccination. Be your vaccine. https://t.co/rvlhe7786o https://t.co/dujeo2e6u3")</f>
        <v>If the increase speed of the case numbers fall at the desired level, we will be more confident. There are two ways for that; measure and vaccination. Be your vaccine. https://t.co/rvlhe7786o https://t.co/dujeo2e6u3</v>
      </c>
    </row>
    <row r="706" spans="1:5" ht="15.75" customHeight="1" x14ac:dyDescent="0.25">
      <c r="A706" s="1" t="s">
        <v>1412</v>
      </c>
      <c r="B706" s="1">
        <v>20783</v>
      </c>
      <c r="C706" s="3">
        <v>44414.631319444445</v>
      </c>
      <c r="D706" s="1" t="s">
        <v>1413</v>
      </c>
      <c r="E706" s="4" t="str">
        <f ca="1">IFERROR(__xludf.DUMMYFUNCTION("GOOGLETRANSLATE(A706 , ""tr"" , ""en"")"),"We are now at the beginning of our duty. We will meet this frame. https://t.co/IOMHZBYITB")</f>
        <v>We are now at the beginning of our duty. We will meet this frame. https://t.co/IOMHZBYITB</v>
      </c>
    </row>
    <row r="707" spans="1:5" ht="15.75" customHeight="1" x14ac:dyDescent="0.25">
      <c r="A707" s="1" t="s">
        <v>1414</v>
      </c>
      <c r="B707" s="1">
        <v>15435</v>
      </c>
      <c r="C707" s="3">
        <v>44414.407118055555</v>
      </c>
      <c r="D707" s="1" t="s">
        <v>1415</v>
      </c>
      <c r="E707" s="4" t="str">
        <f ca="1">IFERROR(__xludf.DUMMYFUNCTION("GOOGLETRANSLATE(A707 , ""tr"" , ""en"")"),"Minister my friend SN. Ziya has left the SELÇUK task. I would like to thank our teachers with the symbol of laughingness in education and training. New assigned to the Ministry of National Education Prof. Dr. I present my superior success wishes to Mahmut"&amp;" Özer and his aids.")</f>
        <v>Minister my friend SN. Ziya has left the SELÇUK task. I would like to thank our teachers with the symbol of laughingness in education and training. New assigned to the Ministry of National Education Prof. Dr. I present my superior success wishes to Mahmut Özer and his aids.</v>
      </c>
    </row>
    <row r="708" spans="1:5" ht="15.75" customHeight="1" x14ac:dyDescent="0.25">
      <c r="A708" s="1" t="s">
        <v>1416</v>
      </c>
      <c r="B708" s="1">
        <v>7174</v>
      </c>
      <c r="C708" s="3">
        <v>44414.326655092591</v>
      </c>
      <c r="D708" s="1" t="s">
        <v>1417</v>
      </c>
      <c r="E708" s="4" t="str">
        <f ca="1">IFERROR(__xludf.DUMMYFUNCTION("GOOGLETRANSLATE(A708 , ""tr"" , ""en"")"),"75 million dose vaccines were made to Covid-19 outbreaks. Our vaccination speed is our performance high. But the number of dual dose vaccines is not enough to fight outbreaks. More importantly, the people who postpone the first dose are about 20 million 5"&amp;"70 thousand.")</f>
        <v>75 million dose vaccines were made to Covid-19 outbreaks. Our vaccination speed is our performance high. But the number of dual dose vaccines is not enough to fight outbreaks. More importantly, the people who postpone the first dose are about 20 million 570 thousand.</v>
      </c>
    </row>
    <row r="709" spans="1:5" ht="15.75" customHeight="1" x14ac:dyDescent="0.25">
      <c r="A709" s="1" t="s">
        <v>1418</v>
      </c>
      <c r="B709" s="1">
        <v>14794</v>
      </c>
      <c r="C709" s="3">
        <v>44414.313368055555</v>
      </c>
      <c r="D709" s="1" t="s">
        <v>1419</v>
      </c>
      <c r="E709" s="4" t="str">
        <f ca="1">IFERROR(__xludf.DUMMYFUNCTION("GOOGLETRANSLATE(A709 , ""tr"" , ""en"")"),"Covid-19 has been 75 million overdose vaccines against the outbreak.")</f>
        <v>Covid-19 has been 75 million overdose vaccines against the outbreak.</v>
      </c>
    </row>
    <row r="710" spans="1:5" ht="15.75" customHeight="1" x14ac:dyDescent="0.25">
      <c r="A710" s="1" t="s">
        <v>1420</v>
      </c>
      <c r="B710" s="1">
        <v>15483</v>
      </c>
      <c r="C710" s="3">
        <v>44413.698009259257</v>
      </c>
      <c r="D710" s="1" t="s">
        <v>1421</v>
      </c>
      <c r="E710" s="4" t="str">
        <f ca="1">IFERROR(__xludf.DUMMYFUNCTION("GOOGLETRANSLATE(A710 , ""tr"" , ""en"")"),"When Milas is decided to discharge the Village of Akçakaya, the Ayşe, who has been living in the village and walked in the village, was delivered by our teams to the safe area. https://t.co/y4qb2ylc7d")</f>
        <v>When Milas is decided to discharge the Village of Akçakaya, the Ayşe, who has been living in the village and walked in the village, was delivered by our teams to the safe area. https://t.co/y4qb2ylc7d</v>
      </c>
    </row>
    <row r="711" spans="1:5" ht="15.75" customHeight="1" x14ac:dyDescent="0.25">
      <c r="A711" s="1" t="s">
        <v>1422</v>
      </c>
      <c r="B711" s="1">
        <v>5499</v>
      </c>
      <c r="C711" s="3">
        <v>44413.690486111111</v>
      </c>
      <c r="D711" s="1" t="s">
        <v>1423</v>
      </c>
      <c r="E711" s="4" t="str">
        <f ca="1">IFERROR(__xludf.DUMMYFUNCTION("GOOGLETRANSLATE(A711 , ""tr"" , ""en"")"),"The increase speed must slow down to keep the increase in the number of cases in control. If we achieve this with the measure and vaccination, the control will stay. Observe the measures, make your vaccination. https://t.co/rvlhe7786o https://t.co/dinyubl"&amp;"sey")</f>
        <v>The increase speed must slow down to keep the increase in the number of cases in control. If we achieve this with the measure and vaccination, the control will stay. Observe the measures, make your vaccination. https://t.co/rvlhe7786o https://t.co/dinyublsey</v>
      </c>
    </row>
    <row r="712" spans="1:5" ht="15.75" customHeight="1" x14ac:dyDescent="0.25">
      <c r="A712" s="1" t="s">
        <v>1424</v>
      </c>
      <c r="B712" s="1">
        <v>4411</v>
      </c>
      <c r="C712" s="3">
        <v>44413.475960648146</v>
      </c>
      <c r="D712" s="1" t="s">
        <v>1425</v>
      </c>
      <c r="E712" s="4" t="str">
        <f ca="1">IFERROR(__xludf.DUMMYFUNCTION("GOOGLETRANSLATE(A712 , ""tr"" , ""en"")"),"In areas affected by fire, our citizens give our first aid kits, control the overall health status, we direct health care to our institutions. https://t.co/afIaqw5jeo")</f>
        <v>In areas affected by fire, our citizens give our first aid kits, control the overall health status, we direct health care to our institutions. https://t.co/afIaqw5jeo</v>
      </c>
    </row>
    <row r="713" spans="1:5" ht="15.75" customHeight="1" x14ac:dyDescent="0.25">
      <c r="A713" s="1" t="s">
        <v>1426</v>
      </c>
      <c r="B713" s="1">
        <v>3912</v>
      </c>
      <c r="C713" s="3">
        <v>44413.462210648147</v>
      </c>
      <c r="D713" s="1" t="s">
        <v>1427</v>
      </c>
      <c r="E713" s="4" t="str">
        <f ca="1">IFERROR(__xludf.DUMMYFUNCTION("GOOGLETRANSLATE(A713 , ""tr"" , ""en"")"),"The number of cases in a final week is the most increasing provinces; Siirt, Diyarbakir, Bingöl, Batman and Bitlis. The person who has more vaccines means to be influenced by less epidemic. Be your vaccine without losing time. https://t.co/mzmrumGIF8")</f>
        <v>The number of cases in a final week is the most increasing provinces; Siirt, Diyarbakir, Bingöl, Batman and Bitlis. The person who has more vaccines means to be influenced by less epidemic. Be your vaccine without losing time. https://t.co/mzmrumGIF8</v>
      </c>
    </row>
    <row r="714" spans="1:5" ht="15.75" customHeight="1" x14ac:dyDescent="0.25">
      <c r="A714" s="1" t="s">
        <v>1428</v>
      </c>
      <c r="B714" s="1">
        <v>6189</v>
      </c>
      <c r="C714" s="3">
        <v>44413.455775462964</v>
      </c>
      <c r="D714" s="1" t="s">
        <v>1429</v>
      </c>
      <c r="E714" s="4" t="str">
        <f ca="1">IFERROR(__xludf.DUMMYFUNCTION("GOOGLETRANSLATE(A714 , ""tr"" , ""en"")"),"In our provinces, you can see the current version of the incidence map that shows a total number of considers who correspond to 100,000 population. Our provinces with high rate of vaccination are much less affected by case increases. Be your vaccine witho"&amp;"ut losing time. https://t.co/mauwbxynk9")</f>
        <v>In our provinces, you can see the current version of the incidence map that shows a total number of considers who correspond to 100,000 population. Our provinces with high rate of vaccination are much less affected by case increases. Be your vaccine without losing time. https://t.co/mauwbxynk9</v>
      </c>
    </row>
    <row r="715" spans="1:5" ht="15.75" customHeight="1" x14ac:dyDescent="0.25">
      <c r="A715" s="1" t="s">
        <v>1430</v>
      </c>
      <c r="B715" s="1">
        <v>4052</v>
      </c>
      <c r="C715" s="3">
        <v>44412.746932870374</v>
      </c>
      <c r="D715" s="1" t="s">
        <v>1431</v>
      </c>
      <c r="E715" s="4" t="str">
        <f ca="1">IFERROR(__xludf.DUMMYFUNCTION("GOOGLETRANSLATE(A715 , ""tr"" , ""en"")"),"We have our postpone to be vaccinated. Although they take the risk today, scientists will change the thoughts of scientists, as they offer persuasive descriptions of them. Health; indecision is not favorable to contrast. Next to the whole world of humanit"&amp;"y and science does not income inaccurate. https://t.co/aokp8q8gau")</f>
        <v>We have our postpone to be vaccinated. Although they take the risk today, scientists will change the thoughts of scientists, as they offer persuasive descriptions of them. Health; indecision is not favorable to contrast. Next to the whole world of humanity and science does not income inaccurate. https://t.co/aokp8q8gau</v>
      </c>
    </row>
    <row r="716" spans="1:5" ht="15.75" customHeight="1" x14ac:dyDescent="0.25">
      <c r="A716" s="1" t="s">
        <v>1432</v>
      </c>
      <c r="B716" s="1">
        <v>20049</v>
      </c>
      <c r="C716" s="3">
        <v>44412.74386574074</v>
      </c>
      <c r="D716" s="1" t="s">
        <v>1433</v>
      </c>
      <c r="E716" s="4" t="str">
        <f ca="1">IFERROR(__xludf.DUMMYFUNCTION("GOOGLETRANSLATE(A716 , ""tr"" , ""en"")"),"HELLO AGAIN. Our biontech vaccines began to come last night. We will be delivered to the 13 million dose of dose of our vaccine until Monday. We return to our normal speed on Friday. We don't have our appointments unless there is an extraordinary situatio"&amp;"n.")</f>
        <v>HELLO AGAIN. Our biontech vaccines began to come last night. We will be delivered to the 13 million dose of dose of our vaccine until Monday. We return to our normal speed on Friday. We don't have our appointments unless there is an extraordinary situation.</v>
      </c>
    </row>
    <row r="717" spans="1:5" ht="15.75" customHeight="1" x14ac:dyDescent="0.25">
      <c r="A717" s="1" t="s">
        <v>1434</v>
      </c>
      <c r="B717" s="1">
        <v>5523</v>
      </c>
      <c r="C717" s="3">
        <v>44412.720034722224</v>
      </c>
      <c r="D717" s="1" t="s">
        <v>1435</v>
      </c>
      <c r="E717" s="4" t="str">
        <f ca="1">IFERROR(__xludf.DUMMYFUNCTION("GOOGLETRANSLATE(A717 , ""tr"" , ""en"")"),"Case numbers are very over 20 thousand limits we accept the border. We have the number of cases to lower the numbers under this limit. Be your vaccine, stay away from the crowds. https://t.co/rvlhe7786o https://t.co/aphphphjhyqw")</f>
        <v>Case numbers are very over 20 thousand limits we accept the border. We have the number of cases to lower the numbers under this limit. Be your vaccine, stay away from the crowds. https://t.co/rvlhe7786o https://t.co/aphphphjhyqw</v>
      </c>
    </row>
    <row r="718" spans="1:5" ht="15.75" customHeight="1" x14ac:dyDescent="0.25">
      <c r="A718" s="1" t="s">
        <v>1436</v>
      </c>
      <c r="B718" s="1">
        <v>3757</v>
      </c>
      <c r="C718" s="3">
        <v>44412.66479166667</v>
      </c>
      <c r="D718" s="1" t="s">
        <v>1437</v>
      </c>
      <c r="E718" s="4" t="str">
        <f ca="1">IFERROR(__xludf.DUMMYFUNCTION("GOOGLETRANSLATE(A718 , ""tr"" , ""en"")"),"Muğla. We've been discharged by completing their treatment of 450 patients. We have 10 patients in progress. We had been to 1 life loss in the disaster in the area. 61 Ambulance, 22 Umke team, 1 Mobile Command Tool, we are on site with a total of 306 heal"&amp;"th professionals.")</f>
        <v>Muğla. We've been discharged by completing their treatment of 450 patients. We have 10 patients in progress. We had been to 1 life loss in the disaster in the area. 61 Ambulance, 22 Umke team, 1 Mobile Command Tool, we are on site with a total of 306 health professionals.</v>
      </c>
    </row>
    <row r="719" spans="1:5" ht="15.75" customHeight="1" x14ac:dyDescent="0.25">
      <c r="A719" s="1" t="s">
        <v>1438</v>
      </c>
      <c r="B719" s="1">
        <v>4308</v>
      </c>
      <c r="C719" s="3">
        <v>44412.6637962963</v>
      </c>
      <c r="D719" s="1" t="s">
        <v>1439</v>
      </c>
      <c r="E719" s="4" t="str">
        <f ca="1">IFERROR(__xludf.DUMMYFUNCTION("GOOGLETRANSLATE(A719 , ""tr"" , ""en"")"),"ANTALYA. 704 We have discharged our patients by completing their treatment. We have 6 patients in progress. We had been to 7 life loss in the disaster in the region. 46 Ambulance, 17 Umke team, 1 Mobile Command Tool, we are on site with a total of 242 hea"&amp;"lth professionals.")</f>
        <v>ANTALYA. 704 We have discharged our patients by completing their treatment. We have 6 patients in progress. We had been to 7 life loss in the disaster in the region. 46 Ambulance, 17 Umke team, 1 Mobile Command Tool, we are on site with a total of 242 health professionals.</v>
      </c>
    </row>
    <row r="720" spans="1:5" ht="15.75" customHeight="1" x14ac:dyDescent="0.25">
      <c r="A720" s="1" t="s">
        <v>1440</v>
      </c>
      <c r="B720" s="1">
        <v>11202</v>
      </c>
      <c r="C720" s="3">
        <v>44412.643391203703</v>
      </c>
      <c r="D720" s="1" t="s">
        <v>1441</v>
      </c>
      <c r="E720" s="4" t="str">
        <f ca="1">IFERROR(__xludf.DUMMYFUNCTION("GOOGLETRANSLATE(A720 , ""tr"" , ""en"")"),"The Bilecik is now in the low risk category with the overnight rate of 75%. Our blue news get a lot!")</f>
        <v>The Bilecik is now in the low risk category with the overnight rate of 75%. Our blue news get a lot!</v>
      </c>
    </row>
    <row r="721" spans="1:5" ht="15.75" customHeight="1" x14ac:dyDescent="0.25">
      <c r="A721" s="1" t="s">
        <v>1442</v>
      </c>
      <c r="B721" s="1">
        <v>8257</v>
      </c>
      <c r="C721" s="3">
        <v>44412.498749999999</v>
      </c>
      <c r="D721" s="1" t="s">
        <v>1443</v>
      </c>
      <c r="E721" s="4" t="str">
        <f ca="1">IFERROR(__xludf.DUMMYFUNCTION("GOOGLETRANSLATE(A721 , ""tr"" , ""en"")"),"During the fire extinguishing studies, it is the medical intervention required to a forest hero for a forest hero that has to break the job because their eyes are uncomfortable.
Aug 3, Hours: 20.30, Marmaris https://t.co/g71qxw51lm")</f>
        <v>During the fire extinguishing studies, it is the medical intervention required to a forest hero for a forest hero that has to break the job because their eyes are uncomfortable.
Aug 3, Hours: 20.30, Marmaris https://t.co/g71qxw51lm</v>
      </c>
    </row>
    <row r="722" spans="1:5" ht="15.75" customHeight="1" x14ac:dyDescent="0.25">
      <c r="A722" s="1" t="s">
        <v>1444</v>
      </c>
      <c r="B722" s="1">
        <v>5283</v>
      </c>
      <c r="C722" s="3">
        <v>44412.426585648151</v>
      </c>
      <c r="D722" s="1" t="s">
        <v>1445</v>
      </c>
      <c r="E722" s="4" t="str">
        <f ca="1">IFERROR(__xludf.DUMMYFUNCTION("GOOGLETRANSLATE(A722 , ""tr"" , ""en"")"),"Fires for a long time extinguishing are growing in seconds. Thankuui, again glad events in seconds are also experiencing. Yesterday in Marmaris, Umke Timi instantly act for help call from the fumes.
August 3, Hours: 20.17, Marmaris https://t.co/ujycweyh73")</f>
        <v>Fires for a long time extinguishing are growing in seconds. Thankuui, again glad events in seconds are also experiencing. Yesterday in Marmaris, Umke Timi instantly act for help call from the fumes.
August 3, Hours: 20.17, Marmaris https://t.co/ujycweyh73</v>
      </c>
    </row>
    <row r="723" spans="1:5" ht="15.75" customHeight="1" x14ac:dyDescent="0.25">
      <c r="A723" s="1" t="s">
        <v>1446</v>
      </c>
      <c r="B723" s="1">
        <v>12505</v>
      </c>
      <c r="C723" s="3">
        <v>44412.292384259257</v>
      </c>
      <c r="D723" s="1" t="s">
        <v>1447</v>
      </c>
      <c r="E723" s="4" t="str">
        <f ca="1">IFERROR(__xludf.DUMMYFUNCTION("GOOGLETRANSLATE(A723 , ""tr"" , ""en"")"),"Our biggest challenge is now with fires. On the other hand, it is not difficult to get the front, also increases the number of cases in the epidemic disease. Against the circumstances surrounding us, let's do our best together. We need news to the hearts "&amp;"to sprinkle water.")</f>
        <v>Our biggest challenge is now with fires. On the other hand, it is not difficult to get the front, also increases the number of cases in the epidemic disease. Against the circumstances surrounding us, let's do our best together. We need news to the hearts to sprinkle water.</v>
      </c>
    </row>
    <row r="724" spans="1:5" ht="15.75" customHeight="1" x14ac:dyDescent="0.25">
      <c r="A724" s="1" t="s">
        <v>1448</v>
      </c>
      <c r="B724" s="1">
        <v>6130</v>
      </c>
      <c r="C724" s="3">
        <v>44411.84511574074</v>
      </c>
      <c r="D724" s="1" t="s">
        <v>1449</v>
      </c>
      <c r="E724" s="4" t="str">
        <f ca="1">IFERROR(__xludf.DUMMYFUNCTION("GOOGLETRANSLATE(A724 , ""tr"" , ""en"")"),"In Marmaris, Umke Tims reviews emergency response action plans for the possibility of extinguishing teams in progress on the steep terrain between two mountains.
August 3, Hours: 12.10 https://t.co/hcbua3yyqw")</f>
        <v>In Marmaris, Umke Tims reviews emergency response action plans for the possibility of extinguishing teams in progress on the steep terrain between two mountains.
August 3, Hours: 12.10 https://t.co/hcbua3yyqw</v>
      </c>
    </row>
    <row r="725" spans="1:5" ht="15.75" customHeight="1" x14ac:dyDescent="0.25">
      <c r="A725" s="1" t="s">
        <v>1450</v>
      </c>
      <c r="B725" s="1">
        <v>9563</v>
      </c>
      <c r="C725" s="3">
        <v>44411.795219907406</v>
      </c>
      <c r="D725" s="1" t="s">
        <v>1451</v>
      </c>
      <c r="E725" s="4" t="str">
        <f ca="1">IFERROR(__xludf.DUMMYFUNCTION("GOOGLETRANSLATE(A725 , ""tr"" , ""en"")"),"The daily number of cases approached 25 thousand. For the rules of the outbreak of the epidemic, we are acting on to end the epidemic, if we make our vaccination. Like the first dose vaccines, the second and third overdose vaccines are extremely important"&amp;". https://t.co/dxhrgnvtw9")</f>
        <v>The daily number of cases approached 25 thousand. For the rules of the outbreak of the epidemic, we are acting on to end the epidemic, if we make our vaccination. Like the first dose vaccines, the second and third overdose vaccines are extremely important. https://t.co/dxhrgnvtw9</v>
      </c>
    </row>
    <row r="726" spans="1:5" ht="15.75" customHeight="1" x14ac:dyDescent="0.25">
      <c r="A726" s="1" t="s">
        <v>1452</v>
      </c>
      <c r="B726" s="1">
        <v>5442</v>
      </c>
      <c r="C726" s="3">
        <v>44411.360069444447</v>
      </c>
      <c r="D726" s="1" t="s">
        <v>1453</v>
      </c>
      <c r="E726" s="4" t="str">
        <f ca="1">IFERROR(__xludf.DUMMYFUNCTION("GOOGLETRANSLATE(A726 , ""tr"" , ""en"")"),"Muğla. 271 We have discharged our patients by completing their treatment. We have 36 patients ongoing treatment. We had 1 life loss in the disaster in the area. 44 Ambulance, 16 Umke team, 1 Mobile Command Tool, we are on site with a total of 228 health p"&amp;"rofessionals.")</f>
        <v>Muğla. 271 We have discharged our patients by completing their treatment. We have 36 patients ongoing treatment. We had 1 life loss in the disaster in the area. 44 Ambulance, 16 Umke team, 1 Mobile Command Tool, we are on site with a total of 228 health professionals.</v>
      </c>
    </row>
    <row r="727" spans="1:5" ht="15.75" customHeight="1" x14ac:dyDescent="0.25">
      <c r="A727" s="1" t="s">
        <v>1454</v>
      </c>
      <c r="B727" s="1">
        <v>8939</v>
      </c>
      <c r="C727" s="3">
        <v>44411.359444444446</v>
      </c>
      <c r="D727" s="1" t="s">
        <v>1455</v>
      </c>
      <c r="E727" s="4" t="str">
        <f ca="1">IFERROR(__xludf.DUMMYFUNCTION("GOOGLETRANSLATE(A727 , ""tr"" , ""en"")"),"ANTALYA. 598 We've been discharged by completing their treatment. We have 11 patients in progress. We had 7 life loss in the disaster in the area. 34 Ambulance, 17 Umke team, 1 Mobile Command Tool, we are on site with a total of 191 health professionals.")</f>
        <v>ANTALYA. 598 We've been discharged by completing their treatment. We have 11 patients in progress. We had 7 life loss in the disaster in the area. 34 Ambulance, 17 Umke team, 1 Mobile Command Tool, we are on site with a total of 191 health professionals.</v>
      </c>
    </row>
    <row r="728" spans="1:5" ht="15.75" customHeight="1" x14ac:dyDescent="0.25">
      <c r="A728" s="1" t="s">
        <v>1456</v>
      </c>
      <c r="B728" s="1">
        <v>10179</v>
      </c>
      <c r="C728" s="3">
        <v>44410.698761574073</v>
      </c>
      <c r="D728" s="1" t="s">
        <v>1457</v>
      </c>
      <c r="E728" s="4" t="str">
        <f ca="1">IFERROR(__xludf.DUMMYFUNCTION("GOOGLETRANSLATE(A728 , ""tr"" , ""en"")"),"The rate of increase in case numbers tend to decrease. We will make this permanent. Be your vaccination without compromising the measure. https://t.co/rvlhe7786o https://t.co/hx8ekapum9")</f>
        <v>The rate of increase in case numbers tend to decrease. We will make this permanent. Be your vaccination without compromising the measure. https://t.co/rvlhe7786o https://t.co/hx8ekapum9</v>
      </c>
    </row>
    <row r="729" spans="1:5" ht="15.75" customHeight="1" x14ac:dyDescent="0.25">
      <c r="A729" s="1" t="s">
        <v>1458</v>
      </c>
      <c r="B729" s="1">
        <v>9032</v>
      </c>
      <c r="C729" s="3">
        <v>44410.507152777776</v>
      </c>
      <c r="D729" s="1" t="s">
        <v>1459</v>
      </c>
      <c r="E729" s="4" t="str">
        <f ca="1">IFERROR(__xludf.DUMMYFUNCTION("GOOGLETRANSLATE(A729 , ""tr"" , ""en"")"),"Humanities come over by when people suffer.
We are in disaster areas with volunteer Umke teams and emergency health services. https://t.co/m0aytvbmzg")</f>
        <v>Humanities come over by when people suffer.
We are in disaster areas with volunteer Umke teams and emergency health services. https://t.co/m0aytvbmzg</v>
      </c>
    </row>
    <row r="730" spans="1:5" ht="15.75" customHeight="1" x14ac:dyDescent="0.25">
      <c r="A730" s="1" t="s">
        <v>1460</v>
      </c>
      <c r="B730" s="1">
        <v>9713</v>
      </c>
      <c r="C730" s="3">
        <v>44409.765729166669</v>
      </c>
      <c r="D730" s="1" t="s">
        <v>1461</v>
      </c>
      <c r="E730" s="4" t="str">
        <f ca="1">IFERROR(__xludf.DUMMYFUNCTION("GOOGLETRANSLATE(A730 , ""tr"" , ""en"")"),"The life losses on the fires are more than in the burning forests. In the fire in Manavgat, the smoke-affected dog was performed by our medical intervention Umke teams. We thank you on behalf of all animal lovers. https://t.co/ugcywucdtp")</f>
        <v>The life losses on the fires are more than in the burning forests. In the fire in Manavgat, the smoke-affected dog was performed by our medical intervention Umke teams. We thank you on behalf of all animal lovers. https://t.co/ugcywucdtp</v>
      </c>
    </row>
    <row r="731" spans="1:5" ht="15.75" customHeight="1" x14ac:dyDescent="0.25">
      <c r="A731" s="1" t="s">
        <v>1462</v>
      </c>
      <c r="B731" s="1">
        <v>11209</v>
      </c>
      <c r="C731" s="3">
        <v>44409.750949074078</v>
      </c>
      <c r="D731" s="1" t="s">
        <v>1463</v>
      </c>
      <c r="E731" s="4" t="str">
        <f ca="1">IFERROR(__xludf.DUMMYFUNCTION("GOOGLETRANSLATE(A731 , ""tr"" , ""en"")"),"Our patient has a pair of words. The first one: I haven't been a Covid vaccination. Second: I wish I was! Nurettin Karabuk is 48 years old. Covid-19 is treated with the reason. Infected to their virus nearby. The video was taken on the fifth day of intens"&amp;"ive care. https://t.co/ybwoxqbucz")</f>
        <v>Our patient has a pair of words. The first one: I haven't been a Covid vaccination. Second: I wish I was! Nurettin Karabuk is 48 years old. Covid-19 is treated with the reason. Infected to their virus nearby. The video was taken on the fifth day of intensive care. https://t.co/ybwoxqbucz</v>
      </c>
    </row>
    <row r="732" spans="1:5" ht="15.75" customHeight="1" x14ac:dyDescent="0.25">
      <c r="A732" s="1" t="s">
        <v>1464</v>
      </c>
      <c r="B732" s="1">
        <v>3921</v>
      </c>
      <c r="C732" s="3">
        <v>44409.744340277779</v>
      </c>
      <c r="D732" s="1" t="s">
        <v>1465</v>
      </c>
      <c r="E732" s="4" t="str">
        <f ca="1">IFERROR(__xludf.DUMMYFUNCTION("GOOGLETRANSLATE(A732 , ""tr"" , ""en"")"),"In Van, our teams are health scanning in the affected areas. We are on the beginning of the new negativities that can be experienced after the precipitation warnings from the meteorology. https://t.co/55psuwrjvr")</f>
        <v>In Van, our teams are health scanning in the affected areas. We are on the beginning of the new negativities that can be experienced after the precipitation warnings from the meteorology. https://t.co/55psuwrjvr</v>
      </c>
    </row>
    <row r="733" spans="1:5" ht="15.75" customHeight="1" x14ac:dyDescent="0.25">
      <c r="A733" s="1" t="s">
        <v>1466</v>
      </c>
      <c r="B733" s="1">
        <v>3152</v>
      </c>
      <c r="C733" s="3">
        <v>44409.739016203705</v>
      </c>
      <c r="D733" s="1" t="s">
        <v>1467</v>
      </c>
      <c r="E733" s="4" t="str">
        <f ca="1">IFERROR(__xludf.DUMMYFUNCTION("GOOGLETRANSLATE(A733 , ""tr"" , ""en"")"),"The health services we offer to those affected by forest fires in Manavgat are driving. In addition to emergency interventions, general health controls are also performed. All the controls of the elderly and chronic disease were completed, drug and hygien"&amp;"ic maintenance needs were met. https://t.co/o3pezon6zz")</f>
        <v>The health services we offer to those affected by forest fires in Manavgat are driving. In addition to emergency interventions, general health controls are also performed. All the controls of the elderly and chronic disease were completed, drug and hygienic maintenance needs were met. https://t.co/o3pezon6zz</v>
      </c>
    </row>
    <row r="734" spans="1:5" ht="15.75" customHeight="1" x14ac:dyDescent="0.25">
      <c r="A734" s="1" t="s">
        <v>1468</v>
      </c>
      <c r="B734" s="1">
        <v>6010</v>
      </c>
      <c r="C734" s="3">
        <v>44409.72896990741</v>
      </c>
      <c r="D734" s="1" t="s">
        <v>1469</v>
      </c>
      <c r="E734" s="4" t="str">
        <f ca="1">IFERROR(__xludf.DUMMYFUNCTION("GOOGLETRANSLATE(A734 , ""tr"" , ""en"")"),"Compliance with will and measures to stop the rise in the number of cases. Be the vaccination, stay away from the crowds. https://t.co/rvlhe7786o https://t.co/jdw79ytak3")</f>
        <v>Compliance with will and measures to stop the rise in the number of cases. Be the vaccination, stay away from the crowds. https://t.co/rvlhe7786o https://t.co/jdw79ytak3</v>
      </c>
    </row>
    <row r="735" spans="1:5" ht="15.75" customHeight="1" x14ac:dyDescent="0.25">
      <c r="A735" s="1" t="s">
        <v>1470</v>
      </c>
      <c r="B735" s="1">
        <v>4136</v>
      </c>
      <c r="C735" s="3">
        <v>44409.667974537035</v>
      </c>
      <c r="D735" s="1" t="s">
        <v>1471</v>
      </c>
      <c r="E735" s="4" t="str">
        <f ca="1">IFERROR(__xludf.DUMMYFUNCTION("GOOGLETRANSLATE(A735 , ""tr"" , ""en"")"),"112 Emergency Ambulance teams are affected by the incident in the evacueed villages in the evacuated villages and maintenance and treatment of our patients in hospitals for a short time. We are in an exam that emergency health services earn more urgency. "&amp;"I'm celebrating our friends. https://t.co/czk24kiiep")</f>
        <v>112 Emergency Ambulance teams are affected by the incident in the evacueed villages in the evacuated villages and maintenance and treatment of our patients in hospitals for a short time. We are in an exam that emergency health services earn more urgency. I'm celebrating our friends. https://t.co/czk24kiiep</v>
      </c>
    </row>
    <row r="736" spans="1:5" ht="15.75" customHeight="1" x14ac:dyDescent="0.25">
      <c r="A736" s="1" t="s">
        <v>1472</v>
      </c>
      <c r="B736" s="1">
        <v>6302</v>
      </c>
      <c r="C736" s="3">
        <v>44409.553865740738</v>
      </c>
      <c r="D736" s="1" t="s">
        <v>1473</v>
      </c>
      <c r="E736" s="4" t="str">
        <f ca="1">IFERROR(__xludf.DUMMYFUNCTION("GOOGLETRANSLATE(A736 , ""tr"" , ""en"")"),"186 of the 203 people affected by the fires in Marmaris and Bodrum was discharged by completing the treatments. The treatment of 17 is ongoing. With 39 112 ambulances and 15 Umke teams at the scene, 193 health personnel served. We had been a loss of life "&amp;"in Marmaris.")</f>
        <v>186 of the 203 people affected by the fires in Marmaris and Bodrum was discharged by completing the treatments. The treatment of 17 is ongoing. With 39 112 ambulances and 15 Umke teams at the scene, 193 health personnel served. We had been a loss of life in Marmaris.</v>
      </c>
    </row>
    <row r="737" spans="1:5" ht="15.75" customHeight="1" x14ac:dyDescent="0.25">
      <c r="A737" s="1" t="s">
        <v>1474</v>
      </c>
      <c r="B737" s="1">
        <v>4418</v>
      </c>
      <c r="C737" s="3">
        <v>44409.550428240742</v>
      </c>
      <c r="D737" s="1" t="s">
        <v>1475</v>
      </c>
      <c r="E737" s="4" t="str">
        <f ca="1">IFERROR(__xludf.DUMMYFUNCTION("GOOGLETRANSLATE(A737 , ""tr"" , ""en"")"),"154 people affected by the fire in Mersin was discharged by completing treatments. 28 pcs 112 ambulance, 2 Umke Timi, 90 health personnel are in the scene. I offer my wishes that get to all sterlingies on behalf of our health workers.")</f>
        <v>154 people affected by the fire in Mersin was discharged by completing treatments. 28 pcs 112 ambulance, 2 Umke Timi, 90 health personnel are in the scene. I offer my wishes that get to all sterlingies on behalf of our health workers.</v>
      </c>
    </row>
    <row r="738" spans="1:5" ht="15.75" customHeight="1" x14ac:dyDescent="0.25">
      <c r="A738" s="1" t="s">
        <v>1476</v>
      </c>
      <c r="B738" s="1">
        <v>4387</v>
      </c>
      <c r="C738" s="3">
        <v>44409.54891203704</v>
      </c>
      <c r="D738" s="1" t="s">
        <v>1477</v>
      </c>
      <c r="E738" s="4" t="str">
        <f ca="1">IFERROR(__xludf.DUMMYFUNCTION("GOOGLETRANSLATE(A738 , ""tr"" , ""en"")"),"In the fire in Manavgat, two of them have a new total of 7 losses. 497 of the 507 people affected by fire were discharged by completing treatment. 10 people's treatment is driving. 34 112 ambulance, 15 Umke team, 1 Mobile Command Tool, 183 We are at the s"&amp;"cene with health personnel.")</f>
        <v>In the fire in Manavgat, two of them have a new total of 7 losses. 497 of the 507 people affected by fire were discharged by completing treatment. 10 people's treatment is driving. 34 112 ambulance, 15 Umke team, 1 Mobile Command Tool, 183 We are at the scene with health personnel.</v>
      </c>
    </row>
    <row r="739" spans="1:5" ht="15.75" customHeight="1" x14ac:dyDescent="0.25">
      <c r="A739" s="1" t="s">
        <v>1478</v>
      </c>
      <c r="B739" s="1">
        <v>12130</v>
      </c>
      <c r="C739" s="3">
        <v>44409.462060185186</v>
      </c>
      <c r="D739" s="1" t="s">
        <v>1479</v>
      </c>
      <c r="E739" s="4" t="str">
        <f ca="1">IFERROR(__xludf.DUMMYFUNCTION("GOOGLETRANSLATE(A739 , ""tr"" , ""en"")"),"Kilis and Kayseri has reached an over 65% rate in vaccinated by a high risk (orange) provincial group. Switched to the middle risk (yellow) provincial group. Better than that blue!")</f>
        <v>Kilis and Kayseri has reached an over 65% rate in vaccinated by a high risk (orange) provincial group. Switched to the middle risk (yellow) provincial group. Better than that blue!</v>
      </c>
    </row>
    <row r="740" spans="1:5" ht="15.75" customHeight="1" x14ac:dyDescent="0.25">
      <c r="A740" s="1" t="s">
        <v>1480</v>
      </c>
      <c r="B740" s="1">
        <v>14713</v>
      </c>
      <c r="C740" s="3">
        <v>44408.841203703705</v>
      </c>
      <c r="D740" s="1" t="s">
        <v>1481</v>
      </c>
      <c r="E740" s="4" t="str">
        <f ca="1">IFERROR(__xludf.DUMMYFUNCTION("GOOGLETRANSLATE(A740 , ""tr"" , ""en"")"),"We are on the limit of 20 thousand in case numbers. Let's get the measures we have not received, let us be the vaccine we postpone. Results change rapidly if we reverse reasons.")</f>
        <v>We are on the limit of 20 thousand in case numbers. Let's get the measures we have not received, let us be the vaccine we postpone. Results change rapidly if we reverse reasons.</v>
      </c>
    </row>
    <row r="741" spans="1:5" ht="15.75" customHeight="1" x14ac:dyDescent="0.25">
      <c r="A741" s="1" t="s">
        <v>1482</v>
      </c>
      <c r="B741" s="1">
        <v>6545</v>
      </c>
      <c r="C741" s="3">
        <v>44408.784548611111</v>
      </c>
      <c r="D741" s="1" t="s">
        <v>1483</v>
      </c>
      <c r="E741" s="4" t="str">
        <f ca="1">IFERROR(__xludf.DUMMYFUNCTION("GOOGLETRANSLATE(A741 , ""tr"" , ""en"")"),"The 46-year-old yasin treated in Ankara City Hospital Covid-19 Intensive Care Unit, the non-vaccines such as the vaccines, today is tomorrow, but I have received the issue. Nobody neglect the vaccination. ""Https://t.co/n1afve5w4q")</f>
        <v>The 46-year-old yasin treated in Ankara City Hospital Covid-19 Intensive Care Unit, the non-vaccines such as the vaccines, today is tomorrow, but I have received the issue. Nobody neglect the vaccination. "Https://t.co/n1afve5w4q</v>
      </c>
    </row>
    <row r="742" spans="1:5" ht="15.75" customHeight="1" x14ac:dyDescent="0.25">
      <c r="A742" s="1" t="s">
        <v>1484</v>
      </c>
      <c r="B742" s="1">
        <v>4475</v>
      </c>
      <c r="C742" s="3">
        <v>44408.741620370369</v>
      </c>
      <c r="D742" s="1" t="s">
        <v>1485</v>
      </c>
      <c r="E742" s="4" t="str">
        <f ca="1">IFERROR(__xludf.DUMMYFUNCTION("GOOGLETRANSLATE(A742 , ""tr"" , ""en"")"),"You couldn't see this family happy in April like this. Cengiz Bey, the daughter Melike, his son was Alperen COVID-19 patients. Mothers nurse Semra did not become sick, were grafted as health personnel. The time of all three has made their vaccinations its"&amp;"elf. Message of the photo? In our opinion, goodness, health! https://t.co/eghl2sf8IZ")</f>
        <v>You couldn't see this family happy in April like this. Cengiz Bey, the daughter Melike, his son was Alperen COVID-19 patients. Mothers nurse Semra did not become sick, were grafted as health personnel. The time of all three has made their vaccinations itself. Message of the photo? In our opinion, goodness, health! https://t.co/eghl2sf8IZ</v>
      </c>
    </row>
    <row r="743" spans="1:5" ht="15.75" customHeight="1" x14ac:dyDescent="0.25">
      <c r="A743" s="1" t="s">
        <v>1486</v>
      </c>
      <c r="B743" s="1">
        <v>6159</v>
      </c>
      <c r="C743" s="3">
        <v>44408.735995370371</v>
      </c>
      <c r="D743" s="1" t="s">
        <v>1487</v>
      </c>
      <c r="E743" s="4" t="str">
        <f ca="1">IFERROR(__xludf.DUMMYFUNCTION("GOOGLETRANSLATE(A743 , ""tr"" , ""en"")"),"Umke always with us in our land days.
Help Your hand is missing friends. https://t.co/taib79woqn")</f>
        <v>Umke always with us in our land days.
Help Your hand is missing friends. https://t.co/taib79woqn</v>
      </c>
    </row>
    <row r="744" spans="1:5" ht="15.75" customHeight="1" x14ac:dyDescent="0.25">
      <c r="A744" s="1" t="s">
        <v>1488</v>
      </c>
      <c r="B744" s="1">
        <v>5457</v>
      </c>
      <c r="C744" s="3">
        <v>44408.710879629631</v>
      </c>
      <c r="D744" s="1" t="s">
        <v>1489</v>
      </c>
      <c r="E744" s="4" t="str">
        <f ca="1">IFERROR(__xludf.DUMMYFUNCTION("GOOGLETRANSLATE(A744 , ""tr"" , ""en"")"),"Case numbers are over the limit of 20 thousand in spite of the week end. Able to reverse that. If we warn the measures and immunization with vaccines, the situation will return to our favor. https://t.co/rvlhe7786o https://t.co/1wm43qug0l")</f>
        <v>Case numbers are over the limit of 20 thousand in spite of the week end. Able to reverse that. If we warn the measures and immunization with vaccines, the situation will return to our favor. https://t.co/rvlhe7786o https://t.co/1wm43qug0l</v>
      </c>
    </row>
    <row r="745" spans="1:5" ht="15.75" customHeight="1" x14ac:dyDescent="0.25">
      <c r="A745" s="1" t="s">
        <v>1490</v>
      </c>
      <c r="B745" s="1">
        <v>18051</v>
      </c>
      <c r="C745" s="3">
        <v>44408.614236111112</v>
      </c>
      <c r="D745" s="1" t="s">
        <v>1491</v>
      </c>
      <c r="E745" s="4" t="str">
        <f ca="1">IFERROR(__xludf.DUMMYFUNCTION("GOOGLETRANSLATE(A745 , ""tr"" , ""en"")"),"HI. There is a development we will overcome on Wednesday. Due to the biontech vaccine production, there will be several days reduced to our country in our country. I ask that those who prefer this vaccine without making an appointment to be vaccinated. Ri"&amp;"ght for your understanding. There is no hitch in Sinovac.")</f>
        <v>HI. There is a development we will overcome on Wednesday. Due to the biontech vaccine production, there will be several days reduced to our country in our country. I ask that those who prefer this vaccine without making an appointment to be vaccinated. Right for your understanding. There is no hitch in Sinovac.</v>
      </c>
    </row>
    <row r="746" spans="1:5" ht="15.75" customHeight="1" x14ac:dyDescent="0.25">
      <c r="A746" s="1" t="s">
        <v>1492</v>
      </c>
      <c r="B746" s="1">
        <v>5838</v>
      </c>
      <c r="C746" s="3">
        <v>44408.532881944448</v>
      </c>
      <c r="D746" s="1" t="s">
        <v>1493</v>
      </c>
      <c r="E746" s="4" t="str">
        <f ca="1">IFERROR(__xludf.DUMMYFUNCTION("GOOGLETRANSLATE(A746 , ""tr"" , ""en"")"),"In the vaccine 30 July: 1 million 410 thousand 562 dose vaccines were applied yesterday. The number of the first dose of overdose is 331,616. The number of the second overdose is 890.173. The number of third overdose is 188.773. The number of those who do"&amp;" not have the first overdose yet landed on 21.253.444.")</f>
        <v>In the vaccine 30 July: 1 million 410 thousand 562 dose vaccines were applied yesterday. The number of the first dose of overdose is 331,616. The number of the second overdose is 890.173. The number of third overdose is 188.773. The number of those who do not have the first overdose yet landed on 21.253.444.</v>
      </c>
    </row>
    <row r="747" spans="1:5" ht="15.75" customHeight="1" x14ac:dyDescent="0.25">
      <c r="A747" s="1" t="s">
        <v>1494</v>
      </c>
      <c r="B747" s="1">
        <v>6636</v>
      </c>
      <c r="C747" s="3">
        <v>44408.505856481483</v>
      </c>
      <c r="D747" s="1" t="s">
        <v>1495</v>
      </c>
      <c r="E747" s="4" t="str">
        <f ca="1">IFERROR(__xludf.DUMMYFUNCTION("GOOGLETRANSLATE(A747 , ""tr"" , ""en"")"),"In the forest fire in Manavgat, our life losses at the scene have risen to five of our two forests workers. Like the forests, the hearts were in a row. 410 people were affected so far. The 400 people we have completed the treatment was discharged. Our lyi"&amp;"ng patient number is 10.")</f>
        <v>In the forest fire in Manavgat, our life losses at the scene have risen to five of our two forests workers. Like the forests, the hearts were in a row. 410 people were affected so far. The 400 people we have completed the treatment was discharged. Our lying patient number is 10.</v>
      </c>
    </row>
    <row r="748" spans="1:5" ht="15.75" customHeight="1" x14ac:dyDescent="0.25">
      <c r="A748" s="1" t="s">
        <v>1496</v>
      </c>
      <c r="B748" s="1">
        <v>6743</v>
      </c>
      <c r="C748" s="3">
        <v>44408.483587962961</v>
      </c>
      <c r="D748" s="1" t="s">
        <v>1497</v>
      </c>
      <c r="E748" s="4" t="str">
        <f ca="1">IFERROR(__xludf.DUMMYFUNCTION("GOOGLETRANSLATE(A748 , ""tr"" , ""en"")"),"We will also know the value of our athletes who have experienced these pride. Congratulations mete! https://t.co/pfjsiumfsz")</f>
        <v>We will also know the value of our athletes who have experienced these pride. Congratulations mete! https://t.co/pfjsiumfsz</v>
      </c>
    </row>
    <row r="749" spans="1:5" ht="15.75" customHeight="1" x14ac:dyDescent="0.25">
      <c r="A749" s="1" t="s">
        <v>1498</v>
      </c>
      <c r="B749" s="1">
        <v>4820</v>
      </c>
      <c r="C749" s="3">
        <v>44408.478136574071</v>
      </c>
      <c r="D749" s="1" t="s">
        <v>1499</v>
      </c>
      <c r="E749" s="4" t="str">
        <f ca="1">IFERROR(__xludf.DUMMYFUNCTION("GOOGLETRANSLATE(A749 , ""tr"" , ""en"")"),"160 people were affected by the forest fires in Marmaris and Bodrum. We have completed the treatments of our 159 patients, discharged. A patient was referred to Izmir Bozyaka Education and Research Hospital for the treatment of burns. As is known, the fir"&amp;"st day we had been a life loss in Marmaris.")</f>
        <v>160 people were affected by the forest fires in Marmaris and Bodrum. We have completed the treatments of our 159 patients, discharged. A patient was referred to Izmir Bozyaka Education and Research Hospital for the treatment of burns. As is known, the first day we had been a life loss in Marmaris.</v>
      </c>
    </row>
    <row r="750" spans="1:5" ht="15.75" customHeight="1" x14ac:dyDescent="0.25">
      <c r="A750" s="1" t="s">
        <v>1500</v>
      </c>
      <c r="B750" s="1">
        <v>19444</v>
      </c>
      <c r="C750" s="3">
        <v>44407.912199074075</v>
      </c>
      <c r="D750" s="1" t="s">
        <v>1501</v>
      </c>
      <c r="E750" s="4" t="str">
        <f ca="1">IFERROR(__xludf.DUMMYFUNCTION("GOOGLETRANSLATE(A750 , ""tr"" , ""en"")"),"My hometown has been treated with seven murder not minded with an armed attack in Konya. To those who lost his life, I wish the mercy from Allah to their relatives. Konya's pain in common, no purpose is too large to be applied. The place of the murderers "&amp;"are prison, hometown.")</f>
        <v>My hometown has been treated with seven murder not minded with an armed attack in Konya. To those who lost his life, I wish the mercy from Allah to their relatives. Konya's pain in common, no purpose is too large to be applied. The place of the murderers are prison, hometown.</v>
      </c>
    </row>
    <row r="751" spans="1:5" ht="15.75" customHeight="1" x14ac:dyDescent="0.25">
      <c r="A751" s="1" t="s">
        <v>1502</v>
      </c>
      <c r="B751" s="1">
        <v>6622</v>
      </c>
      <c r="C751" s="3">
        <v>44407.88826388889</v>
      </c>
      <c r="D751" s="1" t="s">
        <v>1503</v>
      </c>
      <c r="E751" s="4" t="str">
        <f ca="1">IFERROR(__xludf.DUMMYFUNCTION("GOOGLETRANSLATE(A751 , ""tr"" , ""en"")"),"132 people affected by the fires in Mersin's Silifke and Aydıncık districts were discharged by completing the treatments. I present my wishes to Silifke and Aluminum People, all our country, in the name of our health workers.")</f>
        <v>132 people affected by the fires in Mersin's Silifke and Aydıncık districts were discharged by completing the treatments. I present my wishes to Silifke and Aluminum People, all our country, in the name of our health workers.</v>
      </c>
    </row>
    <row r="752" spans="1:5" ht="15.75" customHeight="1" x14ac:dyDescent="0.25">
      <c r="A752" s="1" t="s">
        <v>1504</v>
      </c>
      <c r="B752" s="1">
        <v>3404</v>
      </c>
      <c r="C752" s="3">
        <v>44407.869710648149</v>
      </c>
      <c r="D752" s="1" t="s">
        <v>1505</v>
      </c>
      <c r="E752" s="4" t="str">
        <f ca="1">IFERROR(__xludf.DUMMYFUNCTION("GOOGLETRANSLATE(A752 , ""tr"" , ""en"")"),"Today, we reached the 1 millionth overdose to the vaccine at Mersin University Hospital at 15.37. Hatice Guzeloğlu's 2nd Dose Biontech Vaccine Nurse Sevda Dürücü, Dr. Made of roses under the supervision of ersosphere. https://t.co/42tbe9vvel")</f>
        <v>Today, we reached the 1 millionth overdose to the vaccine at Mersin University Hospital at 15.37. Hatice Guzeloğlu's 2nd Dose Biontech Vaccine Nurse Sevda Dürücü, Dr. Made of roses under the supervision of ersosphere. https://t.co/42tbe9vvel</v>
      </c>
    </row>
    <row r="753" spans="1:5" ht="15.75" customHeight="1" x14ac:dyDescent="0.25">
      <c r="A753" s="1" t="s">
        <v>1506</v>
      </c>
      <c r="B753" s="1">
        <v>8517</v>
      </c>
      <c r="C753" s="3">
        <v>44407.833425925928</v>
      </c>
      <c r="D753" s="1" t="s">
        <v>1507</v>
      </c>
      <c r="E753" s="4" t="str">
        <f ca="1">IFERROR(__xludf.DUMMYFUNCTION("GOOGLETRANSLATE(A753 , ""tr"" , ""en"")"),"Hakkari, Kırıkkale, Nevsehir and Çankırı category (Yellow) category of high-risk provincial (orange) category.")</f>
        <v>Hakkari, Kırıkkale, Nevsehir and Çankırı category (Yellow) category of high-risk provincial (orange) category.</v>
      </c>
    </row>
    <row r="754" spans="1:5" ht="15.75" customHeight="1" x14ac:dyDescent="0.25">
      <c r="A754" s="1" t="s">
        <v>1508</v>
      </c>
      <c r="B754" s="1">
        <v>10494</v>
      </c>
      <c r="C754" s="3">
        <v>44407.816412037035</v>
      </c>
      <c r="D754" s="1" t="s">
        <v>1509</v>
      </c>
      <c r="E754" s="4" t="str">
        <f ca="1">IFERROR(__xludf.DUMMYFUNCTION("GOOGLETRANSLATE(A754 , ""tr"" , ""en"")"),"Van and Erzurum went to the category of high risk of high-risk provincial (red) category.")</f>
        <v>Van and Erzurum went to the category of high risk of high-risk provincial (red) category.</v>
      </c>
    </row>
    <row r="755" spans="1:5" ht="15.75" customHeight="1" x14ac:dyDescent="0.25">
      <c r="A755" s="1" t="s">
        <v>1510</v>
      </c>
      <c r="B755" s="1">
        <v>7240</v>
      </c>
      <c r="C755" s="3">
        <v>44407.720601851855</v>
      </c>
      <c r="D755" s="1" t="s">
        <v>1511</v>
      </c>
      <c r="E755" s="4" t="str">
        <f ca="1">IFERROR(__xludf.DUMMYFUNCTION("GOOGLETRANSLATE(A755 , ""tr"" , ""en"")"),"We have not yet been able to control the increase in case numbers. The path is the measure and vaccine. Make your vaccine without saying the weekend, without the day without time, please follow the measures. https://t.co/oyejs9puft")</f>
        <v>We have not yet been able to control the increase in case numbers. The path is the measure and vaccine. Make your vaccine without saying the weekend, without the day without time, please follow the measures. https://t.co/oyejs9puft</v>
      </c>
    </row>
    <row r="756" spans="1:5" ht="15.75" customHeight="1" x14ac:dyDescent="0.25">
      <c r="A756" s="1" t="s">
        <v>1512</v>
      </c>
      <c r="B756" s="1">
        <v>5395</v>
      </c>
      <c r="C756" s="3">
        <v>44407.647870370369</v>
      </c>
      <c r="D756" s="1" t="s">
        <v>1513</v>
      </c>
      <c r="E756" s="4" t="str">
        <f ca="1">IFERROR(__xludf.DUMMYFUNCTION("GOOGLETRANSLATE(A756 , ""tr"" , ""en"")"),"A person in the forest fires in Marmaris and Bodrum lost his life. The three were affected by fires, 60 of 60 in foreign nationals were completed by completing 60 treatments. The general situation of the four people in progress is good. We are on duty in "&amp;"fire areas with our teams.")</f>
        <v>A person in the forest fires in Marmaris and Bodrum lost his life. The three were affected by fires, 60 of 60 in foreign nationals were completed by completing 60 treatments. The general situation of the four people in progress is good. We are on duty in fire areas with our teams.</v>
      </c>
    </row>
    <row r="757" spans="1:5" ht="15.75" customHeight="1" x14ac:dyDescent="0.25">
      <c r="A757" s="1" t="s">
        <v>1514</v>
      </c>
      <c r="B757" s="1">
        <v>9361</v>
      </c>
      <c r="C757" s="3">
        <v>44407.644930555558</v>
      </c>
      <c r="D757" s="1" t="s">
        <v>1515</v>
      </c>
      <c r="E757" s="4" t="str">
        <f ca="1">IFERROR(__xludf.DUMMYFUNCTION("GOOGLETRANSLATE(A757 , ""tr"" , ""en"")"),"We have three life loss in the forest fire in Manavgat. Two of the 16 people operated because of two fractures are driving. 292 We have discharged our patients by completing their treatment. In accordance with the partial evacuation, 10 YESTS Maintenance "&amp;"patients in our state hospital were transported to other hospitals.")</f>
        <v>We have three life loss in the forest fire in Manavgat. Two of the 16 people operated because of two fractures are driving. 292 We have discharged our patients by completing their treatment. In accordance with the partial evacuation, 10 YESTS Maintenance patients in our state hospital were transported to other hospitals.</v>
      </c>
    </row>
    <row r="758" spans="1:5" ht="15.75" customHeight="1" x14ac:dyDescent="0.25">
      <c r="A758" s="1" t="s">
        <v>1516</v>
      </c>
      <c r="B758" s="1">
        <v>8025</v>
      </c>
      <c r="C758" s="3">
        <v>44407.405949074076</v>
      </c>
      <c r="D758" s="1" t="s">
        <v>1517</v>
      </c>
      <c r="E758" s="4" t="str">
        <f ca="1">IFERROR(__xludf.DUMMYFUNCTION("GOOGLETRANSLATE(A758 , ""tr"" , ""en"")"),"JULY 29: Yesterday, 1 million 405 thousand 579 dose vaccines were applied yesterday. The number of first dose of overdose is 316.571. The number of the second overdose is 857.710. The number of third overdose is 231,298. The number of those who do not hav"&amp;"e the first overdose yet landed on 21.585.060.")</f>
        <v>JULY 29: Yesterday, 1 million 405 thousand 579 dose vaccines were applied yesterday. The number of first dose of overdose is 316.571. The number of the second overdose is 857.710. The number of third overdose is 231,298. The number of those who do not have the first overdose yet landed on 21.585.060.</v>
      </c>
    </row>
    <row r="759" spans="1:5" ht="15.75" customHeight="1" x14ac:dyDescent="0.25">
      <c r="A759" s="1" t="s">
        <v>1518</v>
      </c>
      <c r="B759" s="1">
        <v>13907</v>
      </c>
      <c r="C759" s="3">
        <v>44406.883009259262</v>
      </c>
      <c r="D759" s="1" t="s">
        <v>1519</v>
      </c>
      <c r="E759" s="4" t="str">
        <f ca="1">IFERROR(__xludf.DUMMYFUNCTION("GOOGLETRANSLATE(A759 , ""tr"" , ""en"")"),"Today 1 million 405 thousand 579 dose vaccines were applied.
Let's overcome this number tomorrow morning with new appointments.")</f>
        <v>Today 1 million 405 thousand 579 dose vaccines were applied.
Let's overcome this number tomorrow morning with new appointments.</v>
      </c>
    </row>
    <row r="760" spans="1:5" ht="15.75" customHeight="1" x14ac:dyDescent="0.25">
      <c r="A760" s="1" t="s">
        <v>1520</v>
      </c>
      <c r="B760" s="1">
        <v>9583</v>
      </c>
      <c r="C760" s="3">
        <v>44406.78565972222</v>
      </c>
      <c r="D760" s="1" t="s">
        <v>1521</v>
      </c>
      <c r="E760" s="4" t="str">
        <f ca="1">IFERROR(__xludf.DUMMYFUNCTION("GOOGLETRANSLATE(A760 , ""tr"" , ""en"")"),"A physician working sacrifically has left our friend. We lost our life-saving brother. Beylikdüzü State Hospital Policitorship Dr.ali Kalionmu has lost his life in the hospital it has been treated since long time. May the head of our camiaz, especially th"&amp;"eir family and lovers.")</f>
        <v>A physician working sacrifically has left our friend. We lost our life-saving brother. Beylikdüzü State Hospital Policitorship Dr.ali Kalionmu has lost his life in the hospital it has been treated since long time. May the head of our camiaz, especially their family and lovers.</v>
      </c>
    </row>
    <row r="761" spans="1:5" ht="15.75" customHeight="1" x14ac:dyDescent="0.25">
      <c r="A761" s="1" t="s">
        <v>1522</v>
      </c>
      <c r="B761" s="1">
        <v>2868</v>
      </c>
      <c r="C761" s="3">
        <v>44406.772534722222</v>
      </c>
      <c r="D761" s="1" t="s">
        <v>1523</v>
      </c>
      <c r="E761" s="4" t="str">
        <f ca="1">IFERROR(__xludf.DUMMYFUNCTION("GOOGLETRANSLATE(A761 , ""tr"" , ""en"")"),"SHERIF SEZER: When I turn back, I see that all the pain is going through when I don't pass. That will also pass. Gene will be hugged with four hands, thanks to the vaccination. Please let's be vaccine, let's not risk ourselves and our loved ones. https://"&amp;"t.co/wwwun9qpvd")</f>
        <v>SHERIF SEZER: When I turn back, I see that all the pain is going through when I don't pass. That will also pass. Gene will be hugged with four hands, thanks to the vaccination. Please let's be vaccine, let's not risk ourselves and our loved ones. https://t.co/wwwun9qpvd</v>
      </c>
    </row>
    <row r="762" spans="1:5" ht="15.75" customHeight="1" x14ac:dyDescent="0.25">
      <c r="A762" s="1" t="s">
        <v>1524</v>
      </c>
      <c r="B762" s="1">
        <v>8140</v>
      </c>
      <c r="C762" s="3">
        <v>44406.767812500002</v>
      </c>
      <c r="D762" s="1" t="s">
        <v>1525</v>
      </c>
      <c r="E762" s="4" t="str">
        <f ca="1">IFERROR(__xludf.DUMMYFUNCTION("GOOGLETRANSLATE(A762 , ""tr"" , ""en"")"),"The syrnick passed to the category of high-risk provincial (orange) category from the category of very high risk. Our goal is the ""Low Risk"" group with a higher vaccine rate!")</f>
        <v>The syrnick passed to the category of high-risk provincial (orange) category from the category of very high risk. Our goal is the "Low Risk" group with a higher vaccine rate!</v>
      </c>
    </row>
    <row r="763" spans="1:5" ht="15.75" customHeight="1" x14ac:dyDescent="0.25">
      <c r="A763" s="1" t="s">
        <v>1526</v>
      </c>
      <c r="B763" s="1">
        <v>4935</v>
      </c>
      <c r="C763" s="3">
        <v>44406.754166666666</v>
      </c>
      <c r="D763" s="1" t="s">
        <v>1527</v>
      </c>
      <c r="E763" s="4" t="str">
        <f ca="1">IFERROR(__xludf.DUMMYFUNCTION("GOOGLETRANSLATE(A763 , ""tr"" , ""en"")"),"Hayko Cepkin: Vaccine to concerts, fields, cinemas, theaters, our doorway to life. We don't have this door closing again and we all have to be vaccinated to be healthy. https://t.co/bub34gctg1")</f>
        <v>Hayko Cepkin: Vaccine to concerts, fields, cinemas, theaters, our doorway to life. We don't have this door closing again and we all have to be vaccinated to be healthy. https://t.co/bub34gctg1</v>
      </c>
    </row>
    <row r="764" spans="1:5" ht="15.75" customHeight="1" x14ac:dyDescent="0.25">
      <c r="A764" s="1" t="s">
        <v>1528</v>
      </c>
      <c r="B764" s="1">
        <v>5937</v>
      </c>
      <c r="C764" s="3">
        <v>44406.727268518516</v>
      </c>
      <c r="D764" s="1" t="s">
        <v>1529</v>
      </c>
      <c r="E764" s="4" t="str">
        <f ca="1">IFERROR(__xludf.DUMMYFUNCTION("GOOGLETRANSLATE(A764 , ""tr"" , ""en"")"),"The current number of cases is 22.161. It is not possible to be protected in the epidemic without compliance with the measures without vaccination. Let's get back to the re-fight with vaccination and measure. https://t.co/rvlhe7786o https://t.co/195wcacuz"&amp;"a")</f>
        <v>The current number of cases is 22.161. It is not possible to be protected in the epidemic without compliance with the measures without vaccination. Let's get back to the re-fight with vaccination and measure. https://t.co/rvlhe7786o https://t.co/195wcacuza</v>
      </c>
    </row>
    <row r="765" spans="1:5" ht="15.75" customHeight="1" x14ac:dyDescent="0.25">
      <c r="A765" s="1" t="s">
        <v>1530</v>
      </c>
      <c r="B765" s="1">
        <v>23433</v>
      </c>
      <c r="C765" s="3">
        <v>44406.67597222222</v>
      </c>
      <c r="D765" s="1" t="s">
        <v>1531</v>
      </c>
      <c r="E765" s="4" t="str">
        <f ca="1">IFERROR(__xludf.DUMMYFUNCTION("GOOGLETRANSLATE(A765 , ""tr"" , ""en"")"),"Last Minute: The total number of vaccines has passed 71 million.")</f>
        <v>Last Minute: The total number of vaccines has passed 71 million.</v>
      </c>
    </row>
    <row r="766" spans="1:5" ht="15.75" customHeight="1" x14ac:dyDescent="0.25">
      <c r="A766" s="1" t="s">
        <v>1532</v>
      </c>
      <c r="B766" s="1">
        <v>6835</v>
      </c>
      <c r="C766" s="3">
        <v>44406.484872685185</v>
      </c>
      <c r="D766" s="1" t="s">
        <v>1533</v>
      </c>
      <c r="E766" s="4" t="str">
        <f ca="1">IFERROR(__xludf.DUMMYFUNCTION("GOOGLETRANSLATE(A766 , ""tr"" , ""en"")"),"In the vaccine 28: 1 million 99 thousand 5 dose of oversees were applied yesterday. The number of the first dose of overdose is 222,803. The number of the second overdose is 680,278. The number of third overdose is 195.924. The number of those who do not "&amp;"have the first overdose yet landed on 21.901.631.")</f>
        <v>In the vaccine 28: 1 million 99 thousand 5 dose of oversees were applied yesterday. The number of the first dose of overdose is 222,803. The number of the second overdose is 680,278. The number of third overdose is 195.924. The number of those who do not have the first overdose yet landed on 21.901.631.</v>
      </c>
    </row>
    <row r="767" spans="1:5" ht="15.75" customHeight="1" x14ac:dyDescent="0.25">
      <c r="A767" s="1" t="s">
        <v>1534</v>
      </c>
      <c r="B767" s="1">
        <v>22094</v>
      </c>
      <c r="C767" s="3">
        <v>44405.915289351855</v>
      </c>
      <c r="D767" s="1" t="s">
        <v>1535</v>
      </c>
      <c r="E767" s="4" t="str">
        <f ca="1">IFERROR(__xludf.DUMMYFUNCTION("GOOGLETRANSLATE(A767 , ""tr"" , ""en"")"),"1,099,005 people have done a good job for all of us today.")</f>
        <v>1,099,005 people have done a good job for all of us today.</v>
      </c>
    </row>
    <row r="768" spans="1:5" ht="15.75" customHeight="1" x14ac:dyDescent="0.25">
      <c r="A768" s="1" t="s">
        <v>1536</v>
      </c>
      <c r="B768" s="1">
        <v>5069</v>
      </c>
      <c r="C768" s="3">
        <v>44405.893425925926</v>
      </c>
      <c r="D768" s="1" t="s">
        <v>1537</v>
      </c>
      <c r="E768" s="4" t="str">
        <f ca="1">IFERROR(__xludf.DUMMYFUNCTION("GOOGLETRANSLATE(A768 , ""tr"" , ""en"")"),"Aksaray lowered the level of risk. The aksaray, which is very high risky, namely in the provincial group, which is shown in red, is now orange, in a lower risk group. Switching to blue is a decision, depending on the speed.")</f>
        <v>Aksaray lowered the level of risk. The aksaray, which is very high risky, namely in the provincial group, which is shown in red, is now orange, in a lower risk group. Switching to blue is a decision, depending on the speed.</v>
      </c>
    </row>
    <row r="769" spans="1:5" ht="15.75" customHeight="1" x14ac:dyDescent="0.25">
      <c r="A769" s="1" t="s">
        <v>1538</v>
      </c>
      <c r="B769" s="1">
        <v>17053</v>
      </c>
      <c r="C769" s="3">
        <v>44405.888842592591</v>
      </c>
      <c r="D769" s="1" t="s">
        <v>1539</v>
      </c>
      <c r="E769" s="4" t="str">
        <f ca="1">IFERROR(__xludf.DUMMYFUNCTION("GOOGLETRANSLATE(A769 , ""tr"" , ""en"")"),"Eskişehir's decision is blue.
At least 1 dose of vaccination is over 75%.")</f>
        <v>Eskişehir's decision is blue.
At least 1 dose of vaccination is over 75%.</v>
      </c>
    </row>
    <row r="770" spans="1:5" ht="15.75" customHeight="1" x14ac:dyDescent="0.25">
      <c r="A770" s="1" t="s">
        <v>1540</v>
      </c>
      <c r="B770" s="1">
        <v>9342</v>
      </c>
      <c r="C770" s="3">
        <v>44405.884375000001</v>
      </c>
      <c r="D770" s="1" t="s">
        <v>1541</v>
      </c>
      <c r="E770" s="4" t="str">
        <f ca="1">IFERROR(__xludf.DUMMYFUNCTION("GOOGLETRANSLATE(A770 , ""tr"" , ""en"")"),"Aydın's decision is blue.
At least 1 dose of vaccination is over 75%.")</f>
        <v>Aydın's decision is blue.
At least 1 dose of vaccination is over 75%.</v>
      </c>
    </row>
    <row r="771" spans="1:5" ht="15.75" customHeight="1" x14ac:dyDescent="0.25">
      <c r="A771" s="1" t="s">
        <v>1542</v>
      </c>
      <c r="B771" s="1">
        <v>26981</v>
      </c>
      <c r="C771" s="3">
        <v>44405.828969907408</v>
      </c>
      <c r="D771" s="1" t="s">
        <v>1543</v>
      </c>
      <c r="E771" s="4" t="str">
        <f ca="1">IFERROR(__xludf.DUMMYFUNCTION("GOOGLETRANSLATE(A771 , ""tr"" , ""en"")"),"If the coronavirus contains you, let your body know what to do. Be your vaccine.")</f>
        <v>If the coronavirus contains you, let your body know what to do. Be your vaccine.</v>
      </c>
    </row>
    <row r="772" spans="1:5" ht="15.75" customHeight="1" x14ac:dyDescent="0.25">
      <c r="A772" s="1" t="s">
        <v>1544</v>
      </c>
      <c r="B772" s="1">
        <v>3273</v>
      </c>
      <c r="C772" s="3">
        <v>44405.794537037036</v>
      </c>
      <c r="D772" s="1" t="s">
        <v>1545</v>
      </c>
      <c r="E772" s="4" t="str">
        <f ca="1">IFERROR(__xludf.DUMMYFUNCTION("GOOGLETRANSLATE(A772 , ""tr"" , ""en"")"),"Our first priority is that all our citizens take responsibility and take their own precautions as a responsible individual and fulfill their homework against society as a vaccination. https://t.co/8kkl3teh1v")</f>
        <v>Our first priority is that all our citizens take responsibility and take their own precautions as a responsible individual and fulfill their homework against society as a vaccination. https://t.co/8kkl3teh1v</v>
      </c>
    </row>
    <row r="773" spans="1:5" ht="15.75" customHeight="1" x14ac:dyDescent="0.25">
      <c r="A773" s="1" t="s">
        <v>1546</v>
      </c>
      <c r="B773" s="1">
        <v>2883</v>
      </c>
      <c r="C773" s="3">
        <v>44405.781030092592</v>
      </c>
      <c r="D773" s="1" t="s">
        <v>1547</v>
      </c>
      <c r="E773" s="4" t="str">
        <f ca="1">IFERROR(__xludf.DUMMYFUNCTION("GOOGLETRANSLATE(A773 , ""tr"" , ""en"")"),"The effective time and effectiveness of vaccines in terms of epidemic management is extremely important. Our pre-evaluation shows that the risk group and the 3rd dose of overdoses are required for their age. https://t.co/e4bho9hvtl")</f>
        <v>The effective time and effectiveness of vaccines in terms of epidemic management is extremely important. Our pre-evaluation shows that the risk group and the 3rd dose of overdoses are required for their age. https://t.co/e4bho9hvtl</v>
      </c>
    </row>
    <row r="774" spans="1:5" ht="15.75" customHeight="1" x14ac:dyDescent="0.25">
      <c r="A774" s="1" t="s">
        <v>1548</v>
      </c>
      <c r="B774" s="1">
        <v>9757</v>
      </c>
      <c r="C774" s="3">
        <v>44405.768923611111</v>
      </c>
      <c r="D774" s="1" t="s">
        <v>1549</v>
      </c>
      <c r="E774" s="4" t="str">
        <f ca="1">IFERROR(__xludf.DUMMYFUNCTION("GOOGLETRANSLATE(A774 , ""tr"" , ""en"")"),"95% of our patients who are hospitalized in vaccine. https://t.co/ypl2uo1x4y")</f>
        <v>95% of our patients who are hospitalized in vaccine. https://t.co/ypl2uo1x4y</v>
      </c>
    </row>
    <row r="775" spans="1:5" ht="15.75" customHeight="1" x14ac:dyDescent="0.25">
      <c r="A775" s="1" t="s">
        <v>1550</v>
      </c>
      <c r="B775" s="1">
        <v>2832</v>
      </c>
      <c r="C775" s="3">
        <v>44405.761006944442</v>
      </c>
      <c r="D775" s="1" t="s">
        <v>1551</v>
      </c>
      <c r="E775" s="4" t="str">
        <f ca="1">IFERROR(__xludf.DUMMYFUNCTION("GOOGLETRANSLATE(A775 , ""tr"" , ""en"")"),"Increased Case Numbers have a risk that our vaccination program is raiding a new variant in reaching the target of community immunity and disrupt our immune program with vaccination. https://t.co/4iwyrcnzly")</f>
        <v>Increased Case Numbers have a risk that our vaccination program is raiding a new variant in reaching the target of community immunity and disrupt our immune program with vaccination. https://t.co/4iwyrcnzly</v>
      </c>
    </row>
    <row r="776" spans="1:5" ht="15.75" customHeight="1" x14ac:dyDescent="0.25">
      <c r="A776" s="1" t="s">
        <v>1552</v>
      </c>
      <c r="B776" s="1">
        <v>7121</v>
      </c>
      <c r="C776" s="3">
        <v>44405.743923611109</v>
      </c>
      <c r="D776" s="1" t="s">
        <v>1553</v>
      </c>
      <c r="E776" s="4" t="str">
        <f ca="1">IFERROR(__xludf.DUMMYFUNCTION("GOOGLETRANSLATE(A776 , ""tr"" , ""en"")"),"62 people were affected by the fire in Manavgat. 3 The burn, 2 were fractured, 57 was treated due to exposure to the smoke. 112 Our ambulances, our mobile Command vehicle, Umke teams at the scene. The discharge of our public hospital is out of the questio"&amp;"n. May we all be big to us")</f>
        <v>62 people were affected by the fire in Manavgat. 3 The burn, 2 were fractured, 57 was treated due to exposure to the smoke. 112 Our ambulances, our mobile Command vehicle, Umke teams at the scene. The discharge of our public hospital is out of the question. May we all be big to us</v>
      </c>
    </row>
    <row r="777" spans="1:5" ht="15.75" customHeight="1" x14ac:dyDescent="0.25">
      <c r="A777" s="1" t="s">
        <v>1554</v>
      </c>
      <c r="B777" s="1">
        <v>5518</v>
      </c>
      <c r="C777" s="3">
        <v>44405.736493055556</v>
      </c>
      <c r="D777" s="1" t="s">
        <v>1555</v>
      </c>
      <c r="E777" s="4" t="str">
        <f ca="1">IFERROR(__xludf.DUMMYFUNCTION("GOOGLETRANSLATE(A777 , ""tr"" , ""en"")"),"The cases are at the level to make it difficult to control the epidemic. We must stop this risk with the decision that will be in common will and all of us. Should adhere to the measures and have vaccines. The first dose is immediately, the second and thi"&amp;"rd dose does not come to the time! https://t.co/rvlhe7786o https://t.co/fr5secvvvuv")</f>
        <v>The cases are at the level to make it difficult to control the epidemic. We must stop this risk with the decision that will be in common will and all of us. Should adhere to the measures and have vaccines. The first dose is immediately, the second and third dose does not come to the time! https://t.co/rvlhe7786o https://t.co/fr5secvvvuv</v>
      </c>
    </row>
    <row r="778" spans="1:5" ht="15.75" customHeight="1" x14ac:dyDescent="0.25">
      <c r="A778" s="1" t="s">
        <v>1556</v>
      </c>
      <c r="B778" s="1">
        <v>2610</v>
      </c>
      <c r="C778" s="3">
        <v>44405.699930555558</v>
      </c>
      <c r="D778" s="1" t="s">
        <v>1557</v>
      </c>
      <c r="E778" s="4" t="str">
        <f ca="1">IFERROR(__xludf.DUMMYFUNCTION("GOOGLETRANSLATE(A778 , ""tr"" , ""en"")"),"Live: After our Science Board Meeting, our press statement:
https://t.co/6eykwyIppz")</f>
        <v>Live: After our Science Board Meeting, our press statement:
https://t.co/6eykwyIppz</v>
      </c>
    </row>
    <row r="779" spans="1:5" ht="15.75" customHeight="1" x14ac:dyDescent="0.25">
      <c r="A779" s="1" t="s">
        <v>1558</v>
      </c>
      <c r="B779" s="1">
        <v>4876</v>
      </c>
      <c r="C779" s="3">
        <v>44405.615636574075</v>
      </c>
      <c r="D779" s="1" t="s">
        <v>1559</v>
      </c>
      <c r="E779" s="4" t="str">
        <f ca="1">IFERROR(__xludf.DUMMYFUNCTION("GOOGLETRANSLATE(A779 , ""tr"" , ""en"")"),"Emergency medicine technician, who served at the Söke Emergency Health Services Station, our friend Erol Star, the factory in the factory in the factory in the factory is the first vaccine of the Fatma Star. The Fatma Hanım who previously passed Covid-19 "&amp;"suggests that it is vaccinated to everyone. https://t.co/6s7dmo2voI")</f>
        <v>Emergency medicine technician, who served at the Söke Emergency Health Services Station, our friend Erol Star, the factory in the factory in the factory in the factory is the first vaccine of the Fatma Star. The Fatma Hanım who previously passed Covid-19 suggests that it is vaccinated to everyone. https://t.co/6s7dmo2voI</v>
      </c>
    </row>
    <row r="780" spans="1:5" ht="15.75" customHeight="1" x14ac:dyDescent="0.25">
      <c r="A780" s="1" t="s">
        <v>1560</v>
      </c>
      <c r="B780" s="1">
        <v>7563</v>
      </c>
      <c r="C780" s="3">
        <v>44405.509155092594</v>
      </c>
      <c r="D780" s="1" t="s">
        <v>1561</v>
      </c>
      <c r="E780" s="4" t="str">
        <f ca="1">IFERROR(__xludf.DUMMYFUNCTION("GOOGLETRANSLATE(A780 , ""tr"" , ""en"")"),"In the vaccine 27: 1 million 144 thousand 837 dose vaccines were applied yesterday. The number of the first dose of overdose is 219.973. The number of the second overdose is 722.598. The number of third overdose is 202.266. The number of those who do not "&amp;"have the first overdose yet landed in 22.124.434.")</f>
        <v>In the vaccine 27: 1 million 144 thousand 837 dose vaccines were applied yesterday. The number of the first dose of overdose is 219.973. The number of the second overdose is 722.598. The number of third overdose is 202.266. The number of those who do not have the first overdose yet landed in 22.124.434.</v>
      </c>
    </row>
    <row r="781" spans="1:5" ht="15.75" customHeight="1" x14ac:dyDescent="0.25">
      <c r="A781" s="1" t="s">
        <v>1562</v>
      </c>
      <c r="B781" s="1">
        <v>20592</v>
      </c>
      <c r="C781" s="3">
        <v>44405.367106481484</v>
      </c>
      <c r="D781" s="1" t="s">
        <v>1563</v>
      </c>
      <c r="E781" s="4" t="str">
        <f ca="1">IFERROR(__xludf.DUMMYFUNCTION("GOOGLETRANSLATE(A781 , ""tr"" , ""en"")"),"Last minute: The number of at least one dose of vaccines has passed 40 million.")</f>
        <v>Last minute: The number of at least one dose of vaccines has passed 40 million.</v>
      </c>
    </row>
    <row r="782" spans="1:5" ht="15.75" customHeight="1" x14ac:dyDescent="0.25">
      <c r="A782" s="1" t="s">
        <v>1564</v>
      </c>
      <c r="B782" s="1">
        <v>3598</v>
      </c>
      <c r="C782" s="3">
        <v>44405.354687500003</v>
      </c>
      <c r="D782" s="1" t="s">
        <v>1565</v>
      </c>
      <c r="E782" s="4" t="str">
        <f ca="1">IFERROR(__xludf.DUMMYFUNCTION("GOOGLETRANSLATE(A782 , ""tr"" , ""en"")"),"The number of cases in a final week is the most increasing provinces; Siirt, Diyarbakır, Bitlis, Giresun and Iğır. There is a relationship between increase and vaccination rates in the number of cases. Vaccine and follow measures. https://t.co/akge6cv87r")</f>
        <v>The number of cases in a final week is the most increasing provinces; Siirt, Diyarbakır, Bitlis, Giresun and Iğır. There is a relationship between increase and vaccination rates in the number of cases. Vaccine and follow measures. https://t.co/akge6cv87r</v>
      </c>
    </row>
    <row r="783" spans="1:5" ht="15.75" customHeight="1" x14ac:dyDescent="0.25">
      <c r="A783" s="1" t="s">
        <v>1566</v>
      </c>
      <c r="B783" s="1">
        <v>4777</v>
      </c>
      <c r="C783" s="3">
        <v>44405.346053240741</v>
      </c>
      <c r="D783" s="1" t="s">
        <v>1567</v>
      </c>
      <c r="E783" s="4" t="str">
        <f ca="1">IFERROR(__xludf.DUMMYFUNCTION("GOOGLETRANSLATE(A783 , ""tr"" , ""en"")"),"In our provinces, you can see the current version of the incidence map that shows a total number of considers who correspond to 100,000 population. Let's not put our strength under control. Vaccine and we have to comply with the measures. https://t.co/l8l"&amp;"odq94vx")</f>
        <v>In our provinces, you can see the current version of the incidence map that shows a total number of considers who correspond to 100,000 population. Let's not put our strength under control. Vaccine and we have to comply with the measures. https://t.co/l8lodq94vx</v>
      </c>
    </row>
    <row r="784" spans="1:5" ht="15.75" customHeight="1" x14ac:dyDescent="0.25">
      <c r="A784" s="1" t="s">
        <v>1568</v>
      </c>
      <c r="B784" s="1">
        <v>3692</v>
      </c>
      <c r="C784" s="3">
        <v>44404.814618055556</v>
      </c>
      <c r="D784" s="1" t="s">
        <v>1569</v>
      </c>
      <c r="E784" s="4" t="str">
        <f ca="1">IFERROR(__xludf.DUMMYFUNCTION("GOOGLETRANSLATE(A784 , ""tr"" , ""en"")"),"July 27, 1 millionth dose
The vaccine is: Hatice Neen Day (34)
Vaccination: Sinovac, 2nd dose
Doing the vaccination: İrem Özay
Responsible Physician: Seedling Star Unal
Time of vaccine: 18.05
Location: Istanbul Okan University
Health Application and Resea"&amp;"rch Center, Tuzla https://t.co/clcfjwtfoh")</f>
        <v>July 27, 1 millionth dose
The vaccine is: Hatice Neen Day (34)
Vaccination: Sinovac, 2nd dose
Doing the vaccination: İrem Özay
Responsible Physician: Seedling Star Unal
Time of vaccine: 18.05
Location: Istanbul Okan University
Health Application and Research Center, Tuzla https://t.co/clcfjwtfoh</v>
      </c>
    </row>
    <row r="785" spans="1:5" ht="15.75" customHeight="1" x14ac:dyDescent="0.25">
      <c r="A785" s="1" t="s">
        <v>1570</v>
      </c>
      <c r="B785" s="1">
        <v>7501</v>
      </c>
      <c r="C785" s="3">
        <v>44404.800023148149</v>
      </c>
      <c r="D785" s="1" t="s">
        <v>1571</v>
      </c>
      <c r="E785" s="4" t="str">
        <f ca="1">IFERROR(__xludf.DUMMYFUNCTION("GOOGLETRANSLATE(A785 , ""tr"" , ""en"")"),"They say it's easy, they make their vaccinations. Our vaccine teams are in the fields in order to be able to make vaccinations of agricultural workers who will come to our health institutions. Photo of Bafra's greenish neighborhood. https://t.co/pjebe5qgx"&amp;"z")</f>
        <v>They say it's easy, they make their vaccinations. Our vaccine teams are in the fields in order to be able to make vaccinations of agricultural workers who will come to our health institutions. Photo of Bafra's greenish neighborhood. https://t.co/pjebe5qgxz</v>
      </c>
    </row>
    <row r="786" spans="1:5" ht="15.75" customHeight="1" x14ac:dyDescent="0.25">
      <c r="A786" s="1" t="s">
        <v>1572</v>
      </c>
      <c r="B786" s="1">
        <v>4751</v>
      </c>
      <c r="C786" s="3">
        <v>44404.777569444443</v>
      </c>
      <c r="D786" s="1" t="s">
        <v>1573</v>
      </c>
      <c r="E786" s="4" t="str">
        <f ca="1">IFERROR(__xludf.DUMMYFUNCTION("GOOGLETRANSLATE(A786 , ""tr"" , ""en"")"),"Sevcan Orhan: Are you aware of how much the hospitalization and life loss rate has declined since the vaccines began to apply? Everyone is vaccinated to meet us much more beautiful days. Please, please be your vaccine. https://t.co/xukjblpnsx")</f>
        <v>Sevcan Orhan: Are you aware of how much the hospitalization and life loss rate has declined since the vaccines began to apply? Everyone is vaccinated to meet us much more beautiful days. Please, please be your vaccine. https://t.co/xukjblpnsx</v>
      </c>
    </row>
    <row r="787" spans="1:5" ht="15.75" customHeight="1" x14ac:dyDescent="0.25">
      <c r="A787" s="1" t="s">
        <v>1574</v>
      </c>
      <c r="B787" s="1">
        <v>16712</v>
      </c>
      <c r="C787" s="3">
        <v>44404.771898148145</v>
      </c>
      <c r="D787" s="1" t="s">
        <v>1575</v>
      </c>
      <c r="E787" s="4" t="str">
        <f ca="1">IFERROR(__xludf.DUMMYFUNCTION("GOOGLETRANSLATE(A787 , ""tr"" , ""en"")"),"The number of daily cases approached 20 thousand. According to the rules of the epidemic struggle, we start to take the results after an average week, if we make our vaccination, we are acting to end the epidemic. Like the first dose vaccines, the second "&amp;"and third overdose vaccines are extremely important.")</f>
        <v>The number of daily cases approached 20 thousand. According to the rules of the epidemic struggle, we start to take the results after an average week, if we make our vaccination, we are acting to end the epidemic. Like the first dose vaccines, the second and third overdose vaccines are extremely important.</v>
      </c>
    </row>
    <row r="788" spans="1:5" ht="15.75" customHeight="1" x14ac:dyDescent="0.25">
      <c r="A788" s="1" t="s">
        <v>1576</v>
      </c>
      <c r="B788" s="1">
        <v>6092</v>
      </c>
      <c r="C788" s="3">
        <v>44404.752118055556</v>
      </c>
      <c r="D788" s="1" t="s">
        <v>1577</v>
      </c>
      <c r="E788" s="4" t="str">
        <f ca="1">IFERROR(__xludf.DUMMYFUNCTION("GOOGLETRANSLATE(A788 , ""tr"" , ""en"")"),"Beyazit Öztürk: None of us is inappropriate to stay apart from each other, living with life restrictions. What we really need to do today is very simple. Trust to science and vaccine to normalize. https://t.co/ckhefj3nxk")</f>
        <v>Beyazit Öztürk: None of us is inappropriate to stay apart from each other, living with life restrictions. What we really need to do today is very simple. Trust to science and vaccine to normalize. https://t.co/ckhefj3nxk</v>
      </c>
    </row>
    <row r="789" spans="1:5" ht="15.75" customHeight="1" x14ac:dyDescent="0.25">
      <c r="A789" s="1" t="s">
        <v>1578</v>
      </c>
      <c r="B789" s="1">
        <v>8838</v>
      </c>
      <c r="C789" s="3">
        <v>44404.70752314815</v>
      </c>
      <c r="D789" s="1" t="s">
        <v>1579</v>
      </c>
      <c r="E789" s="4" t="str">
        <f ca="1">IFERROR(__xludf.DUMMYFUNCTION("GOOGLETRANSLATE(A789 , ""tr"" , ""en"")"),"In the control of the epidemic, we reached the number of cases of uneasy the uneasy. It is will that we will show that to stop this. Conform to the measures and make your vaccination. https://t.co/rvlhe7786o https://t.co/ja4otgjtcz")</f>
        <v>In the control of the epidemic, we reached the number of cases of uneasy the uneasy. It is will that we will show that to stop this. Conform to the measures and make your vaccination. https://t.co/rvlhe7786o https://t.co/ja4otgjtcz</v>
      </c>
    </row>
    <row r="790" spans="1:5" ht="15.75" customHeight="1" x14ac:dyDescent="0.25">
      <c r="A790" s="1" t="s">
        <v>1580</v>
      </c>
      <c r="B790" s="1">
        <v>7403</v>
      </c>
      <c r="C790" s="3">
        <v>44404.482164351852</v>
      </c>
      <c r="D790" s="1" t="s">
        <v>1581</v>
      </c>
      <c r="E790" s="4" t="str">
        <f ca="1">IFERROR(__xludf.DUMMYFUNCTION("GOOGLETRANSLATE(A790 , ""tr"" , ""en"")"),"The vaccines were made at the same time! 18-year-old triplets for the vaccine in Kırşehir Kaman The 18-year-old Triplise sisters has been performed at the same time by our health care employee in the vaccines and the vaccines of the BUSE. We thanked thems"&amp;"elves for this color moment they joined the epidemic. https://t.co/a5pdybou9s")</f>
        <v>The vaccines were made at the same time! 18-year-old triplets for the vaccine in Kırşehir Kaman The 18-year-old Triplise sisters has been performed at the same time by our health care employee in the vaccines and the vaccines of the BUSE. We thanked themselves for this color moment they joined the epidemic. https://t.co/a5pdybou9s</v>
      </c>
    </row>
    <row r="791" spans="1:5" ht="15.75" customHeight="1" x14ac:dyDescent="0.25">
      <c r="A791" s="1" t="s">
        <v>1582</v>
      </c>
      <c r="B791" s="1">
        <v>4830</v>
      </c>
      <c r="C791" s="3">
        <v>44404.37909722222</v>
      </c>
      <c r="D791" s="1" t="s">
        <v>1583</v>
      </c>
      <c r="E791" s="4" t="str">
        <f ca="1">IFERROR(__xludf.DUMMYFUNCTION("GOOGLETRANSLATE(A791 , ""tr"" , ""en"")"),"July 26, 1 millionth vaccine
Hatice Marble (51)
Vaccination: Biontech, 2nd dose
Nurse doing the vaccination: Nevin Özdemir
Responsible Physician: Mehmet İlker Uludag
Time to make vaccine: 15.49
Location: Dr. Sadettin Gainstate Hospital
Isparta, SARKİKARAĞ"&amp;"AK https://t.co/olp0j6aqzy")</f>
        <v>July 26, 1 millionth vaccine
Hatice Marble (51)
Vaccination: Biontech, 2nd dose
Nurse doing the vaccination: Nevin Özdemir
Responsible Physician: Mehmet İlker Uludag
Time to make vaccine: 15.49
Location: Dr. Sadettin Gainstate Hospital
Isparta, SARKİKARAĞAK https://t.co/olp0j6aqzy</v>
      </c>
    </row>
    <row r="792" spans="1:5" ht="15.75" customHeight="1" x14ac:dyDescent="0.25">
      <c r="A792" s="1" t="s">
        <v>1584</v>
      </c>
      <c r="B792" s="1">
        <v>9293</v>
      </c>
      <c r="C792" s="3">
        <v>44404.316770833335</v>
      </c>
      <c r="D792" s="1" t="s">
        <v>1585</v>
      </c>
      <c r="E792" s="4" t="str">
        <f ca="1">IFERROR(__xludf.DUMMYFUNCTION("GOOGLETRANSLATE(A792 , ""tr"" , ""en"")"),"In the vaccine, July 26: A total of 1 million 367 thousand 872 dose vaccines were applied. The number of the first dose of overdose is 244,868. The number of second overdose is 910.136. The number of third overdose is 212,868. The number of those who do n"&amp;"ot have the first overdose yet landed in 22.344.407.")</f>
        <v>In the vaccine, July 26: A total of 1 million 367 thousand 872 dose vaccines were applied. The number of the first dose of overdose is 244,868. The number of second overdose is 910.136. The number of third overdose is 212,868. The number of those who do not have the first overdose yet landed in 22.344.407.</v>
      </c>
    </row>
    <row r="793" spans="1:5" ht="15.75" customHeight="1" x14ac:dyDescent="0.25">
      <c r="A793" s="1" t="s">
        <v>1586</v>
      </c>
      <c r="B793" s="1">
        <v>11955</v>
      </c>
      <c r="C793" s="3">
        <v>44403.897905092592</v>
      </c>
      <c r="D793" s="1" t="s">
        <v>1587</v>
      </c>
      <c r="E793" s="4" t="str">
        <f ca="1">IFERROR(__xludf.DUMMYFUNCTION("GOOGLETRANSLATE(A793 , ""tr"" , ""en"")"),"Adiyaman and Kahramanmaras passed to the category of high risk (orange) from the category of very high-risk provincial (red) category. Let's minimize the risk by making our vaccines.")</f>
        <v>Adiyaman and Kahramanmaras passed to the category of high risk (orange) from the category of very high-risk provincial (red) category. Let's minimize the risk by making our vaccines.</v>
      </c>
    </row>
    <row r="794" spans="1:5" ht="15.75" customHeight="1" x14ac:dyDescent="0.25">
      <c r="A794" s="1" t="s">
        <v>1588</v>
      </c>
      <c r="B794" s="1">
        <v>11313</v>
      </c>
      <c r="C794" s="3">
        <v>44403.723703703705</v>
      </c>
      <c r="D794" s="1" t="s">
        <v>1589</v>
      </c>
      <c r="E794" s="4" t="str">
        <f ca="1">IFERROR(__xludf.DUMMYFUNCTION("GOOGLETRANSLATE(A794 , ""tr"" , ""en"")"),"The rate of increase in the number of cases makes it difficult to keep the release in control. The compensation of compromising measures without immune with vaccines may cause painful experiences. Observe the measures, make your vaccination. https://t.co/"&amp;"rvlhe7786o https://t.co/h04jkf887z")</f>
        <v>The rate of increase in the number of cases makes it difficult to keep the release in control. The compensation of compromising measures without immune with vaccines may cause painful experiences. Observe the measures, make your vaccination. https://t.co/rvlhe7786o https://t.co/h04jkf887z</v>
      </c>
    </row>
    <row r="795" spans="1:5" ht="15.75" customHeight="1" x14ac:dyDescent="0.25">
      <c r="A795" s="1" t="s">
        <v>1590</v>
      </c>
      <c r="B795" s="1">
        <v>16782</v>
      </c>
      <c r="C795" s="3">
        <v>44402.814444444448</v>
      </c>
      <c r="D795" s="1" t="s">
        <v>1591</v>
      </c>
      <c r="E795" s="4" t="str">
        <f ca="1">IFERROR(__xludf.DUMMYFUNCTION("GOOGLETRANSLATE(A795 , ""tr"" , ""en"")"),"Amasya went to the blue.
Amasya is now among low-risk provinces. The rate of at least one dose of vaccines is over 75%. Adaptation to the rules of the epidemic struggle. We celebrate Amasya. Our blue news get a lot!")</f>
        <v>Amasya went to the blue.
Amasya is now among low-risk provinces. The rate of at least one dose of vaccines is over 75%. Adaptation to the rules of the epidemic struggle. We celebrate Amasya. Our blue news get a lot!</v>
      </c>
    </row>
    <row r="796" spans="1:5" ht="15.75" customHeight="1" x14ac:dyDescent="0.25">
      <c r="A796" s="1" t="s">
        <v>1592</v>
      </c>
      <c r="B796" s="1">
        <v>12229</v>
      </c>
      <c r="C796" s="3">
        <v>44402.744525462964</v>
      </c>
      <c r="D796" s="1" t="s">
        <v>1593</v>
      </c>
      <c r="E796" s="4" t="str">
        <f ca="1">IFERROR(__xludf.DUMMYFUNCTION("GOOGLETRANSLATE(A796 , ""tr"" , ""en"")"),"Covid-19 does not comply with the rules of the challenge of the challenge and it may take long to stop the outbreak of our vaccine immediately at the first opportunity. Consider the limits we have paid, the restrictions we live, financial and spiritual lo"&amp;"sses. Remember what we lost a lot of people. Outbreak is not defeated. Be your vaccine.")</f>
        <v>Covid-19 does not comply with the rules of the challenge of the challenge and it may take long to stop the outbreak of our vaccine immediately at the first opportunity. Consider the limits we have paid, the restrictions we live, financial and spiritual losses. Remember what we lost a lot of people. Outbreak is not defeated. Be your vaccine.</v>
      </c>
    </row>
    <row r="797" spans="1:5" ht="15.75" customHeight="1" x14ac:dyDescent="0.25">
      <c r="A797" s="1" t="s">
        <v>1594</v>
      </c>
      <c r="B797" s="1">
        <v>24946</v>
      </c>
      <c r="C797" s="3">
        <v>44402.734212962961</v>
      </c>
      <c r="D797" s="1" t="s">
        <v>1595</v>
      </c>
      <c r="E797" s="4" t="str">
        <f ca="1">IFERROR(__xludf.DUMMYFUNCTION("GOOGLETRANSLATE(A797 , ""tr"" , ""en"")"),"We can't say ""what to do, like that."" There are things we will do right now!")</f>
        <v>We can't say "what to do, like that." There are things we will do right now!</v>
      </c>
    </row>
    <row r="798" spans="1:5" ht="15.75" customHeight="1" x14ac:dyDescent="0.25">
      <c r="A798" s="1" t="s">
        <v>1596</v>
      </c>
      <c r="B798" s="1">
        <v>9816</v>
      </c>
      <c r="C798" s="3">
        <v>44402.683182870373</v>
      </c>
      <c r="D798" s="1" t="s">
        <v>1597</v>
      </c>
      <c r="E798" s="4" t="str">
        <f ca="1">IFERROR(__xludf.DUMMYFUNCTION("GOOGLETRANSLATE(A798 , ""tr"" , ""en"")"),"It would not be cautious and it may take a long time to stop the epidemic. Think about our loved ones we lost and be your vaccine. https://t.co/rvlhe7786o https://t.co/9vi5uoztqj")</f>
        <v>It would not be cautious and it may take a long time to stop the epidemic. Think about our loved ones we lost and be your vaccine. https://t.co/rvlhe7786o https://t.co/9vi5uoztqj</v>
      </c>
    </row>
    <row r="799" spans="1:5" ht="15.75" customHeight="1" x14ac:dyDescent="0.25">
      <c r="A799" s="1" t="s">
        <v>1598</v>
      </c>
      <c r="B799" s="1">
        <v>20439</v>
      </c>
      <c r="C799" s="3">
        <v>44402.33421296296</v>
      </c>
      <c r="D799" s="1" t="s">
        <v>1599</v>
      </c>
      <c r="E799" s="4" t="str">
        <f ca="1">IFERROR(__xludf.DUMMYFUNCTION("GOOGLETRANSLATE(A799 , ""tr"" , ""en"")"),"We can't go back and live more carefully on the last 10 days. It's up to us tomorrow!")</f>
        <v>We can't go back and live more carefully on the last 10 days. It's up to us tomorrow!</v>
      </c>
    </row>
    <row r="800" spans="1:5" ht="15.75" customHeight="1" x14ac:dyDescent="0.25">
      <c r="A800" s="1" t="s">
        <v>1600</v>
      </c>
      <c r="B800" s="1">
        <v>13407</v>
      </c>
      <c r="C800" s="3">
        <v>44402.315509259257</v>
      </c>
      <c r="D800" s="1" t="s">
        <v>1601</v>
      </c>
      <c r="E800" s="4" t="str">
        <f ca="1">IFERROR(__xludf.DUMMYFUNCTION("GOOGLETRANSLATE(A800 , ""tr"" , ""en"")"),"Approximately 23 million people have not yet been vaccinated. 2. The number of non-dose is 17 million. The double dose vaccine, 3. The number of people who do not have overdose is close to 9 million. We should quickly complete the process to get the resul"&amp;"t that we want from the vaccine. Current problem is the flexibility of measures. Let's address control.")</f>
        <v>Approximately 23 million people have not yet been vaccinated. 2. The number of non-dose is 17 million. The double dose vaccine, 3. The number of people who do not have overdose is close to 9 million. We should quickly complete the process to get the result that we want from the vaccine. Current problem is the flexibility of measures. Let's address control.</v>
      </c>
    </row>
    <row r="801" spans="1:5" ht="15.75" customHeight="1" x14ac:dyDescent="0.25">
      <c r="A801" s="1" t="s">
        <v>1602</v>
      </c>
      <c r="B801" s="1">
        <v>8427</v>
      </c>
      <c r="C801" s="3">
        <v>44401.885011574072</v>
      </c>
      <c r="D801" s="1" t="s">
        <v>1603</v>
      </c>
      <c r="E801" s="4" t="str">
        <f ca="1">IFERROR(__xludf.DUMMYFUNCTION("GOOGLETRANSLATE(A801 , ""tr"" , ""en"")"),"In the Fırat Kalkan area, our two soldiers were martyr in the attack on terrorists. Our two soldiers are injured. I wish the two heroes of our nation from Allah to the mercy, patience for the relatives, the immediate healing to our wounded. May the head o"&amp;"f our nation be right. https://t.co/nkdkkinkor")</f>
        <v>In the Fırat Kalkan area, our two soldiers were martyr in the attack on terrorists. Our two soldiers are injured. I wish the two heroes of our nation from Allah to the mercy, patience for the relatives, the immediate healing to our wounded. May the head of our nation be right. https://t.co/nkdkkinkor</v>
      </c>
    </row>
    <row r="802" spans="1:5" ht="15.75" customHeight="1" x14ac:dyDescent="0.25">
      <c r="A802" s="1" t="s">
        <v>1604</v>
      </c>
      <c r="B802" s="1">
        <v>9939</v>
      </c>
      <c r="C802" s="3">
        <v>44401.797152777777</v>
      </c>
      <c r="D802" s="1" t="s">
        <v>1605</v>
      </c>
      <c r="E802" s="4" t="str">
        <f ca="1">IFERROR(__xludf.DUMMYFUNCTION("GOOGLETRANSLATE(A802 , ""tr"" , ""en"")"),"Today's number of cases is 12.381. New Case Numbers are due to average contacts of 1 week as we know. This means that on recent days, we have forgotten that we are currently experienced in terms of epidemic, lead to the result of today. Let's get back to "&amp;"the re-fight with vaccination and measure.")</f>
        <v>Today's number of cases is 12.381. New Case Numbers are due to average contacts of 1 week as we know. This means that on recent days, we have forgotten that we are currently experienced in terms of epidemic, lead to the result of today. Let's get back to the re-fight with vaccination and measure.</v>
      </c>
    </row>
    <row r="803" spans="1:5" ht="15.75" customHeight="1" x14ac:dyDescent="0.25">
      <c r="A803" s="1" t="s">
        <v>1606</v>
      </c>
      <c r="B803" s="1">
        <v>21161</v>
      </c>
      <c r="C803" s="3">
        <v>44401.792662037034</v>
      </c>
      <c r="D803" s="1" t="s">
        <v>1607</v>
      </c>
      <c r="E803" s="4" t="str">
        <f ca="1">IFERROR(__xludf.DUMMYFUNCTION("GOOGLETRANSLATE(A803 , ""tr"" , ""en"")"),"Today's number of cases is 12.381. Let's get back to the re-fight with vaccination and measure.")</f>
        <v>Today's number of cases is 12.381. Let's get back to the re-fight with vaccination and measure.</v>
      </c>
    </row>
    <row r="804" spans="1:5" ht="15.75" customHeight="1" x14ac:dyDescent="0.25">
      <c r="A804" s="1" t="s">
        <v>1608</v>
      </c>
      <c r="B804" s="1">
        <v>8727</v>
      </c>
      <c r="C804" s="3">
        <v>44401.69159722222</v>
      </c>
      <c r="D804" s="1" t="s">
        <v>1609</v>
      </c>
      <c r="E804" s="4" t="str">
        <f ca="1">IFERROR(__xludf.DUMMYFUNCTION("GOOGLETRANSLATE(A804 , ""tr"" , ""en"")"),"The increase in the number of cases continues. This may also be reflected in hospitalization. The way to protect this is to comply with the measures and to be vaccinated. Be your vaccine don't waste time. Do not compromise the measure. https://t.co/rvlhe7"&amp;"786o https://t.co/53mqar5vvo")</f>
        <v>The increase in the number of cases continues. This may also be reflected in hospitalization. The way to protect this is to comply with the measures and to be vaccinated. Be your vaccine don't waste time. Do not compromise the measure. https://t.co/rvlhe7786o https://t.co/53mqar5vvo</v>
      </c>
    </row>
    <row r="805" spans="1:5" ht="15.75" customHeight="1" x14ac:dyDescent="0.25">
      <c r="A805" s="1" t="s">
        <v>1610</v>
      </c>
      <c r="B805" s="1">
        <v>4833</v>
      </c>
      <c r="C805" s="3">
        <v>44401.650150462963</v>
      </c>
      <c r="D805" s="1" t="s">
        <v>1611</v>
      </c>
      <c r="E805" s="4" t="str">
        <f ca="1">IFERROR(__xludf.DUMMYFUNCTION("GOOGLETRANSLATE(A805 , ""tr"" , ""en"")"),"Made the 3rd overdose of his older sister. Aydın Karacasu Community Health Center The EBE Deniz Ingan Darker, the Nursing Retire Brother Pınar Mehri Şanlier has made the 3rd dose of biontech vaccination. Sea Lady has a message to those who postpone the va"&amp;"ccine: ""We are examples of the healthpieces."" https://t.co/WIUS0HIJYR")</f>
        <v>Made the 3rd overdose of his older sister. Aydın Karacasu Community Health Center The EBE Deniz Ingan Darker, the Nursing Retire Brother Pınar Mehri Şanlier has made the 3rd dose of biontech vaccination. Sea Lady has a message to those who postpone the vaccine: "We are examples of the healthpieces." https://t.co/WIUS0HIJYR</v>
      </c>
    </row>
    <row r="806" spans="1:5" ht="15.75" customHeight="1" x14ac:dyDescent="0.25">
      <c r="A806" s="1" t="s">
        <v>1612</v>
      </c>
      <c r="B806" s="1">
        <v>7027</v>
      </c>
      <c r="C806" s="3">
        <v>44400.833124999997</v>
      </c>
      <c r="D806" s="1" t="s">
        <v>1613</v>
      </c>
      <c r="E806" s="4" t="str">
        <f ca="1">IFERROR(__xludf.DUMMYFUNCTION("GOOGLETRANSLATE(A806 , ""tr"" , ""en"")"),"Father and doctor daughter in vaccination. Dr. Mystery Ertürk Kastamonu works in the County State Hospital. Father Rafet Bey Health Officer, mother's midwife. They were caught in all family Covid-19 '. They spent heavy disease. Dr. Like the vaccinations o"&amp;"f Gizem, childhood, his father. https://t.co/p60xdjr6nb")</f>
        <v>Father and doctor daughter in vaccination. Dr. Mystery Ertürk Kastamonu works in the County State Hospital. Father Rafet Bey Health Officer, mother's midwife. They were caught in all family Covid-19 '. They spent heavy disease. Dr. Like the vaccinations of Gizem, childhood, his father. https://t.co/p60xdjr6nb</v>
      </c>
    </row>
    <row r="807" spans="1:5" ht="15.75" customHeight="1" x14ac:dyDescent="0.25">
      <c r="A807" s="1" t="s">
        <v>1614</v>
      </c>
      <c r="B807" s="1">
        <v>4147</v>
      </c>
      <c r="C807" s="3">
        <v>44400.829027777778</v>
      </c>
      <c r="D807" s="1" t="s">
        <v>1615</v>
      </c>
      <c r="E807" s="4" t="str">
        <f ca="1">IFERROR(__xludf.DUMMYFUNCTION("GOOGLETRANSLATE(A807 , ""tr"" , ""en"")"),"Mother girl in vaccination! The daughter of the Huriye lady with her vaccines, Buca Seyfi Demirosoy training and research hospital. Huriye lady is unstable on the second dose. The aft, the vaccination is why the condition is told. Mother love and accurate"&amp;" information! Both of them fixed the problem together. https://t.co/u5uoteo0xg")</f>
        <v>Mother girl in vaccination! The daughter of the Huriye lady with her vaccines, Buca Seyfi Demirosoy training and research hospital. Huriye lady is unstable on the second dose. The aft, the vaccination is why the condition is told. Mother love and accurate information! Both of them fixed the problem together. https://t.co/u5uoteo0xg</v>
      </c>
    </row>
    <row r="808" spans="1:5" ht="15.75" customHeight="1" x14ac:dyDescent="0.25">
      <c r="A808" s="1" t="s">
        <v>1616</v>
      </c>
      <c r="B808" s="1">
        <v>22820</v>
      </c>
      <c r="C808" s="3">
        <v>44400.717256944445</v>
      </c>
      <c r="D808" s="1" t="s">
        <v>1617</v>
      </c>
      <c r="E808" s="4" t="str">
        <f ca="1">IFERROR(__xludf.DUMMYFUNCTION("GOOGLETRANSLATE(A808 , ""tr"" , ""en"")"),"Number of cases today: 11.094
We must return to strict measure from flexibility and do our first overdose immediately.")</f>
        <v>Number of cases today: 11.094
We must return to strict measure from flexibility and do our first overdose immediately.</v>
      </c>
    </row>
    <row r="809" spans="1:5" ht="15.75" customHeight="1" x14ac:dyDescent="0.25">
      <c r="A809" s="1" t="s">
        <v>1618</v>
      </c>
      <c r="B809" s="1">
        <v>13008</v>
      </c>
      <c r="C809" s="3">
        <v>44400.704722222225</v>
      </c>
      <c r="D809" s="1" t="s">
        <v>1619</v>
      </c>
      <c r="E809" s="4" t="str">
        <f ca="1">IFERROR(__xludf.DUMMYFUNCTION("GOOGLETRANSLATE(A809 , ""tr"" , ""en"")"),"There is no infectious disease that drives the destructive effect. Unless community immunity is provided, Covid-19 also will become unimportant in the number of cases. Our institutions are at the day and day-to-day, our health workers are at your service."&amp;" If you haven't had your first dose vaccinations immediately.")</f>
        <v>There is no infectious disease that drives the destructive effect. Unless community immunity is provided, Covid-19 also will become unimportant in the number of cases. Our institutions are at the day and day-to-day, our health workers are at your service. If you haven't had your first dose vaccinations immediately.</v>
      </c>
    </row>
    <row r="810" spans="1:5" ht="15.75" customHeight="1" x14ac:dyDescent="0.25">
      <c r="A810" s="1" t="s">
        <v>1620</v>
      </c>
      <c r="B810" s="1">
        <v>5569</v>
      </c>
      <c r="C810" s="3">
        <v>44400.68445601852</v>
      </c>
      <c r="D810" s="1" t="s">
        <v>1621</v>
      </c>
      <c r="E810" s="4" t="str">
        <f ca="1">IFERROR(__xludf.DUMMYFUNCTION("GOOGLETRANSLATE(A810 , ""tr"" , ""en"")"),"If you want to get better than today, follow the measures. Be your vaccine. The given labor is the mortality of all of us. https://t.co/rvlhe7786o https://t.co/kznv6bigfd")</f>
        <v>If you want to get better than today, follow the measures. Be your vaccine. The given labor is the mortality of all of us. https://t.co/rvlhe7786o https://t.co/kznv6bigfd</v>
      </c>
    </row>
    <row r="811" spans="1:5" ht="15.75" customHeight="1" x14ac:dyDescent="0.25">
      <c r="A811" s="1" t="s">
        <v>1622</v>
      </c>
      <c r="B811" s="1">
        <v>8142</v>
      </c>
      <c r="C811" s="3">
        <v>44400.668078703704</v>
      </c>
      <c r="D811" s="1" t="s">
        <v>1623</v>
      </c>
      <c r="E811" s="4" t="str">
        <f ca="1">IFERROR(__xludf.DUMMYFUNCTION("GOOGLETRANSLATE(A811 , ""tr"" , ""en"")"),"We passed a total of 65 million dose in our vaccine campaign. Success is common and large. However, let's not forget that the number of those who have not yet been in the population of 18 years or older is close to 23 million. This is also a serious weake"&amp;"st point. Let's have the first dose from snooze.")</f>
        <v>We passed a total of 65 million dose in our vaccine campaign. Success is common and large. However, let's not forget that the number of those who have not yet been in the population of 18 years or older is close to 23 million. This is also a serious weakest point. Let's have the first dose from snooze.</v>
      </c>
    </row>
    <row r="812" spans="1:5" ht="15.75" customHeight="1" x14ac:dyDescent="0.25">
      <c r="A812" s="1" t="s">
        <v>1624</v>
      </c>
      <c r="B812" s="1">
        <v>3808</v>
      </c>
      <c r="C812" s="3">
        <v>44400.66070601852</v>
      </c>
      <c r="D812" s="1" t="s">
        <v>1625</v>
      </c>
      <c r="E812" s="4" t="str">
        <f ca="1">IFERROR(__xludf.DUMMYFUNCTION("GOOGLETRANSLATE(A812 , ""tr"" , ""en"")"),"In November, the entire family Covid-19 is the nurse Ayşebarku, this time his brother's Sister Recep. The proposal of our friend to postpone the vaccination of our friend in Hatay: ""A moment before!"" https://t.co/updlqnhjx6")</f>
        <v>In November, the entire family Covid-19 is the nurse Ayşebarku, this time his brother's Sister Recep. The proposal of our friend to postpone the vaccination of our friend in Hatay: "A moment before!" https://t.co/updlqnhjx6</v>
      </c>
    </row>
    <row r="813" spans="1:5" ht="15.75" customHeight="1" x14ac:dyDescent="0.25">
      <c r="A813" s="1" t="s">
        <v>1626</v>
      </c>
      <c r="B813" s="1">
        <v>3857</v>
      </c>
      <c r="C813" s="3">
        <v>44400.653912037036</v>
      </c>
      <c r="D813" s="1" t="s">
        <v>1627</v>
      </c>
      <c r="E813" s="4" t="str">
        <f ca="1">IFERROR(__xludf.DUMMYFUNCTION("GOOGLETRANSLATE(A813 , ""tr"" , ""en"")"),"The nurse on the foot is Ayşebarku. Sitting, nurse gamze climber. The nurse lady is the vaccination of the nurse lady. Two friends at Hatay had also spent Covid-19. Both of the importance of the vaccine knows both patients and well as health workers. http"&amp;"s://t.co/mxmhx1irnu")</f>
        <v>The nurse on the foot is Ayşebarku. Sitting, nurse gamze climber. The nurse lady is the vaccination of the nurse lady. Two friends at Hatay had also spent Covid-19. Both of the importance of the vaccine knows both patients and well as health workers. https://t.co/mxmhx1irnu</v>
      </c>
    </row>
    <row r="814" spans="1:5" ht="15.75" customHeight="1" x14ac:dyDescent="0.25">
      <c r="A814" s="1" t="s">
        <v>1628</v>
      </c>
      <c r="B814" s="1">
        <v>13307</v>
      </c>
      <c r="C814" s="3">
        <v>44400.648796296293</v>
      </c>
      <c r="D814" s="1" t="s">
        <v>1629</v>
      </c>
      <c r="E814" s="4" t="str">
        <f ca="1">IFERROR(__xludf.DUMMYFUNCTION("GOOGLETRANSLATE(A814 , ""tr"" , ""en"")"),"We passed 65 million dose in our vaccine campaign. Let's get our place among those who have the vaccination.")</f>
        <v>We passed 65 million dose in our vaccine campaign. Let's get our place among those who have the vaccination.</v>
      </c>
    </row>
    <row r="815" spans="1:5" ht="15.75" customHeight="1" x14ac:dyDescent="0.25">
      <c r="A815" s="1" t="s">
        <v>1630</v>
      </c>
      <c r="B815" s="1">
        <v>14693</v>
      </c>
      <c r="C815" s="3">
        <v>44399.870104166665</v>
      </c>
      <c r="D815" s="1" t="s">
        <v>1631</v>
      </c>
      <c r="E815" s="4" t="str">
        <f ca="1">IFERROR(__xludf.DUMMYFUNCTION("GOOGLETRANSLATE(A815 , ""tr"" , ""en"")"),"The physician candidate's the pain of our brother burned our heart. Faculty of Faculty of Faculty of Kırıkkale has learned that the Alp Eker has been reached in the lifeless body. The first day of the feast was lost trying to find the sacrifice that escap"&amp;"ed into the mountainous area. I wish his parents to their friends condolences. https://t.co/dqekddslie")</f>
        <v>The physician candidate's the pain of our brother burned our heart. Faculty of Faculty of Faculty of Kırıkkale has learned that the Alp Eker has been reached in the lifeless body. The first day of the feast was lost trying to find the sacrifice that escaped into the mountainous area. I wish his parents to their friends condolences. https://t.co/dqekddslie</v>
      </c>
    </row>
    <row r="816" spans="1:5" ht="15.75" customHeight="1" x14ac:dyDescent="0.25">
      <c r="A816" s="1" t="s">
        <v>1632</v>
      </c>
      <c r="B816" s="1">
        <v>7989</v>
      </c>
      <c r="C816" s="3">
        <v>44399.853761574072</v>
      </c>
      <c r="D816" s="1" t="s">
        <v>1633</v>
      </c>
      <c r="E816" s="4" t="str">
        <f ca="1">IFERROR(__xludf.DUMMYFUNCTION("GOOGLETRANSLATE(A816 , ""tr"" , ""en"")"),"We know the number of cases with our experiences in 1 day, in a few days. We will probably face a higher number tomorrow. The rules we will comply with the next days will determine the vaccines we will make. Let's move according to the conclusion we want "&amp;"to get. Let's be committed.")</f>
        <v>We know the number of cases with our experiences in 1 day, in a few days. We will probably face a higher number tomorrow. The rules we will comply with the next days will determine the vaccines we will make. Let's move according to the conclusion we want to get. Let's be committed.</v>
      </c>
    </row>
    <row r="817" spans="1:5" ht="15.75" customHeight="1" x14ac:dyDescent="0.25">
      <c r="A817" s="1" t="s">
        <v>1634</v>
      </c>
      <c r="B817" s="1">
        <v>10514</v>
      </c>
      <c r="C817" s="3">
        <v>44399.850127314814</v>
      </c>
      <c r="D817" s="1" t="s">
        <v>1635</v>
      </c>
      <c r="E817" s="4" t="str">
        <f ca="1">IFERROR(__xludf.DUMMYFUNCTION("GOOGLETRANSLATE(A817 , ""tr"" , ""en"")"),"We have been at least one dose of our 63%. If the rate of vaccination was lower, we will encounter higher case numbers today. Our weakest point is to be tired of the rules of the epidemic struggle and some of us delay the vaccination. Let's address contro"&amp;"l with the rules.")</f>
        <v>We have been at least one dose of our 63%. If the rate of vaccination was lower, we will encounter higher case numbers today. Our weakest point is to be tired of the rules of the epidemic struggle and some of us delay the vaccination. Let's address control with the rules.</v>
      </c>
    </row>
    <row r="818" spans="1:5" ht="15.75" customHeight="1" x14ac:dyDescent="0.25">
      <c r="A818" s="1" t="s">
        <v>1636</v>
      </c>
      <c r="B818" s="1">
        <v>22862</v>
      </c>
      <c r="C818" s="3">
        <v>44399.74015046296</v>
      </c>
      <c r="D818" s="1" t="s">
        <v>1637</v>
      </c>
      <c r="E818" s="4" t="str">
        <f ca="1">IFERROR(__xludf.DUMMYFUNCTION("GOOGLETRANSLATE(A818 , ""tr"" , ""en"")"),"New Case Numbers have 2 times in 2 weeks. Solution: The strict measure from the moment is the vaccination at the first opportunity. Our health institutions for the first dose and continued doses are at your order at night. Let's stretch the number of case"&amp;"s with 9.586.")</f>
        <v>New Case Numbers have 2 times in 2 weeks. Solution: The strict measure from the moment is the vaccination at the first opportunity. Our health institutions for the first dose and continued doses are at your order at night. Let's stretch the number of cases with 9.586.</v>
      </c>
    </row>
    <row r="819" spans="1:5" ht="15.75" customHeight="1" x14ac:dyDescent="0.25">
      <c r="A819" s="1" t="s">
        <v>1638</v>
      </c>
      <c r="B819" s="1">
        <v>6738</v>
      </c>
      <c r="C819" s="3">
        <v>44399.722118055557</v>
      </c>
      <c r="D819" s="1" t="s">
        <v>1639</v>
      </c>
      <c r="E819" s="4" t="str">
        <f ca="1">IFERROR(__xludf.DUMMYFUNCTION("GOOGLETRANSLATE(A819 , ""tr"" , ""en"")"),"We've reached the highest number of cases today. The epidemic is out of the agenda without securing the vaccine. Get your measure vaccine. This is our social responsibility. https://t.co/vkwjp8fnml")</f>
        <v>We've reached the highest number of cases today. The epidemic is out of the agenda without securing the vaccine. Get your measure vaccine. This is our social responsibility. https://t.co/vkwjp8fnml</v>
      </c>
    </row>
    <row r="820" spans="1:5" ht="15.75" customHeight="1" x14ac:dyDescent="0.25">
      <c r="A820" s="1" t="s">
        <v>1640</v>
      </c>
      <c r="B820" s="1">
        <v>4018</v>
      </c>
      <c r="C820" s="3">
        <v>44399.693715277775</v>
      </c>
      <c r="D820" s="1" t="s">
        <v>1641</v>
      </c>
      <c r="E820" s="4" t="str">
        <f ca="1">IFERROR(__xludf.DUMMYFUNCTION("GOOGLETRANSLATE(A820 , ""tr"" , ""en"")"),"The number of cases in a final week is the most increasing provinces; Siirt, Giresun, Bingöl, Diyarbakir and Kırıkkale. We have to comply with the measures until social immunity is obtained. Don't jeopardize your loved ones. https://t.co/8lkn9y8hqw")</f>
        <v>The number of cases in a final week is the most increasing provinces; Siirt, Giresun, Bingöl, Diyarbakir and Kırıkkale. We have to comply with the measures until social immunity is obtained. Don't jeopardize your loved ones. https://t.co/8lkn9y8hqw</v>
      </c>
    </row>
    <row r="821" spans="1:5" ht="15.75" customHeight="1" x14ac:dyDescent="0.25">
      <c r="A821" s="1" t="s">
        <v>1642</v>
      </c>
      <c r="B821" s="1">
        <v>4249</v>
      </c>
      <c r="C821" s="3">
        <v>44399.689942129633</v>
      </c>
      <c r="D821" s="1" t="s">
        <v>1643</v>
      </c>
      <c r="E821" s="4" t="str">
        <f ca="1">IFERROR(__xludf.DUMMYFUNCTION("GOOGLETRANSLATE(A821 , ""tr"" , ""en"")"),"In our provinces, you can see the current version of the incidence map that shows a total number of considers who correspond to 100,000 population. If we can complete the vaccine program as soon as possible, we remain outside the epidemic agenda. https://"&amp;"t.co/IOOSIR3VRC")</f>
        <v>In our provinces, you can see the current version of the incidence map that shows a total number of considers who correspond to 100,000 population. If we can complete the vaccine program as soon as possible, we remain outside the epidemic agenda. https://t.co/IOOSIR3VRC</v>
      </c>
    </row>
    <row r="822" spans="1:5" ht="15.75" customHeight="1" x14ac:dyDescent="0.25">
      <c r="A822" s="1" t="s">
        <v>1644</v>
      </c>
      <c r="B822" s="1">
        <v>5072</v>
      </c>
      <c r="C822" s="3">
        <v>44399.61041666667</v>
      </c>
      <c r="D822" s="1" t="s">
        <v>1645</v>
      </c>
      <c r="E822" s="4" t="str">
        <f ca="1">IFERROR(__xludf.DUMMYFUNCTION("GOOGLETRANSLATE(A822 , ""tr"" , ""en"")"),"In Artvin Arhavi, the Afat Seven 112 Ambulances, which leads to heavy rainborne floods, 1 Umke Timi was assigned. 1 person under the dent was transmitted to the hospital. The condition is good. Arhavi State Hospital began to accept patient. Get the past, "&amp;"we are on the artvin, we are in for your health!")</f>
        <v>In Artvin Arhavi, the Afat Seven 112 Ambulances, which leads to heavy rainborne floods, 1 Umke Timi was assigned. 1 person under the dent was transmitted to the hospital. The condition is good. Arhavi State Hospital began to accept patient. Get the past, we are on the artvin, we are in for your health!</v>
      </c>
    </row>
    <row r="823" spans="1:5" ht="15.75" customHeight="1" x14ac:dyDescent="0.25">
      <c r="A823" s="1" t="s">
        <v>1646</v>
      </c>
      <c r="B823" s="1">
        <v>6235</v>
      </c>
      <c r="C823" s="3">
        <v>44399.524108796293</v>
      </c>
      <c r="D823" s="1" t="s">
        <v>1647</v>
      </c>
      <c r="E823" s="4" t="str">
        <f ca="1">IFERROR(__xludf.DUMMYFUNCTION("GOOGLETRANSLATE(A823 , ""tr"" , ""en"")"),"Gaziantep provincial ambulance is an official team in the Case of Case. A bird fell in front of the road. They turn and pick up, the foot is broken. They made a dressing on their wounds. Will stay there till the bird they bring to the station is healing. "&amp;"Health Worker Heart! Be right friends. https://t.co/nwhutd0k3t")</f>
        <v>Gaziantep provincial ambulance is an official team in the Case of Case. A bird fell in front of the road. They turn and pick up, the foot is broken. They made a dressing on their wounds. Will stay there till the bird they bring to the station is healing. Health Worker Heart! Be right friends. https://t.co/nwhutd0k3t</v>
      </c>
    </row>
    <row r="824" spans="1:5" ht="15.75" customHeight="1" x14ac:dyDescent="0.25">
      <c r="A824" s="1" t="s">
        <v>1648</v>
      </c>
      <c r="B824" s="1">
        <v>12528</v>
      </c>
      <c r="C824" s="3">
        <v>44399.503645833334</v>
      </c>
      <c r="D824" s="1" t="s">
        <v>1649</v>
      </c>
      <c r="E824" s="4" t="str">
        <f ca="1">IFERROR(__xludf.DUMMYFUNCTION("GOOGLETRANSLATE(A824 , ""tr"" , ""en"")"),"We've lost the theater artist Turgay Star with heart discomfort for a while. The treatment of our patient was finally continued in the intensive care unit of Ankara city hospital. I wish himself from Allah to the mercy, family, lovers.")</f>
        <v>We've lost the theater artist Turgay Star with heart discomfort for a while. The treatment of our patient was finally continued in the intensive care unit of Ankara city hospital. I wish himself from Allah to the mercy, family, lovers.</v>
      </c>
    </row>
    <row r="825" spans="1:5" ht="15.75" customHeight="1" x14ac:dyDescent="0.25">
      <c r="A825" s="1" t="s">
        <v>1650</v>
      </c>
      <c r="B825" s="1">
        <v>13140</v>
      </c>
      <c r="C825" s="3">
        <v>44399.293113425927</v>
      </c>
      <c r="D825" s="1" t="s">
        <v>1651</v>
      </c>
      <c r="E825" s="4" t="str">
        <f ca="1">IFERROR(__xludf.DUMMYFUNCTION("GOOGLETRANSLATE(A825 , ""tr"" , ""en"")"),"The social immunity to be provided by vaccines and measures is otherwise vicious circle. Follow the measures to finish your outbreak, be your vaccination. Either the measure and vaccine, either vicious circle!")</f>
        <v>The social immunity to be provided by vaccines and measures is otherwise vicious circle. Follow the measures to finish your outbreak, be your vaccination. Either the measure and vaccine, either vicious circle!</v>
      </c>
    </row>
    <row r="826" spans="1:5" ht="15.75" customHeight="1" x14ac:dyDescent="0.25">
      <c r="A826" s="1" t="s">
        <v>1652</v>
      </c>
      <c r="B826" s="1">
        <v>20294</v>
      </c>
      <c r="C826" s="3">
        <v>44398.715682870374</v>
      </c>
      <c r="D826" s="1" t="s">
        <v>1653</v>
      </c>
      <c r="E826" s="4" t="str">
        <f ca="1">IFERROR(__xludf.DUMMYFUNCTION("GOOGLETRANSLATE(A826 , ""tr"" , ""en"")"),"""We'll get a little more time!"" What if it is a little late? The number of daily cases is up to 8,780. If you delayed your vaccine immediately.")</f>
        <v>"We'll get a little more time!" What if it is a little late? The number of daily cases is up to 8,780. If you delayed your vaccine immediately.</v>
      </c>
    </row>
    <row r="827" spans="1:5" ht="15.75" customHeight="1" x14ac:dyDescent="0.25">
      <c r="A827" s="1" t="s">
        <v>1654</v>
      </c>
      <c r="B827" s="1">
        <v>5890</v>
      </c>
      <c r="C827" s="3">
        <v>44398.701527777775</v>
      </c>
      <c r="D827" s="1" t="s">
        <v>1655</v>
      </c>
      <c r="E827" s="4" t="str">
        <f ca="1">IFERROR(__xludf.DUMMYFUNCTION("GOOGLETRANSLATE(A827 , ""tr"" , ""en"")"),"The feast is extremely important to control the increasing case numbers. The vaccine is out of epidemics if social immunity is achieved by complying with measures. Otherwise vicious circle. Observe the measures, make your vaccination. https://t.co/rvlhe77"&amp;"86o https://t.co/qqrgactxwb")</f>
        <v>The feast is extremely important to control the increasing case numbers. The vaccine is out of epidemics if social immunity is achieved by complying with measures. Otherwise vicious circle. Observe the measures, make your vaccination. https://t.co/rvlhe7786o https://t.co/qqrgactxwb</v>
      </c>
    </row>
    <row r="828" spans="1:5" ht="15.75" customHeight="1" x14ac:dyDescent="0.25">
      <c r="A828" s="1" t="s">
        <v>1656</v>
      </c>
      <c r="B828" s="1">
        <v>6957</v>
      </c>
      <c r="C828" s="3">
        <v>44398.669016203705</v>
      </c>
      <c r="D828" s="1" t="s">
        <v>1657</v>
      </c>
      <c r="E828" s="4" t="str">
        <f ca="1">IFERROR(__xludf.DUMMYFUNCTION("GOOGLETRANSLATE(A828 , ""tr"" , ""en"")"),"28-year-old Ahmet Yilmaz, the first overdose in the village of Kütahya, where second dose vaccines are completed, was the last person of the first overdose. He greeted our teams at the village entrance and his vaccination. https://t.co/3c5u1ajgfv")</f>
        <v>28-year-old Ahmet Yilmaz, the first overdose in the village of Kütahya, where second dose vaccines are completed, was the last person of the first overdose. He greeted our teams at the village entrance and his vaccination. https://t.co/3c5u1ajgfv</v>
      </c>
    </row>
    <row r="829" spans="1:5" ht="15.75" customHeight="1" x14ac:dyDescent="0.25">
      <c r="A829" s="1" t="s">
        <v>1658</v>
      </c>
      <c r="B829" s="1">
        <v>10089</v>
      </c>
      <c r="C829" s="3">
        <v>44397.867511574077</v>
      </c>
      <c r="D829" s="1" t="s">
        <v>1659</v>
      </c>
      <c r="E829" s="4" t="str">
        <f ca="1">IFERROR(__xludf.DUMMYFUNCTION("GOOGLETRANSLATE(A829 , ""tr"" , ""en"")"),"Our ambulance of Kahramanmaras provincial ambulance service is an accident during the patient transplantation. Our severe injured driver has not been saved in spite of all interventions in the hospital it is grown. 2 Health personnel are driving 5 people."&amp;" May God experience similar pain.")</f>
        <v>Our ambulance of Kahramanmaras provincial ambulance service is an accident during the patient transplantation. Our severe injured driver has not been saved in spite of all interventions in the hospital it is grown. 2 Health personnel are driving 5 people. May God experience similar pain.</v>
      </c>
    </row>
    <row r="830" spans="1:5" ht="15.75" customHeight="1" x14ac:dyDescent="0.25">
      <c r="A830" s="1" t="s">
        <v>1660</v>
      </c>
      <c r="B830" s="1">
        <v>17729</v>
      </c>
      <c r="C830" s="3">
        <v>44397.77847222222</v>
      </c>
      <c r="D830" s="1" t="s">
        <v>1661</v>
      </c>
      <c r="E830" s="4" t="str">
        <f ca="1">IFERROR(__xludf.DUMMYFUNCTION("GOOGLETRANSLATE(A830 , ""tr"" , ""en"")"),"The new number of cases today is 8,780.
Nothing is to serve this number in the holiday size.")</f>
        <v>The new number of cases today is 8,780.
Nothing is to serve this number in the holiday size.</v>
      </c>
    </row>
    <row r="831" spans="1:5" ht="15.75" customHeight="1" x14ac:dyDescent="0.25">
      <c r="A831" s="1" t="s">
        <v>1662</v>
      </c>
      <c r="B831" s="1">
        <v>10320</v>
      </c>
      <c r="C831" s="3">
        <v>44397.766180555554</v>
      </c>
      <c r="D831" s="1" t="s">
        <v>1663</v>
      </c>
      <c r="E831" s="4" t="str">
        <f ca="1">IFERROR(__xludf.DUMMYFUNCTION("GOOGLETRANSLATE(A831 , ""tr"" , ""en"")"),"Two dose vaccines cuts the presence of case numbers. The two dose vaccines provide the decrease in the number of cases no longer return. Let's be very careful without breaking the feast. Permanent solution is immune to be acquired with vaccine. The new nu"&amp;"mber of cases today is 8,780. Get in mind all over Turkey.")</f>
        <v>Two dose vaccines cuts the presence of case numbers. The two dose vaccines provide the decrease in the number of cases no longer return. Let's be very careful without breaking the feast. Permanent solution is immune to be acquired with vaccine. The new number of cases today is 8,780. Get in mind all over Turkey.</v>
      </c>
    </row>
    <row r="832" spans="1:5" ht="15.75" customHeight="1" x14ac:dyDescent="0.25">
      <c r="A832" s="1" t="s">
        <v>1664</v>
      </c>
      <c r="B832" s="1">
        <v>6339</v>
      </c>
      <c r="C832" s="3">
        <v>44397.701238425929</v>
      </c>
      <c r="D832" s="1" t="s">
        <v>1665</v>
      </c>
      <c r="E832" s="4" t="str">
        <f ca="1">IFERROR(__xludf.DUMMYFUNCTION("GOOGLETRANSLATE(A832 , ""tr"" , ""en"")"),"A moment to prevent the increase in the number of cases is to obtain immunity as two dose vaccines. The feast is not to turn into an opportunity for epidemic illness. May be a combination of joy and augu. https://t.co/rvlhe7786o https://t.co/m3mwgc78m7")</f>
        <v>A moment to prevent the increase in the number of cases is to obtain immunity as two dose vaccines. The feast is not to turn into an opportunity for epidemic illness. May be a combination of joy and augu. https://t.co/rvlhe7786o https://t.co/m3mwgc78m7</v>
      </c>
    </row>
    <row r="833" spans="1:5" ht="15.75" customHeight="1" x14ac:dyDescent="0.25">
      <c r="A833" s="1" t="s">
        <v>1666</v>
      </c>
      <c r="B833" s="1">
        <v>10947</v>
      </c>
      <c r="C833" s="3">
        <v>44397.564791666664</v>
      </c>
      <c r="D833" s="1" t="s">
        <v>1667</v>
      </c>
      <c r="E833" s="4" t="str">
        <f ca="1">IFERROR(__xludf.DUMMYFUNCTION("GOOGLETRANSLATE(A833 , ""tr"" , ""en"")"),"Do not leave the turn.
Get your vaccine now on your current location. Our health institutions are at your service for the first dose and continuation dose vaccines.")</f>
        <v>Do not leave the turn.
Get your vaccine now on your current location. Our health institutions are at your service for the first dose and continuation dose vaccines.</v>
      </c>
    </row>
    <row r="834" spans="1:5" ht="15.75" customHeight="1" x14ac:dyDescent="0.25">
      <c r="A834" s="1" t="s">
        <v>1668</v>
      </c>
      <c r="B834" s="1">
        <v>7170</v>
      </c>
      <c r="C834" s="3">
        <v>44397.465601851851</v>
      </c>
      <c r="D834" s="1" t="s">
        <v>1669</v>
      </c>
      <c r="E834" s="4" t="str">
        <f ca="1">IFERROR(__xludf.DUMMYFUNCTION("GOOGLETRANSLATE(A834 , ""tr"" , ""en"")"),"Our anesthetist friend who is caught in Covid-19 in May Dr. Volkan benefit, 20 days in intensive care, 45 days at the service gave life struggles. Balıkesir Atatürk is again in the city hospital. While Covid is interested in intensive care patients, there"&amp;" is also a vaccine polyclinet. https://t.co/edlt9tsmot")</f>
        <v>Our anesthetist friend who is caught in Covid-19 in May Dr. Volkan benefit, 20 days in intensive care, 45 days at the service gave life struggles. Balıkesir Atatürk is again in the city hospital. While Covid is interested in intensive care patients, there is also a vaccine polyclinet. https://t.co/edlt9tsmot</v>
      </c>
    </row>
    <row r="835" spans="1:5" ht="15.75" customHeight="1" x14ac:dyDescent="0.25">
      <c r="A835" s="1" t="s">
        <v>1670</v>
      </c>
      <c r="B835" s="1">
        <v>5571</v>
      </c>
      <c r="C835" s="3">
        <v>44397.167604166665</v>
      </c>
      <c r="D835" s="1" t="s">
        <v>1671</v>
      </c>
      <c r="E835" s="4" t="str">
        <f ca="1">IFERROR(__xludf.DUMMYFUNCTION("GOOGLETRANSLATE(A835 , ""tr"" , ""en"")"),"We have to start the preparation of the holidays today. Let's allocate our video chat for two minutes. Our feast of the sacrifice, our joys are such a great and one. https://t.co/m42xgh3syd")</f>
        <v>We have to start the preparation of the holidays today. Let's allocate our video chat for two minutes. Our feast of the sacrifice, our joys are such a great and one. https://t.co/m42xgh3syd</v>
      </c>
    </row>
    <row r="836" spans="1:5" ht="15.75" customHeight="1" x14ac:dyDescent="0.25">
      <c r="A836" s="1" t="s">
        <v>1672</v>
      </c>
      <c r="B836" s="1">
        <v>3775</v>
      </c>
      <c r="C836" s="3">
        <v>44396.78806712963</v>
      </c>
      <c r="D836" s="1" t="s">
        <v>1673</v>
      </c>
      <c r="E836" s="4" t="str">
        <f ca="1">IFERROR(__xludf.DUMMYFUNCTION("GOOGLETRANSLATE(A836 , ""tr"" , ""en"")"),"The place arrived we went to the fields. In the village gardens we met in the city squads. Now the number of those who have at least one dose of overdose is over 39 million. I celebrate the feast of each person of our country, those who have vaccines, the"&amp;" home wandering and the vaccine. https://t.co/rkzh0h3nng")</f>
        <v>The place arrived we went to the fields. In the village gardens we met in the city squads. Now the number of those who have at least one dose of overdose is over 39 million. I celebrate the feast of each person of our country, those who have vaccines, the home wandering and the vaccine. https://t.co/rkzh0h3nng</v>
      </c>
    </row>
    <row r="837" spans="1:5" ht="15.75" customHeight="1" x14ac:dyDescent="0.25">
      <c r="A837" s="1" t="s">
        <v>1674</v>
      </c>
      <c r="B837" s="1">
        <v>14301</v>
      </c>
      <c r="C837" s="3">
        <v>44396.750694444447</v>
      </c>
      <c r="D837" s="1" t="s">
        <v>1675</v>
      </c>
      <c r="E837" s="4" t="str">
        <f ca="1">IFERROR(__xludf.DUMMYFUNCTION("GOOGLETRANSLATE(A837 , ""tr"" , ""en"")"),"To meet, be involved.
The two are resembling each other. Let's keep the distance on holiday.")</f>
        <v>To meet, be involved.
The two are resembling each other. Let's keep the distance on holiday.</v>
      </c>
    </row>
    <row r="838" spans="1:5" ht="15.75" customHeight="1" x14ac:dyDescent="0.25">
      <c r="A838" s="1" t="s">
        <v>1676</v>
      </c>
      <c r="B838" s="1">
        <v>18855</v>
      </c>
      <c r="C838" s="3">
        <v>44396.730127314811</v>
      </c>
      <c r="D838" s="1" t="s">
        <v>1677</v>
      </c>
      <c r="E838" s="4" t="str">
        <f ca="1">IFERROR(__xludf.DUMMYFUNCTION("GOOGLETRANSLATE(A838 , ""tr"" , ""en"")"),"Nice to meet, the patient has to leave. Let's be careful in the holiday.")</f>
        <v>Nice to meet, the patient has to leave. Let's be careful in the holiday.</v>
      </c>
    </row>
    <row r="839" spans="1:5" ht="15.75" customHeight="1" x14ac:dyDescent="0.25">
      <c r="A839" s="1" t="s">
        <v>1678</v>
      </c>
      <c r="B839" s="1">
        <v>4851</v>
      </c>
      <c r="C839" s="3">
        <v>44396.703773148147</v>
      </c>
      <c r="D839" s="1" t="s">
        <v>1679</v>
      </c>
      <c r="E839" s="4" t="str">
        <f ca="1">IFERROR(__xludf.DUMMYFUNCTION("GOOGLETRANSLATE(A839 , ""tr"" , ""en"")"),"The number of cases increased by about 30% compared to last week. Do not underestimate measures in festive flurry and joy. Closed and stay away from crowded environments. Do not make imprudences to drop shadow to Bayram. https://t.co/rvlhe7786o https://t."&amp;"co/e6tm3xluz3")</f>
        <v>The number of cases increased by about 30% compared to last week. Do not underestimate measures in festive flurry and joy. Closed and stay away from crowded environments. Do not make imprudences to drop shadow to Bayram. https://t.co/rvlhe7786o https://t.co/e6tm3xluz3</v>
      </c>
    </row>
    <row r="840" spans="1:5" ht="15.75" customHeight="1" x14ac:dyDescent="0.25">
      <c r="A840" s="1" t="s">
        <v>1680</v>
      </c>
      <c r="B840" s="1">
        <v>6246</v>
      </c>
      <c r="C840" s="3">
        <v>44396.698333333334</v>
      </c>
      <c r="D840" s="1" t="s">
        <v>1681</v>
      </c>
      <c r="E840" s="4" t="str">
        <f ca="1">IFERROR(__xludf.DUMMYFUNCTION("GOOGLETRANSLATE(A840 , ""tr"" , ""en"")"),"The number of those who have at least one dose of oversees has passed 39 million.
This number corresponds to approximately 63% of the population of 18 years or older.")</f>
        <v>The number of those who have at least one dose of oversees has passed 39 million.
This number corresponds to approximately 63% of the population of 18 years or older.</v>
      </c>
    </row>
    <row r="841" spans="1:5" ht="15.75" customHeight="1" x14ac:dyDescent="0.25">
      <c r="A841" s="1" t="s">
        <v>1682</v>
      </c>
      <c r="B841" s="1">
        <v>8072</v>
      </c>
      <c r="C841" s="3">
        <v>44396.693599537037</v>
      </c>
      <c r="D841" s="1" t="s">
        <v>1683</v>
      </c>
      <c r="E841" s="4" t="str">
        <f ca="1">IFERROR(__xludf.DUMMYFUNCTION("GOOGLETRANSLATE(A841 , ""tr"" , ""en"")"),"The number of two dose of overdoses has passed 20 million.
This number corresponds to about 33% of the population of 18 years or older.")</f>
        <v>The number of two dose of overdoses has passed 20 million.
This number corresponds to about 33% of the population of 18 years or older.</v>
      </c>
    </row>
    <row r="842" spans="1:5" ht="15.75" customHeight="1" x14ac:dyDescent="0.25">
      <c r="A842" s="1" t="s">
        <v>1684</v>
      </c>
      <c r="B842" s="1">
        <v>11843</v>
      </c>
      <c r="C842" s="3">
        <v>44396.392453703702</v>
      </c>
      <c r="D842" s="1" t="s">
        <v>1685</v>
      </c>
      <c r="E842" s="4" t="str">
        <f ca="1">IFERROR(__xludf.DUMMYFUNCTION("GOOGLETRANSLATE(A842 , ""tr"" , ""en"")"),"Depending on the environments where transmission is easier, the number of cases is increasing. Number of new cases with 5.261 a week ago yesterday 7,680 yesterday. A little more care keeps our joy in the feast, prevents us from spending the patient after "&amp;"the holiday.")</f>
        <v>Depending on the environments where transmission is easier, the number of cases is increasing. Number of new cases with 5.261 a week ago yesterday 7,680 yesterday. A little more care keeps our joy in the feast, prevents us from spending the patient after the holiday.</v>
      </c>
    </row>
    <row r="843" spans="1:5" ht="15.75" customHeight="1" x14ac:dyDescent="0.25">
      <c r="A843" s="1" t="s">
        <v>1686</v>
      </c>
      <c r="B843" s="1">
        <v>9206</v>
      </c>
      <c r="C843" s="3">
        <v>44396.362129629626</v>
      </c>
      <c r="D843" s="1" t="s">
        <v>1687</v>
      </c>
      <c r="E843" s="4" t="str">
        <f ca="1">IFERROR(__xludf.DUMMYFUNCTION("GOOGLETRANSLATE(A843 , ""tr"" , ""en"")"),"Make your fans vaccinated I thank the football clubs and clubs who call. Let's be our vaccine, let the tribunes have a full staff. https://t.co/5d05toswfn")</f>
        <v>Make your fans vaccinated I thank the football clubs and clubs who call. Let's be our vaccine, let the tribunes have a full staff. https://t.co/5d05toswfn</v>
      </c>
    </row>
    <row r="844" spans="1:5" ht="15.75" customHeight="1" x14ac:dyDescent="0.25">
      <c r="A844" s="1" t="s">
        <v>1688</v>
      </c>
      <c r="B844" s="1">
        <v>4625</v>
      </c>
      <c r="C844" s="3">
        <v>44395.750011574077</v>
      </c>
      <c r="D844" s="1" t="s">
        <v>1689</v>
      </c>
      <c r="E844" s="4" t="str">
        <f ca="1">IFERROR(__xludf.DUMMYFUNCTION("GOOGLETRANSLATE(A844 , ""tr"" , ""en"")"),"The fans should leave the full staff to the tribunes. Let's get our vaccines to protect ourselves from the disease. I would like to thank Trabzon Sports Club for the tenderness it shows. https://t.co/mffg0qxqh2")</f>
        <v>The fans should leave the full staff to the tribunes. Let's get our vaccines to protect ourselves from the disease. I would like to thank Trabzon Sports Club for the tenderness it shows. https://t.co/mffg0qxqh2</v>
      </c>
    </row>
    <row r="845" spans="1:5" ht="15.75" customHeight="1" x14ac:dyDescent="0.25">
      <c r="A845" s="1" t="s">
        <v>1690</v>
      </c>
      <c r="B845" s="1">
        <v>5546</v>
      </c>
      <c r="C845" s="3">
        <v>44395.743344907409</v>
      </c>
      <c r="D845" s="1" t="s">
        <v>1691</v>
      </c>
      <c r="E845" s="4" t="str">
        <f ca="1">IFERROR(__xludf.DUMMYFUNCTION("GOOGLETRANSLATE(A845 , ""tr"" , ""en"")"),"The fans should leave the full staff to the tribunes. Let's get our vaccines to protect ourselves from the disease. I would like to thank Besiktas Sports Club for the tenderness it shows. https://t.co/ztcztek1n3")</f>
        <v>The fans should leave the full staff to the tribunes. Let's get our vaccines to protect ourselves from the disease. I would like to thank Besiktas Sports Club for the tenderness it shows. https://t.co/ztcztek1n3</v>
      </c>
    </row>
    <row r="846" spans="1:5" ht="15.75" customHeight="1" x14ac:dyDescent="0.25">
      <c r="A846" s="1" t="s">
        <v>1692</v>
      </c>
      <c r="B846" s="1">
        <v>8973</v>
      </c>
      <c r="C846" s="3">
        <v>44395.736527777779</v>
      </c>
      <c r="D846" s="1" t="s">
        <v>1693</v>
      </c>
      <c r="E846" s="4" t="str">
        <f ca="1">IFERROR(__xludf.DUMMYFUNCTION("GOOGLETRANSLATE(A846 , ""tr"" , ""en"")"),"The fans should leave the full staff to the tribunes. Let's get our vaccines to protect ourselves from the disease. I would like to thank Galatasaray Sports Club for the tenderness it shows. https://t.co/1v1UKYEBLP")</f>
        <v>The fans should leave the full staff to the tribunes. Let's get our vaccines to protect ourselves from the disease. I would like to thank Galatasaray Sports Club for the tenderness it shows. https://t.co/1v1UKYEBLP</v>
      </c>
    </row>
    <row r="847" spans="1:5" ht="15.75" customHeight="1" x14ac:dyDescent="0.25">
      <c r="A847" s="1" t="s">
        <v>1694</v>
      </c>
      <c r="B847" s="1">
        <v>15943</v>
      </c>
      <c r="C847" s="3">
        <v>44395.729201388887</v>
      </c>
      <c r="D847" s="1" t="s">
        <v>1695</v>
      </c>
      <c r="E847" s="4" t="str">
        <f ca="1">IFERROR(__xludf.DUMMYFUNCTION("GOOGLETRANSLATE(A847 , ""tr"" , ""en"")"),"The fans should leave the full staff to the tribunes. Let's get our vaccines to protect ourselves from the disease. I thank Fenerbahce Sports Club for the tenderness it shows. https://t.co/qvxa7c7wpf")</f>
        <v>The fans should leave the full staff to the tribunes. Let's get our vaccines to protect ourselves from the disease. I thank Fenerbahce Sports Club for the tenderness it shows. https://t.co/qvxa7c7wpf</v>
      </c>
    </row>
    <row r="848" spans="1:5" ht="15.75" customHeight="1" x14ac:dyDescent="0.25">
      <c r="A848" s="1" t="s">
        <v>1696</v>
      </c>
      <c r="B848" s="1">
        <v>6078</v>
      </c>
      <c r="C848" s="3">
        <v>44395.725034722222</v>
      </c>
      <c r="D848" s="1" t="s">
        <v>1697</v>
      </c>
      <c r="E848" s="4" t="str">
        <f ca="1">IFERROR(__xludf.DUMMYFUNCTION("GOOGLETRANSLATE(A848 , ""tr"" , ""en"")"),"Aydin, Izmir and Tekirdagi approached blue. Let's obey the measures without concessions. Featuring measures on the holiday, the feast also feasts. https://t.co/rvlhe7786o https://t.co/poxlhlh5n6")</f>
        <v>Aydin, Izmir and Tekirdagi approached blue. Let's obey the measures without concessions. Featuring measures on the holiday, the feast also feasts. https://t.co/rvlhe7786o https://t.co/poxlhlh5n6</v>
      </c>
    </row>
    <row r="849" spans="1:5" ht="15.75" customHeight="1" x14ac:dyDescent="0.25">
      <c r="A849" s="1" t="s">
        <v>1698</v>
      </c>
      <c r="B849" s="1">
        <v>5749</v>
      </c>
      <c r="C849" s="3">
        <v>44394.804756944446</v>
      </c>
      <c r="D849" s="1" t="s">
        <v>1699</v>
      </c>
      <c r="E849" s="4" t="str">
        <f ca="1">IFERROR(__xludf.DUMMYFUNCTION("GOOGLETRANSLATE(A849 , ""tr"" , ""en"")"),"After four days ago in Rize, our emergency health teams, this time, this time, the villages affected by the event have made the health checks of our citizens. The past get rize. May God experience similar pain. https://t.co/uztszpzsgh")</f>
        <v>After four days ago in Rize, our emergency health teams, this time, this time, the villages affected by the event have made the health checks of our citizens. The past get rize. May God experience similar pain. https://t.co/uztszpzsgh</v>
      </c>
    </row>
    <row r="850" spans="1:5" ht="15.75" customHeight="1" x14ac:dyDescent="0.25">
      <c r="A850" s="1" t="s">
        <v>1700</v>
      </c>
      <c r="B850" s="1">
        <v>6599</v>
      </c>
      <c r="C850" s="3">
        <v>44394.730891203704</v>
      </c>
      <c r="D850" s="1" t="s">
        <v>1701</v>
      </c>
      <c r="E850" s="4" t="str">
        <f ca="1">IFERROR(__xludf.DUMMYFUNCTION("GOOGLETRANSLATE(A850 , ""tr"" , ""en"")"),"Van, Mountain Plateau. Our nurse fellows the ViYan Çakir, the vaccine will be able to enter the contacts of the people who will enter the system 2.700 meters high internet access. Then in the mountain plateau, he made the vaccinations of our citizens livi"&amp;"ng at a height of 1,950 meters. https://t.co/dpmfqjttss")</f>
        <v>Van, Mountain Plateau. Our nurse fellows the ViYan Çakir, the vaccine will be able to enter the contacts of the people who will enter the system 2.700 meters high internet access. Then in the mountain plateau, he made the vaccinations of our citizens living at a height of 1,950 meters. https://t.co/dpmfqjttss</v>
      </c>
    </row>
    <row r="851" spans="1:5" ht="15.75" customHeight="1" x14ac:dyDescent="0.25">
      <c r="A851" s="1" t="s">
        <v>1702</v>
      </c>
      <c r="B851" s="1">
        <v>11378</v>
      </c>
      <c r="C851" s="3">
        <v>44394.711284722223</v>
      </c>
      <c r="D851" s="1" t="s">
        <v>1703</v>
      </c>
      <c r="E851" s="4" t="str">
        <f ca="1">IFERROR(__xludf.DUMMYFUNCTION("GOOGLETRANSLATE(A851 , ""tr"" , ""en"")"),"Ghazal Aunty kissed our vaccination on our forehead. We are also kissing your hands Ghazal aunty. Escrow us after God's first place. https://t.co/4ISG9BZPWY")</f>
        <v>Ghazal Aunty kissed our vaccination on our forehead. We are also kissing your hands Ghazal aunty. Escrow us after God's first place. https://t.co/4ISG9BZPWY</v>
      </c>
    </row>
    <row r="852" spans="1:5" ht="15.75" customHeight="1" x14ac:dyDescent="0.25">
      <c r="A852" s="1" t="s">
        <v>1704</v>
      </c>
      <c r="B852" s="1">
        <v>5444</v>
      </c>
      <c r="C852" s="3">
        <v>44394.692152777781</v>
      </c>
      <c r="D852" s="1" t="s">
        <v>1705</v>
      </c>
      <c r="E852" s="4" t="str">
        <f ca="1">IFERROR(__xludf.DUMMYFUNCTION("GOOGLETRANSLATE(A852 , ""tr"" , ""en"")"),"Were less than fishing. Let's strive for our goal to be at least one dose of population of 18 years of age before the feast. Let's get the outbreak out of the agenda with the vaccine. https://t.co/rvlhe7786o https://t.co/za4cxjjsd0")</f>
        <v>Were less than fishing. Let's strive for our goal to be at least one dose of population of 18 years of age before the feast. Let's get the outbreak out of the agenda with the vaccine. https://t.co/rvlhe7786o https://t.co/za4cxjjsd0</v>
      </c>
    </row>
    <row r="853" spans="1:5" ht="15.75" customHeight="1" x14ac:dyDescent="0.25">
      <c r="A853" s="1" t="s">
        <v>1706</v>
      </c>
      <c r="B853" s="1">
        <v>6324</v>
      </c>
      <c r="C853" s="3">
        <v>44394.607581018521</v>
      </c>
      <c r="D853" s="1" t="s">
        <v>1707</v>
      </c>
      <c r="E853" s="4" t="str">
        <f ca="1">IFERROR(__xludf.DUMMYFUNCTION("GOOGLETRANSLATE(A853 , ""tr"" , ""en"")"),"Dreams are getting real. Our hospital is being served more service. Today, we are the opening of our Erzurum City Hospital with the factors of our President. Get auspicious to our erzurum and the erzurums. https://t.co/ObInpmqk")</f>
        <v>Dreams are getting real. Our hospital is being served more service. Today, we are the opening of our Erzurum City Hospital with the factors of our President. Get auspicious to our erzurum and the erzurums. https://t.co/ObInpmqk</v>
      </c>
    </row>
    <row r="854" spans="1:5" ht="15.75" customHeight="1" x14ac:dyDescent="0.25">
      <c r="A854" s="1" t="s">
        <v>1708</v>
      </c>
      <c r="B854" s="1">
        <v>0</v>
      </c>
      <c r="C854" s="3">
        <v>44394.579027777778</v>
      </c>
      <c r="D854" s="1" t="s">
        <v>1709</v>
      </c>
      <c r="E854" s="4" t="str">
        <f ca="1">IFERROR(__xludf.DUMMYFUNCTION("GOOGLETRANSLATE(A854 , ""tr"" , ""en"")"),"RT @rterdogan: The opening ceremony of projects completed in Erzurum
https://t.co/fsgw1ydrjh")</f>
        <v>RT @rterdogan: The opening ceremony of projects completed in Erzurum
https://t.co/fsgw1ydrjh</v>
      </c>
    </row>
    <row r="855" spans="1:5" ht="15.75" customHeight="1" x14ac:dyDescent="0.25">
      <c r="A855" s="1" t="s">
        <v>1710</v>
      </c>
      <c r="B855" s="1">
        <v>7704</v>
      </c>
      <c r="C855" s="3">
        <v>44394.573159722226</v>
      </c>
      <c r="D855" s="1" t="s">
        <v>1711</v>
      </c>
      <c r="E855" s="4" t="str">
        <f ca="1">IFERROR(__xludf.DUMMYFUNCTION("GOOGLETRANSLATE(A855 , ""tr"" , ""en"")"),"With the factors of our Mr. President, we are opening the Erzurum city hospital. https://t.co/oqokjjvfjd")</f>
        <v>With the factors of our Mr. President, we are opening the Erzurum city hospital. https://t.co/oqokjjvfjd</v>
      </c>
    </row>
    <row r="856" spans="1:5" ht="15.75" customHeight="1" x14ac:dyDescent="0.25">
      <c r="A856" s="1" t="s">
        <v>1712</v>
      </c>
      <c r="B856" s="1">
        <v>15069</v>
      </c>
      <c r="C856" s="3">
        <v>44393.87909722222</v>
      </c>
      <c r="D856" s="1" t="s">
        <v>1713</v>
      </c>
      <c r="E856" s="4" t="str">
        <f ca="1">IFERROR(__xludf.DUMMYFUNCTION("GOOGLETRANSLATE(A856 , ""tr"" , ""en"")"),"It would be good than healthier's number.
Bayrak to 3 days, 1 million 132 thousand 517 dose of dose!")</f>
        <v>It would be good than healthier's number.
Bayrak to 3 days, 1 million 132 thousand 517 dose of dose!</v>
      </c>
    </row>
    <row r="857" spans="1:5" ht="15.75" customHeight="1" x14ac:dyDescent="0.25">
      <c r="A857" s="1" t="s">
        <v>1714</v>
      </c>
      <c r="B857" s="1">
        <v>4734</v>
      </c>
      <c r="C857" s="3">
        <v>44393.85359953704</v>
      </c>
      <c r="D857" s="1" t="s">
        <v>1715</v>
      </c>
      <c r="E857" s="4" t="str">
        <f ca="1">IFERROR(__xludf.DUMMYFUNCTION("GOOGLETRANSLATE(A857 , ""tr"" , ""en"")"),"Nurhan Gönür (46)
Nurse doing the vaccination: Zübey is small
Physician in charge of the vaccine: Nihat flag
Time to make vaccine: 19.46
Location: Grasshopper State Hospital
The 1 millionth overdose has multiple differences from the overdose vaccine of 99"&amp;"9.999. One is excited! https://t.co/6t9darjiip")</f>
        <v>Nurhan Gönür (46)
Nurse doing the vaccination: Zübey is small
Physician in charge of the vaccine: Nihat flag
Time to make vaccine: 19.46
Location: Grasshopper State Hospital
The 1 millionth overdose has multiple differences from the overdose vaccine of 999.999. One is excited! https://t.co/6t9darjiip</v>
      </c>
    </row>
    <row r="858" spans="1:5" ht="15.75" customHeight="1" x14ac:dyDescent="0.25">
      <c r="A858" s="1" t="s">
        <v>1716</v>
      </c>
      <c r="B858" s="1">
        <v>10181</v>
      </c>
      <c r="C858" s="3">
        <v>44393.80872685185</v>
      </c>
      <c r="D858" s="1" t="s">
        <v>1717</v>
      </c>
      <c r="E858" s="4" t="str">
        <f ca="1">IFERROR(__xludf.DUMMYFUNCTION("GOOGLETRANSLATE(A858 , ""tr"" , ""en"")"),"Yesterday made a vaccination to 510 people.
The nurse in the State Hospital in Afyonkarahisar State Hospital has made vaccinated 510 people yesterday. Note the photo. It says I do it even if the order is waiting. Your hands don't get trouble Nihal lady. h"&amp;"ttps://t.co/kx40u9f6bx")</f>
        <v>Yesterday made a vaccination to 510 people.
The nurse in the State Hospital in Afyonkarahisar State Hospital has made vaccinated 510 people yesterday. Note the photo. It says I do it even if the order is waiting. Your hands don't get trouble Nihal lady. https://t.co/kx40u9f6bx</v>
      </c>
    </row>
    <row r="859" spans="1:5" ht="15.75" customHeight="1" x14ac:dyDescent="0.25">
      <c r="A859" s="1" t="s">
        <v>1718</v>
      </c>
      <c r="B859" s="1">
        <v>4643</v>
      </c>
      <c r="C859" s="3">
        <v>44393.801979166667</v>
      </c>
      <c r="D859" s="1" t="s">
        <v>1719</v>
      </c>
      <c r="E859" s="4" t="str">
        <f ca="1">IFERROR(__xludf.DUMMYFUNCTION("GOOGLETRANSLATE(A859 , ""tr"" , ""en"")"),"In close to a third of the population of 18 years or older, ie 20 million people have made two overdose. We're more than one-third double dose! https://t.co_rydx7kfvha")</f>
        <v>In close to a third of the population of 18 years or older, ie 20 million people have made two overdose. We're more than one-third double dose! https://t.co_rydx7kfvha</v>
      </c>
    </row>
    <row r="860" spans="1:5" ht="15.75" customHeight="1" x14ac:dyDescent="0.25">
      <c r="A860" s="1" t="s">
        <v>1720</v>
      </c>
      <c r="B860" s="1">
        <v>6447</v>
      </c>
      <c r="C860" s="3">
        <v>44393.714722222219</v>
      </c>
      <c r="D860" s="1" t="s">
        <v>1721</v>
      </c>
      <c r="E860" s="4" t="str">
        <f ca="1">IFERROR(__xludf.DUMMYFUNCTION("GOOGLETRANSLATE(A860 , ""tr"" , ""en"")"),"He deserved to celebrate like Balikesir Day holiday. Balıkesir is now in the blue category. Let's get our place in the fight against our at least one dose of overdose before the holiday. https://t.co/rvlhe7786o https://t.co/l8ln88l9cn")</f>
        <v>He deserved to celebrate like Balikesir Day holiday. Balıkesir is now in the blue category. Let's get our place in the fight against our at least one dose of overdose before the holiday. https://t.co/rvlhe7786o https://t.co/l8ln88l9cn</v>
      </c>
    </row>
    <row r="861" spans="1:5" ht="15.75" customHeight="1" x14ac:dyDescent="0.25">
      <c r="A861" s="1" t="s">
        <v>1722</v>
      </c>
      <c r="B861" s="1">
        <v>9588</v>
      </c>
      <c r="C861" s="3">
        <v>44393.701342592591</v>
      </c>
      <c r="D861" s="1" t="s">
        <v>1723</v>
      </c>
      <c r="E861" s="4" t="str">
        <f ca="1">IFERROR(__xludf.DUMMYFUNCTION("GOOGLETRANSLATE(A861 , ""tr"" , ""en"")"),"We have passed 1 million dose. Every new dose to be put on top is very precious. Permanent victory against the epidemic will provide us vaccination.")</f>
        <v>We have passed 1 million dose. Every new dose to be put on top is very precious. Permanent victory against the epidemic will provide us vaccination.</v>
      </c>
    </row>
    <row r="862" spans="1:5" ht="15.75" customHeight="1" x14ac:dyDescent="0.25">
      <c r="A862" s="1" t="s">
        <v>1724</v>
      </c>
      <c r="B862" s="1">
        <v>23401</v>
      </c>
      <c r="C862" s="3">
        <v>44393.661006944443</v>
      </c>
      <c r="D862" s="1" t="s">
        <v>1725</v>
      </c>
      <c r="E862" s="4" t="str">
        <f ca="1">IFERROR(__xludf.DUMMYFUNCTION("GOOGLETRANSLATE(A862 , ""tr"" , ""en"")"),"Are we going to the homeland?
Let's get through the family physician without going.
Let's be both virtue and our vaccine.")</f>
        <v>Are we going to the homeland?
Let's get through the family physician without going.
Let's be both virtue and our vaccine.</v>
      </c>
    </row>
    <row r="863" spans="1:5" ht="15.75" customHeight="1" x14ac:dyDescent="0.25">
      <c r="A863" s="1" t="s">
        <v>1726</v>
      </c>
      <c r="B863" s="1">
        <v>9871</v>
      </c>
      <c r="C863" s="3">
        <v>44393.651909722219</v>
      </c>
      <c r="D863" s="1" t="s">
        <v>1727</v>
      </c>
      <c r="E863" s="4" t="str">
        <f ca="1">IFERROR(__xludf.DUMMYFUNCTION("GOOGLETRANSLATE(A863 , ""tr"" , ""en"")"),"Our total number of dose is over 62 million.")</f>
        <v>Our total number of dose is over 62 million.</v>
      </c>
    </row>
    <row r="864" spans="1:5" ht="15.75" customHeight="1" x14ac:dyDescent="0.25">
      <c r="A864" s="1" t="s">
        <v>1728</v>
      </c>
      <c r="B864" s="1">
        <v>11583</v>
      </c>
      <c r="C864" s="3">
        <v>44393.323159722226</v>
      </c>
      <c r="D864" s="1" t="s">
        <v>1729</v>
      </c>
      <c r="E864" s="4" t="str">
        <f ca="1">IFERROR(__xludf.DUMMYFUNCTION("GOOGLETRANSLATE(A864 , ""tr"" , ""en"")"),"Turkovac-Coronovac 3. Dose clinical work started at Ankara City Hospital. The study has 2 dose synovac vaccine and the volunteers of 18-59 years of age 90 days over the 20 days. We are looking forward to the ground floor vaccine unit for supporting the fi"&amp;"nal vaccine. Tel: 0312 552 60 19")</f>
        <v>Turkovac-Coronovac 3. Dose clinical work started at Ankara City Hospital. The study has 2 dose synovac vaccine and the volunteers of 18-59 years of age 90 days over the 20 days. We are looking forward to the ground floor vaccine unit for supporting the final vaccine. Tel: 0312 552 60 19</v>
      </c>
    </row>
    <row r="865" spans="1:5" ht="15.75" customHeight="1" x14ac:dyDescent="0.25">
      <c r="A865" s="1" t="s">
        <v>1730</v>
      </c>
      <c r="B865" s="1">
        <v>11428</v>
      </c>
      <c r="C865" s="3">
        <v>44392.699537037035</v>
      </c>
      <c r="D865" s="1" t="s">
        <v>1731</v>
      </c>
      <c r="E865" s="4" t="str">
        <f ca="1">IFERROR(__xludf.DUMMYFUNCTION("GOOGLETRANSLATE(A865 , ""tr"" , ""en"")"),"Two dose SINOVAC 83.5% effective. Phase-3 studies completed in Turkey, the Chinese Sinovac vaccine (Coronavac) was determined to be 83.5% of the two dose effectiveness. The results of the study with 10 thousand 218 people were published in The Lancet of t"&amp;"he famous magazines of the medical world. https://t.co/vuhtq59cug")</f>
        <v>Two dose SINOVAC 83.5% effective. Phase-3 studies completed in Turkey, the Chinese Sinovac vaccine (Coronavac) was determined to be 83.5% of the two dose effectiveness. The results of the study with 10 thousand 218 people were published in The Lancet of the famous magazines of the medical world. https://t.co/vuhtq59cug</v>
      </c>
    </row>
    <row r="866" spans="1:5" ht="15.75" customHeight="1" x14ac:dyDescent="0.25">
      <c r="A866" s="1" t="s">
        <v>1732</v>
      </c>
      <c r="B866" s="1">
        <v>5318</v>
      </c>
      <c r="C866" s="3">
        <v>44392.688275462962</v>
      </c>
      <c r="D866" s="1" t="s">
        <v>1733</v>
      </c>
      <c r="E866" s="4" t="str">
        <f ca="1">IFERROR(__xludf.DUMMYFUNCTION("GOOGLETRANSLATE(A866 , ""tr"" , ""en"")"),"Gaziantep and Konya went out of the red category. Row is Kahramanmaras, Aksaray and Adıyaman. Let's afford the feast as our vaccine up to feast. https://t.co/rvlhe7786o https://t.co/umfdqngpt2")</f>
        <v>Gaziantep and Konya went out of the red category. Row is Kahramanmaras, Aksaray and Adıyaman. Let's afford the feast as our vaccine up to feast. https://t.co/rvlhe7786o https://t.co/umfdqngpt2</v>
      </c>
    </row>
    <row r="867" spans="1:5" ht="15.75" customHeight="1" x14ac:dyDescent="0.25">
      <c r="A867" s="1" t="s">
        <v>1734</v>
      </c>
      <c r="B867" s="1">
        <v>7558</v>
      </c>
      <c r="C867" s="3">
        <v>44392.515393518515</v>
      </c>
      <c r="D867" s="1" t="s">
        <v>1735</v>
      </c>
      <c r="E867" s="4" t="str">
        <f ca="1">IFERROR(__xludf.DUMMYFUNCTION("GOOGLETRANSLATE(A867 , ""tr"" , ""en"")"),"In Rize, our first ambulance against the flood disaster in 19.22 yesterday has reached 19.40 instead of the event. 14 of the 112 ambulance, 6 of the Umke Timi; A total of 64 health personnel were assigned. The Afat 6 people gave. 13 people were affected. "&amp;"It takes a search work for 2 people. 1 person under treatment.")</f>
        <v>In Rize, our first ambulance against the flood disaster in 19.22 yesterday has reached 19.40 instead of the event. 14 of the 112 ambulance, 6 of the Umke Timi; A total of 64 health personnel were assigned. The Afat 6 people gave. 13 people were affected. It takes a search work for 2 people. 1 person under treatment.</v>
      </c>
    </row>
    <row r="868" spans="1:5" ht="15.75" customHeight="1" x14ac:dyDescent="0.25">
      <c r="A868" s="1" t="s">
        <v>1736</v>
      </c>
      <c r="B868" s="1">
        <v>11626</v>
      </c>
      <c r="C868" s="3">
        <v>44392.288842592592</v>
      </c>
      <c r="D868" s="1" t="s">
        <v>1737</v>
      </c>
      <c r="E868" s="4" t="str">
        <f ca="1">IFERROR(__xludf.DUMMYFUNCTION("GOOGLETRANSLATE(A868 , ""tr"" , ""en"")"),"We are nationally. The person in the street is the people in the square. We are the bread of the bread and the sanctuary of the flag. We have a face. That night we overcome the war that hypocrits open with the real face. We remember our martyrs 15 July. W"&amp;"e greet our veterans with respect. https://t.co/37xwtzuq2e")</f>
        <v>We are nationally. The person in the street is the people in the square. We are the bread of the bread and the sanctuary of the flag. We have a face. That night we overcome the war that hypocrits open with the real face. We remember our martyrs 15 July. We greet our veterans with respect. https://t.co/37xwtzuq2e</v>
      </c>
    </row>
    <row r="869" spans="1:5" ht="15.75" customHeight="1" x14ac:dyDescent="0.25">
      <c r="A869" s="1" t="s">
        <v>1738</v>
      </c>
      <c r="B869" s="1">
        <v>15335</v>
      </c>
      <c r="C869" s="3">
        <v>44391.930949074071</v>
      </c>
      <c r="D869" s="1" t="s">
        <v>1739</v>
      </c>
      <c r="E869" s="4" t="str">
        <f ca="1">IFERROR(__xludf.DUMMYFUNCTION("GOOGLETRANSLATE(A869 , ""tr"" , ""en"")"),"Up to 24.00 o'clock 1 million 34 thousand 135 dose vaccines. Million doses, life will be even better for all of us as they are added to million doses.")</f>
        <v>Up to 24.00 o'clock 1 million 34 thousand 135 dose vaccines. Million doses, life will be even better for all of us as they are added to million doses.</v>
      </c>
    </row>
    <row r="870" spans="1:5" ht="15.75" customHeight="1" x14ac:dyDescent="0.25">
      <c r="A870" s="1" t="s">
        <v>1740</v>
      </c>
      <c r="B870" s="1">
        <v>5102</v>
      </c>
      <c r="C870" s="3">
        <v>44391.905844907407</v>
      </c>
      <c r="D870" s="1" t="s">
        <v>1741</v>
      </c>
      <c r="E870" s="4" t="str">
        <f ca="1">IFERROR(__xludf.DUMMYFUNCTION("GOOGLETRANSLATE(A870 , ""tr"" , ""en"")"),"Vaccine: Evren Durcan. Doing the vaccination: Dr. Muhammet Rose. HOURS: 18.13. Today, 1 millionth overdose was performed in our tent in Istanbul Bagcilar Square. When we give these news to our friends late, they had just returned to their homes. The memor"&amp;"y of the day we wanted a photo. They sent. https://t.co/r6xrgwe5xf")</f>
        <v>Vaccine: Evren Durcan. Doing the vaccination: Dr. Muhammet Rose. HOURS: 18.13. Today, 1 millionth overdose was performed in our tent in Istanbul Bagcilar Square. When we give these news to our friends late, they had just returned to their homes. The memory of the day we wanted a photo. They sent. https://t.co/r6xrgwe5xf</v>
      </c>
    </row>
    <row r="871" spans="1:5" ht="15.75" customHeight="1" x14ac:dyDescent="0.25">
      <c r="A871" s="1" t="s">
        <v>1742</v>
      </c>
      <c r="B871" s="1">
        <v>4117</v>
      </c>
      <c r="C871" s="3">
        <v>44391.808449074073</v>
      </c>
      <c r="D871" s="1" t="s">
        <v>1743</v>
      </c>
      <c r="E871" s="4" t="str">
        <f ca="1">IFERROR(__xludf.DUMMYFUNCTION("GOOGLETRANSLATE(A871 , ""tr"" , ""en"")"),"Despite the success of our vaccine program, there is an increase in case numbers. Is indicative that this epidemic has not yet been finished. Of course we are not on a agenda that will be needed restrictions. However, we do not comply with the measures an"&amp;"d we can encounter the power days when we do not have our vaccine. https://t.co/zg8czocxbc")</f>
        <v>Despite the success of our vaccine program, there is an increase in case numbers. Is indicative that this epidemic has not yet been finished. Of course we are not on a agenda that will be needed restrictions. However, we do not comply with the measures and we can encounter the power days when we do not have our vaccine. https://t.co/zg8czocxbc</v>
      </c>
    </row>
    <row r="872" spans="1:5" ht="15.75" customHeight="1" x14ac:dyDescent="0.25">
      <c r="A872" s="1" t="s">
        <v>1744</v>
      </c>
      <c r="B872" s="1">
        <v>3739</v>
      </c>
      <c r="C872" s="3">
        <v>44391.801145833335</v>
      </c>
      <c r="D872" s="1" t="s">
        <v>1745</v>
      </c>
      <c r="E872" s="4" t="str">
        <f ca="1">IFERROR(__xludf.DUMMYFUNCTION("GOOGLETRANSLATE(A872 , ""tr"" , ""en"")"),"According to the new knowledge and experience obtained 1. For our citizens completed 1. For our citizens completed, the 2nd dose vaccines after 4 weeks, the biontech vaccines may be 3 weeks after their first dose. https://t.co/0x9bjdlxc7")</f>
        <v>According to the new knowledge and experience obtained 1. For our citizens completed 1. For our citizens completed, the 2nd dose vaccines after 4 weeks, the biontech vaccines may be 3 weeks after their first dose. https://t.co/0x9bjdlxc7</v>
      </c>
    </row>
    <row r="873" spans="1:5" ht="15.75" customHeight="1" x14ac:dyDescent="0.25">
      <c r="A873" s="1" t="s">
        <v>1746</v>
      </c>
      <c r="B873" s="1">
        <v>3785</v>
      </c>
      <c r="C873" s="3">
        <v>44391.792592592596</v>
      </c>
      <c r="D873" s="1" t="s">
        <v>1747</v>
      </c>
      <c r="E873" s="4" t="str">
        <f ca="1">IFERROR(__xludf.DUMMYFUNCTION("GOOGLETRANSLATE(A873 , ""tr"" , ""en"")"),"This will be the last feast we will figure out the festive measures and we will spend hand kissing and hugging each other. Last time, let's stay away from contact with each other. https://t.co/tterzbjsak")</f>
        <v>This will be the last feast we will figure out the festive measures and we will spend hand kissing and hugging each other. Last time, let's stay away from contact with each other. https://t.co/tterzbjsak</v>
      </c>
    </row>
    <row r="874" spans="1:5" ht="15.75" customHeight="1" x14ac:dyDescent="0.25">
      <c r="A874" s="1" t="s">
        <v>1748</v>
      </c>
      <c r="B874" s="1">
        <v>4444</v>
      </c>
      <c r="C874" s="3">
        <v>44391.787824074076</v>
      </c>
      <c r="D874" s="1" t="s">
        <v>1749</v>
      </c>
      <c r="E874" s="4" t="str">
        <f ca="1">IFERROR(__xludf.DUMMYFUNCTION("GOOGLETRANSLATE(A874 , ""tr"" , ""en"")"),"Hakkari crossed in orange category from red categories. This sample should quickly spread to our provinces in the red category. https://t.co/rvlhe7786o https://t.co/ntopu4cs8c")</f>
        <v>Hakkari crossed in orange category from red categories. This sample should quickly spread to our provinces in the red category. https://t.co/rvlhe7786o https://t.co/ntopu4cs8c</v>
      </c>
    </row>
    <row r="875" spans="1:5" ht="15.75" customHeight="1" x14ac:dyDescent="0.25">
      <c r="A875" s="1" t="s">
        <v>1750</v>
      </c>
      <c r="B875" s="1">
        <v>2736</v>
      </c>
      <c r="C875" s="3">
        <v>44391.780358796299</v>
      </c>
      <c r="D875" s="1" t="s">
        <v>1751</v>
      </c>
      <c r="E875" s="4" t="str">
        <f ca="1">IFERROR(__xludf.DUMMYFUNCTION("GOOGLETRANSLATE(A875 , ""tr"" , ""en"")"),"Unfortunately the number of cases is similar to the rate of vaccination with our increasing provinces. Case numbers are rising several times in the previous week in our provinces with low the rate of being vaccine except for several exceptions. https://t."&amp;"co/mosmzllonq")</f>
        <v>Unfortunately the number of cases is similar to the rate of vaccination with our increasing provinces. Case numbers are rising several times in the previous week in our provinces with low the rate of being vaccine except for several exceptions. https://t.co/mosmzllonq</v>
      </c>
    </row>
    <row r="876" spans="1:5" ht="15.75" customHeight="1" x14ac:dyDescent="0.25">
      <c r="A876" s="1" t="s">
        <v>1752</v>
      </c>
      <c r="B876" s="1">
        <v>4231</v>
      </c>
      <c r="C876" s="3">
        <v>44391.770243055558</v>
      </c>
      <c r="D876" s="1" t="s">
        <v>1753</v>
      </c>
      <c r="E876" s="4" t="str">
        <f ca="1">IFERROR(__xludf.DUMMYFUNCTION("GOOGLETRANSLATE(A876 , ""tr"" , ""en"")"),"Since the beginning, we wanted to implement at least 1 dose of our citizens of all 18 years of age and over before the holiday and to the target to the Bayram. https://t.co/Ifimvzzqv0")</f>
        <v>Since the beginning, we wanted to implement at least 1 dose of our citizens of all 18 years of age and over before the holiday and to the target to the Bayram. https://t.co/Ifimvzzqv0</v>
      </c>
    </row>
    <row r="877" spans="1:5" ht="15.75" customHeight="1" x14ac:dyDescent="0.25">
      <c r="A877" s="1" t="s">
        <v>1754</v>
      </c>
      <c r="B877" s="1">
        <v>2192</v>
      </c>
      <c r="C877" s="3">
        <v>44391.738275462965</v>
      </c>
      <c r="D877" s="1" t="s">
        <v>1755</v>
      </c>
      <c r="E877" s="4" t="str">
        <f ca="1">IFERROR(__xludf.DUMMYFUNCTION("GOOGLETRANSLATE(A877 , ""tr"" , ""en"")"),"Live: After our Science Board Meeting, our press statement:
https://t.co/thubs27nkp")</f>
        <v>Live: After our Science Board Meeting, our press statement:
https://t.co/thubs27nkp</v>
      </c>
    </row>
    <row r="878" spans="1:5" ht="15.75" customHeight="1" x14ac:dyDescent="0.25">
      <c r="A878" s="1" t="s">
        <v>1756</v>
      </c>
      <c r="B878" s="1">
        <v>19923</v>
      </c>
      <c r="C878" s="3">
        <v>44391.523009259261</v>
      </c>
      <c r="D878" s="1" t="s">
        <v>1757</v>
      </c>
      <c r="E878" s="4" t="str">
        <f ca="1">IFERROR(__xludf.DUMMYFUNCTION("GOOGLETRANSLATE(A878 , ""tr"" , ""en"")"),"We crossed the dose of 60 million.
As the number of million dose of dose increases, you are much closer to immunity.")</f>
        <v>We crossed the dose of 60 million.
As the number of million dose of dose increases, you are much closer to immunity.</v>
      </c>
    </row>
    <row r="879" spans="1:5" ht="15.75" customHeight="1" x14ac:dyDescent="0.25">
      <c r="A879" s="1" t="s">
        <v>1758</v>
      </c>
      <c r="B879" s="1">
        <v>6274</v>
      </c>
      <c r="C879" s="3">
        <v>44390.756805555553</v>
      </c>
      <c r="D879" s="1" t="s">
        <v>1759</v>
      </c>
      <c r="E879" s="4" t="str">
        <f ca="1">IFERROR(__xludf.DUMMYFUNCTION("GOOGLETRANSLATE(A879 , ""tr"" , ""en"")"),"Thank the Sertab Erener, the sound of our vaccine campaign by reinterpreting the songs of the late Cem Karaca. https://t.co/petpsdlmid")</f>
        <v>Thank the Sertab Erener, the sound of our vaccine campaign by reinterpreting the songs of the late Cem Karaca. https://t.co/petpsdlmid</v>
      </c>
    </row>
    <row r="880" spans="1:5" ht="15.75" customHeight="1" x14ac:dyDescent="0.25">
      <c r="A880" s="1" t="s">
        <v>1760</v>
      </c>
      <c r="B880" s="1">
        <v>7478</v>
      </c>
      <c r="C880" s="3">
        <v>44390.696377314816</v>
      </c>
      <c r="D880" s="1" t="s">
        <v>1761</v>
      </c>
      <c r="E880" s="4" t="str">
        <f ca="1">IFERROR(__xludf.DUMMYFUNCTION("GOOGLETRANSLATE(A880 , ""tr"" , ""en"")"),"Our number of cases increased by last week, the top 5 provinces, Siirt, Pain, Hakkari, Antalya and Van. Let's be our vaccine without losing time. https://t.co/rvlhe7786o https://t.co/uyhmdewyy1")</f>
        <v>Our number of cases increased by last week, the top 5 provinces, Siirt, Pain, Hakkari, Antalya and Van. Let's be our vaccine without losing time. https://t.co/rvlhe7786o https://t.co/uyhmdewyy1</v>
      </c>
    </row>
    <row r="881" spans="1:5" ht="15.75" customHeight="1" x14ac:dyDescent="0.25">
      <c r="A881" s="1" t="s">
        <v>1762</v>
      </c>
      <c r="B881" s="1">
        <v>3923</v>
      </c>
      <c r="C881" s="3">
        <v>44390.676412037035</v>
      </c>
      <c r="D881" s="1" t="s">
        <v>1763</v>
      </c>
      <c r="E881" s="4" t="str">
        <f ca="1">IFERROR(__xludf.DUMMYFUNCTION("GOOGLETRANSLATE(A881 , ""tr"" , ""en"")"),"The number of cases in a final week is the most diminished provinces; Kars, Erzurum, Isparta, Kutahya and Corum. Our hope is increasing with the vaccination. Make your vaccine a moment when you haven't been yet. https://t.co/sx1tslbgcx")</f>
        <v>The number of cases in a final week is the most diminished provinces; Kars, Erzurum, Isparta, Kutahya and Corum. Our hope is increasing with the vaccination. Make your vaccine a moment when you haven't been yet. https://t.co/sx1tslbgcx</v>
      </c>
    </row>
    <row r="882" spans="1:5" ht="15.75" customHeight="1" x14ac:dyDescent="0.25">
      <c r="A882" s="1" t="s">
        <v>1764</v>
      </c>
      <c r="B882" s="1">
        <v>7116</v>
      </c>
      <c r="C882" s="3">
        <v>44390.658159722225</v>
      </c>
      <c r="D882" s="1" t="s">
        <v>1765</v>
      </c>
      <c r="E882" s="4" t="str">
        <f ca="1">IFERROR(__xludf.DUMMYFUNCTION("GOOGLETRANSLATE(A882 , ""tr"" , ""en"")"),"Today we fell in a craving martyr. Hakkır Safur Safur President of Hakkari Provincial Principal Director of Hakkari Province in Menammur Attack is Hasan Ore, I wish our nation. https://t.co/e7v2bkquky")</f>
        <v>Today we fell in a craving martyr. Hakkır Safur Safur President of Hakkari Provincial Principal Director of Hakkari Province in Menammur Attack is Hasan Ore, I wish our nation. https://t.co/e7v2bkquky</v>
      </c>
    </row>
    <row r="883" spans="1:5" ht="15.75" customHeight="1" x14ac:dyDescent="0.25">
      <c r="A883" s="1" t="s">
        <v>1766</v>
      </c>
      <c r="B883" s="1">
        <v>5304</v>
      </c>
      <c r="C883" s="3">
        <v>44390.652349537035</v>
      </c>
      <c r="D883" s="1" t="s">
        <v>1767</v>
      </c>
      <c r="E883" s="4" t="str">
        <f ca="1">IFERROR(__xludf.DUMMYFUNCTION("GOOGLETRANSLATE(A883 , ""tr"" , ""en"")"),"In our provinces, you can see the current version of the incidence map that shows a total number of considers who correspond to 100,000 population. Our hope is increasing with the vaccination. Make your vaccine a moment when you haven't been yet. https://"&amp;"t.co/uoyzn8ugbh")</f>
        <v>In our provinces, you can see the current version of the incidence map that shows a total number of considers who correspond to 100,000 population. Our hope is increasing with the vaccination. Make your vaccine a moment when you haven't been yet. https://t.co/uoyzn8ugbh</v>
      </c>
    </row>
    <row r="884" spans="1:5" ht="15.75" customHeight="1" x14ac:dyDescent="0.25">
      <c r="A884" s="1" t="s">
        <v>1768</v>
      </c>
      <c r="B884" s="1">
        <v>15429</v>
      </c>
      <c r="C884" s="3">
        <v>44390.422222222223</v>
      </c>
      <c r="D884" s="1" t="s">
        <v>1769</v>
      </c>
      <c r="E884" s="4" t="str">
        <f ca="1">IFERROR(__xludf.DUMMYFUNCTION("GOOGLETRANSLATE(A884 , ""tr"" , ""en"")"),"We passed 59 million dose.
As the number of million dose of dose increases, you are much closer to immunity.")</f>
        <v>We passed 59 million dose.
As the number of million dose of dose increases, you are much closer to immunity.</v>
      </c>
    </row>
    <row r="885" spans="1:5" ht="15.75" customHeight="1" x14ac:dyDescent="0.25">
      <c r="A885" s="1" t="s">
        <v>1770</v>
      </c>
      <c r="B885" s="1">
        <v>23017</v>
      </c>
      <c r="C885" s="3">
        <v>44389.855300925927</v>
      </c>
      <c r="D885" s="1" t="s">
        <v>1771</v>
      </c>
      <c r="E885" s="4" t="str">
        <f ca="1">IFERROR(__xludf.DUMMYFUNCTION("GOOGLETRANSLATE(A885 , ""tr"" , ""en"")"),"Balıkesir Close to the conclusion: either sky blue or teal.")</f>
        <v>Balıkesir Close to the conclusion: either sky blue or teal.</v>
      </c>
    </row>
    <row r="886" spans="1:5" ht="15.75" customHeight="1" x14ac:dyDescent="0.25">
      <c r="A886" s="1" t="s">
        <v>1772</v>
      </c>
      <c r="B886" s="1">
        <v>15528</v>
      </c>
      <c r="C886" s="3">
        <v>44389.848807870374</v>
      </c>
      <c r="D886" s="1" t="s">
        <v>1773</v>
      </c>
      <c r="E886" s="4" t="str">
        <f ca="1">IFERROR(__xludf.DUMMYFUNCTION("GOOGLETRANSLATE(A886 , ""tr"" , ""en"")"),"We approach the conclusion a province.
Edirne was blue.")</f>
        <v>We approach the conclusion a province.
Edirne was blue.</v>
      </c>
    </row>
    <row r="887" spans="1:5" ht="15.75" customHeight="1" x14ac:dyDescent="0.25">
      <c r="A887" s="1" t="s">
        <v>1774</v>
      </c>
      <c r="B887" s="1">
        <v>5226</v>
      </c>
      <c r="C887" s="3">
        <v>44389.811284722222</v>
      </c>
      <c r="D887" s="1" t="s">
        <v>1775</v>
      </c>
      <c r="E887" s="4" t="str">
        <f ca="1">IFERROR(__xludf.DUMMYFUNCTION("GOOGLETRANSLATE(A887 , ""tr"" , ""en"")"),"We met our brother Seyfullah Duran during filion work. 23 years old. Have down syndrome. The first dose of Seyfullah's first dose of Covid-19 was held in the Army Korgan State Hospital today. The nurse performed his vaccination, the nurse fate with MENTEŞ"&amp;". https://t.co/u6fr4qcgzk")</f>
        <v>We met our brother Seyfullah Duran during filion work. 23 years old. Have down syndrome. The first dose of Seyfullah's first dose of Covid-19 was held in the Army Korgan State Hospital today. The nurse performed his vaccination, the nurse fate with MENTEŞ. https://t.co/u6fr4qcgzk</v>
      </c>
    </row>
    <row r="888" spans="1:5" ht="15.75" customHeight="1" x14ac:dyDescent="0.25">
      <c r="A888" s="1" t="s">
        <v>1776</v>
      </c>
      <c r="B888" s="1">
        <v>8917</v>
      </c>
      <c r="C888" s="3">
        <v>44389.72761574074</v>
      </c>
      <c r="D888" s="1" t="s">
        <v>1777</v>
      </c>
      <c r="E888" s="4" t="str">
        <f ca="1">IFERROR(__xludf.DUMMYFUNCTION("GOOGLETRANSLATE(A888 , ""tr"" , ""en"")"),"Ilber Midden: Humanity has struggled with various epidemic diseases of history. This epidemic was able to get rid of the vaccination system that some physicians found. We are currently fighting with them maybe the most frustrated and durable. Let's be vac"&amp;"cinated against Koronavirus. https://t.co/0t3l7r5mid")</f>
        <v>Ilber Midden: Humanity has struggled with various epidemic diseases of history. This epidemic was able to get rid of the vaccination system that some physicians found. We are currently fighting with them maybe the most frustrated and durable. Let's be vaccinated against Koronavirus. https://t.co/0t3l7r5mid</v>
      </c>
    </row>
    <row r="889" spans="1:5" ht="15.75" customHeight="1" x14ac:dyDescent="0.25">
      <c r="A889" s="1" t="s">
        <v>1778</v>
      </c>
      <c r="B889" s="1">
        <v>9139</v>
      </c>
      <c r="C889" s="3">
        <v>44389.714641203704</v>
      </c>
      <c r="D889" s="1" t="s">
        <v>1779</v>
      </c>
      <c r="E889" s="4" t="str">
        <f ca="1">IFERROR(__xludf.DUMMYFUNCTION("GOOGLETRANSLATE(A889 , ""tr"" , ""en"")"),"Welcome Edirne. More than 75% of the target population becomes vaccinated 4. Our city was Edirne. Be your vaccination for all our provinces to turn blue color as soon as possible. https://t.co/rvlhe7786o https://t.co/mgnollo218")</f>
        <v>Welcome Edirne. More than 75% of the target population becomes vaccinated 4. Our city was Edirne. Be your vaccination for all our provinces to turn blue color as soon as possible. https://t.co/rvlhe7786o https://t.co/mgnollo218</v>
      </c>
    </row>
    <row r="890" spans="1:5" ht="15.75" customHeight="1" x14ac:dyDescent="0.25">
      <c r="A890" s="1" t="s">
        <v>1780</v>
      </c>
      <c r="B890" s="1">
        <v>0</v>
      </c>
      <c r="C890" s="3">
        <v>44389.678287037037</v>
      </c>
      <c r="D890" s="1" t="s">
        <v>1781</v>
      </c>
      <c r="E890" s="4" t="str">
        <f ca="1">IFERROR(__xludf.DUMMYFUNCTION("GOOGLETRANSLATE(A890 , ""tr"" , ""en"")"),"RT @rterdogan: Shouting Nation After Cabinet Meeting https://t.co/daljrzb4fh")</f>
        <v>RT @rterdogan: Shouting Nation After Cabinet Meeting https://t.co/daljrzb4fh</v>
      </c>
    </row>
    <row r="891" spans="1:5" ht="15.75" customHeight="1" x14ac:dyDescent="0.25">
      <c r="A891" s="1" t="s">
        <v>1782</v>
      </c>
      <c r="B891" s="1">
        <v>7817</v>
      </c>
      <c r="C891" s="3">
        <v>44388.726701388892</v>
      </c>
      <c r="D891" s="1" t="s">
        <v>1783</v>
      </c>
      <c r="E891" s="4" t="str">
        <f ca="1">IFERROR(__xludf.DUMMYFUNCTION("GOOGLETRANSLATE(A891 , ""tr"" , ""en"")"),"In our provinces in the red category, it is difficult to keep the decrease trend of case numbers in our provinces. Be your vaccine to get your place in the fight. https://t.co/rvlhe7786o https://t.co/chfkzwdptt")</f>
        <v>In our provinces in the red category, it is difficult to keep the decrease trend of case numbers in our provinces. Be your vaccine to get your place in the fight. https://t.co/rvlhe7786o https://t.co/chfkzwdptt</v>
      </c>
    </row>
    <row r="892" spans="1:5" ht="15.75" customHeight="1" x14ac:dyDescent="0.25">
      <c r="A892" s="1" t="s">
        <v>1784</v>
      </c>
      <c r="B892" s="1">
        <v>6291</v>
      </c>
      <c r="C892" s="3">
        <v>44388.502881944441</v>
      </c>
      <c r="D892" s="1" t="s">
        <v>1785</v>
      </c>
      <c r="E892" s="4" t="str">
        <f ca="1">IFERROR(__xludf.DUMMYFUNCTION("GOOGLETRANSLATE(A892 , ""tr"" , ""en"")"),"Our valuable teacher of the Deputy Minister of Environment and Urbanism. Marmara Sea is returned to the original, we celebrate you. The location is immaculate white in our map. When the vaccines are soon completed, the sea will be on the same color in Mar"&amp;"mara. We are preparing the azure map. https://t.co/viy7d80pao")</f>
        <v>Our valuable teacher of the Deputy Minister of Environment and Urbanism. Marmara Sea is returned to the original, we celebrate you. The location is immaculate white in our map. When the vaccines are soon completed, the sea will be on the same color in Marmara. We are preparing the azure map. https://t.co/viy7d80pao</v>
      </c>
    </row>
    <row r="893" spans="1:5" ht="15.75" customHeight="1" x14ac:dyDescent="0.25">
      <c r="A893" s="1" t="s">
        <v>1786</v>
      </c>
      <c r="B893" s="1">
        <v>6232</v>
      </c>
      <c r="C893" s="3">
        <v>44388.476875</v>
      </c>
      <c r="D893" s="1" t="s">
        <v>1787</v>
      </c>
      <c r="E893" s="4" t="str">
        <f ca="1">IFERROR(__xludf.DUMMYFUNCTION("GOOGLETRANSLATE(A893 , ""tr"" , ""en"")"),"1995 Srebrenitsa We are on the year of the genocide. Genocity in the genocide, the mercy of Allah, than Allah, iszetbegovich's ""forgotten genocide repetitions."" We are condolences to the Bosnian people he says. Also a memory flower of this flower that i"&amp;"s symbolized. Had appeared on bulk tombs. https://t.co/vtko6spj7h")</f>
        <v>1995 Srebrenitsa We are on the year of the genocide. Genocity in the genocide, the mercy of Allah, than Allah, iszetbegovich's "forgotten genocide repetitions." We are condolences to the Bosnian people he says. Also a memory flower of this flower that is symbolized. Had appeared on bulk tombs. https://t.co/vtko6spj7h</v>
      </c>
    </row>
    <row r="894" spans="1:5" ht="15.75" customHeight="1" x14ac:dyDescent="0.25">
      <c r="A894" s="1" t="s">
        <v>1788</v>
      </c>
      <c r="B894" s="1">
        <v>3189</v>
      </c>
      <c r="C894" s="3">
        <v>44388.45752314815</v>
      </c>
      <c r="D894" s="1" t="s">
        <v>1789</v>
      </c>
      <c r="E894" s="4" t="str">
        <f ca="1">IFERROR(__xludf.DUMMYFUNCTION("GOOGLETRANSLATE(A894 , ""tr"" , ""en"")"),"""The estimation of the hürum is spreading by moving it from our Self."" The intelluy moral, liability, responsibility, figures and movement thinker nurettin artillery was left on a 10 July of July. Unfortunately, we are unfortunately stayed at the presen"&amp;"t. Every new generation will better understand his case. https://t.co/x1out4dad5")</f>
        <v>"The estimation of the hürum is spreading by moving it from our Self." The intelluy moral, liability, responsibility, figures and movement thinker nurettin artillery was left on a 10 July of July. Unfortunately, we are unfortunately stayed at the present. Every new generation will better understand his case. https://t.co/x1out4dad5</v>
      </c>
    </row>
    <row r="895" spans="1:5" ht="15.75" customHeight="1" x14ac:dyDescent="0.25">
      <c r="A895" s="1" t="s">
        <v>1790</v>
      </c>
      <c r="B895" s="1">
        <v>7830</v>
      </c>
      <c r="C895" s="3">
        <v>44387.754490740743</v>
      </c>
      <c r="D895" s="1" t="s">
        <v>1791</v>
      </c>
      <c r="E895" s="4" t="str">
        <f ca="1">IFERROR(__xludf.DUMMYFUNCTION("GOOGLETRANSLATE(A895 , ""tr"" , ""en"")"),"Today we haven't been added to the blue category. We cannot achieve social immunity without increasing the rate of vaccination in all our provinces. Be your vaccine in Binan. https://t.co/rvlhe7786o https://t.co/4cl3l0nsg6")</f>
        <v>Today we haven't been added to the blue category. We cannot achieve social immunity without increasing the rate of vaccination in all our provinces. Be your vaccine in Binan. https://t.co/rvlhe7786o https://t.co/4cl3l0nsg6</v>
      </c>
    </row>
    <row r="896" spans="1:5" ht="15.75" customHeight="1" x14ac:dyDescent="0.25">
      <c r="A896" s="1" t="s">
        <v>1792</v>
      </c>
      <c r="B896" s="1">
        <v>10378</v>
      </c>
      <c r="C896" s="3">
        <v>44387.585115740738</v>
      </c>
      <c r="D896" s="1" t="s">
        <v>1793</v>
      </c>
      <c r="E896" s="4" t="str">
        <f ca="1">IFERROR(__xludf.DUMMYFUNCTION("GOOGLETRANSLATE(A896 , ""tr"" , ""en"")"),"The nurse is serving in the Vaccine Unit of TINAS, Aydın Women's Birth and Child Diseases Hospital. Daughter Sıla Da Aydın Atatürk State Hospital Radiology technician. Their childhood vaccines have made the vaccinations of Sıla to today. Covid-19 vaccine."&amp;" https://t.co/hokpywnsjv")</f>
        <v>The nurse is serving in the Vaccine Unit of TINAS, Aydın Women's Birth and Child Diseases Hospital. Daughter Sıla Da Aydın Atatürk State Hospital Radiology technician. Their childhood vaccines have made the vaccinations of Sıla to today. Covid-19 vaccine. https://t.co/hokpywnsjv</v>
      </c>
    </row>
    <row r="897" spans="1:5" ht="15.75" customHeight="1" x14ac:dyDescent="0.25">
      <c r="A897" s="1" t="s">
        <v>1794</v>
      </c>
      <c r="B897" s="1">
        <v>4159</v>
      </c>
      <c r="C897" s="3">
        <v>44387.481678240743</v>
      </c>
      <c r="D897" s="1" t="s">
        <v>1795</v>
      </c>
      <c r="E897" s="4" t="str">
        <f ca="1">IFERROR(__xludf.DUMMYFUNCTION("GOOGLETRANSLATE(A897 , ""tr"" , ""en"")"),"Ahmet Özhan: Anyone who likes people who love people and everyone who cares about the health of the society. I have no doubt that. https://t.co/orepdcj30c")</f>
        <v>Ahmet Özhan: Anyone who likes people who love people and everyone who cares about the health of the society. I have no doubt that. https://t.co/orepdcj30c</v>
      </c>
    </row>
    <row r="898" spans="1:5" ht="15.75" customHeight="1" x14ac:dyDescent="0.25">
      <c r="A898" s="1" t="s">
        <v>1796</v>
      </c>
      <c r="B898" s="1">
        <v>7201</v>
      </c>
      <c r="C898" s="3">
        <v>44387.473715277774</v>
      </c>
      <c r="D898" s="1" t="s">
        <v>1797</v>
      </c>
      <c r="E898" s="4" t="str">
        <f ca="1">IFERROR(__xludf.DUMMYFUNCTION("GOOGLETRANSLATE(A898 , ""tr"" , ""en"")"),"ACUN LIFE: We need to be vaccination. Have tons of reasons. But most importantly to gain immunity by social. Let's move together to reach the goal and let's be our vaccine first. https://t.co/MIWD3EW9US")</f>
        <v>ACUN LIFE: We need to be vaccination. Have tons of reasons. But most importantly to gain immunity by social. Let's move together to reach the goal and let's be our vaccine first. https://t.co/MIWD3EW9US</v>
      </c>
    </row>
    <row r="899" spans="1:5" ht="15.75" customHeight="1" x14ac:dyDescent="0.25">
      <c r="A899" s="1" t="s">
        <v>1798</v>
      </c>
      <c r="B899" s="1">
        <v>18584</v>
      </c>
      <c r="C899" s="3">
        <v>44386.882152777776</v>
      </c>
      <c r="D899" s="1" t="s">
        <v>1799</v>
      </c>
      <c r="E899" s="4" t="str">
        <f ca="1">IFERROR(__xludf.DUMMYFUNCTION("GOOGLETRANSLATE(A899 , ""tr"" , ""en"")"),"Congratulations are forts.
With the high vaccine rate, the color is always blue!")</f>
        <v>Congratulations are forts.
With the high vaccine rate, the color is always blue!</v>
      </c>
    </row>
    <row r="900" spans="1:5" ht="15.75" customHeight="1" x14ac:dyDescent="0.25">
      <c r="A900" s="1" t="s">
        <v>1800</v>
      </c>
      <c r="B900" s="1">
        <v>16274</v>
      </c>
      <c r="C900" s="3">
        <v>44386.881539351853</v>
      </c>
      <c r="D900" s="1" t="s">
        <v>1801</v>
      </c>
      <c r="E900" s="4" t="str">
        <f ca="1">IFERROR(__xludf.DUMMYFUNCTION("GOOGLETRANSLATE(A900 , ""tr"" , ""en"")"),"Congratulations Çanakkale.
With the high vaccine rate, the color is always blue!")</f>
        <v>Congratulations Çanakkale.
With the high vaccine rate, the color is always blue!</v>
      </c>
    </row>
    <row r="901" spans="1:5" ht="15.75" customHeight="1" x14ac:dyDescent="0.25">
      <c r="A901" s="1" t="s">
        <v>1802</v>
      </c>
      <c r="B901" s="1">
        <v>11449</v>
      </c>
      <c r="C901" s="3">
        <v>44386.843495370369</v>
      </c>
      <c r="D901" s="1" t="s">
        <v>1803</v>
      </c>
      <c r="E901" s="4" t="str">
        <f ca="1">IFERROR(__xludf.DUMMYFUNCTION("GOOGLETRANSLATE(A901 , ""tr"" , ""en"")"),"We passed 57 million dose. The ratio of the first dose of overdose is over 60%. Take an appointment, a moment to book your vaccine.")</f>
        <v>We passed 57 million dose. The ratio of the first dose of overdose is over 60%. Take an appointment, a moment to book your vaccine.</v>
      </c>
    </row>
    <row r="902" spans="1:5" ht="15.75" customHeight="1" x14ac:dyDescent="0.25">
      <c r="A902" s="1" t="s">
        <v>1804</v>
      </c>
      <c r="B902" s="1">
        <v>27598</v>
      </c>
      <c r="C902" s="3">
        <v>44386.734166666669</v>
      </c>
      <c r="D902" s="1" t="s">
        <v>1805</v>
      </c>
      <c r="E902" s="4" t="str">
        <f ca="1">IFERROR(__xludf.DUMMYFUNCTION("GOOGLETRANSLATE(A902 , ""tr"" , ""en"")"),"It is impossible to understand the best of love to good behavior from animals. Are less than. Each life deserves love. Our is our most human feature if love is. I have been very happy to have past the Law of Animals Protection Law. I celebrate the contrib"&amp;"ution ones. https://t.co/wtmhpdyhw2")</f>
        <v>It is impossible to understand the best of love to good behavior from animals. Are less than. Each life deserves love. Our is our most human feature if love is. I have been very happy to have past the Law of Animals Protection Law. I celebrate the contribution ones. https://t.co/wtmhpdyhw2</v>
      </c>
    </row>
    <row r="903" spans="1:5" ht="15.75" customHeight="1" x14ac:dyDescent="0.25">
      <c r="A903" s="1" t="s">
        <v>1806</v>
      </c>
      <c r="B903" s="1">
        <v>17421</v>
      </c>
      <c r="C903" s="3">
        <v>44386.722858796296</v>
      </c>
      <c r="D903" s="1" t="s">
        <v>1807</v>
      </c>
      <c r="E903" s="4" t="str">
        <f ca="1">IFERROR(__xludf.DUMMYFUNCTION("GOOGLETRANSLATE(A903 , ""tr"" , ""en"")"),"In the provinces where there is a low rate of vaccination, the number of cases began to increase. With the strict measure of life in life, the disease will not last concern with me. Let's make an appointment and get our vaccination.")</f>
        <v>In the provinces where there is a low rate of vaccination, the number of cases began to increase. With the strict measure of life in life, the disease will not last concern with me. Let's make an appointment and get our vaccination.</v>
      </c>
    </row>
    <row r="904" spans="1:5" ht="15.75" customHeight="1" x14ac:dyDescent="0.25">
      <c r="A904" s="1" t="s">
        <v>1808</v>
      </c>
      <c r="B904" s="1">
        <v>5222</v>
      </c>
      <c r="C904" s="3">
        <v>44386.712175925924</v>
      </c>
      <c r="D904" s="1" t="s">
        <v>1809</v>
      </c>
      <c r="E904" s="4" t="str">
        <f ca="1">IFERROR(__xludf.DUMMYFUNCTION("GOOGLETRANSLATE(A904 , ""tr"" , ""en"")"),"Today our two provinces turned blue. New Sample Provinces Kırklareli and Çanakkale. The new field of struggle is to be vaccination. Be your vaccine in Binan. https://t.co/rvlhe7786o https://t.co/xykucg99q2")</f>
        <v>Today our two provinces turned blue. New Sample Provinces Kırklareli and Çanakkale. The new field of struggle is to be vaccination. Be your vaccine in Binan. https://t.co/rvlhe7786o https://t.co/xykucg99q2</v>
      </c>
    </row>
    <row r="905" spans="1:5" ht="15.75" customHeight="1" x14ac:dyDescent="0.25">
      <c r="A905" s="1" t="s">
        <v>1810</v>
      </c>
      <c r="B905" s="1">
        <v>0</v>
      </c>
      <c r="C905" s="3">
        <v>44386.591550925928</v>
      </c>
      <c r="D905" s="1" t="s">
        <v>1811</v>
      </c>
      <c r="E905" s="4" t="str">
        <f ca="1">IFERROR(__xludf.DUMMYFUNCTION("GOOGLETRANSLATE(A905 , ""tr"" , ""en"")"),"RT @rterdogan: Bulk opening ceremony of projects completed in Diyarbakır https://t.co/Ibhltbwest")</f>
        <v>RT @rterdogan: Bulk opening ceremony of projects completed in Diyarbakır https://t.co/Ibhltbwest</v>
      </c>
    </row>
    <row r="906" spans="1:5" ht="15.75" customHeight="1" x14ac:dyDescent="0.25">
      <c r="A906" s="1" t="s">
        <v>1812</v>
      </c>
      <c r="B906" s="1">
        <v>4856</v>
      </c>
      <c r="C906" s="3">
        <v>44386.583784722221</v>
      </c>
      <c r="D906" s="1" t="s">
        <v>1813</v>
      </c>
      <c r="E906" s="4" t="str">
        <f ca="1">IFERROR(__xludf.DUMMYFUNCTION("GOOGLETRANSLATE(A906 , ""tr"" , ""en"")"),"With the factors of our Mr. President; Diyarbakir Bulk Opening Ceremia. https://t.co/bfbpol7ddg")</f>
        <v>With the factors of our Mr. President; Diyarbakir Bulk Opening Ceremia. https://t.co/bfbpol7ddg</v>
      </c>
    </row>
    <row r="907" spans="1:5" ht="15.75" customHeight="1" x14ac:dyDescent="0.25">
      <c r="A907" s="1" t="s">
        <v>1814</v>
      </c>
      <c r="B907" s="1">
        <v>12038</v>
      </c>
      <c r="C907" s="3">
        <v>44386.316423611112</v>
      </c>
      <c r="D907" s="1" t="s">
        <v>1815</v>
      </c>
      <c r="E907" s="4" t="str">
        <f ca="1">IFERROR(__xludf.DUMMYFUNCTION("GOOGLETRANSLATE(A907 , ""tr"" , ""en"")"),"37 million 250 thousand people had at least one dose of overdose. Thus, the rate of the first overdose in the population of 18 years and older reached 60%. If the first, second, the total number of third doses is over 56 million. Take an appointment, a mo"&amp;"ment to book your vaccine.")</f>
        <v>37 million 250 thousand people had at least one dose of overdose. Thus, the rate of the first overdose in the population of 18 years and older reached 60%. If the first, second, the total number of third doses is over 56 million. Take an appointment, a moment to book your vaccine.</v>
      </c>
    </row>
    <row r="908" spans="1:5" ht="15.75" customHeight="1" x14ac:dyDescent="0.25">
      <c r="A908" s="1" t="s">
        <v>1816</v>
      </c>
      <c r="B908" s="1">
        <v>7712</v>
      </c>
      <c r="C908" s="3">
        <v>44385.727488425924</v>
      </c>
      <c r="D908" s="1" t="s">
        <v>1817</v>
      </c>
      <c r="E908" s="4" t="str">
        <f ca="1">IFERROR(__xludf.DUMMYFUNCTION("GOOGLETRANSLATE(A908 , ""tr"" , ""en"")"),"The number of provinces approaching blue is increasing. Make your vaccine in order to provide full immunity with vaccine. https://t.co/qzujwgu64a")</f>
        <v>The number of provinces approaching blue is increasing. Make your vaccine in order to provide full immunity with vaccine. https://t.co/qzujwgu64a</v>
      </c>
    </row>
    <row r="909" spans="1:5" ht="15.75" customHeight="1" x14ac:dyDescent="0.25">
      <c r="A909" s="1" t="s">
        <v>1818</v>
      </c>
      <c r="B909" s="1">
        <v>17796</v>
      </c>
      <c r="C909" s="3">
        <v>44385.491550925923</v>
      </c>
      <c r="D909" s="1" t="s">
        <v>1819</v>
      </c>
      <c r="E909" s="4" t="str">
        <f ca="1">IFERROR(__xludf.DUMMYFUNCTION("GOOGLETRANSLATE(A909 , ""tr"" , ""en"")"),"Being vaccinated is to know the enemy without attacking us. Postponement is risky. Let's make an appointment and make our Covid-19 vaccine.")</f>
        <v>Being vaccinated is to know the enemy without attacking us. Postponement is risky. Let's make an appointment and make our Covid-19 vaccine.</v>
      </c>
    </row>
    <row r="910" spans="1:5" ht="15.75" customHeight="1" x14ac:dyDescent="0.25">
      <c r="A910" s="1" t="s">
        <v>1820</v>
      </c>
      <c r="B910" s="1">
        <v>7498</v>
      </c>
      <c r="C910" s="3">
        <v>44385.382731481484</v>
      </c>
      <c r="D910" s="1" t="s">
        <v>1821</v>
      </c>
      <c r="E910" s="4" t="str">
        <f ca="1">IFERROR(__xludf.DUMMYFUNCTION("GOOGLETRANSLATE(A910 , ""tr"" , ""en"")"),"In the last 10 days of the first overdose, decided to be the vaccine and the number of appointments has passed 4 million 330 thousand. Fast moving gives all of us power, it will reduce time unprotected against risk. Both other people who are not vaccinate"&amp;"d in both your surroundings.")</f>
        <v>In the last 10 days of the first overdose, decided to be the vaccine and the number of appointments has passed 4 million 330 thousand. Fast moving gives all of us power, it will reduce time unprotected against risk. Both other people who are not vaccinated in both your surroundings.</v>
      </c>
    </row>
    <row r="911" spans="1:5" ht="15.75" customHeight="1" x14ac:dyDescent="0.25">
      <c r="A911" s="1" t="s">
        <v>1822</v>
      </c>
      <c r="B911" s="1">
        <v>13566</v>
      </c>
      <c r="C911" s="3">
        <v>44385.365300925929</v>
      </c>
      <c r="D911" s="1" t="s">
        <v>1823</v>
      </c>
      <c r="E911" s="4" t="str">
        <f ca="1">IFERROR(__xludf.DUMMYFUNCTION("GOOGLETRANSLATE(A911 , ""tr"" , ""en"")"),"The number of vaccines made in the last 10 days passed 8 million dose.")</f>
        <v>The number of vaccines made in the last 10 days passed 8 million dose.</v>
      </c>
    </row>
    <row r="912" spans="1:5" ht="15.75" customHeight="1" x14ac:dyDescent="0.25">
      <c r="A912" s="1" t="s">
        <v>1824</v>
      </c>
      <c r="B912" s="1">
        <v>5700</v>
      </c>
      <c r="C912" s="3">
        <v>44385.335023148145</v>
      </c>
      <c r="D912" s="1" t="s">
        <v>1825</v>
      </c>
      <c r="E912" s="4" t="str">
        <f ca="1">IFERROR(__xludf.DUMMYFUNCTION("GOOGLETRANSLATE(A912 , ""tr"" , ""en"")"),"Engin Altan Katyatan: We knew the importance of our health ... but we learned about how valuable social health is the painful experiences of the pandem. Fortunately, we now have a very strong solution. Please be a vaccine for us to earn our social immunit"&amp;"y at a moment. https://t.co/oobdfcarmo")</f>
        <v>Engin Altan Katyatan: We knew the importance of our health ... but we learned about how valuable social health is the painful experiences of the pandem. Fortunately, we now have a very strong solution. Please be a vaccine for us to earn our social immunity at a moment. https://t.co/oobdfcarmo</v>
      </c>
    </row>
    <row r="913" spans="1:5" ht="15.75" customHeight="1" x14ac:dyDescent="0.25">
      <c r="A913" s="1" t="s">
        <v>1826</v>
      </c>
      <c r="B913" s="1">
        <v>6844</v>
      </c>
      <c r="C913" s="3">
        <v>44385.313668981478</v>
      </c>
      <c r="D913" s="1" t="s">
        <v>1827</v>
      </c>
      <c r="E913" s="4" t="str">
        <f ca="1">IFERROR(__xludf.DUMMYFUNCTION("GOOGLETRANSLATE(A913 , ""tr"" , ""en"")"),"Zeynep ridden: We missed each other, laughing together, so we missed to have fun ... Our lives with vaccine began to return to normal again. But the danger is still not past. Please let's be our vaccinations, let's not live the same woes again. https://t."&amp;"co/4fdjbolkrI")</f>
        <v>Zeynep ridden: We missed each other, laughing together, so we missed to have fun ... Our lives with vaccine began to return to normal again. But the danger is still not past. Please let's be our vaccinations, let's not live the same woes again. https://t.co/4fdjbolkrI</v>
      </c>
    </row>
    <row r="914" spans="1:5" ht="15.75" customHeight="1" x14ac:dyDescent="0.25">
      <c r="A914" s="1" t="s">
        <v>1828</v>
      </c>
      <c r="B914" s="1">
        <v>7354</v>
      </c>
      <c r="C914" s="3">
        <v>44384.847766203704</v>
      </c>
      <c r="D914" s="1" t="s">
        <v>1829</v>
      </c>
      <c r="E914" s="4" t="str">
        <f ca="1">IFERROR(__xludf.DUMMYFUNCTION("GOOGLETRANSLATE(A914 , ""tr"" , ""en"")"),"The nurse in the Covid-19 Service and Vaccination Unit in Didim, the nurse working in the Covid-19 Service and Vaccination Unit loses his niece with his mother for a week apart, shortly continued his duty. The best-knowing the epidemic, healthcareists. Th"&amp;"e importance of being vaccination is the importance of making vaccines! https://t.co/by1ko7tt0u")</f>
        <v>The nurse in the Covid-19 Service and Vaccination Unit in Didim, the nurse working in the Covid-19 Service and Vaccination Unit loses his niece with his mother for a week apart, shortly continued his duty. The best-knowing the epidemic, healthcareists. The importance of being vaccination is the importance of making vaccines! https://t.co/by1ko7tt0u</v>
      </c>
    </row>
    <row r="915" spans="1:5" ht="15.75" customHeight="1" x14ac:dyDescent="0.25">
      <c r="A915" s="1" t="s">
        <v>1830</v>
      </c>
      <c r="B915" s="1">
        <v>3357</v>
      </c>
      <c r="C915" s="3">
        <v>44384.823229166665</v>
      </c>
      <c r="D915" s="1" t="s">
        <v>1831</v>
      </c>
      <c r="E915" s="4" t="str">
        <f ca="1">IFERROR(__xludf.DUMMYFUNCTION("GOOGLETRANSLATE(A915 , ""tr"" , ""en"")"),"Let's not compromise our personal measures until social immunity is provided. Let's be our vaccine in a moment. https://t.co/x70fn3y1dz")</f>
        <v>Let's not compromise our personal measures until social immunity is provided. Let's be our vaccine in a moment. https://t.co/x70fn3y1dz</v>
      </c>
    </row>
    <row r="916" spans="1:5" ht="15.75" customHeight="1" x14ac:dyDescent="0.25">
      <c r="A916" s="1" t="s">
        <v>1832</v>
      </c>
      <c r="B916" s="1">
        <v>5003</v>
      </c>
      <c r="C916" s="3">
        <v>44384.809374999997</v>
      </c>
      <c r="D916" s="1" t="s">
        <v>1833</v>
      </c>
      <c r="E916" s="4" t="str">
        <f ca="1">IFERROR(__xludf.DUMMYFUNCTION("GOOGLETRANSLATE(A916 , ""tr"" , ""en"")"),"Whether our citizens have undergone the disease they can also create a vaccine certificate by making two dose vaccines. https://t.co/r1wdlsmfvr")</f>
        <v>Whether our citizens have undergone the disease they can also create a vaccine certificate by making two dose vaccines. https://t.co/r1wdlsmfvr</v>
      </c>
    </row>
    <row r="917" spans="1:5" ht="15.75" customHeight="1" x14ac:dyDescent="0.25">
      <c r="A917" s="1" t="s">
        <v>1834</v>
      </c>
      <c r="B917" s="1">
        <v>3559</v>
      </c>
      <c r="C917" s="3">
        <v>44384.801458333335</v>
      </c>
      <c r="D917" s="1" t="s">
        <v>1835</v>
      </c>
      <c r="E917" s="4" t="str">
        <f ca="1">IFERROR(__xludf.DUMMYFUNCTION("GOOGLETRANSLATE(A917 , ""tr"" , ""en"")"),"In the third dose vaccination, our citizens and health workers over 50 years of the inactive vaccine may be with the vaccination type they want to do dose vaccines. https://t.co/3tqwvvefee")</f>
        <v>In the third dose vaccination, our citizens and health workers over 50 years of the inactive vaccine may be with the vaccination type they want to do dose vaccines. https://t.co/3tqwvvefee</v>
      </c>
    </row>
    <row r="918" spans="1:5" ht="15.75" customHeight="1" x14ac:dyDescent="0.25">
      <c r="A918" s="1" t="s">
        <v>1836</v>
      </c>
      <c r="B918" s="1">
        <v>3087</v>
      </c>
      <c r="C918" s="3">
        <v>44384.793124999997</v>
      </c>
      <c r="D918" s="1" t="s">
        <v>1837</v>
      </c>
      <c r="E918" s="4" t="str">
        <f ca="1">IFERROR(__xludf.DUMMYFUNCTION("GOOGLETRANSLATE(A918 , ""tr"" , ""en"")"),"They have experienced the disease and over 3 months of our citizens over 3 months. In the people who have already spent the disease, the reminder vaccine was evaluated by the science board. https://t.co/wwzwqcyhpj")</f>
        <v>They have experienced the disease and over 3 months of our citizens over 3 months. In the people who have already spent the disease, the reminder vaccine was evaluated by the science board. https://t.co/wwzwqcyhpj</v>
      </c>
    </row>
    <row r="919" spans="1:5" ht="15.75" customHeight="1" x14ac:dyDescent="0.25">
      <c r="A919" s="1" t="s">
        <v>1838</v>
      </c>
      <c r="B919" s="1">
        <v>4697</v>
      </c>
      <c r="C919" s="3">
        <v>44384.770428240743</v>
      </c>
      <c r="D919" s="1" t="s">
        <v>1839</v>
      </c>
      <c r="E919" s="4" t="str">
        <f ca="1">IFERROR(__xludf.DUMMYFUNCTION("GOOGLETRANSLATE(A919 , ""tr"" , ""en"")"),"A successful vaccine program means a celebrated celebrity from the epidemic. https://t.co/mmk5l6qmyh")</f>
        <v>A successful vaccine program means a celebrated celebrity from the epidemic. https://t.co/mmk5l6qmyh</v>
      </c>
    </row>
    <row r="920" spans="1:5" ht="15.75" customHeight="1" x14ac:dyDescent="0.25">
      <c r="A920" s="1" t="s">
        <v>1840</v>
      </c>
      <c r="B920" s="1">
        <v>6081</v>
      </c>
      <c r="C920" s="3">
        <v>44384.749467592592</v>
      </c>
      <c r="D920" s="1" t="s">
        <v>1841</v>
      </c>
      <c r="E920" s="4" t="str">
        <f ca="1">IFERROR(__xludf.DUMMYFUNCTION("GOOGLETRANSLATE(A920 , ""tr"" , ""en"")"),"The map will turn red to blue. The rate of reaching the vaccine program will determine our rate of removal from the agenda. Join the fight as your vaccine. https://t.co/0z7xeoakcj")</f>
        <v>The map will turn red to blue. The rate of reaching the vaccine program will determine our rate of removal from the agenda. Join the fight as your vaccine. https://t.co/0z7xeoakcj</v>
      </c>
    </row>
    <row r="921" spans="1:5" ht="15.75" customHeight="1" x14ac:dyDescent="0.25">
      <c r="A921" s="1" t="s">
        <v>1842</v>
      </c>
      <c r="B921" s="1">
        <v>2704</v>
      </c>
      <c r="C921" s="3">
        <v>44384.730555555558</v>
      </c>
      <c r="D921" s="1" t="s">
        <v>1843</v>
      </c>
      <c r="E921" s="4" t="str">
        <f ca="1">IFERROR(__xludf.DUMMYFUNCTION("GOOGLETRANSLATE(A921 , ""tr"" , ""en"")"),"Live: After our Science Board Meeting, our press statement:
https://t.co/gwbaseb10I")</f>
        <v>Live: After our Science Board Meeting, our press statement:
https://t.co/gwbaseb10I</v>
      </c>
    </row>
    <row r="922" spans="1:5" ht="15.75" customHeight="1" x14ac:dyDescent="0.25">
      <c r="A922" s="1" t="s">
        <v>1844</v>
      </c>
      <c r="B922" s="1">
        <v>14540</v>
      </c>
      <c r="C922" s="3">
        <v>44383.893796296295</v>
      </c>
      <c r="D922" s="1" t="s">
        <v>1845</v>
      </c>
      <c r="E922" s="4" t="str">
        <f ca="1">IFERROR(__xludf.DUMMYFUNCTION("GOOGLETRANSLATE(A922 , ""tr"" , ""en"")"),"Today 863 thousand 433 dose vaccines were performed. Tomorrow an appointment, turn the conditions against Covid-19 in your favor!")</f>
        <v>Today 863 thousand 433 dose vaccines were performed. Tomorrow an appointment, turn the conditions against Covid-19 in your favor!</v>
      </c>
    </row>
    <row r="923" spans="1:5" ht="15.75" customHeight="1" x14ac:dyDescent="0.25">
      <c r="A923" s="1" t="s">
        <v>1846</v>
      </c>
      <c r="B923" s="1">
        <v>8042</v>
      </c>
      <c r="C923" s="3">
        <v>44383.692384259259</v>
      </c>
      <c r="D923" s="1" t="s">
        <v>1847</v>
      </c>
      <c r="E923" s="4" t="str">
        <f ca="1">IFERROR(__xludf.DUMMYFUNCTION("GOOGLETRANSLATE(A923 , ""tr"" , ""en"")"),"The course of the epidemic is changing. The vaccine will continue to fight until social immunity is provided. Let's assure your tomorrow from today. If you haven't yet have your vaccination please hurry. https://t.co/rvlhe7786o https://t.co/uspcg0wcqb")</f>
        <v>The course of the epidemic is changing. The vaccine will continue to fight until social immunity is provided. Let's assure your tomorrow from today. If you haven't yet have your vaccination please hurry. https://t.co/rvlhe7786o https://t.co/uspcg0wcqb</v>
      </c>
    </row>
    <row r="924" spans="1:5" ht="15.75" customHeight="1" x14ac:dyDescent="0.25">
      <c r="A924" s="1" t="s">
        <v>1848</v>
      </c>
      <c r="B924" s="1">
        <v>7798</v>
      </c>
      <c r="C924" s="3">
        <v>44383.538865740738</v>
      </c>
      <c r="D924" s="1" t="s">
        <v>1849</v>
      </c>
      <c r="E924" s="4" t="str">
        <f ca="1">IFERROR(__xludf.DUMMYFUNCTION("GOOGLETRANSLATE(A924 , ""tr"" , ""en"")"),"Mother girl in vaccination. 26 years of nurses in the country of Arslan, in Aydin State Hospital. When caught in Covid-19, his disease has infected his daughter. He made his daughter's vaccine with their own hands. The an average of 2,400 people per day i"&amp;"s applied in the polyclinic. https://t.co/th0bvfbbpp")</f>
        <v>Mother girl in vaccination. 26 years of nurses in the country of Arslan, in Aydin State Hospital. When caught in Covid-19, his disease has infected his daughter. He made his daughter's vaccine with their own hands. The an average of 2,400 people per day is applied in the polyclinic. https://t.co/th0bvfbbpp</v>
      </c>
    </row>
    <row r="925" spans="1:5" ht="15.75" customHeight="1" x14ac:dyDescent="0.25">
      <c r="A925" s="1" t="s">
        <v>1850</v>
      </c>
      <c r="B925" s="1">
        <v>3772</v>
      </c>
      <c r="C925" s="3">
        <v>44383.376180555555</v>
      </c>
      <c r="D925" s="1" t="s">
        <v>1851</v>
      </c>
      <c r="E925" s="4" t="str">
        <f ca="1">IFERROR(__xludf.DUMMYFUNCTION("GOOGLETRANSLATE(A925 , ""tr"" , ""en"")"),"The number of cases in a final week is the most diminished provinces; Gumushane, Eskisehir, Artvin, Denizli and Bartin. Comes with the end of the epidemic. Be your vaccination to be able to look at tomorrow more safe than today. https://t.co/IVWPGEZ03V")</f>
        <v>The number of cases in a final week is the most diminished provinces; Gumushane, Eskisehir, Artvin, Denizli and Bartin. Comes with the end of the epidemic. Be your vaccination to be able to look at tomorrow more safe than today. https://t.co/IVWPGEZ03V</v>
      </c>
    </row>
    <row r="926" spans="1:5" ht="15.75" customHeight="1" x14ac:dyDescent="0.25">
      <c r="A926" s="1" t="s">
        <v>1852</v>
      </c>
      <c r="B926" s="1">
        <v>5938</v>
      </c>
      <c r="C926" s="3">
        <v>44383.372256944444</v>
      </c>
      <c r="D926" s="1" t="s">
        <v>1853</v>
      </c>
      <c r="E926" s="4" t="str">
        <f ca="1">IFERROR(__xludf.DUMMYFUNCTION("GOOGLETRANSLATE(A926 , ""tr"" , ""en"")"),"In our provinces, you can see the current version of the incidence map that shows a total number of considers who correspond to 100,000 population. Comes with the end of the epidemic. Be your vaccination to be able to look at tomorrow more safe than today"&amp;". https://t.co/zq768qvpyb")</f>
        <v>In our provinces, you can see the current version of the incidence map that shows a total number of considers who correspond to 100,000 population. Comes with the end of the epidemic. Be your vaccination to be able to look at tomorrow more safe than today. https://t.co/zq768qvpyb</v>
      </c>
    </row>
    <row r="927" spans="1:5" ht="15.75" customHeight="1" x14ac:dyDescent="0.25">
      <c r="A927" s="1" t="s">
        <v>1854</v>
      </c>
      <c r="B927" s="1">
        <v>11266</v>
      </c>
      <c r="C927" s="3">
        <v>44383.311145833337</v>
      </c>
      <c r="D927" s="1" t="s">
        <v>1855</v>
      </c>
      <c r="E927" s="4" t="str">
        <f ca="1">IFERROR(__xludf.DUMMYFUNCTION("GOOGLETRANSLATE(A927 , ""tr"" , ""en"")"),"- ""How you come to this mountain, what are you coming for? Tell him.""
- ""Uncle I came to you, we will make your vaccine."" https://t.co/omndvngae6")</f>
        <v>- "How you come to this mountain, what are you coming for? Tell him."
- "Uncle I came to you, we will make your vaccine." https://t.co/omndvngae6</v>
      </c>
    </row>
    <row r="928" spans="1:5" ht="15.75" customHeight="1" x14ac:dyDescent="0.25">
      <c r="A928" s="1" t="s">
        <v>1856</v>
      </c>
      <c r="B928" s="1">
        <v>13457</v>
      </c>
      <c r="C928" s="3">
        <v>44382.901388888888</v>
      </c>
      <c r="D928" s="1" t="s">
        <v>1857</v>
      </c>
      <c r="E928" s="4" t="str">
        <f ca="1">IFERROR(__xludf.DUMMYFUNCTION("GOOGLETRANSLATE(A928 , ""tr"" , ""en"")"),"Today 1 million 81 thousand 352 dose of overdose was applied.
Let's overcome this number tomorrow morning with new appointments.")</f>
        <v>Today 1 million 81 thousand 352 dose of overdose was applied.
Let's overcome this number tomorrow morning with new appointments.</v>
      </c>
    </row>
    <row r="929" spans="1:5" ht="15.75" customHeight="1" x14ac:dyDescent="0.25">
      <c r="A929" s="1" t="s">
        <v>1858</v>
      </c>
      <c r="B929" s="1">
        <v>56743</v>
      </c>
      <c r="C929" s="3">
        <v>44382.807928240742</v>
      </c>
      <c r="D929" s="1" t="s">
        <v>1859</v>
      </c>
      <c r="E929" s="4" t="str">
        <f ca="1">IFERROR(__xludf.DUMMYFUNCTION("GOOGLETRANSLATE(A929 , ""tr"" , ""en"")"),"In Kütahya, a health personnel in the autogard were invited to our citizens with a humorous attitude. Our services are everywhere but vaccine is a serious issue. There is no situation that requires the investigation of our staff. But we all have to take t"&amp;"he vaccination seriously.")</f>
        <v>In Kütahya, a health personnel in the autogard were invited to our citizens with a humorous attitude. Our services are everywhere but vaccine is a serious issue. There is no situation that requires the investigation of our staff. But we all have to take the vaccination seriously.</v>
      </c>
    </row>
    <row r="930" spans="1:5" ht="15.75" customHeight="1" x14ac:dyDescent="0.25">
      <c r="A930" s="1" t="s">
        <v>1860</v>
      </c>
      <c r="B930" s="1">
        <v>5230</v>
      </c>
      <c r="C930" s="3">
        <v>44382.787222222221</v>
      </c>
      <c r="D930" s="1" t="s">
        <v>1861</v>
      </c>
      <c r="E930" s="4" t="str">
        <f ca="1">IFERROR(__xludf.DUMMYFUNCTION("GOOGLETRANSLATE(A930 , ""tr"" , ""en"")"),"1 millionth dose today
Vaccinated: SELEY HAPPEN, 29 YEARS
Nurse doing the vaccination: Sadiye Gamze ionoğlu
Physician in charge of the vaccine: Spacious Arslan
Time to apply vaccine: 19:21
Location: Nazilli State Hospital HTTPS://T.CO/DNOIT2SJMY")</f>
        <v>1 millionth dose today
Vaccinated: SELEY HAPPEN, 29 YEARS
Nurse doing the vaccination: Sadiye Gamze ionoğlu
Physician in charge of the vaccine: Spacious Arslan
Time to apply vaccine: 19:21
Location: Nazilli State Hospital HTTPS://T.CO/DNOIT2SJMY</v>
      </c>
    </row>
    <row r="931" spans="1:5" ht="15.75" customHeight="1" x14ac:dyDescent="0.25">
      <c r="A931" s="1" t="s">
        <v>1862</v>
      </c>
      <c r="B931" s="1">
        <v>6119</v>
      </c>
      <c r="C931" s="3">
        <v>44382.778449074074</v>
      </c>
      <c r="D931" s="1" t="s">
        <v>1863</v>
      </c>
      <c r="E931" s="4" t="str">
        <f ca="1">IFERROR(__xludf.DUMMYFUNCTION("GOOGLETRANSLATE(A931 , ""tr"" , ""en"")"),"Our Leader of Vaccine Program Muğla. We will strive until all our provinces turn blue. The epidemic is out of our agenda. https://t.co/rvlhe7786o https://t.co/paxeqqcemf")</f>
        <v>Our Leader of Vaccine Program Muğla. We will strive until all our provinces turn blue. The epidemic is out of our agenda. https://t.co/rvlhe7786o https://t.co/paxeqqcemf</v>
      </c>
    </row>
    <row r="932" spans="1:5" ht="15.75" customHeight="1" x14ac:dyDescent="0.25">
      <c r="A932" s="1" t="s">
        <v>1864</v>
      </c>
      <c r="B932" s="1">
        <v>4015</v>
      </c>
      <c r="C932" s="3">
        <v>44382.7659375</v>
      </c>
      <c r="D932" s="1" t="s">
        <v>1865</v>
      </c>
      <c r="E932" s="4" t="str">
        <f ca="1">IFERROR(__xludf.DUMMYFUNCTION("GOOGLETRANSLATE(A932 , ""tr"" , ""en"")"),"Nurse Saliha Aybasti is in the community health center in the Ordu. His wife dentist. He postponed the vaccination when he has difficulty in keeping their patients who cannot be treated during the difficult days of the epidemic. Conclusion: The nurse lady"&amp;" who is on the field with his team ""on-site vaccine"". (Note: Vaccine in some occupations much more important!) Https://t.co/veobo0qktn")</f>
        <v>Nurse Saliha Aybasti is in the community health center in the Ordu. His wife dentist. He postponed the vaccination when he has difficulty in keeping their patients who cannot be treated during the difficult days of the epidemic. Conclusion: The nurse lady who is on the field with his team "on-site vaccine". (Note: Vaccine in some occupations much more important!) Https://t.co/veobo0qktn</v>
      </c>
    </row>
    <row r="933" spans="1:5" ht="15.75" customHeight="1" x14ac:dyDescent="0.25">
      <c r="A933" s="1" t="s">
        <v>1866</v>
      </c>
      <c r="B933" s="1">
        <v>13547</v>
      </c>
      <c r="C933" s="3">
        <v>44382.745393518519</v>
      </c>
      <c r="D933" s="1" t="s">
        <v>1867</v>
      </c>
      <c r="E933" s="4" t="str">
        <f ca="1">IFERROR(__xludf.DUMMYFUNCTION("GOOGLETRANSLATE(A933 , ""tr"" , ""en"")"),"The whole country was concerned when the first case is seen. Currently, it has at least 1 dose of 36 million people vaccine to be protected from the infectious disease and provide social immunity. 1 Case Hazard meant. Is 36 million trust. Let's grow this "&amp;"trust.")</f>
        <v>The whole country was concerned when the first case is seen. Currently, it has at least 1 dose of 36 million people vaccine to be protected from the infectious disease and provide social immunity. 1 Case Hazard meant. Is 36 million trust. Let's grow this trust.</v>
      </c>
    </row>
    <row r="934" spans="1:5" ht="15.75" customHeight="1" x14ac:dyDescent="0.25">
      <c r="A934" s="1" t="s">
        <v>1868</v>
      </c>
      <c r="B934" s="1">
        <v>0</v>
      </c>
      <c r="C934" s="3">
        <v>44382.694328703707</v>
      </c>
      <c r="D934" s="1" t="s">
        <v>1869</v>
      </c>
      <c r="E934" s="4" t="str">
        <f ca="1">IFERROR(__xludf.DUMMYFUNCTION("GOOGLETRANSLATE(A934 , ""tr"" , ""en"")"),"RT @RterDogan: Shouting to Nation after Cabinet Meeting
https://t.co/kfzoek4yhz")</f>
        <v>RT @RterDogan: Shouting to Nation after Cabinet Meeting
https://t.co/kfzoek4yhz</v>
      </c>
    </row>
    <row r="935" spans="1:5" ht="15.75" customHeight="1" x14ac:dyDescent="0.25">
      <c r="A935" s="1" t="s">
        <v>1870</v>
      </c>
      <c r="B935" s="1">
        <v>13998</v>
      </c>
      <c r="C935" s="3">
        <v>44382.688969907409</v>
      </c>
      <c r="D935" s="1" t="s">
        <v>1871</v>
      </c>
      <c r="E935" s="4" t="str">
        <f ca="1">IFERROR(__xludf.DUMMYFUNCTION("GOOGLETRANSLATE(A935 , ""tr"" , ""en"")"),"No more first or new dose vaccines before the 24 hours is filled yet. Turkey, in contagious Covid-19 illness to gain immunity.")</f>
        <v>No more first or new dose vaccines before the 24 hours is filled yet. Turkey, in contagious Covid-19 illness to gain immunity.</v>
      </c>
    </row>
    <row r="936" spans="1:5" ht="15.75" customHeight="1" x14ac:dyDescent="0.25">
      <c r="A936" s="1" t="s">
        <v>1872</v>
      </c>
      <c r="B936" s="1">
        <v>12062</v>
      </c>
      <c r="C936" s="3">
        <v>44381.82</v>
      </c>
      <c r="D936" s="1" t="s">
        <v>1873</v>
      </c>
      <c r="E936" s="4" t="str">
        <f ca="1">IFERROR(__xludf.DUMMYFUNCTION("GOOGLETRANSLATE(A936 , ""tr"" , ""en"")"),"We will now watch the number of cases and the view of the vaccine program from a new screen. We will continue to publish all the details we have previously shared in weekly reports. Provinces will compete in being vaccines. https://t.co/rvlhe7786o https:/"&amp;"/t.co/l3q5lxvmvv")</f>
        <v>We will now watch the number of cases and the view of the vaccine program from a new screen. We will continue to publish all the details we have previously shared in weekly reports. Provinces will compete in being vaccines. https://t.co/rvlhe7786o https://t.co/l3q5lxvmvv</v>
      </c>
    </row>
    <row r="937" spans="1:5" ht="15.75" customHeight="1" x14ac:dyDescent="0.25">
      <c r="A937" s="1" t="s">
        <v>1874</v>
      </c>
      <c r="B937" s="1">
        <v>11876</v>
      </c>
      <c r="C937" s="3">
        <v>44381.506886574076</v>
      </c>
      <c r="D937" s="1" t="s">
        <v>1875</v>
      </c>
      <c r="E937" s="4" t="str">
        <f ca="1">IFERROR(__xludf.DUMMYFUNCTION("GOOGLETRANSLATE(A937 , ""tr"" , ""en"")"),"The vaccine in our airports and border doors. 38 of the 48 airport, we offer 1st or 2nd overdose services to our citizens from abroad. 4 There are vaccination service at the black border doors in our provinces. Our two border masses and the vaccine at 2 a"&amp;"irports start Monday. Numbers will increase.")</f>
        <v>The vaccine in our airports and border doors. 38 of the 48 airport, we offer 1st or 2nd overdose services to our citizens from abroad. 4 There are vaccination service at the black border doors in our provinces. Our two border masses and the vaccine at 2 airports start Monday. Numbers will increase.</v>
      </c>
    </row>
    <row r="938" spans="1:5" ht="15.75" customHeight="1" x14ac:dyDescent="0.25">
      <c r="A938" s="1" t="s">
        <v>1876</v>
      </c>
      <c r="B938" s="1">
        <v>18710</v>
      </c>
      <c r="C938" s="3">
        <v>44380.90116898148</v>
      </c>
      <c r="D938" s="1" t="s">
        <v>1877</v>
      </c>
      <c r="E938" s="4" t="str">
        <f ca="1">IFERROR(__xludf.DUMMYFUNCTION("GOOGLETRANSLATE(A938 , ""tr"" , ""en"")"),"Date of birth: 3.07.2021
Birthday: Ambulance
In the district of Afyonkarahisar, a baby came from expected to the world this morning. Health officers who take the mother to the hospital had to have born in the ambulance. I celebrate the family, emergency "&amp;"medical team. Your eye is Aydin. https://t.co/1gh2qbe0hh")</f>
        <v>Date of birth: 3.07.2021
Birthday: Ambulance
In the district of Afyonkarahisar, a baby came from expected to the world this morning. Health officers who take the mother to the hospital had to have born in the ambulance. I celebrate the family, emergency medical team. Your eye is Aydin. https://t.co/1gh2qbe0hh</v>
      </c>
    </row>
    <row r="939" spans="1:5" ht="15.75" customHeight="1" x14ac:dyDescent="0.25">
      <c r="A939" s="1" t="s">
        <v>1878</v>
      </c>
      <c r="B939" s="1">
        <v>9117</v>
      </c>
      <c r="C939" s="3">
        <v>44380.861620370371</v>
      </c>
      <c r="D939" s="1" t="s">
        <v>1879</v>
      </c>
      <c r="E939" s="4" t="str">
        <f ca="1">IFERROR(__xludf.DUMMYFUNCTION("GOOGLETRANSLATE(A939 , ""tr"" , ""en"")"),"Serpil nurse knows most of us well. Why is the vaccination important? In November of last year, his mother, his father, his son was caught in Covid-19. It is currently working in the Kocaeli State Hospital Vaccine Polyclinet. And the more you can make the"&amp;" more happy! https://t.co/hpl7vudsu9")</f>
        <v>Serpil nurse knows most of us well. Why is the vaccination important? In November of last year, his mother, his father, his son was caught in Covid-19. It is currently working in the Kocaeli State Hospital Vaccine Polyclinet. And the more you can make the more happy! https://t.co/hpl7vudsu9</v>
      </c>
    </row>
    <row r="940" spans="1:5" ht="15.75" customHeight="1" x14ac:dyDescent="0.25">
      <c r="A940" s="1" t="s">
        <v>1880</v>
      </c>
      <c r="B940" s="1">
        <v>23046</v>
      </c>
      <c r="C940" s="3">
        <v>44380.335439814815</v>
      </c>
      <c r="D940" s="1" t="s">
        <v>1881</v>
      </c>
      <c r="E940" s="4" t="str">
        <f ca="1">IFERROR(__xludf.DUMMYFUNCTION("GOOGLETRANSLATE(A940 , ""tr"" , ""en"")"),"I wish you were among us these days.
21 years ago, we remember that Today, 56 years of disposal Kemal Sunal. https://t.co/cnwwgqd18e")</f>
        <v>I wish you were among us these days.
21 years ago, we remember that Today, 56 years of disposal Kemal Sunal. https://t.co/cnwwgqd18e</v>
      </c>
    </row>
    <row r="941" spans="1:5" ht="15.75" customHeight="1" x14ac:dyDescent="0.25">
      <c r="A941" s="1" t="s">
        <v>1882</v>
      </c>
      <c r="B941" s="1">
        <v>23136</v>
      </c>
      <c r="C941" s="3">
        <v>44379.920335648145</v>
      </c>
      <c r="D941" s="1" t="s">
        <v>1883</v>
      </c>
      <c r="E941" s="4" t="str">
        <f ca="1">IFERROR(__xludf.DUMMYFUNCTION("GOOGLETRANSLATE(A941 , ""tr"" , ""en"")"),"How is Covid-19 landed to Covid-zero?
The only solution close to the conclusion is the vaccine!")</f>
        <v>How is Covid-19 landed to Covid-zero?
The only solution close to the conclusion is the vaccine!</v>
      </c>
    </row>
    <row r="942" spans="1:5" ht="15.75" customHeight="1" x14ac:dyDescent="0.25">
      <c r="A942" s="1" t="s">
        <v>1884</v>
      </c>
      <c r="B942" s="1">
        <v>13128</v>
      </c>
      <c r="C942" s="3">
        <v>44379.904895833337</v>
      </c>
      <c r="D942" s="1" t="s">
        <v>1885</v>
      </c>
      <c r="E942" s="4" t="str">
        <f ca="1">IFERROR(__xludf.DUMMYFUNCTION("GOOGLETRANSLATE(A942 , ""tr"" , ""en"")"),"Up to 24 o'clock 1 million 171 thousand 305 dose vaccines.
We approach healthy, not worrier days one day!")</f>
        <v>Up to 24 o'clock 1 million 171 thousand 305 dose vaccines.
We approach healthy, not worrier days one day!</v>
      </c>
    </row>
    <row r="943" spans="1:5" ht="15.75" customHeight="1" x14ac:dyDescent="0.25">
      <c r="A943" s="1" t="s">
        <v>1886</v>
      </c>
      <c r="B943" s="1">
        <v>5066</v>
      </c>
      <c r="C943" s="3">
        <v>44379.882789351854</v>
      </c>
      <c r="D943" s="1" t="s">
        <v>1887</v>
      </c>
      <c r="E943" s="4" t="str">
        <f ca="1">IFERROR(__xludf.DUMMYFUNCTION("GOOGLETRANSLATE(A943 , ""tr"" , ""en"")"),"The vaccine mobilization of the coronavirus sacrifice is great support. We had one of the new samples in Batman. Provincial Health Directorate of Gercüş to Kırkat village has supported our village teams, village imam, village people. https://t.co/s9I0srgs"&amp;"nt")</f>
        <v>The vaccine mobilization of the coronavirus sacrifice is great support. We had one of the new samples in Batman. Provincial Health Directorate of Gercüş to Kırkat village has supported our village teams, village imam, village people. https://t.co/s9I0srgsnt</v>
      </c>
    </row>
    <row r="944" spans="1:5" ht="15.75" customHeight="1" x14ac:dyDescent="0.25">
      <c r="A944" s="1" t="s">
        <v>1888</v>
      </c>
      <c r="B944" s="1">
        <v>8209</v>
      </c>
      <c r="C944" s="3">
        <v>44379.756967592592</v>
      </c>
      <c r="D944" s="1" t="s">
        <v>1889</v>
      </c>
      <c r="E944" s="4" t="str">
        <f ca="1">IFERROR(__xludf.DUMMYFUNCTION("GOOGLETRANSLATE(A944 , ""tr"" , ""en"")"),"The opening of the Sakarya Women's Birth and Children's Hospital, with the factors of our President, has 27 women's birth, 26 children's polyclinics and 5 operating rooms. Total bed capacity 370. Investment to health is to mean service and trust. Reasons "&amp;"are increasing to be good. https://t.co/7gxxdkr8I3")</f>
        <v>The opening of the Sakarya Women's Birth and Children's Hospital, with the factors of our President, has 27 women's birth, 26 children's polyclinics and 5 operating rooms. Total bed capacity 370. Investment to health is to mean service and trust. Reasons are increasing to be good. https://t.co/7gxxdkr8I3</v>
      </c>
    </row>
    <row r="945" spans="1:5" ht="15.75" customHeight="1" x14ac:dyDescent="0.25">
      <c r="A945" s="1" t="s">
        <v>1890</v>
      </c>
      <c r="B945" s="1">
        <v>6447</v>
      </c>
      <c r="C945" s="3">
        <v>44379.670335648145</v>
      </c>
      <c r="D945" s="1" t="s">
        <v>1891</v>
      </c>
      <c r="E945" s="4" t="str">
        <f ca="1">IFERROR(__xludf.DUMMYFUNCTION("GOOGLETRANSLATE(A945 , ""tr"" , ""en"")"),"The present 1 millionth dose vaccine was held in the Kusadasi State Hospital. At the supervision of the Physician Yusuf Well in charge of the Makblane Hanim, he applied our health personnel UTKU Karacia. You have done the best with the vaccination Makblu "&amp;"Lady. We are waiting if you have no vaccines from your surroundings. https://t.co/l2uaubg8cm")</f>
        <v>The present 1 millionth dose vaccine was held in the Kusadasi State Hospital. At the supervision of the Physician Yusuf Well in charge of the Makblane Hanim, he applied our health personnel UTKU Karacia. You have done the best with the vaccination Makblu Lady. We are waiting if you have no vaccines from your surroundings. https://t.co/l2uaubg8cm</v>
      </c>
    </row>
    <row r="946" spans="1:5" ht="15.75" customHeight="1" x14ac:dyDescent="0.25">
      <c r="A946" s="1" t="s">
        <v>1892</v>
      </c>
      <c r="B946" s="1">
        <v>7901</v>
      </c>
      <c r="C946" s="3">
        <v>44379.616087962961</v>
      </c>
      <c r="D946" s="1" t="s">
        <v>1893</v>
      </c>
      <c r="E946" s="4" t="str">
        <f ca="1">IFERROR(__xludf.DUMMYFUNCTION("GOOGLETRANSLATE(A946 , ""tr"" , ""en"")"),"Eagle Tibet farewell to life. The audience was as well as the legends of the Yeşilagam, he liked his legends as he liked it with series. In an interview, he says that ""role"" is natural in place. And it is short to make life's evil is man's fans. Rest in"&amp;" piece. https://t.co/moow9o90r7")</f>
        <v>Eagle Tibet farewell to life. The audience was as well as the legends of the Yeşilagam, he liked his legends as he liked it with series. In an interview, he says that "role" is natural in place. And it is short to make life's evil is man's fans. Rest in piece. https://t.co/moow9o90r7</v>
      </c>
    </row>
    <row r="947" spans="1:5" ht="15.75" customHeight="1" x14ac:dyDescent="0.25">
      <c r="A947" s="1" t="s">
        <v>1894</v>
      </c>
      <c r="B947" s="1">
        <v>0</v>
      </c>
      <c r="C947" s="3">
        <v>44379.533622685187</v>
      </c>
      <c r="D947" s="1" t="s">
        <v>1895</v>
      </c>
      <c r="E947" s="4" t="str">
        <f ca="1">IFERROR(__xludf.DUMMYFUNCTION("GOOGLETRANSLATE(A947 , ""tr"" , ""en"")"),"RT @rterdogan: The official opening ceremony of projects completed in Sakarya https://t.co/xtycdnhjle")</f>
        <v>RT @rterdogan: The official opening ceremony of projects completed in Sakarya https://t.co/xtycdnhjle</v>
      </c>
    </row>
    <row r="948" spans="1:5" ht="15.75" customHeight="1" x14ac:dyDescent="0.25">
      <c r="A948" s="1" t="s">
        <v>1896</v>
      </c>
      <c r="B948" s="1">
        <v>4143</v>
      </c>
      <c r="C948" s="3">
        <v>44379.524664351855</v>
      </c>
      <c r="D948" s="1" t="s">
        <v>1897</v>
      </c>
      <c r="E948" s="4" t="str">
        <f ca="1">IFERROR(__xludf.DUMMYFUNCTION("GOOGLETRANSLATE(A948 , ""tr"" , ""en"")"),"With the factors of our Mr. President; Sakarya Women's Birth and Children's Children's Hospital Opening Program.
📍sakarya https://t.co/di4y5Ibopy")</f>
        <v>With the factors of our Mr. President; Sakarya Women's Birth and Children's Children's Hospital Opening Program.
📍sakarya https://t.co/di4y5Ibopy</v>
      </c>
    </row>
    <row r="949" spans="1:5" ht="15.75" customHeight="1" x14ac:dyDescent="0.25">
      <c r="A949" s="1" t="s">
        <v>1898</v>
      </c>
      <c r="B949" s="1">
        <v>10659</v>
      </c>
      <c r="C949" s="3">
        <v>44379.396504629629</v>
      </c>
      <c r="D949" s="1" t="s">
        <v>1899</v>
      </c>
      <c r="E949" s="4" t="str">
        <f ca="1">IFERROR(__xludf.DUMMYFUNCTION("GOOGLETRANSLATE(A949 , ""tr"" , ""en"")"),"Our family physicians give a great struggle from the start against the pandemia. They are in the preliminary rows in the vaccine application. Our goal is not to stay in the families in the families they serve. Our Ministry will not leave the success of ou"&amp;"r family physicians in the name of our community.")</f>
        <v>Our family physicians give a great struggle from the start against the pandemia. They are in the preliminary rows in the vaccine application. Our goal is not to stay in the families in the families they serve. Our Ministry will not leave the success of our family physicians in the name of our community.</v>
      </c>
    </row>
    <row r="950" spans="1:5" ht="15.75" customHeight="1" x14ac:dyDescent="0.25">
      <c r="A950" s="1" t="s">
        <v>1900</v>
      </c>
      <c r="B950" s="1">
        <v>29163</v>
      </c>
      <c r="C950" s="3">
        <v>44379.202465277776</v>
      </c>
      <c r="D950" s="1" t="s">
        <v>1901</v>
      </c>
      <c r="E950" s="4" t="str">
        <f ca="1">IFERROR(__xludf.DUMMYFUNCTION("GOOGLETRANSLATE(A950 , ""tr"" , ""en"")"),"Appointment in the morning, the vaccination in the day?
You didn't read wrong. We are waiting for today.")</f>
        <v>Appointment in the morning, the vaccination in the day?
You didn't read wrong. We are waiting for today.</v>
      </c>
    </row>
    <row r="951" spans="1:5" ht="15.75" customHeight="1" x14ac:dyDescent="0.25">
      <c r="A951" s="1" t="s">
        <v>1902</v>
      </c>
      <c r="B951" s="1">
        <v>16596</v>
      </c>
      <c r="C951" s="3">
        <v>44378.841874999998</v>
      </c>
      <c r="D951" s="1" t="s">
        <v>1903</v>
      </c>
      <c r="E951" s="4" t="str">
        <f ca="1">IFERROR(__xludf.DUMMYFUNCTION("GOOGLETRANSLATE(A951 , ""tr"" , ""en"")"),"We passed the overdose of 50 million today. The number of people at least one dose is over 35 million: 57% of our 18 years of age and older population is inoculated. Our goal is up to 70%. The vaccine does not neglect. Let's get to know the priority to ma"&amp;"ke our vaccine.")</f>
        <v>We passed the overdose of 50 million today. The number of people at least one dose is over 35 million: 57% of our 18 years of age and older population is inoculated. Our goal is up to 70%. The vaccine does not neglect. Let's get to know the priority to make our vaccine.</v>
      </c>
    </row>
    <row r="952" spans="1:5" ht="15.75" customHeight="1" x14ac:dyDescent="0.25">
      <c r="A952" s="1" t="s">
        <v>1904</v>
      </c>
      <c r="B952" s="1">
        <v>7201</v>
      </c>
      <c r="C952" s="3">
        <v>44378.770972222221</v>
      </c>
      <c r="D952" s="1" t="s">
        <v>1905</v>
      </c>
      <c r="E952" s="4" t="str">
        <f ca="1">IFERROR(__xludf.DUMMYFUNCTION("GOOGLETRANSLATE(A952 , ""tr"" , ""en"")"),"75,000 dose of overdose in the Ordu University Training Research Hospital. Nurse Çiğdem Aydın; his wife had spent Covid-19 with his son, mother and his father. Is now voluntary in the vaccination unit. We celebrate all the employees of the vaccine unit in"&amp;" the person, crocus lady. https://t.co/099erfghlı")</f>
        <v>75,000 dose of overdose in the Ordu University Training Research Hospital. Nurse Çiğdem Aydın; his wife had spent Covid-19 with his son, mother and his father. Is now voluntary in the vaccination unit. We celebrate all the employees of the vaccine unit in the person, crocus lady. https://t.co/099erfghlı</v>
      </c>
    </row>
    <row r="953" spans="1:5" ht="15.75" customHeight="1" x14ac:dyDescent="0.25">
      <c r="A953" s="1" t="s">
        <v>1906</v>
      </c>
      <c r="B953" s="1">
        <v>0</v>
      </c>
      <c r="C953" s="3">
        <v>44378.377858796295</v>
      </c>
      <c r="D953" s="1" t="s">
        <v>1907</v>
      </c>
      <c r="E953" s="4" t="str">
        <f ca="1">IFERROR(__xludf.DUMMYFUNCTION("GOOGLETRANSLATE(A953 , ""tr"" , ""en"")"),"RT @rterdogan: We have exceeded 50 million dose of our most effective weapon in the fight against coronavirus epidemic. Get auspicious auspicious. Htt ...")</f>
        <v>RT @rterdogan: We have exceeded 50 million dose of our most effective weapon in the fight against coronavirus epidemic. Get auspicious auspicious. Htt ...</v>
      </c>
    </row>
    <row r="954" spans="1:5" ht="15.75" customHeight="1" x14ac:dyDescent="0.25">
      <c r="A954" s="1" t="s">
        <v>1908</v>
      </c>
      <c r="B954" s="1">
        <v>16341</v>
      </c>
      <c r="C954" s="3">
        <v>44378.314756944441</v>
      </c>
      <c r="D954" s="1" t="s">
        <v>1909</v>
      </c>
      <c r="E954" s="4" t="str">
        <f ca="1">IFERROR(__xludf.DUMMYFUNCTION("GOOGLETRANSLATE(A954 , ""tr"" , ""en"")"),"The first overdose of his daughter who wants to be a doctor has made the nurse mother. Esma is 18 years old. Meral Hanim, Batman 112 is trying to emergency. The mother was a mall in the place of the place that brings the daughter. Esma are welcome to call"&amp;" you as Health Workers. You will never have strangers! https://t.co/eakuefiv5f")</f>
        <v>The first overdose of his daughter who wants to be a doctor has made the nurse mother. Esma is 18 years old. Meral Hanim, Batman 112 is trying to emergency. The mother was a mall in the place of the place that brings the daughter. Esma are welcome to call you as Health Workers. You will never have strangers! https://t.co/eakuefiv5f</v>
      </c>
    </row>
    <row r="955" spans="1:5" ht="15.75" customHeight="1" x14ac:dyDescent="0.25">
      <c r="A955" s="1" t="s">
        <v>1910</v>
      </c>
      <c r="B955" s="1">
        <v>10652</v>
      </c>
      <c r="C955" s="3">
        <v>44377.83935185185</v>
      </c>
      <c r="D955" s="1" t="s">
        <v>1911</v>
      </c>
      <c r="E955" s="4" t="str">
        <f ca="1">IFERROR(__xludf.DUMMYFUNCTION("GOOGLETRANSLATE(A955 , ""tr"" , ""en"")"),"Izmir Claim Çelebi University Atatürk Education and Research Hospital The Nurse Betül Mountain in the Vaccine Unit made 300 Covid-19 vaccines yesterday. The wife's nurse is running free mountain, Covid emergency. Number of patients who are interested in y"&amp;"esterday 250. The only expectations of this selfless interest are more interested in vaccine. https://t.co/62nqtitumx")</f>
        <v>Izmir Claim Çelebi University Atatürk Education and Research Hospital The Nurse Betül Mountain in the Vaccine Unit made 300 Covid-19 vaccines yesterday. The wife's nurse is running free mountain, Covid emergency. Number of patients who are interested in yesterday 250. The only expectations of this selfless interest are more interested in vaccine. https://t.co/62nqtitumx</v>
      </c>
    </row>
    <row r="956" spans="1:5" ht="15.75" customHeight="1" x14ac:dyDescent="0.25">
      <c r="A956" s="1" t="s">
        <v>1912</v>
      </c>
      <c r="B956" s="1">
        <v>4219</v>
      </c>
      <c r="C956" s="3">
        <v>44377.811747685184</v>
      </c>
      <c r="D956" s="1" t="s">
        <v>1913</v>
      </c>
      <c r="E956" s="4" t="str">
        <f ca="1">IFERROR(__xludf.DUMMYFUNCTION("GOOGLETRANSLATE(A956 , ""tr"" , ""en"")"),"Today, with his studies in the history of the Sciences in the historical field, the engineering wonder of Islam, the engineering wonder of the engineering wonderful and increasing their works in this age. Dr. Fuat Sezgin 3rd anniversary of our teacher's d"&amp;"eath. Rest in piece. May the works always be considered. https://t.co/rlfcbeu1tg")</f>
        <v>Today, with his studies in the history of the Sciences in the historical field, the engineering wonder of Islam, the engineering wonder of the engineering wonderful and increasing their works in this age. Dr. Fuat Sezgin 3rd anniversary of our teacher's death. Rest in piece. May the works always be considered. https://t.co/rlfcbeu1tg</v>
      </c>
    </row>
    <row r="957" spans="1:5" ht="15.75" customHeight="1" x14ac:dyDescent="0.25">
      <c r="A957" s="1" t="s">
        <v>1914</v>
      </c>
      <c r="B957" s="1">
        <v>4208</v>
      </c>
      <c r="C957" s="3">
        <v>44377.806423611109</v>
      </c>
      <c r="D957" s="1" t="s">
        <v>1915</v>
      </c>
      <c r="E957" s="4" t="str">
        <f ca="1">IFERROR(__xludf.DUMMYFUNCTION("GOOGLETRANSLATE(A957 , ""tr"" , ""en"")"),"I want you to know that we arrived at the hard time over the great jobs. Together Sabright, we struggled together and walk together on the victory. It is to obtain social immunity with vaccines, which will hit the last impact. https://t.co/miax2fqe1g")</f>
        <v>I want you to know that we arrived at the hard time over the great jobs. Together Sabright, we struggled together and walk together on the victory. It is to obtain social immunity with vaccines, which will hit the last impact. https://t.co/miax2fqe1g</v>
      </c>
    </row>
    <row r="958" spans="1:5" ht="15.75" customHeight="1" x14ac:dyDescent="0.25">
      <c r="A958" s="1" t="s">
        <v>1916</v>
      </c>
      <c r="B958" s="1">
        <v>5549</v>
      </c>
      <c r="C958" s="3">
        <v>44377.78125</v>
      </c>
      <c r="D958" s="1" t="s">
        <v>1917</v>
      </c>
      <c r="E958" s="4" t="str">
        <f ca="1">IFERROR(__xludf.DUMMYFUNCTION("GOOGLETRANSLATE(A958 , ""tr"" , ""en"")"),"In childhood vaccines, our country has a vaccination rate such as 98%. In such an environment, it is only useful to discourage a small emerge. https://t.co/mriqrxiexb")</f>
        <v>In childhood vaccines, our country has a vaccination rate such as 98%. In such an environment, it is only useful to discourage a small emerge. https://t.co/mriqrxiexb</v>
      </c>
    </row>
    <row r="959" spans="1:5" ht="15.75" customHeight="1" x14ac:dyDescent="0.25">
      <c r="A959" s="1" t="s">
        <v>1918</v>
      </c>
      <c r="B959" s="1">
        <v>4103</v>
      </c>
      <c r="C959" s="3">
        <v>44377.770636574074</v>
      </c>
      <c r="D959" s="1" t="s">
        <v>1919</v>
      </c>
      <c r="E959" s="4" t="str">
        <f ca="1">IFERROR(__xludf.DUMMYFUNCTION("GOOGLETRANSLATE(A959 , ""tr"" , ""en"")"),"9 months are the institutions of this state to achieve the vaccine in the most accurate conditions. This state power is too large and strong to be in need of proof. When we say to this power we sound with this self-confidence. https://t.co/psurczwr6a")</f>
        <v>9 months are the institutions of this state to achieve the vaccine in the most accurate conditions. This state power is too large and strong to be in need of proof. When we say to this power we sound with this self-confidence. https://t.co/psurczwr6a</v>
      </c>
    </row>
    <row r="960" spans="1:5" ht="15.75" customHeight="1" x14ac:dyDescent="0.25">
      <c r="A960" s="1" t="s">
        <v>1920</v>
      </c>
      <c r="B960" s="1">
        <v>6220</v>
      </c>
      <c r="C960" s="3">
        <v>44377.764988425923</v>
      </c>
      <c r="D960" s="1" t="s">
        <v>1921</v>
      </c>
      <c r="E960" s="4" t="str">
        <f ca="1">IFERROR(__xludf.DUMMYFUNCTION("GOOGLETRANSLATE(A960 , ""tr"" , ""en"")"),"In the light of the new data, our citizens, the first dose of the biontech vaccine can make an appointment such as 4 weeks later. https://t.co/ERPSU2WDSI")</f>
        <v>In the light of the new data, our citizens, the first dose of the biontech vaccine can make an appointment such as 4 weeks later. https://t.co/ERPSU2WDSI</v>
      </c>
    </row>
    <row r="961" spans="1:5" ht="15.75" customHeight="1" x14ac:dyDescent="0.25">
      <c r="A961" s="1" t="s">
        <v>1922</v>
      </c>
      <c r="B961" s="1">
        <v>4518</v>
      </c>
      <c r="C961" s="3">
        <v>44377.760509259257</v>
      </c>
      <c r="D961" s="1" t="s">
        <v>1923</v>
      </c>
      <c r="E961" s="4" t="str">
        <f ca="1">IFERROR(__xludf.DUMMYFUNCTION("GOOGLETRANSLATE(A961 , ""tr"" , ""en"")"),"Our citizens who have had the disease may be after the reminder dose after 3 months of the disease. https://t.co/epoe5oogoy")</f>
        <v>Our citizens who have had the disease may be after the reminder dose after 3 months of the disease. https://t.co/epoe5oogoy</v>
      </c>
    </row>
    <row r="962" spans="1:5" ht="15.75" customHeight="1" x14ac:dyDescent="0.25">
      <c r="A962" s="1" t="s">
        <v>1924</v>
      </c>
      <c r="B962" s="1">
        <v>12399</v>
      </c>
      <c r="C962" s="3">
        <v>44377.754756944443</v>
      </c>
      <c r="D962" s="1" t="s">
        <v>1925</v>
      </c>
      <c r="E962" s="4" t="str">
        <f ca="1">IFERROR(__xludf.DUMMYFUNCTION("GOOGLETRANSLATE(A962 , ""tr"" , ""en"")"),"With our two-dose vaccinated 50 years of age and older citizens, our health workers will be able to make an appointment to be 3rd over-dose vaccines from tomorrow. https://t.co/adrpdrabcn")</f>
        <v>With our two-dose vaccinated 50 years of age and older citizens, our health workers will be able to make an appointment to be 3rd over-dose vaccines from tomorrow. https://t.co/adrpdrabcn</v>
      </c>
    </row>
    <row r="963" spans="1:5" ht="15.75" customHeight="1" x14ac:dyDescent="0.25">
      <c r="A963" s="1" t="s">
        <v>1926</v>
      </c>
      <c r="B963" s="1">
        <v>3685</v>
      </c>
      <c r="C963" s="3">
        <v>44377.716423611113</v>
      </c>
      <c r="D963" s="1" t="s">
        <v>1927</v>
      </c>
      <c r="E963" s="4" t="str">
        <f ca="1">IFERROR(__xludf.DUMMYFUNCTION("GOOGLETRANSLATE(A963 , ""tr"" , ""en"")"),"Live: After our Science Board Meeting, our press statement: https://t.co/4ecqhpps5y")</f>
        <v>Live: After our Science Board Meeting, our press statement: https://t.co/4ecqhpps5y</v>
      </c>
    </row>
    <row r="964" spans="1:5" ht="15.75" customHeight="1" x14ac:dyDescent="0.25">
      <c r="A964" s="1" t="s">
        <v>1928</v>
      </c>
      <c r="B964" s="1">
        <v>7162</v>
      </c>
      <c r="C964" s="3">
        <v>44376.906331018516</v>
      </c>
      <c r="D964" s="1" t="s">
        <v>1929</v>
      </c>
      <c r="E964" s="4" t="str">
        <f ca="1">IFERROR(__xludf.DUMMYFUNCTION("GOOGLETRANSLATE(A964 , ""tr"" , ""en"")"),"In the entrances to Turkey from abroad, PCR negative test result and / or rapid antigen negative test result is mandatory. Other than that, we do not have a freedom practice. https://t.co/i51g8mnupc")</f>
        <v>In the entrances to Turkey from abroad, PCR negative test result and / or rapid antigen negative test result is mandatory. Other than that, we do not have a freedom practice. https://t.co/i51g8mnupc</v>
      </c>
    </row>
    <row r="965" spans="1:5" ht="15.75" customHeight="1" x14ac:dyDescent="0.25">
      <c r="A965" s="1" t="s">
        <v>1930</v>
      </c>
      <c r="B965" s="1">
        <v>7418</v>
      </c>
      <c r="C965" s="3">
        <v>44376.890092592592</v>
      </c>
      <c r="D965" s="1" t="s">
        <v>1931</v>
      </c>
      <c r="E965" s="4" t="str">
        <f ca="1">IFERROR(__xludf.DUMMYFUNCTION("GOOGLETRANSLATE(A965 , ""tr"" , ""en"")"),"Turkey provides vaccines that other countries do not receive the vaccines of other countries as BionTech is providing vaccines for Turkey. Vaccines to Turkey and Germany in Biontech, deliver the PFizer to other countries. We are delivering the vaccines to"&amp;" us. We strived that for 9 months. https://t.co/w7pdhnpelv")</f>
        <v>Turkey provides vaccines that other countries do not receive the vaccines of other countries as BionTech is providing vaccines for Turkey. Vaccines to Turkey and Germany in Biontech, deliver the PFizer to other countries. We are delivering the vaccines to us. We strived that for 9 months. https://t.co/w7pdhnpelv</v>
      </c>
    </row>
    <row r="966" spans="1:5" ht="15.75" customHeight="1" x14ac:dyDescent="0.25">
      <c r="A966" s="1" t="s">
        <v>1932</v>
      </c>
      <c r="B966" s="1">
        <v>8374</v>
      </c>
      <c r="C966" s="3">
        <v>44376.872650462959</v>
      </c>
      <c r="D966" s="1" t="s">
        <v>1933</v>
      </c>
      <c r="E966" s="4" t="str">
        <f ca="1">IFERROR(__xludf.DUMMYFUNCTION("GOOGLETRANSLATE(A966 , ""tr"" , ""en"")"),"Our city hospitals are the public. It is also not the transfer of selling. The operator change is not possible without our permission. https://t.co/hiyk6FIHKF")</f>
        <v>Our city hospitals are the public. It is also not the transfer of selling. The operator change is not possible without our permission. https://t.co/hiyk6FIHKF</v>
      </c>
    </row>
    <row r="967" spans="1:5" ht="15.75" customHeight="1" x14ac:dyDescent="0.25">
      <c r="A967" s="1" t="s">
        <v>1934</v>
      </c>
      <c r="B967" s="1">
        <v>18062</v>
      </c>
      <c r="C967" s="3">
        <v>44376.598553240743</v>
      </c>
      <c r="D967" s="1" t="s">
        <v>1935</v>
      </c>
      <c r="E967" s="4" t="str">
        <f ca="1">IFERROR(__xludf.DUMMYFUNCTION("GOOGLETRANSLATE(A967 , ""tr"" , ""en"")"),"The vaccination of each of 4 people has been completed. The number of double dose vaccines has reached 15 million today at noon. 25% of our 18 years of age or older population is now grafted. The increase in our epidemic depends on the rise of the rate. L"&amp;"et's get our vaccine.")</f>
        <v>The vaccination of each of 4 people has been completed. The number of double dose vaccines has reached 15 million today at noon. 25% of our 18 years of age or older population is now grafted. The increase in our epidemic depends on the rise of the rate. Let's get our vaccine.</v>
      </c>
    </row>
    <row r="968" spans="1:5" ht="15.75" customHeight="1" x14ac:dyDescent="0.25">
      <c r="A968" s="1" t="s">
        <v>1936</v>
      </c>
      <c r="B968" s="1">
        <v>22794</v>
      </c>
      <c r="C968" s="3">
        <v>44376.461388888885</v>
      </c>
      <c r="D968" s="1" t="s">
        <v>1937</v>
      </c>
      <c r="E968" s="4" t="str">
        <f ca="1">IFERROR(__xludf.DUMMYFUNCTION("GOOGLETRANSLATE(A968 , ""tr"" , ""en"")"),"In the centers we have created in the train and bus station, the vaccine service began. The first app is in Ankara. It's enough to stretch your arm of those who want to become vaccines.")</f>
        <v>In the centers we have created in the train and bus station, the vaccine service began. The first app is in Ankara. It's enough to stretch your arm of those who want to become vaccines.</v>
      </c>
    </row>
    <row r="969" spans="1:5" ht="15.75" customHeight="1" x14ac:dyDescent="0.25">
      <c r="A969" s="1" t="s">
        <v>1938</v>
      </c>
      <c r="B969" s="1">
        <v>14198</v>
      </c>
      <c r="C969" s="3">
        <v>44376.427245370367</v>
      </c>
      <c r="D969" s="1" t="s">
        <v>1939</v>
      </c>
      <c r="E969" s="4" t="str">
        <f ca="1">IFERROR(__xludf.DUMMYFUNCTION("GOOGLETRANSLATE(A969 , ""tr"" , ""en"")"),"Our traveling vaccine team in Bartin has encountered his 18-year-old Furkan. They asked whether you want to become vaccines. The vaccine was immediately there. He had downloaded his mask for the ice cream in his hand. Forgotten to put on again. Such as su"&amp;"ch a moment. (Team, continue to vaccine!) Https://t.co/qkx6j8962m")</f>
        <v>Our traveling vaccine team in Bartin has encountered his 18-year-old Furkan. They asked whether you want to become vaccines. The vaccine was immediately there. He had downloaded his mask for the ice cream in his hand. Forgotten to put on again. Such as such a moment. (Team, continue to vaccine!) Https://t.co/qkx6j8962m</v>
      </c>
    </row>
    <row r="970" spans="1:5" ht="15.75" customHeight="1" x14ac:dyDescent="0.25">
      <c r="A970" s="1" t="s">
        <v>1940</v>
      </c>
      <c r="B970" s="1">
        <v>16946</v>
      </c>
      <c r="C970" s="3">
        <v>44375.880740740744</v>
      </c>
      <c r="D970" s="1" t="s">
        <v>1941</v>
      </c>
      <c r="E970" s="4" t="str">
        <f ca="1">IFERROR(__xludf.DUMMYFUNCTION("GOOGLETRANSLATE(A970 , ""tr"" , ""en"")"),"1 million 44 thousand 263 people had the vaccine today.
Take your appointment, you also make your vaccine.")</f>
        <v>1 million 44 thousand 263 people had the vaccine today.
Take your appointment, you also make your vaccine.</v>
      </c>
    </row>
    <row r="971" spans="1:5" ht="15.75" customHeight="1" x14ac:dyDescent="0.25">
      <c r="A971" s="1" t="s">
        <v>1942</v>
      </c>
      <c r="B971" s="1">
        <v>30332</v>
      </c>
      <c r="C971" s="3">
        <v>44375.851284722223</v>
      </c>
      <c r="D971" s="1" t="s">
        <v>1943</v>
      </c>
      <c r="E971" s="4" t="str">
        <f ca="1">IFERROR(__xludf.DUMMYFUNCTION("GOOGLETRANSLATE(A971 , ""tr"" , ""en"")"),"The vaccine he made others do not keep your health. Please make your vaccine.")</f>
        <v>The vaccine he made others do not keep your health. Please make your vaccine.</v>
      </c>
    </row>
    <row r="972" spans="1:5" ht="15.75" customHeight="1" x14ac:dyDescent="0.25">
      <c r="A972" s="1" t="s">
        <v>1944</v>
      </c>
      <c r="B972" s="1">
        <v>6609</v>
      </c>
      <c r="C972" s="3">
        <v>44375.844166666669</v>
      </c>
      <c r="D972" s="1" t="s">
        <v>1945</v>
      </c>
      <c r="E972" s="4" t="str">
        <f ca="1">IFERROR(__xludf.DUMMYFUNCTION("GOOGLETRANSLATE(A972 , ""tr"" , ""en"")"),"Today, 1 millionth overdose was performed in Ankara Gülhane Education and Research Hospital in 21.04. Our friend who applies the vaccination nurse says that we are waiting for everyone to the vaccine as our entire study of friends. ""If the whole country "&amp;"is inoculated, we get rid of this virus."" https://t.co/qzka5krign")</f>
        <v>Today, 1 millionth overdose was performed in Ankara Gülhane Education and Research Hospital in 21.04. Our friend who applies the vaccination nurse says that we are waiting for everyone to the vaccine as our entire study of friends. "If the whole country is inoculated, we get rid of this virus." https://t.co/qzka5krign</v>
      </c>
    </row>
    <row r="973" spans="1:5" ht="15.75" customHeight="1" x14ac:dyDescent="0.25">
      <c r="A973" s="1" t="s">
        <v>1946</v>
      </c>
      <c r="B973" s="1">
        <v>14145</v>
      </c>
      <c r="C973" s="3">
        <v>44375.725405092591</v>
      </c>
      <c r="D973" s="1" t="s">
        <v>1947</v>
      </c>
      <c r="E973" s="4" t="str">
        <f ca="1">IFERROR(__xludf.DUMMYFUNCTION("GOOGLETRANSLATE(A973 , ""tr"" , ""en"")"),"The rain nurse is served in Covid-19 service. He could not be with his own father while interested in their patients. His wife physician. Yesterday, even though he was not official, he helped my rainwife in vaccination 9 hours. There are bitter experience"&amp;"s behind these sacrifices. The rain lady is very right when you say make your vaccine. https://t.co/en5v76rb9t")</f>
        <v>The rain nurse is served in Covid-19 service. He could not be with his own father while interested in their patients. His wife physician. Yesterday, even though he was not official, he helped my rainwife in vaccination 9 hours. There are bitter experiences behind these sacrifices. The rain lady is very right when you say make your vaccine. https://t.co/en5v76rb9t</v>
      </c>
    </row>
    <row r="974" spans="1:5" ht="15.75" customHeight="1" x14ac:dyDescent="0.25">
      <c r="A974" s="1" t="s">
        <v>1948</v>
      </c>
      <c r="B974" s="1">
        <v>20389</v>
      </c>
      <c r="C974" s="3">
        <v>44375.688854166663</v>
      </c>
      <c r="D974" s="1" t="s">
        <v>1949</v>
      </c>
      <c r="E974" s="4" t="str">
        <f ca="1">IFERROR(__xludf.DUMMYFUNCTION("GOOGLETRANSLATE(A974 , ""tr"" , ""en"")"),"Meliha Baby is a preliminary diagnosis of aspiration pneumonia in Sivas Kayulhisar State Hospital around 13.20. Air Ambulance gets up at 13.40 in Sivas, reached Boyulhisar in 14.08. In Meliha 14.47, the Sivas Sample Hospital Pediatrics was treated in emer"&amp;"gency. Is this team happy? https://t.co/7mpbfmtbex")</f>
        <v>Meliha Baby is a preliminary diagnosis of aspiration pneumonia in Sivas Kayulhisar State Hospital around 13.20. Air Ambulance gets up at 13.40 in Sivas, reached Boyulhisar in 14.08. In Meliha 14.47, the Sivas Sample Hospital Pediatrics was treated in emergency. Is this team happy? https://t.co/7mpbfmtbex</v>
      </c>
    </row>
    <row r="975" spans="1:5" ht="15.75" customHeight="1" x14ac:dyDescent="0.25">
      <c r="A975" s="1" t="s">
        <v>1950</v>
      </c>
      <c r="B975" s="1">
        <v>4704</v>
      </c>
      <c r="C975" s="3">
        <v>44375.659097222226</v>
      </c>
      <c r="D975" s="1" t="s">
        <v>1951</v>
      </c>
      <c r="E975" s="4" t="str">
        <f ca="1">IFERROR(__xludf.DUMMYFUNCTION("GOOGLETRANSLATE(A975 , ""tr"" , ""en"")"),"The number of cases in a final week is the most diminished provinces; Bolu, Kastamonu, Mus, Yozgat and slap. The decrease in the number of cases increases our courage to normalization. We will get rid of anxiety with vaccine. Let's get our vaccine. https:"&amp;"//t.co/htvjlzv5ld")</f>
        <v>The number of cases in a final week is the most diminished provinces; Bolu, Kastamonu, Mus, Yozgat and slap. The decrease in the number of cases increases our courage to normalization. We will get rid of anxiety with vaccine. Let's get our vaccine. https://t.co/htvjlzv5ld</v>
      </c>
    </row>
    <row r="976" spans="1:5" ht="15.75" customHeight="1" x14ac:dyDescent="0.25">
      <c r="A976" s="1" t="s">
        <v>1952</v>
      </c>
      <c r="B976" s="1">
        <v>5649</v>
      </c>
      <c r="C976" s="3">
        <v>44375.654270833336</v>
      </c>
      <c r="D976" s="1" t="s">
        <v>1953</v>
      </c>
      <c r="E976" s="4" t="str">
        <f ca="1">IFERROR(__xludf.DUMMYFUNCTION("GOOGLETRANSLATE(A976 , ""tr"" , ""en"")"),"The current form of the incidence map shows the total number of total cases that correspond to 100,000 population in our provinces. Although the rate of decline in the number of cases is reduced, this situation does not prevent normalization. The vaccine "&amp;"is that if there is no return to the days without worries. Let's get our vaccine. https://t.co/v5re5lugrc")</f>
        <v>The current form of the incidence map shows the total number of total cases that correspond to 100,000 population in our provinces. Although the rate of decline in the number of cases is reduced, this situation does not prevent normalization. The vaccine is that if there is no return to the days without worries. Let's get our vaccine. https://t.co/v5re5lugrc</v>
      </c>
    </row>
    <row r="977" spans="1:5" ht="15.75" customHeight="1" x14ac:dyDescent="0.25">
      <c r="A977" s="1" t="s">
        <v>1954</v>
      </c>
      <c r="B977" s="1">
        <v>9681</v>
      </c>
      <c r="C977" s="3">
        <v>44374.758402777778</v>
      </c>
      <c r="D977" s="1" t="s">
        <v>1955</v>
      </c>
      <c r="E977" s="4" t="str">
        <f ca="1">IFERROR(__xludf.DUMMYFUNCTION("GOOGLETRANSLATE(A977 , ""tr"" , ""en"")"),"The day comes everyone in vaccination forgets the day. But some vaccine stories are not memorable. Here's the story of the sovereign: https://t.co/XUC58ORI4Z")</f>
        <v>The day comes everyone in vaccination forgets the day. But some vaccine stories are not memorable. Here's the story of the sovereign: https://t.co/XUC58ORI4Z</v>
      </c>
    </row>
    <row r="978" spans="1:5" ht="15.75" customHeight="1" x14ac:dyDescent="0.25">
      <c r="A978" s="1" t="s">
        <v>1956</v>
      </c>
      <c r="B978" s="1">
        <v>33631</v>
      </c>
      <c r="C978" s="3">
        <v>44374.703877314816</v>
      </c>
      <c r="D978" s="1" t="s">
        <v>1957</v>
      </c>
      <c r="E978" s="4" t="str">
        <f ca="1">IFERROR(__xludf.DUMMYFUNCTION("GOOGLETRANSLATE(A978 , ""tr"" , ""en"")"),"4.883 The number of cases, the pride statement of those who have the vaccination should be counted.")</f>
        <v>4.883 The number of cases, the pride statement of those who have the vaccination should be counted.</v>
      </c>
    </row>
    <row r="979" spans="1:5" ht="15.75" customHeight="1" x14ac:dyDescent="0.25">
      <c r="A979" s="1" t="s">
        <v>1958</v>
      </c>
      <c r="B979" s="1">
        <v>18281</v>
      </c>
      <c r="C979" s="3">
        <v>44374.681979166664</v>
      </c>
      <c r="D979" s="1" t="s">
        <v>1959</v>
      </c>
      <c r="E979" s="4" t="str">
        <f ca="1">IFERROR(__xludf.DUMMYFUNCTION("GOOGLETRANSLATE(A979 , ""tr"" , ""en"")"),"In 18.10, the total number of vaccines made up to date has passed 47 million dose. 54% of our 18-year-old population has at least one dose of vaccines.")</f>
        <v>In 18.10, the total number of vaccines made up to date has passed 47 million dose. 54% of our 18-year-old population has at least one dose of vaccines.</v>
      </c>
    </row>
    <row r="980" spans="1:5" ht="15.75" customHeight="1" x14ac:dyDescent="0.25">
      <c r="A980" s="1" t="s">
        <v>1960</v>
      </c>
      <c r="B980" s="1">
        <v>8155</v>
      </c>
      <c r="C980" s="3">
        <v>44374.624826388892</v>
      </c>
      <c r="D980" s="1" t="s">
        <v>1961</v>
      </c>
      <c r="E980" s="4" t="str">
        <f ca="1">IFERROR(__xludf.DUMMYFUNCTION("GOOGLETRANSLATE(A980 , ""tr"" , ""en"")"),"Our nurse is trying to complete the vaccines at Gaziantep-Sahinbey in Gaziantep-Sahinbey. Covid-19 Intensive care unit engaged in the colleague SARE lady, July, took a wedding date: Before the wedding, the vaccine should win against the outbreak. https://"&amp;"t.co/3xvah9hrtx")</f>
        <v>Our nurse is trying to complete the vaccines at Gaziantep-Sahinbey in Gaziantep-Sahinbey. Covid-19 Intensive care unit engaged in the colleague SARE lady, July, took a wedding date: Before the wedding, the vaccine should win against the outbreak. https://t.co/3xvah9hrtx</v>
      </c>
    </row>
    <row r="981" spans="1:5" ht="15.75" customHeight="1" x14ac:dyDescent="0.25">
      <c r="A981" s="1" t="s">
        <v>1962</v>
      </c>
      <c r="B981" s="1">
        <v>17203</v>
      </c>
      <c r="C981" s="3">
        <v>44374.544745370367</v>
      </c>
      <c r="D981" s="1" t="s">
        <v>1963</v>
      </c>
      <c r="E981" s="4" t="str">
        <f ca="1">IFERROR(__xludf.DUMMYFUNCTION("GOOGLETRANSLATE(A981 , ""tr"" , ""en"")"),"KIVENÇ Sweet: I think the people who need to be the main admiration in the world, scientists and health workers. We hold on to life through their sacrifices, we maintained our hopes. Now it's our turn. Let's be vaccinated. https://t.co/ISXIHVHKQY")</f>
        <v>KIVENÇ Sweet: I think the people who need to be the main admiration in the world, scientists and health workers. We hold on to life through their sacrifices, we maintained our hopes. Now it's our turn. Let's be vaccinated. https://t.co/ISXIHVHKQY</v>
      </c>
    </row>
    <row r="982" spans="1:5" ht="15.75" customHeight="1" x14ac:dyDescent="0.25">
      <c r="A982" s="1" t="s">
        <v>1964</v>
      </c>
      <c r="B982" s="1">
        <v>8658</v>
      </c>
      <c r="C982" s="3">
        <v>44374.495509259257</v>
      </c>
      <c r="D982" s="1" t="s">
        <v>1965</v>
      </c>
      <c r="E982" s="4" t="str">
        <f ca="1">IFERROR(__xludf.DUMMYFUNCTION("GOOGLETRANSLATE(A982 , ""tr"" , ""en"")"),"Cedi Osman: You missed being on the field, we feel the audience support with us ... Be your vaccine for good days, we will be the party that win against Koronavirus. https://t.co/rlcqctpjjq")</f>
        <v>Cedi Osman: You missed being on the field, we feel the audience support with us ... Be your vaccine for good days, we will be the party that win against Koronavirus. https://t.co/rlcqctpjjq</v>
      </c>
    </row>
    <row r="983" spans="1:5" ht="15.75" customHeight="1" x14ac:dyDescent="0.25">
      <c r="A983" s="1" t="s">
        <v>1966</v>
      </c>
      <c r="B983" s="1">
        <v>27631</v>
      </c>
      <c r="C983" s="3">
        <v>44374.412129629629</v>
      </c>
      <c r="D983" s="1" t="s">
        <v>1967</v>
      </c>
      <c r="E983" s="4" t="str">
        <f ca="1">IFERROR(__xludf.DUMMYFUNCTION("GOOGLETRANSLATE(A983 , ""tr"" , ""en"")"),"The vaccine is that if normal life is not. Let's get our vaccine immediately.")</f>
        <v>The vaccine is that if normal life is not. Let's get our vaccine immediately.</v>
      </c>
    </row>
    <row r="984" spans="1:5" ht="15.75" customHeight="1" x14ac:dyDescent="0.25">
      <c r="A984" s="1" t="s">
        <v>1968</v>
      </c>
      <c r="B984" s="1">
        <v>17619</v>
      </c>
      <c r="C984" s="3">
        <v>44373.580925925926</v>
      </c>
      <c r="D984" s="1" t="s">
        <v>1969</v>
      </c>
      <c r="E984" s="4" t="str">
        <f ca="1">IFERROR(__xludf.DUMMYFUNCTION("GOOGLETRANSLATE(A984 , ""tr"" , ""en"")"),"Ebru Ulu, 13 years of nurse. Caught Covid-19 in November. Lost his father due to the same disease. Currently served at Balikesir Atatürk City Hospital. The Covid-19 vaccine was carried out in the Covid-19 vaccination polyclinet 2,000 dose of overdose. If "&amp;"you're in place, did you don't work with you too? https://t.co/zgpp9DIBPO")</f>
        <v>Ebru Ulu, 13 years of nurse. Caught Covid-19 in November. Lost his father due to the same disease. Currently served at Balikesir Atatürk City Hospital. The Covid-19 vaccine was carried out in the Covid-19 vaccination polyclinet 2,000 dose of overdose. If you're in place, did you don't work with you too? https://t.co/zgpp9DIBPO</v>
      </c>
    </row>
    <row r="985" spans="1:5" ht="15.75" customHeight="1" x14ac:dyDescent="0.25">
      <c r="A985" s="1" t="s">
        <v>1970</v>
      </c>
      <c r="B985" s="1">
        <v>20010</v>
      </c>
      <c r="C985" s="3">
        <v>44373.302291666667</v>
      </c>
      <c r="D985" s="1" t="s">
        <v>1971</v>
      </c>
      <c r="E985" s="4" t="str">
        <f ca="1">IFERROR(__xludf.DUMMYFUNCTION("GOOGLETRANSLATE(A985 , ""tr"" , ""en"")"),"In order to make the vaccine, 997 thousand people came to 24 health institutions yesterday, 997 thousand dose of overdose. If they know the importance of being vaccinated without losing time, the other thanking the vaccines thanks for the vaccine. Let's w"&amp;"ait and no risk. Take our appointment and get our vaccination.")</f>
        <v>In order to make the vaccine, 997 thousand people came to 24 health institutions yesterday, 997 thousand dose of overdose. If they know the importance of being vaccinated without losing time, the other thanking the vaccines thanks for the vaccine. Let's wait and no risk. Take our appointment and get our vaccination.</v>
      </c>
    </row>
    <row r="986" spans="1:5" ht="15.75" customHeight="1" x14ac:dyDescent="0.25">
      <c r="A986" s="1" t="s">
        <v>1972</v>
      </c>
      <c r="B986" s="1">
        <v>43496</v>
      </c>
      <c r="C986" s="3">
        <v>44373.162708333337</v>
      </c>
      <c r="D986" s="1" t="s">
        <v>1973</v>
      </c>
      <c r="E986" s="4" t="str">
        <f ca="1">IFERROR(__xludf.DUMMYFUNCTION("GOOGLETRANSLATE(A986 , ""tr"" , ""en"")"),"Teenagers who take the exam I wish you all the best of luck. Remember, always gains to the verification.")</f>
        <v>Teenagers who take the exam I wish you all the best of luck. Remember, always gains to the verification.</v>
      </c>
    </row>
    <row r="987" spans="1:5" ht="15.75" customHeight="1" x14ac:dyDescent="0.25">
      <c r="A987" s="1" t="s">
        <v>1974</v>
      </c>
      <c r="B987" s="1">
        <v>10391</v>
      </c>
      <c r="C987" s="3">
        <v>44372.841180555559</v>
      </c>
      <c r="D987" s="1" t="s">
        <v>1975</v>
      </c>
      <c r="E987" s="4" t="str">
        <f ca="1">IFERROR(__xludf.DUMMYFUNCTION("GOOGLETRANSLATE(A987 , ""tr"" , ""en"")"),"In Bingöl's Kısık district, there was a 5.2 earthquake felt in our environmental provinces. Thank God, we have no injury. I am offering my wishes to get to our public people. We are at your side with your immediate call. God bless all of us from disasters"&amp;".")</f>
        <v>In Bingöl's Kısık district, there was a 5.2 earthquake felt in our environmental provinces. Thank God, we have no injury. I am offering my wishes to get to our public people. We are at your side with your immediate call. God bless all of us from disasters.</v>
      </c>
    </row>
    <row r="988" spans="1:5" ht="15.75" customHeight="1" x14ac:dyDescent="0.25">
      <c r="A988" s="1" t="s">
        <v>1976</v>
      </c>
      <c r="B988" s="1">
        <v>9375</v>
      </c>
      <c r="C988" s="3">
        <v>44372.707013888888</v>
      </c>
      <c r="D988" s="1" t="s">
        <v>1977</v>
      </c>
      <c r="E988" s="4" t="str">
        <f ca="1">IFERROR(__xludf.DUMMYFUNCTION("GOOGLETRANSLATE(A988 , ""tr"" , ""en"")"),"Elazig Fethi Sekin City Hospital. EDA nurse treatment is still at the beginning of his task. Covid-19 knows well, he lived in person. He took part in our tens of thousands of vaccines. The sacrifices of our friends are the most meaningful call for vaccina"&amp;"tion. https://t.co/ntlcoaawd8")</f>
        <v>Elazig Fethi Sekin City Hospital. EDA nurse treatment is still at the beginning of his task. Covid-19 knows well, he lived in person. He took part in our tens of thousands of vaccines. The sacrifices of our friends are the most meaningful call for vaccination. https://t.co/ntlcoaawd8</v>
      </c>
    </row>
    <row r="989" spans="1:5" ht="15.75" customHeight="1" x14ac:dyDescent="0.25">
      <c r="A989" s="1" t="s">
        <v>1978</v>
      </c>
      <c r="B989" s="1">
        <v>9414</v>
      </c>
      <c r="C989" s="3">
        <v>44372.650092592594</v>
      </c>
      <c r="D989" s="1" t="s">
        <v>1979</v>
      </c>
      <c r="E989" s="4" t="str">
        <f ca="1">IFERROR(__xludf.DUMMYFUNCTION("GOOGLETRANSLATE(A989 , ""tr"" , ""en"")"),"Okan Bayülgen: I also read the anti-domestic foreign vaccination writings, watched videos. I know many people are in the mind. Then I asked my doctor my friends. We don't have the vaccination to the fatal effects of Covid-19. I believe in doctors. https:/"&amp;"/t.co/hsuvyfm8en")</f>
        <v>Okan Bayülgen: I also read the anti-domestic foreign vaccination writings, watched videos. I know many people are in the mind. Then I asked my doctor my friends. We don't have the vaccination to the fatal effects of Covid-19. I believe in doctors. https://t.co/hsuvyfm8en</v>
      </c>
    </row>
    <row r="990" spans="1:5" ht="15.75" customHeight="1" x14ac:dyDescent="0.25">
      <c r="A990" s="1" t="s">
        <v>1980</v>
      </c>
      <c r="B990" s="1">
        <v>54842</v>
      </c>
      <c r="C990" s="3">
        <v>44372.624212962961</v>
      </c>
      <c r="D990" s="1" t="s">
        <v>1981</v>
      </c>
      <c r="E990" s="4" t="str">
        <f ca="1">IFERROR(__xludf.DUMMYFUNCTION("GOOGLETRANSLATE(A990 , ""tr"" , ""en"")"),"In the summer period, everyone over 18 years of age can be vaccinated, they say that the face does not blush on the summer of the summer, they hope they often come to the sun these days.")</f>
        <v>In the summer period, everyone over 18 years of age can be vaccinated, they say that the face does not blush on the summer of the summer, they hope they often come to the sun these days.</v>
      </c>
    </row>
    <row r="991" spans="1:5" ht="15.75" customHeight="1" x14ac:dyDescent="0.25">
      <c r="A991" s="1" t="s">
        <v>1982</v>
      </c>
      <c r="B991" s="1">
        <v>12227</v>
      </c>
      <c r="C991" s="3">
        <v>44372.607800925929</v>
      </c>
      <c r="D991" s="1" t="s">
        <v>1983</v>
      </c>
      <c r="E991" s="4" t="str">
        <f ca="1">IFERROR(__xludf.DUMMYFUNCTION("GOOGLETRANSLATE(A991 , ""tr"" , ""en"")"),"Preparation to young normal began. Friends are excited. https://t.co/6IQGZLPKQI")</f>
        <v>Preparation to young normal began. Friends are excited. https://t.co/6IQGZLPKQI</v>
      </c>
    </row>
    <row r="992" spans="1:5" ht="15.75" customHeight="1" x14ac:dyDescent="0.25">
      <c r="A992" s="1" t="s">
        <v>1984</v>
      </c>
      <c r="B992" s="1">
        <v>13399</v>
      </c>
      <c r="C992" s="3">
        <v>44372.320428240739</v>
      </c>
      <c r="D992" s="1" t="s">
        <v>1985</v>
      </c>
      <c r="E992" s="4" t="str">
        <f ca="1">IFERROR(__xludf.DUMMYFUNCTION("GOOGLETRANSLATE(A992 , ""tr"" , ""en"")"),"The rate of vaccine came and the proportion of at least 1 dose of vaccines is rising. The most effective way to control the outbreak diseases is the vaccine today as it was yesterday. Plaster the arms as well for your health. https://t.co/VPJPEMFLIX")</f>
        <v>The rate of vaccine came and the proportion of at least 1 dose of vaccines is rising. The most effective way to control the outbreak diseases is the vaccine today as it was yesterday. Plaster the arms as well for your health. https://t.co/VPJPEMFLIX</v>
      </c>
    </row>
    <row r="993" spans="1:5" ht="15.75" customHeight="1" x14ac:dyDescent="0.25">
      <c r="A993" s="1" t="s">
        <v>1986</v>
      </c>
      <c r="B993" s="1">
        <v>11276</v>
      </c>
      <c r="C993" s="3">
        <v>44371.725462962961</v>
      </c>
      <c r="D993" s="1" t="s">
        <v>1987</v>
      </c>
      <c r="E993" s="4" t="str">
        <f ca="1">IFERROR(__xludf.DUMMYFUNCTION("GOOGLETRANSLATE(A993 , ""tr"" , ""en"")"),"Candan Erçetin: It continues from the place where the music is left and our children's face-to-face education depends on having a moment of vaccination. Don't neglect, not postponement, let's say songs together again. https://t.co/kqkqkkık1pu")</f>
        <v>Candan Erçetin: It continues from the place where the music is left and our children's face-to-face education depends on having a moment of vaccination. Don't neglect, not postponement, let's say songs together again. https://t.co/kqkqkkık1pu</v>
      </c>
    </row>
    <row r="994" spans="1:5" ht="15.75" customHeight="1" x14ac:dyDescent="0.25">
      <c r="A994" s="1" t="s">
        <v>1988</v>
      </c>
      <c r="B994" s="1">
        <v>40002</v>
      </c>
      <c r="C994" s="3">
        <v>44371.631516203706</v>
      </c>
      <c r="D994" s="1" t="s">
        <v>1989</v>
      </c>
      <c r="E994" s="4" t="str">
        <f ca="1">IFERROR(__xludf.DUMMYFUNCTION("GOOGLETRANSLATE(A994 , ""tr"" , ""en"")"),"Teenagers, let's get over and get involved in life. The age limit in appointments landed at 18. The first day is tomorrow!")</f>
        <v>Teenagers, let's get over and get involved in life. The age limit in appointments landed at 18. The first day is tomorrow!</v>
      </c>
    </row>
    <row r="995" spans="1:5" ht="15.75" customHeight="1" x14ac:dyDescent="0.25">
      <c r="A995" s="1" t="s">
        <v>1990</v>
      </c>
      <c r="B995" s="1">
        <v>5283</v>
      </c>
      <c r="C995" s="3">
        <v>44371.418391203704</v>
      </c>
      <c r="D995" s="1" t="s">
        <v>1991</v>
      </c>
      <c r="E995" s="4" t="str">
        <f ca="1">IFERROR(__xludf.DUMMYFUNCTION("GOOGLETRANSLATE(A995 , ""tr"" , ""en"")"),"Everyone should be more careful for a while by creating their own personal circle and has to vaccine without time. https://t.co/skchwomsgt")</f>
        <v>Everyone should be more careful for a while by creating their own personal circle and has to vaccine without time. https://t.co/skchwomsgt</v>
      </c>
    </row>
    <row r="996" spans="1:5" ht="15.75" customHeight="1" x14ac:dyDescent="0.25">
      <c r="A996" s="1" t="s">
        <v>1992</v>
      </c>
      <c r="B996" s="1">
        <v>3648</v>
      </c>
      <c r="C996" s="3">
        <v>44371.395381944443</v>
      </c>
      <c r="D996" s="1" t="s">
        <v>1993</v>
      </c>
      <c r="E996" s="4" t="str">
        <f ca="1">IFERROR(__xludf.DUMMYFUNCTION("GOOGLETRANSLATE(A996 , ""tr"" , ""en"")"),"Today, there was at least 3.9 million people Covid-19 on the global scale, but it is evaluated that there is Covid-19 and his destructive effect on 10 million deaths, such as the restriction of unpresented cases and health services. https://t.co/llapjqsuv"&amp;"k")</f>
        <v>Today, there was at least 3.9 million people Covid-19 on the global scale, but it is evaluated that there is Covid-19 and his destructive effect on 10 million deaths, such as the restriction of unpresented cases and health services. https://t.co/llapjqsuvk</v>
      </c>
    </row>
    <row r="997" spans="1:5" ht="15.75" customHeight="1" x14ac:dyDescent="0.25">
      <c r="A997" s="1" t="s">
        <v>1994</v>
      </c>
      <c r="B997" s="1">
        <v>6356</v>
      </c>
      <c r="C997" s="3">
        <v>44371.373935185184</v>
      </c>
      <c r="D997" s="1" t="s">
        <v>1995</v>
      </c>
      <c r="E997" s="4" t="str">
        <f ca="1">IFERROR(__xludf.DUMMYFUNCTION("GOOGLETRANSLATE(A997 , ""tr"" , ""en"")"),"We are on the verge of completely getting rid of the vaccine with the vaccination. https://t.co/r9li6oi9da")</f>
        <v>We are on the verge of completely getting rid of the vaccine with the vaccination. https://t.co/r9li6oi9da</v>
      </c>
    </row>
    <row r="998" spans="1:5" ht="15.75" customHeight="1" x14ac:dyDescent="0.25">
      <c r="A998" s="1" t="s">
        <v>1996</v>
      </c>
      <c r="B998" s="1">
        <v>5120</v>
      </c>
      <c r="C998" s="3">
        <v>44371.352662037039</v>
      </c>
      <c r="D998" s="1" t="s">
        <v>1997</v>
      </c>
      <c r="E998" s="4" t="str">
        <f ca="1">IFERROR(__xludf.DUMMYFUNCTION("GOOGLETRANSLATE(A998 , ""tr"" , ""en"")"),"As you know, we carry out one of the world's fastest vaccination programs. https://t.co/ct3zspjvke")</f>
        <v>As you know, we carry out one of the world's fastest vaccination programs. https://t.co/ct3zspjvke</v>
      </c>
    </row>
    <row r="999" spans="1:5" ht="15.75" customHeight="1" x14ac:dyDescent="0.25">
      <c r="A999" s="1" t="s">
        <v>1998</v>
      </c>
      <c r="B999" s="1">
        <v>12451</v>
      </c>
      <c r="C999" s="3">
        <v>44371.337094907409</v>
      </c>
      <c r="D999" s="1" t="s">
        <v>1999</v>
      </c>
      <c r="E999" s="4" t="str">
        <f ca="1">IFERROR(__xludf.DUMMYFUNCTION("GOOGLETRANSLATE(A999 , ""tr"" , ""en"")"),"From Friday; Everyone who has taken day 18 will have an appointment. https://t.co/gmpceob9no")</f>
        <v>From Friday; Everyone who has taken day 18 will have an appointment. https://t.co/gmpceob9no</v>
      </c>
    </row>
    <row r="1000" spans="1:5" ht="15.75" customHeight="1" x14ac:dyDescent="0.25">
      <c r="A1000" s="1" t="s">
        <v>2000</v>
      </c>
      <c r="B1000" s="1">
        <v>4776</v>
      </c>
      <c r="C1000" s="3">
        <v>44370.676435185182</v>
      </c>
      <c r="D1000" s="1" t="s">
        <v>2001</v>
      </c>
      <c r="E1000" s="4" t="str">
        <f ca="1">IFERROR(__xludf.DUMMYFUNCTION("GOOGLETRANSLATE(A1000 , ""tr"" , ""en"")"),"After our Science Board meeting, our press statement on the latest developments on the coronavirus.
📍 The Ministry of Health
https://t.co/IDwaolosaq")</f>
        <v>After our Science Board meeting, our press statement on the latest developments on the coronavirus.
📍 The Ministry of Health
https://t.co/IDwaolosaq</v>
      </c>
    </row>
    <row r="1001" spans="1:5" ht="15.75" customHeight="1" x14ac:dyDescent="0.25">
      <c r="A1001" s="1" t="s">
        <v>2002</v>
      </c>
      <c r="B1001" s="1">
        <v>16786</v>
      </c>
      <c r="C1001" s="3">
        <v>44370.568738425929</v>
      </c>
      <c r="D1001" s="1" t="s">
        <v>2003</v>
      </c>
      <c r="E1001" s="4" t="str">
        <f ca="1">IFERROR(__xludf.DUMMYFUNCTION("GOOGLETRANSLATE(A1001 , ""tr"" , ""en"")"),"Cem Yılmaz: ""Please let us be our vaccines to get back to our healthy days."" The most effective way to control the outbreak diseases is the vaccine today as it was yesterday. Let's plasting the arms for our health. https://t.co/z8gf2nnrlg")</f>
        <v>Cem Yılmaz: "Please let us be our vaccines to get back to our healthy days." The most effective way to control the outbreak diseases is the vaccine today as it was yesterday. Let's plasting the arms for our health. https://t.co/z8gf2nnrlg</v>
      </c>
    </row>
    <row r="1002" spans="1:5" ht="15.75" customHeight="1" x14ac:dyDescent="0.25">
      <c r="A1002" s="1" t="s">
        <v>2004</v>
      </c>
      <c r="B1002" s="1">
        <v>9738</v>
      </c>
      <c r="C1002" s="3">
        <v>44370.331585648149</v>
      </c>
      <c r="D1002" s="1" t="s">
        <v>2005</v>
      </c>
      <c r="E1002" s="4" t="str">
        <f ca="1">IFERROR(__xludf.DUMMYFUNCTION("GOOGLETRANSLATE(A1002 , ""tr"" , ""en"")"),"Dr. Mehmet Öz: ""Let's be vaccinated to bring the end of the pandem and look healthy to the future."" The most effective way to control the outbreak diseases is the vaccine today as it was yesterday. Let's plasting the arms for our health. https://t.co/ku"&amp;"cvtejotx")</f>
        <v>Dr. Mehmet Öz: "Let's be vaccinated to bring the end of the pandem and look healthy to the future." The most effective way to control the outbreak diseases is the vaccine today as it was yesterday. Let's plasting the arms for our health. https://t.co/kucvtejotx</v>
      </c>
    </row>
    <row r="1003" spans="1:5" ht="15.75" customHeight="1" x14ac:dyDescent="0.25">
      <c r="A1003" s="1" t="s">
        <v>2006</v>
      </c>
      <c r="B1003" s="1">
        <v>13312</v>
      </c>
      <c r="C1003" s="3">
        <v>44370.320069444446</v>
      </c>
      <c r="D1003" s="1" t="s">
        <v>2007</v>
      </c>
      <c r="E1003" s="4" t="str">
        <f ca="1">IFERROR(__xludf.DUMMYFUNCTION("GOOGLETRANSLATE(A1003 , ""tr"" , ""en"")"),"Haluk Bilginer: ""In vaccine, our pandem will last, our curtains will open again. Today, the applauds are not us, but the vaccines that we all keep the health of us ... ""is the most effective way to control epidemic diseases is today as yesterday. Let's "&amp;"plasting the arms for our health. https://t.co/cty9lolylo")</f>
        <v>Haluk Bilginer: "In vaccine, our pandem will last, our curtains will open again. Today, the applauds are not us, but the vaccines that we all keep the health of us ... "is the most effective way to control epidemic diseases is today as yesterday. Let's plasting the arms for our health. https://t.co/cty9lolylo</v>
      </c>
    </row>
    <row r="1004" spans="1:5" ht="15.75" customHeight="1" x14ac:dyDescent="0.25">
      <c r="A1004" s="1" t="s">
        <v>2008</v>
      </c>
      <c r="B1004" s="1">
        <v>19563</v>
      </c>
      <c r="C1004" s="3">
        <v>44370.310023148151</v>
      </c>
      <c r="D1004" s="1" t="s">
        <v>2009</v>
      </c>
      <c r="E1004" s="4" t="str">
        <f ca="1">IFERROR(__xludf.DUMMYFUNCTION("GOOGLETRANSLATE(A1004 , ""tr"" , ""en"")"),"The vaccine is increasing the confidence of each other. Let's get our vaccine immediately.")</f>
        <v>The vaccine is increasing the confidence of each other. Let's get our vaccine immediately.</v>
      </c>
    </row>
    <row r="1005" spans="1:5" ht="15.75" customHeight="1" x14ac:dyDescent="0.25">
      <c r="A1005" s="1" t="s">
        <v>2010</v>
      </c>
      <c r="B1005" s="1">
        <v>36202</v>
      </c>
      <c r="C1005" s="3">
        <v>44370.292500000003</v>
      </c>
      <c r="D1005" s="1" t="s">
        <v>2011</v>
      </c>
      <c r="E1005" s="4" t="str">
        <f ca="1">IFERROR(__xludf.DUMMYFUNCTION("GOOGLETRANSLATE(A1005 , ""tr"" , ""en"")"),"The vaccine is increasing the self-confidence. Let's get our vaccine immediately.")</f>
        <v>The vaccine is increasing the self-confidence. Let's get our vaccine immediately.</v>
      </c>
    </row>
    <row r="1006" spans="1:5" ht="15.75" customHeight="1" x14ac:dyDescent="0.25">
      <c r="A1006" s="1" t="s">
        <v>2012</v>
      </c>
      <c r="B1006" s="1">
        <v>27934</v>
      </c>
      <c r="C1006" s="3">
        <v>44369.769803240742</v>
      </c>
      <c r="D1006" s="1" t="s">
        <v>2013</v>
      </c>
      <c r="E1006" s="4" t="str">
        <f ca="1">IFERROR(__xludf.DUMMYFUNCTION("GOOGLETRANSLATE(A1006 , ""tr"" , ""en"")"),"Ezgi break: ""This is how many things we said happen in the movies. Let's be our vaccine, let us go on health from where we left our lives. "" The most effective way to control the outbreak diseases is the vaccine today as it was yesterday. Let's plasting"&amp;" the arms for our health. https://t.co/lpkqwcıbbh")</f>
        <v>Ezgi break: "This is how many things we said happen in the movies. Let's be our vaccine, let us go on health from where we left our lives. " The most effective way to control the outbreak diseases is the vaccine today as it was yesterday. Let's plasting the arms for our health. https://t.co/lpkqwcıbbh</v>
      </c>
    </row>
    <row r="1007" spans="1:5" ht="15.75" customHeight="1" x14ac:dyDescent="0.25">
      <c r="A1007" s="1" t="s">
        <v>2014</v>
      </c>
      <c r="B1007" s="1">
        <v>18682</v>
      </c>
      <c r="C1007" s="3">
        <v>44369.742060185185</v>
      </c>
      <c r="D1007" s="1" t="s">
        <v>2015</v>
      </c>
      <c r="E1007" s="4" t="str">
        <f ca="1">IFERROR(__xludf.DUMMYFUNCTION("GOOGLETRANSLATE(A1007 , ""tr"" , ""en"")"),"Şener ŞEN: ""In cinemas, concerts, to meet in theaters, and you must be returned to our normal life. The most effective way to control the outbreak diseases is the vaccine today as it was yesterday. Let's plasting the arms for our health. https://t.co/rdl"&amp;"4wjdezh")</f>
        <v>Şener ŞEN: "In cinemas, concerts, to meet in theaters, and you must be returned to our normal life. The most effective way to control the outbreak diseases is the vaccine today as it was yesterday. Let's plasting the arms for our health. https://t.co/rdl4wjdezh</v>
      </c>
    </row>
    <row r="1008" spans="1:5" ht="15.75" customHeight="1" x14ac:dyDescent="0.25">
      <c r="A1008" s="1" t="s">
        <v>2016</v>
      </c>
      <c r="B1008" s="1">
        <v>4838</v>
      </c>
      <c r="C1008" s="3">
        <v>44369.710636574076</v>
      </c>
      <c r="D1008" s="1" t="s">
        <v>2017</v>
      </c>
      <c r="E1008" s="4" t="str">
        <f ca="1">IFERROR(__xludf.DUMMYFUNCTION("GOOGLETRANSLATE(A1008 , ""tr"" , ""en"")"),"The number of cases in a final week is the most diminished provinces; Kars, Gumushane, Bartin, Balıkesir and Kırklareli. We will be immunized with the vaccine to continue decline in the numbers of cases. We will continue to normalize. Will end with the va"&amp;"ccine. https://t.co/sqkyIBVYI")</f>
        <v>The number of cases in a final week is the most diminished provinces; Kars, Gumushane, Bartin, Balıkesir and Kırklareli. We will be immunized with the vaccine to continue decline in the numbers of cases. We will continue to normalize. Will end with the vaccine. https://t.co/sqkyIBVYI</v>
      </c>
    </row>
    <row r="1009" spans="1:5" ht="15.75" customHeight="1" x14ac:dyDescent="0.25">
      <c r="A1009" s="1" t="s">
        <v>2018</v>
      </c>
      <c r="B1009" s="1">
        <v>5839</v>
      </c>
      <c r="C1009" s="3">
        <v>44369.700752314813</v>
      </c>
      <c r="D1009" s="1" t="s">
        <v>2019</v>
      </c>
      <c r="E1009" s="4" t="str">
        <f ca="1">IFERROR(__xludf.DUMMYFUNCTION("GOOGLETRANSLATE(A1009 , ""tr"" , ""en"")"),"In our provinces, you can see the current version of the incidence map that shows a total number of considers who correspond to 100,000 population. Although the speed rate of the number of cases is reduced, it does not prevent normalization. Will end with"&amp;" the vaccine. https://t.co/xbywcpfxqo")</f>
        <v>In our provinces, you can see the current version of the incidence map that shows a total number of considers who correspond to 100,000 population. Although the speed rate of the number of cases is reduced, it does not prevent normalization. Will end with the vaccine. https://t.co/xbywcpfxqo</v>
      </c>
    </row>
    <row r="1010" spans="1:5" ht="15.75" customHeight="1" x14ac:dyDescent="0.25">
      <c r="A1010" s="1" t="s">
        <v>2020</v>
      </c>
      <c r="B1010" s="1">
        <v>19283</v>
      </c>
      <c r="C1010" s="3">
        <v>44369.685995370368</v>
      </c>
      <c r="D1010" s="1" t="s">
        <v>2021</v>
      </c>
      <c r="E1010" s="4" t="str">
        <f ca="1">IFERROR(__xludf.DUMMYFUNCTION("GOOGLETRANSLATE(A1010 , ""tr"" , ""en"")"),"The first dose was applied in the 3rd phase studies of Turkovac. Although 40 thousand 800 volunteers needed, there were 846 thousand 451 applications over E-pulse. Our faith in the conclusion is full. We will be one of the countries that produce and vacci"&amp;"ne in the world soon. https://t.co/v6kz9jazsh")</f>
        <v>The first dose was applied in the 3rd phase studies of Turkovac. Although 40 thousand 800 volunteers needed, there were 846 thousand 451 applications over E-pulse. Our faith in the conclusion is full. We will be one of the countries that produce and vaccine in the world soon. https://t.co/v6kz9jazsh</v>
      </c>
    </row>
    <row r="1011" spans="1:5" ht="15.75" customHeight="1" x14ac:dyDescent="0.25">
      <c r="A1011" s="1" t="s">
        <v>2022</v>
      </c>
      <c r="B1011" s="1">
        <v>0</v>
      </c>
      <c r="C1011" s="3">
        <v>44369.540358796294</v>
      </c>
      <c r="D1011" s="1" t="s">
        <v>2023</v>
      </c>
      <c r="E1011" s="4" t="str">
        <f ca="1">IFERROR(__xludf.DUMMYFUNCTION("GOOGLETRANSLATE(A1011 , ""tr"" , ""en"")"),"RT @tcbestepe: President @rterdogan: ""Turkey's native kowid-19 vaccine is turkovac.""")</f>
        <v>RT @tcbestepe: President @rterdogan: "Turkey's native kowid-19 vaccine is turkovac."</v>
      </c>
    </row>
    <row r="1012" spans="1:5" ht="15.75" customHeight="1" x14ac:dyDescent="0.25">
      <c r="A1012" s="1" t="s">
        <v>2024</v>
      </c>
      <c r="B1012" s="1">
        <v>0</v>
      </c>
      <c r="C1012" s="3">
        <v>44369.534375000003</v>
      </c>
      <c r="D1012" s="1" t="s">
        <v>2025</v>
      </c>
      <c r="E1012" s="4" t="str">
        <f ca="1">IFERROR(__xludf.DUMMYFUNCTION("GOOGLETRANSLATE(A1012 , ""tr"" , ""en"")"),"RT @TCBestepe: President @rterdogan joined the first dose of the third phase of the native vaccine with video conference method https://t.co/4.")</f>
        <v>RT @TCBestepe: President @rterdogan joined the first dose of the third phase of the native vaccine with video conference method https://t.co/4.</v>
      </c>
    </row>
    <row r="1013" spans="1:5" ht="15.75" customHeight="1" x14ac:dyDescent="0.25">
      <c r="A1013" s="1" t="s">
        <v>2026</v>
      </c>
      <c r="B1013" s="1">
        <v>47640</v>
      </c>
      <c r="C1013" s="3">
        <v>44369.324502314812</v>
      </c>
      <c r="D1013" s="1" t="s">
        <v>2027</v>
      </c>
      <c r="E1013" s="4" t="str">
        <f ca="1">IFERROR(__xludf.DUMMYFUNCTION("GOOGLETRANSLATE(A1013 , ""tr"" , ""en"")"),"Take action against youth epidemic. The age limit in vaccine appointments landed at 25. First appointments are tomorrow.")</f>
        <v>Take action against youth epidemic. The age limit in vaccine appointments landed at 25. First appointments are tomorrow.</v>
      </c>
    </row>
    <row r="1014" spans="1:5" ht="15.75" customHeight="1" x14ac:dyDescent="0.25">
      <c r="A1014" s="1" t="s">
        <v>2028</v>
      </c>
      <c r="B1014" s="1">
        <v>24988</v>
      </c>
      <c r="C1014" s="3">
        <v>44369.314895833333</v>
      </c>
      <c r="D1014" s="1" t="s">
        <v>2029</v>
      </c>
      <c r="E1014" s="4" t="str">
        <f ca="1">IFERROR(__xludf.DUMMYFUNCTION("GOOGLETRANSLATE(A1014 , ""tr"" , ""en"")"),"The age limit in vaccine appointments landed at 25. The appointment teenagers have the big ones that have postponed the vaccination and help it for an appointment. First appointments are tomorrow. Take action against youth epidemic.")</f>
        <v>The age limit in vaccine appointments landed at 25. The appointment teenagers have the big ones that have postponed the vaccination and help it for an appointment. First appointments are tomorrow. Take action against youth epidemic.</v>
      </c>
    </row>
    <row r="1015" spans="1:5" ht="15.75" customHeight="1" x14ac:dyDescent="0.25">
      <c r="A1015" s="1" t="s">
        <v>2030</v>
      </c>
      <c r="B1015" s="1">
        <v>18170</v>
      </c>
      <c r="C1015" s="3">
        <v>44368.907037037039</v>
      </c>
      <c r="D1015" s="1" t="s">
        <v>2031</v>
      </c>
      <c r="E1015" s="4" t="str">
        <f ca="1">IFERROR(__xludf.DUMMYFUNCTION("GOOGLETRANSLATE(A1015 , ""tr"" , ""en"")"),"There was 1 million 195 thousand 426 dose vaccines for normal life. (June 21 Monday Vaccination Report)")</f>
        <v>There was 1 million 195 thousand 426 dose vaccines for normal life. (June 21 Monday Vaccination Report)</v>
      </c>
    </row>
    <row r="1016" spans="1:5" ht="15.75" customHeight="1" x14ac:dyDescent="0.25">
      <c r="A1016" s="1" t="s">
        <v>2032</v>
      </c>
      <c r="B1016" s="1">
        <v>9234</v>
      </c>
      <c r="C1016" s="3">
        <v>44368.890347222223</v>
      </c>
      <c r="D1016" s="1" t="s">
        <v>2033</v>
      </c>
      <c r="E1016" s="4" t="str">
        <f ca="1">IFERROR(__xludf.DUMMYFUNCTION("GOOGLETRANSLATE(A1016 , ""tr"" , ""en"")"),"Today, 1 million vaccines were held in 18.56 in Kütahya Evliya Çelebi Education and Research Hospital. The symbol name of the day from our health personnel, Emine Altuner. The physician responsible for the vaccine is our friend, Ömer Çankaya. The Halime H"&amp;"anim, who made his vaccination, joined us to fight outbreak. https://t.co/gdjjs9qwfp")</f>
        <v>Today, 1 million vaccines were held in 18.56 in Kütahya Evliya Çelebi Education and Research Hospital. The symbol name of the day from our health personnel, Emine Altuner. The physician responsible for the vaccine is our friend, Ömer Çankaya. The Halime Hanim, who made his vaccination, joined us to fight outbreak. https://t.co/gdjjs9qwfp</v>
      </c>
    </row>
    <row r="1017" spans="1:5" ht="15.75" customHeight="1" x14ac:dyDescent="0.25">
      <c r="A1017" s="1" t="s">
        <v>2034</v>
      </c>
      <c r="B1017" s="1">
        <v>10904</v>
      </c>
      <c r="C1017" s="3">
        <v>44368.849004629628</v>
      </c>
      <c r="D1017" s="1" t="s">
        <v>2035</v>
      </c>
      <c r="E1017" s="4" t="str">
        <f ca="1">IFERROR(__xludf.DUMMYFUNCTION("GOOGLETRANSLATE(A1017 , ""tr"" , ""en"")"),"Antalya's 28th annual midwife fellows in Aksu district was at Antalya Airport all day. Previously, Bingöl took responsibility for his own request in Maraş and Islahiye. Millions wanting to become vaccination deserves these sacrifices. Thank you thousands "&amp;"of Serpil Hanimsa! https://t.co/jz4depacri")</f>
        <v>Antalya's 28th annual midwife fellows in Aksu district was at Antalya Airport all day. Previously, Bingöl took responsibility for his own request in Maraş and Islahiye. Millions wanting to become vaccination deserves these sacrifices. Thank you thousands of Serpil Hanimsa! https://t.co/jz4depacri</v>
      </c>
    </row>
    <row r="1018" spans="1:5" ht="15.75" customHeight="1" x14ac:dyDescent="0.25">
      <c r="A1018" s="1" t="s">
        <v>2036</v>
      </c>
      <c r="B1018" s="1">
        <v>14621</v>
      </c>
      <c r="C1018" s="3">
        <v>44368.774305555555</v>
      </c>
      <c r="D1018" s="1" t="s">
        <v>2037</v>
      </c>
      <c r="E1018" s="4" t="str">
        <f ca="1">IFERROR(__xludf.DUMMYFUNCTION("GOOGLETRANSLATE(A1018 , ""tr"" , ""en"")"),"The best performance at vaccination speed is Turkey's. Between 14-20 June, Turkey, China and Germany left behind, the country showing the highest performance at vaccination rate. Each day, the vaccination of 1.45 of each 100 in the vaccine program was vac"&amp;"cinated. (Source: Our World in Data) https://t.co/vl5dmvciwg")</f>
        <v>The best performance at vaccination speed is Turkey's. Between 14-20 June, Turkey, China and Germany left behind, the country showing the highest performance at vaccination rate. Each day, the vaccination of 1.45 of each 100 in the vaccine program was vaccinated. (Source: Our World in Data) https://t.co/vl5dmvciwg</v>
      </c>
    </row>
    <row r="1019" spans="1:5" ht="15.75" customHeight="1" x14ac:dyDescent="0.25">
      <c r="A1019" s="1" t="s">
        <v>2038</v>
      </c>
      <c r="B1019" s="1">
        <v>0</v>
      </c>
      <c r="C1019" s="3">
        <v>44368.672291666669</v>
      </c>
      <c r="D1019" s="1" t="s">
        <v>2039</v>
      </c>
      <c r="E1019" s="4" t="str">
        <f ca="1">IFERROR(__xludf.DUMMYFUNCTION("GOOGLETRANSLATE(A1019 , ""tr"" , ""en"")"),"RT @rterdogan: Shouting Nation After Cabinet Meeting https://t.co/zwauczepr9")</f>
        <v>RT @rterdogan: Shouting Nation After Cabinet Meeting https://t.co/zwauczepr9</v>
      </c>
    </row>
    <row r="1020" spans="1:5" ht="15.75" customHeight="1" x14ac:dyDescent="0.25">
      <c r="A1020" s="1" t="s">
        <v>2040</v>
      </c>
      <c r="B1020" s="1">
        <v>21579</v>
      </c>
      <c r="C1020" s="3">
        <v>44368.638877314814</v>
      </c>
      <c r="D1020" s="1" t="s">
        <v>2041</v>
      </c>
      <c r="E1020" s="4" t="str">
        <f ca="1">IFERROR(__xludf.DUMMYFUNCTION("GOOGLETRANSLATE(A1020 , ""tr"" , ""en"")"),"The vaccination report of the last week: 7 million 776 thousand 326 dose vaccines from 00.00 to June 14, 7 million 776 thousand 326.")</f>
        <v>The vaccination report of the last week: 7 million 776 thousand 326 dose vaccines from 00.00 to June 14, 7 million 776 thousand 326.</v>
      </c>
    </row>
    <row r="1021" spans="1:5" ht="15.75" customHeight="1" x14ac:dyDescent="0.25">
      <c r="A1021" s="1" t="s">
        <v>2042</v>
      </c>
      <c r="B1021" s="1">
        <v>31413</v>
      </c>
      <c r="C1021" s="3">
        <v>44367.544398148151</v>
      </c>
      <c r="D1021" s="1" t="s">
        <v>2043</v>
      </c>
      <c r="E1021" s="4" t="str">
        <f ca="1">IFERROR(__xludf.DUMMYFUNCTION("GOOGLETRANSLATE(A1021 , ""tr"" , ""en"")"),"Regularity was provided in vaccination. There is also no problem with the number of health personnel who make vaccines. We exceed 1.5 million dose a day. Get your vaccine by making an appointment.")</f>
        <v>Regularity was provided in vaccination. There is also no problem with the number of health personnel who make vaccines. We exceed 1.5 million dose a day. Get your vaccine by making an appointment.</v>
      </c>
    </row>
    <row r="1022" spans="1:5" ht="15.75" customHeight="1" x14ac:dyDescent="0.25">
      <c r="A1022" s="1" t="s">
        <v>2044</v>
      </c>
      <c r="B1022" s="1">
        <v>20867</v>
      </c>
      <c r="C1022" s="3">
        <v>44367.450115740743</v>
      </c>
      <c r="D1022" s="1" t="s">
        <v>2045</v>
      </c>
      <c r="E1022" s="4" t="str">
        <f ca="1">IFERROR(__xludf.DUMMYFUNCTION("GOOGLETRANSLATE(A1022 , ""tr"" , ""en"")"),"Happy Father's Father's Day with Fathers. https://t.co/rjqbewgzpt")</f>
        <v>Happy Father's Father's Day with Fathers. https://t.co/rjqbewgzpt</v>
      </c>
    </row>
    <row r="1023" spans="1:5" ht="15.75" customHeight="1" x14ac:dyDescent="0.25">
      <c r="A1023" s="1" t="s">
        <v>2046</v>
      </c>
      <c r="B1023" s="1">
        <v>27397</v>
      </c>
      <c r="C1023" s="3">
        <v>44366.713159722225</v>
      </c>
      <c r="D1023" s="1" t="s">
        <v>2047</v>
      </c>
      <c r="E1023" s="4" t="str">
        <f ca="1">IFERROR(__xludf.DUMMYFUNCTION("GOOGLETRANSLATE(A1023 , ""tr"" , ""en"")"),"Your appointment vaccine applications slow down us a little. Yet we exceed 1.5 million dose a day. Let's speed up the job by making an appointment.")</f>
        <v>Your appointment vaccine applications slow down us a little. Yet we exceed 1.5 million dose a day. Let's speed up the job by making an appointment.</v>
      </c>
    </row>
    <row r="1024" spans="1:5" ht="15.75" customHeight="1" x14ac:dyDescent="0.25">
      <c r="A1024" s="1" t="s">
        <v>2048</v>
      </c>
      <c r="B1024" s="1">
        <v>39312</v>
      </c>
      <c r="C1024" s="3">
        <v>44366.585104166668</v>
      </c>
      <c r="D1024" s="1" t="s">
        <v>2049</v>
      </c>
      <c r="E1024" s="4" t="str">
        <f ca="1">IFERROR(__xludf.DUMMYFUNCTION("GOOGLETRANSLATE(A1024 , ""tr"" , ""en"")"),"The age limit in vaccine appointments landed 30. (The elders who postage the vaccine can also be involved between the young people.)")</f>
        <v>The age limit in vaccine appointments landed 30. (The elders who postage the vaccine can also be involved between the young people.)</v>
      </c>
    </row>
    <row r="1025" spans="1:5" ht="15.75" customHeight="1" x14ac:dyDescent="0.25">
      <c r="A1025" s="1" t="s">
        <v>2050</v>
      </c>
      <c r="B1025" s="1">
        <v>30457</v>
      </c>
      <c r="C1025" s="3">
        <v>44366.574050925927</v>
      </c>
      <c r="D1025" s="1" t="s">
        <v>2051</v>
      </c>
      <c r="E1025" s="4" t="str">
        <f ca="1">IFERROR(__xludf.DUMMYFUNCTION("GOOGLETRANSLATE(A1025 , ""tr"" , ""en"")"),"The age limit in vaccine appointments landed 30. Young people over 30 years of age can make an appointment from tomorrow.")</f>
        <v>The age limit in vaccine appointments landed 30. Young people over 30 years of age can make an appointment from tomorrow.</v>
      </c>
    </row>
    <row r="1026" spans="1:5" ht="15.75" customHeight="1" x14ac:dyDescent="0.25">
      <c r="A1026" s="1" t="s">
        <v>2052</v>
      </c>
      <c r="B1026" s="1">
        <v>29871</v>
      </c>
      <c r="C1026" s="3">
        <v>44365.897789351853</v>
      </c>
      <c r="D1026" s="1" t="s">
        <v>2053</v>
      </c>
      <c r="E1026" s="4" t="str">
        <f ca="1">IFERROR(__xludf.DUMMYFUNCTION("GOOGLETRANSLATE(A1026 , ""tr"" , ""en"")"),"Number of vaccines until 00.00: 1 million 538 thousand 144 dose. Our vaccine team used most for 24 hours again: Next? (Can so many things be better told in words?)")</f>
        <v>Number of vaccines until 00.00: 1 million 538 thousand 144 dose. Our vaccine team used most for 24 hours again: Next? (Can so many things be better told in words?)</v>
      </c>
    </row>
    <row r="1027" spans="1:5" ht="15.75" customHeight="1" x14ac:dyDescent="0.25">
      <c r="A1027" s="1" t="s">
        <v>2054</v>
      </c>
      <c r="B1027" s="1">
        <v>10741</v>
      </c>
      <c r="C1027" s="3">
        <v>44365.869722222225</v>
      </c>
      <c r="D1027" s="1" t="s">
        <v>2055</v>
      </c>
      <c r="E1027" s="4" t="str">
        <f ca="1">IFERROR(__xludf.DUMMYFUNCTION("GOOGLETRANSLATE(A1027 , ""tr"" , ""en"")"),"1.5 millionth dose rosters. Vaccine: Tahir Lion. Health worker who makes vaccination: Alican winter. Physician in charge of the vaccine: crescent blown. Location: Basaksehir Pine and Sakura City Hospital. HOURS: 22.15. This quickly Covid-19 is to be defea"&amp;"ted. https://t.co/jxls5unlsy")</f>
        <v>1.5 millionth dose rosters. Vaccine: Tahir Lion. Health worker who makes vaccination: Alican winter. Physician in charge of the vaccine: crescent blown. Location: Basaksehir Pine and Sakura City Hospital. HOURS: 22.15. This quickly Covid-19 is to be defeated. https://t.co/jxls5unlsy</v>
      </c>
    </row>
    <row r="1028" spans="1:5" ht="15.75" customHeight="1" x14ac:dyDescent="0.25">
      <c r="A1028" s="1" t="s">
        <v>2056</v>
      </c>
      <c r="B1028" s="1">
        <v>43237</v>
      </c>
      <c r="C1028" s="3">
        <v>44365.831134259257</v>
      </c>
      <c r="D1028" s="1" t="s">
        <v>2057</v>
      </c>
      <c r="E1028" s="4" t="str">
        <f ca="1">IFERROR(__xludf.DUMMYFUNCTION("GOOGLETRANSLATE(A1028 , ""tr"" , ""en"")"),"In Mersin, the most vaccine in Mersin has made the nurse Mary blue. The nurse that makes 323 vaccines is served in Mersin City Hospital. The Meryem Hanım and the doctor's wife were caught on Covid-19 in the difficult days of the epidemic. https://t.co/b7c"&amp;"ufz1qgo")</f>
        <v>In Mersin, the most vaccine in Mersin has made the nurse Mary blue. The nurse that makes 323 vaccines is served in Mersin City Hospital. The Meryem Hanım and the doctor's wife were caught on Covid-19 in the difficult days of the epidemic. https://t.co/b7cufz1qgo</v>
      </c>
    </row>
    <row r="1029" spans="1:5" ht="15.75" customHeight="1" x14ac:dyDescent="0.25">
      <c r="A1029" s="1" t="s">
        <v>2058</v>
      </c>
      <c r="B1029" s="1">
        <v>23611</v>
      </c>
      <c r="C1029" s="3">
        <v>44365.772835648146</v>
      </c>
      <c r="D1029" s="1" t="s">
        <v>2059</v>
      </c>
      <c r="E1029" s="4" t="str">
        <f ca="1">IFERROR(__xludf.DUMMYFUNCTION("GOOGLETRANSLATE(A1029 , ""tr"" , ""en"")"),"Location: Istanbul Bayrampaşa State Hospital. HOURS: 15.45. Dr. The Dürşah Hanım is very happy. He did the 40 millionth vaccine. I mean, he had done it. Because we exceeded 40 million 300 thousand right now. https://t.co/xzrjcpolou")</f>
        <v>Location: Istanbul Bayrampaşa State Hospital. HOURS: 15.45. Dr. The Dürşah Hanım is very happy. He did the 40 millionth vaccine. I mean, he had done it. Because we exceeded 40 million 300 thousand right now. https://t.co/xzrjcpolou</v>
      </c>
    </row>
    <row r="1030" spans="1:5" ht="15.75" customHeight="1" x14ac:dyDescent="0.25">
      <c r="A1030" s="1" t="s">
        <v>2060</v>
      </c>
      <c r="B1030" s="1">
        <v>34147</v>
      </c>
      <c r="C1030" s="3">
        <v>44365.541979166665</v>
      </c>
      <c r="D1030" s="1" t="s">
        <v>2061</v>
      </c>
      <c r="E1030" s="4" t="str">
        <f ca="1">IFERROR(__xludf.DUMMYFUNCTION("GOOGLETRANSLATE(A1030 , ""tr"" , ""en"")"),"We reached the 40 millionth dose. Among the 206 countries, we are the 9th countries that make the highest number of vaccines as dose. Our Health Staff gives more than 6,000 people services per minute being days. Our possibilities are great, our solidarity"&amp;" is high. Results are not surprised.")</f>
        <v>We reached the 40 millionth dose. Among the 206 countries, we are the 9th countries that make the highest number of vaccines as dose. Our Health Staff gives more than 6,000 people services per minute being days. Our possibilities are great, our solidarity is high. Results are not surprised.</v>
      </c>
    </row>
    <row r="1031" spans="1:5" ht="15.75" customHeight="1" x14ac:dyDescent="0.25">
      <c r="A1031" s="1" t="s">
        <v>2062</v>
      </c>
      <c r="B1031" s="1">
        <v>23985</v>
      </c>
      <c r="C1031" s="3">
        <v>44365.459976851853</v>
      </c>
      <c r="D1031" s="1" t="s">
        <v>2063</v>
      </c>
      <c r="E1031" s="4" t="str">
        <f ca="1">IFERROR(__xludf.DUMMYFUNCTION("GOOGLETRANSLATE(A1031 , ""tr"" , ""en"")"),"Full dose or first dose vaccine of the population over 18 years of age in the vaccine program is completed. The program will arrive at the success you expect in a short time. The countdown starts countdown in the number of those who have not yet been done")</f>
        <v>Full dose or first dose vaccine of the population over 18 years of age in the vaccine program is completed. The program will arrive at the success you expect in a short time. The countdown starts countdown in the number of those who have not yet been done</v>
      </c>
    </row>
    <row r="1032" spans="1:5" ht="15.75" customHeight="1" x14ac:dyDescent="0.25">
      <c r="A1032" s="1" t="s">
        <v>2064</v>
      </c>
      <c r="B1032" s="1">
        <v>35928</v>
      </c>
      <c r="C1032" s="3">
        <v>44364.88077546296</v>
      </c>
      <c r="D1032" s="1" t="s">
        <v>2065</v>
      </c>
      <c r="E1032" s="4" t="str">
        <f ca="1">IFERROR(__xludf.DUMMYFUNCTION("GOOGLETRANSLATE(A1032 , ""tr"" , ""en"")"),"Today, 1.5 millionth overdose was applied in 21.43 o'clock. Our vaccine army has made 82 thousand 232 dose vaccines in 2 hours 17 minutes. So we reached 1 million 582 thousand 232 doses in the last 24 hours. As of 24.00, the new day's Mesa started. Drink "&amp;"yourself comfortable. Good night.")</f>
        <v>Today, 1.5 millionth overdose was applied in 21.43 o'clock. Our vaccine army has made 82 thousand 232 dose vaccines in 2 hours 17 minutes. So we reached 1 million 582 thousand 232 doses in the last 24 hours. As of 24.00, the new day's Mesa started. Drink yourself comfortable. Good night.</v>
      </c>
    </row>
    <row r="1033" spans="1:5" ht="15.75" customHeight="1" x14ac:dyDescent="0.25">
      <c r="A1033" s="1" t="s">
        <v>2066</v>
      </c>
      <c r="B1033" s="1">
        <v>16591</v>
      </c>
      <c r="C1033" s="3">
        <v>44364.824884259258</v>
      </c>
      <c r="D1033" s="1" t="s">
        <v>2067</v>
      </c>
      <c r="E1033" s="4" t="str">
        <f ca="1">IFERROR(__xludf.DUMMYFUNCTION("GOOGLETRANSLATE(A1033 , ""tr"" , ""en"")"),"The 1.5 millionth dose of overdose was made for 2 hours for 24 hours. Location, Tekirdağ Dr. Ismail Fehmi Cumalioğlu City Hospital. Health staff, wish enthusiasm. Physician responsible for the vaccine, Beraat Özdemir. The total number yesterday was 1 mill"&amp;"ion 416 thousand 795. This speed will finish this job early. https://t.co/xgkurvqtqr")</f>
        <v>The 1.5 millionth dose of overdose was made for 2 hours for 24 hours. Location, Tekirdağ Dr. Ismail Fehmi Cumalioğlu City Hospital. Health staff, wish enthusiasm. Physician responsible for the vaccine, Beraat Özdemir. The total number yesterday was 1 million 416 thousand 795. This speed will finish this job early. https://t.co/xgkurvqtqr</v>
      </c>
    </row>
    <row r="1034" spans="1:5" ht="15.75" customHeight="1" x14ac:dyDescent="0.25">
      <c r="A1034" s="1" t="s">
        <v>2068</v>
      </c>
      <c r="B1034" s="1">
        <v>24456</v>
      </c>
      <c r="C1034" s="3">
        <v>44364.747511574074</v>
      </c>
      <c r="D1034" s="1" t="s">
        <v>2069</v>
      </c>
      <c r="E1034" s="4" t="str">
        <f ca="1">IFERROR(__xludf.DUMMYFUNCTION("GOOGLETRANSLATE(A1034 , ""tr"" , ""en"")"),"Yesterday's best performance, Turkey's. Yesterday, every 1 million people have reached the maximum number of vaccination in the world according to the number of daily vaccination. 47 thousand of vaccines Wait a better result today today.")</f>
        <v>Yesterday's best performance, Turkey's. Yesterday, every 1 million people have reached the maximum number of vaccination in the world according to the number of daily vaccination. 47 thousand of vaccines Wait a better result today today.</v>
      </c>
    </row>
    <row r="1035" spans="1:5" ht="15.75" customHeight="1" x14ac:dyDescent="0.25">
      <c r="A1035" s="1" t="s">
        <v>2070</v>
      </c>
      <c r="B1035" s="1">
        <v>14548</v>
      </c>
      <c r="C1035" s="3">
        <v>44364.633113425924</v>
      </c>
      <c r="D1035" s="1" t="s">
        <v>2071</v>
      </c>
      <c r="E1035" s="4" t="str">
        <f ca="1">IFERROR(__xludf.DUMMYFUNCTION("GOOGLETRANSLATE(A1035 , ""tr"" , ""en"")"),"Today, the 1 millionth vaccine was carried out by the Family Medicine Unit team at 15.20 at 15.20. This time, the respondent physician's friend was Süheyla Camcı. In our vaccine campaign, our doctors have also plasted the arms. Thanks. https://t.co/4umtre"&amp;"cnhu")</f>
        <v>Today, the 1 millionth vaccine was carried out by the Family Medicine Unit team at 15.20 at 15.20. This time, the respondent physician's friend was Süheyla Camcı. In our vaccine campaign, our doctors have also plasted the arms. Thanks. https://t.co/4umtrecnhu</v>
      </c>
    </row>
    <row r="1036" spans="1:5" ht="15.75" customHeight="1" x14ac:dyDescent="0.25">
      <c r="A1036" s="1" t="s">
        <v>2072</v>
      </c>
      <c r="B1036" s="1">
        <v>4984</v>
      </c>
      <c r="C1036" s="3">
        <v>44364.625740740739</v>
      </c>
      <c r="D1036" s="1" t="s">
        <v>2073</v>
      </c>
      <c r="E1036" s="4" t="str">
        <f ca="1">IFERROR(__xludf.DUMMYFUNCTION("GOOGLETRANSLATE(A1036 , ""tr"" , ""en"")"),"The number of cases in a final week is the most diminished provinces; Bilecik, Karaman, Malatya, Kastamonu and Isparta. We will be immunized with the vaccine to continue decline in the numbers of cases. Will end with the vaccine. https://t.co/270I82pan4")</f>
        <v>The number of cases in a final week is the most diminished provinces; Bilecik, Karaman, Malatya, Kastamonu and Isparta. We will be immunized with the vaccine to continue decline in the numbers of cases. Will end with the vaccine. https://t.co/270I82pan4</v>
      </c>
    </row>
    <row r="1037" spans="1:5" ht="15.75" customHeight="1" x14ac:dyDescent="0.25">
      <c r="A1037" s="1" t="s">
        <v>2074</v>
      </c>
      <c r="B1037" s="1">
        <v>7699</v>
      </c>
      <c r="C1037" s="3">
        <v>44364.620706018519</v>
      </c>
      <c r="D1037" s="1" t="s">
        <v>2075</v>
      </c>
      <c r="E1037" s="4" t="str">
        <f ca="1">IFERROR(__xludf.DUMMYFUNCTION("GOOGLETRANSLATE(A1037 , ""tr"" , ""en"")"),"In our provinces, you can see the current version of the incidence map that shows a total number of considers who correspond to 100,000 population. Although the speed of the case numbers decrease the speed is reduced, it continues to fall. Will end with t"&amp;"he vaccine. https://t.co/tyxhsvcopv")</f>
        <v>In our provinces, you can see the current version of the incidence map that shows a total number of considers who correspond to 100,000 population. Although the speed of the case numbers decrease the speed is reduced, it continues to fall. Will end with the vaccine. https://t.co/tyxhsvcopv</v>
      </c>
    </row>
    <row r="1038" spans="1:5" ht="15.75" customHeight="1" x14ac:dyDescent="0.25">
      <c r="A1038" s="1" t="s">
        <v>2076</v>
      </c>
      <c r="B1038" s="1">
        <v>58806</v>
      </c>
      <c r="C1038" s="3">
        <v>44363.876793981479</v>
      </c>
      <c r="D1038" s="1" t="s">
        <v>2077</v>
      </c>
      <c r="E1038" s="4" t="str">
        <f ca="1">IFERROR(__xludf.DUMMYFUNCTION("GOOGLETRANSLATE(A1038 , ""tr"" , ""en"")"),"As of 24 o'clock, our 47.314 Health Workers in the center of 18,584 made 1 million 416 thousand 795 dose of overdose. Friends don't get trouble friends.")</f>
        <v>As of 24 o'clock, our 47.314 Health Workers in the center of 18,584 made 1 million 416 thousand 795 dose of overdose. Friends don't get trouble friends.</v>
      </c>
    </row>
    <row r="1039" spans="1:5" ht="15.75" customHeight="1" x14ac:dyDescent="0.25">
      <c r="A1039" s="1" t="s">
        <v>2078</v>
      </c>
      <c r="B1039" s="1">
        <v>4848</v>
      </c>
      <c r="C1039" s="3">
        <v>44363.743090277778</v>
      </c>
      <c r="D1039" s="1" t="s">
        <v>2079</v>
      </c>
      <c r="E1039" s="4" t="str">
        <f ca="1">IFERROR(__xludf.DUMMYFUNCTION("GOOGLETRANSLATE(A1039 , ""tr"" , ""en"")"),"We can't build tomorrow by forgetting yesterday. https://t.co/zdjhoscdry")</f>
        <v>We can't build tomorrow by forgetting yesterday. https://t.co/zdjhoscdry</v>
      </c>
    </row>
    <row r="1040" spans="1:5" ht="15.75" customHeight="1" x14ac:dyDescent="0.25">
      <c r="A1040" s="1" t="s">
        <v>2080</v>
      </c>
      <c r="B1040" s="1">
        <v>4262</v>
      </c>
      <c r="C1040" s="3">
        <v>44363.729907407411</v>
      </c>
      <c r="D1040" s="1" t="s">
        <v>2081</v>
      </c>
      <c r="E1040" s="4" t="str">
        <f ca="1">IFERROR(__xludf.DUMMYFUNCTION("GOOGLETRANSLATE(A1040 , ""tr"" , ""en"")"),"We should not forget that when the recent time is the highest time is the highest time. https://t.co/lda61ayywg")</f>
        <v>We should not forget that when the recent time is the highest time is the highest time. https://t.co/lda61ayywg</v>
      </c>
    </row>
    <row r="1041" spans="1:5" ht="15.75" customHeight="1" x14ac:dyDescent="0.25">
      <c r="A1041" s="1" t="s">
        <v>2082</v>
      </c>
      <c r="B1041" s="1">
        <v>4919</v>
      </c>
      <c r="C1041" s="3">
        <v>44363.723680555559</v>
      </c>
      <c r="D1041" s="1" t="s">
        <v>2083</v>
      </c>
      <c r="E1041" s="4" t="str">
        <f ca="1">IFERROR(__xludf.DUMMYFUNCTION("GOOGLETRANSLATE(A1041 , ""tr"" , ""en"")"),"We will all get rid of the distance between our loved ones. https://t.co/qkk4t8obnw")</f>
        <v>We will all get rid of the distance between our loved ones. https://t.co/qkk4t8obnw</v>
      </c>
    </row>
    <row r="1042" spans="1:5" ht="15.75" customHeight="1" x14ac:dyDescent="0.25">
      <c r="A1042" s="1" t="s">
        <v>2084</v>
      </c>
      <c r="B1042" s="1">
        <v>6329</v>
      </c>
      <c r="C1042" s="3">
        <v>44363.718460648146</v>
      </c>
      <c r="D1042" s="1" t="s">
        <v>2085</v>
      </c>
      <c r="E1042" s="4" t="str">
        <f ca="1">IFERROR(__xludf.DUMMYFUNCTION("GOOGLETRANSLATE(A1042 , ""tr"" , ""en"")"),"We said trust in this power. https://t.co/86gxy2gwyi")</f>
        <v>We said trust in this power. https://t.co/86gxy2gwyi</v>
      </c>
    </row>
    <row r="1043" spans="1:5" ht="15.75" customHeight="1" x14ac:dyDescent="0.25">
      <c r="A1043" s="1" t="s">
        <v>2086</v>
      </c>
      <c r="B1043" s="1">
        <v>12979</v>
      </c>
      <c r="C1043" s="3">
        <v>44363.713645833333</v>
      </c>
      <c r="D1043" s="1" t="s">
        <v>2087</v>
      </c>
      <c r="E1043" s="4" t="str">
        <f ca="1">IFERROR(__xludf.DUMMYFUNCTION("GOOGLETRANSLATE(A1043 , ""tr"" , ""en"")"),"As of tomorrow, we open vaccine appointments for all our citizens over 35 years. https://t.co/91a09x4dlh")</f>
        <v>As of tomorrow, we open vaccine appointments for all our citizens over 35 years. https://t.co/91a09x4dlh</v>
      </c>
    </row>
    <row r="1044" spans="1:5" ht="15.75" customHeight="1" x14ac:dyDescent="0.25">
      <c r="A1044" s="1" t="s">
        <v>2088</v>
      </c>
      <c r="B1044" s="1">
        <v>3012</v>
      </c>
      <c r="C1044" s="3">
        <v>44363.658530092594</v>
      </c>
      <c r="D1044" s="1" t="s">
        <v>2089</v>
      </c>
      <c r="E1044" s="4" t="str">
        <f ca="1">IFERROR(__xludf.DUMMYFUNCTION("GOOGLETRANSLATE(A1044 , ""tr"" , ""en"")"),"Live: After our Science Board Meeting, our press statement:
https://t.co/11gp4xpw7b")</f>
        <v>Live: After our Science Board Meeting, our press statement:
https://t.co/11gp4xpw7b</v>
      </c>
    </row>
    <row r="1045" spans="1:5" ht="15.75" customHeight="1" x14ac:dyDescent="0.25">
      <c r="A1045" s="1" t="s">
        <v>2090</v>
      </c>
      <c r="B1045" s="1">
        <v>21539</v>
      </c>
      <c r="C1045" s="3">
        <v>44363.656261574077</v>
      </c>
      <c r="D1045" s="1" t="s">
        <v>2091</v>
      </c>
      <c r="E1045" s="4" t="str">
        <f ca="1">IFERROR(__xludf.DUMMYFUNCTION("GOOGLETRANSLATE(A1045 , ""tr"" , ""en"")"),"1 millionth overdose of vaccine. Location: Kocaeli Darica, Farabi Training and Research Hospital. 16:53 o'clock. Health personnel engaged in vaccine: Enis Mediterranean. Responsible Physician: Ömer Faruk Açık. Having a past. You didn't forget to remove th"&amp;"e tape on your shoulders, aren't you? https://t.co/vj4gxoixun")</f>
        <v>1 millionth overdose of vaccine. Location: Kocaeli Darica, Farabi Training and Research Hospital. 16:53 o'clock. Health personnel engaged in vaccine: Enis Mediterranean. Responsible Physician: Ömer Faruk Açık. Having a past. You didn't forget to remove the tape on your shoulders, aren't you? https://t.co/vj4gxoixun</v>
      </c>
    </row>
    <row r="1046" spans="1:5" ht="15.75" customHeight="1" x14ac:dyDescent="0.25">
      <c r="A1046" s="1" t="s">
        <v>2092</v>
      </c>
      <c r="B1046" s="1">
        <v>47657</v>
      </c>
      <c r="C1046" s="3">
        <v>44363.445277777777</v>
      </c>
      <c r="D1046" s="1" t="s">
        <v>2093</v>
      </c>
      <c r="E1046" s="4" t="str">
        <f ca="1">IFERROR(__xludf.DUMMYFUNCTION("GOOGLETRANSLATE(A1046 , ""tr"" , ""en"")"),"""This girl has made vaccination to 224 people today."" A friend from the vaccine team had a tweets like that yesterday. Next, shared the following feeling: ""I have made so many vaccines in the last days, everyone's face is familiar when I go out."" Heal"&amp;"th to your hands who make vaccines. These sacrifices will not be forgotten. https://t.co/fh9chpevfk")</f>
        <v>"This girl has made vaccination to 224 people today." A friend from the vaccine team had a tweets like that yesterday. Next, shared the following feeling: "I have made so many vaccines in the last days, everyone's face is familiar when I go out." Health to your hands who make vaccines. These sacrifices will not be forgotten. https://t.co/fh9chpevfk</v>
      </c>
    </row>
    <row r="1047" spans="1:5" ht="15.75" customHeight="1" x14ac:dyDescent="0.25">
      <c r="A1047" s="1" t="s">
        <v>2094</v>
      </c>
      <c r="B1047" s="1">
        <v>37677</v>
      </c>
      <c r="C1047" s="3">
        <v>44363.334814814814</v>
      </c>
      <c r="D1047" s="1" t="s">
        <v>2095</v>
      </c>
      <c r="E1047" s="4" t="str">
        <f ca="1">IFERROR(__xludf.DUMMYFUNCTION("GOOGLETRANSLATE(A1047 , ""tr"" , ""en"")"),"When is my appointment in request today? We launched the app to ""appointment in the day, in the day"". Take an appointment, let's do your vaccine without time.")</f>
        <v>When is my appointment in request today? We launched the app to "appointment in the day, in the day". Take an appointment, let's do your vaccine without time.</v>
      </c>
    </row>
    <row r="1048" spans="1:5" ht="15.75" customHeight="1" x14ac:dyDescent="0.25">
      <c r="A1048" s="1" t="s">
        <v>2096</v>
      </c>
      <c r="B1048" s="1">
        <v>47689</v>
      </c>
      <c r="C1048" s="3">
        <v>44362.876979166664</v>
      </c>
      <c r="D1048" s="1" t="s">
        <v>2097</v>
      </c>
      <c r="E1048" s="4" t="str">
        <f ca="1">IFERROR(__xludf.DUMMYFUNCTION("GOOGLETRANSLATE(A1048 , ""tr"" , ""en"")"),"1 million 240 thousand 311. What do you think? It's so many dose of overdose in 24 hours, such people who have an appointment and vaccine. Trust for the days ahead. A sweet fatigue for our health workers.")</f>
        <v>1 million 240 thousand 311. What do you think? It's so many dose of overdose in 24 hours, such people who have an appointment and vaccine. Trust for the days ahead. A sweet fatigue for our health workers.</v>
      </c>
    </row>
    <row r="1049" spans="1:5" ht="15.75" customHeight="1" x14ac:dyDescent="0.25">
      <c r="A1049" s="1" t="s">
        <v>2098</v>
      </c>
      <c r="B1049" s="1">
        <v>54398</v>
      </c>
      <c r="C1049" s="3">
        <v>44362.715752314813</v>
      </c>
      <c r="D1049" s="1" t="s">
        <v>2099</v>
      </c>
      <c r="E1049" s="4" t="str">
        <f ca="1">IFERROR(__xludf.DUMMYFUNCTION("GOOGLETRANSLATE(A1049 , ""tr"" , ""en"")"),"We have just reached 1 million dose of overdose targets. The place of one millionth vaccine is Ankara, our friend is 48 years old. Hatice bro, are you aware of the hero of the day?")</f>
        <v>We have just reached 1 million dose of overdose targets. The place of one millionth vaccine is Ankara, our friend is 48 years old. Hatice bro, are you aware of the hero of the day?</v>
      </c>
    </row>
    <row r="1050" spans="1:5" ht="15.75" customHeight="1" x14ac:dyDescent="0.25">
      <c r="A1050" s="1" t="s">
        <v>2100</v>
      </c>
      <c r="B1050" s="1">
        <v>18402</v>
      </c>
      <c r="C1050" s="3">
        <v>44362.484965277778</v>
      </c>
      <c r="D1050" s="1" t="s">
        <v>2101</v>
      </c>
      <c r="E1050" s="4" t="str">
        <f ca="1">IFERROR(__xludf.DUMMYFUNCTION("GOOGLETRANSLATE(A1050 , ""tr"" , ""en"")"),"For the continuity and safety of the production, we start the Vaccine Practice with our mobile teams in the organized industrial regions. The impellers will continue to return. Trust this power.")</f>
        <v>For the continuity and safety of the production, we start the Vaccine Practice with our mobile teams in the organized industrial regions. The impellers will continue to return. Trust this power.</v>
      </c>
    </row>
    <row r="1051" spans="1:5" ht="15.75" customHeight="1" x14ac:dyDescent="0.25">
      <c r="A1051" s="1" t="s">
        <v>2102</v>
      </c>
      <c r="B1051" s="1">
        <v>34284</v>
      </c>
      <c r="C1051" s="3">
        <v>44362.407349537039</v>
      </c>
      <c r="D1051" s="1" t="s">
        <v>2103</v>
      </c>
      <c r="E1051" s="4" t="str">
        <f ca="1">IFERROR(__xludf.DUMMYFUNCTION("GOOGLETRANSLATE(A1051 , ""tr"" , ""en"")"),"As of the moment we reached 35 million dose of overdose. The 35 millionth overdose has just been done in Çanakkale Bayramic.")</f>
        <v>As of the moment we reached 35 million dose of overdose. The 35 millionth overdose has just been done in Çanakkale Bayramic.</v>
      </c>
    </row>
    <row r="1052" spans="1:5" ht="15.75" customHeight="1" x14ac:dyDescent="0.25">
      <c r="A1052" s="1" t="s">
        <v>2104</v>
      </c>
      <c r="B1052" s="1">
        <v>34242</v>
      </c>
      <c r="C1052" s="3">
        <v>44361.878344907411</v>
      </c>
      <c r="D1052" s="1" t="s">
        <v>2105</v>
      </c>
      <c r="E1052" s="4" t="str">
        <f ca="1">IFERROR(__xludf.DUMMYFUNCTION("GOOGLETRANSLATE(A1052 , ""tr"" , ""en"")"),"Monday 14 June Monday Report: 842.494
We have made more vaccines than 92,494 from which we are targeting.")</f>
        <v>Monday 14 June Monday Report: 842.494
We have made more vaccines than 92,494 from which we are targeting.</v>
      </c>
    </row>
    <row r="1053" spans="1:5" ht="15.75" customHeight="1" x14ac:dyDescent="0.25">
      <c r="A1053" s="1" t="s">
        <v>2106</v>
      </c>
      <c r="B1053" s="1">
        <v>15707</v>
      </c>
      <c r="C1053" s="3">
        <v>44361.792511574073</v>
      </c>
      <c r="D1053" s="1" t="s">
        <v>2107</v>
      </c>
      <c r="E1053" s="4" t="str">
        <f ca="1">IFERROR(__xludf.DUMMYFUNCTION("GOOGLETRANSLATE(A1053 , ""tr"" , ""en"")"),"A physician in Kayseri's Develi district is attacked by our friend armed. Attacked with a large number of criminals were caught, our friend was hospitalized with the ambulance. I just met with himself. We will never be incapable of violence as laws and so"&amp;"ciety.")</f>
        <v>A physician in Kayseri's Develi district is attacked by our friend armed. Attacked with a large number of criminals were caught, our friend was hospitalized with the ambulance. I just met with himself. We will never be incapable of violence as laws and society.</v>
      </c>
    </row>
    <row r="1054" spans="1:5" ht="15.75" customHeight="1" x14ac:dyDescent="0.25">
      <c r="A1054" s="1" t="s">
        <v>2108</v>
      </c>
      <c r="B1054" s="1">
        <v>39199</v>
      </c>
      <c r="C1054" s="3">
        <v>44361.771157407406</v>
      </c>
      <c r="D1054" s="1" t="s">
        <v>2109</v>
      </c>
      <c r="E1054" s="4" t="str">
        <f ca="1">IFERROR(__xludf.DUMMYFUNCTION("GOOGLETRANSLATE(A1054 , ""tr"" , ""en"")"),"For all of the workers and officers, tomorrow is starting a new day. All employees registered SSI ... get our first job vaccination appointment tomorrow!")</f>
        <v>For all of the workers and officers, tomorrow is starting a new day. All employees registered SSI ... get our first job vaccination appointment tomorrow!</v>
      </c>
    </row>
    <row r="1055" spans="1:5" ht="15.75" customHeight="1" x14ac:dyDescent="0.25">
      <c r="A1055" s="1" t="s">
        <v>2110</v>
      </c>
      <c r="B1055" s="1">
        <v>54996</v>
      </c>
      <c r="C1055" s="3">
        <v>44361.747777777775</v>
      </c>
      <c r="D1055" s="1" t="s">
        <v>2111</v>
      </c>
      <c r="E1055" s="4" t="str">
        <f ca="1">IFERROR(__xludf.DUMMYFUNCTION("GOOGLETRANSLATE(A1055 , ""tr"" , ""en"")"),"We just made the 750.001-dose of overdose.")</f>
        <v>We just made the 750.001-dose of overdose.</v>
      </c>
    </row>
    <row r="1056" spans="1:5" ht="15.75" customHeight="1" x14ac:dyDescent="0.25">
      <c r="A1056" s="1" t="s">
        <v>2112</v>
      </c>
      <c r="B1056" s="1">
        <v>26281</v>
      </c>
      <c r="C1056" s="3">
        <v>44361.343657407408</v>
      </c>
      <c r="D1056" s="1" t="s">
        <v>2113</v>
      </c>
      <c r="E1056" s="4" t="str">
        <f ca="1">IFERROR(__xludf.DUMMYFUNCTION("GOOGLETRANSLATE(A1056 , ""tr"" , ""en"")"),"We reach the highest daily dose so far: 750,000 dose in one day. A valid first of the short period of time!")</f>
        <v>We reach the highest daily dose so far: 750,000 dose in one day. A valid first of the short period of time!</v>
      </c>
    </row>
    <row r="1057" spans="1:5" ht="15.75" customHeight="1" x14ac:dyDescent="0.25">
      <c r="A1057" s="1" t="s">
        <v>2114</v>
      </c>
      <c r="B1057" s="1">
        <v>31860</v>
      </c>
      <c r="C1057" s="3">
        <v>44361.251770833333</v>
      </c>
      <c r="D1057" s="1" t="s">
        <v>2115</v>
      </c>
      <c r="E1057" s="4" t="str">
        <f ca="1">IFERROR(__xludf.DUMMYFUNCTION("GOOGLETRANSLATE(A1057 , ""tr"" , ""en"")"),"750,000 people today will experience the happiest moments of their life after 11 March 2020.")</f>
        <v>750,000 people today will experience the happiest moments of their life after 11 March 2020.</v>
      </c>
    </row>
    <row r="1058" spans="1:5" ht="15.75" customHeight="1" x14ac:dyDescent="0.25">
      <c r="A1058" s="1" t="s">
        <v>2116</v>
      </c>
      <c r="B1058" s="1">
        <v>16655</v>
      </c>
      <c r="C1058" s="3">
        <v>44360.903553240743</v>
      </c>
      <c r="D1058" s="1" t="s">
        <v>2117</v>
      </c>
      <c r="E1058" s="4" t="str">
        <f ca="1">IFERROR(__xludf.DUMMYFUNCTION("GOOGLETRANSLATE(A1058 , ""tr"" , ""en"")"),"The number I gave is ""faulty"". We did 448 thousand today, 456 thousand dose of overdose. Have vaccines, there is time. We didn't have to turn 8 thousand people back. https://t.co/gcdbqwy745")</f>
        <v>The number I gave is "faulty". We did 448 thousand today, 456 thousand dose of overdose. Have vaccines, there is time. We didn't have to turn 8 thousand people back. https://t.co/gcdbqwy745</v>
      </c>
    </row>
    <row r="1059" spans="1:5" ht="15.75" customHeight="1" x14ac:dyDescent="0.25">
      <c r="A1059" s="1" t="s">
        <v>2118</v>
      </c>
      <c r="B1059" s="1">
        <v>25135</v>
      </c>
      <c r="C1059" s="3">
        <v>44360.878171296295</v>
      </c>
      <c r="D1059" s="1" t="s">
        <v>2119</v>
      </c>
      <c r="E1059" s="4" t="str">
        <f ca="1">IFERROR(__xludf.DUMMYFUNCTION("GOOGLETRANSLATE(A1059 , ""tr"" , ""en"")"),"Today, we have come to these days from the number of passengers 53. Case Count 5.012. Once again we have seen: the victory, the way stable walks wins. The epidemic has thoroughly regressed, very close to the day to renew.")</f>
        <v>Today, we have come to these days from the number of passengers 53. Case Count 5.012. Once again we have seen: the victory, the way stable walks wins. The epidemic has thoroughly regressed, very close to the day to renew.</v>
      </c>
    </row>
    <row r="1060" spans="1:5" ht="15.75" customHeight="1" x14ac:dyDescent="0.25">
      <c r="A1060" s="1" t="s">
        <v>2120</v>
      </c>
      <c r="B1060" s="1">
        <v>7232</v>
      </c>
      <c r="C1060" s="3">
        <v>44360.575729166667</v>
      </c>
      <c r="D1060" s="1" t="s">
        <v>2121</v>
      </c>
      <c r="E1060" s="4" t="str">
        <f ca="1">IFERROR(__xludf.DUMMYFUNCTION("GOOGLETRANSLATE(A1060 , ""tr"" , ""en"")"),"In June 13, 1987, we remember Cemil Meriç, who left our call. The idea will continue to lead us to the rebalance of our civilization that separates the false one with the genuine one in our life. God rest the soul. https://t.co/0ai8fbxkyx")</f>
        <v>In June 13, 1987, we remember Cemil Meriç, who left our call. The idea will continue to lead us to the rebalance of our civilization that separates the false one with the genuine one in our life. God rest the soul. https://t.co/0ai8fbxkyx</v>
      </c>
    </row>
    <row r="1061" spans="1:5" ht="15.75" customHeight="1" x14ac:dyDescent="0.25">
      <c r="A1061" s="1" t="s">
        <v>2122</v>
      </c>
      <c r="B1061" s="1">
        <v>34509</v>
      </c>
      <c r="C1061" s="3">
        <v>44360.313726851855</v>
      </c>
      <c r="D1061" s="1" t="s">
        <v>2123</v>
      </c>
      <c r="E1061" s="4" t="str">
        <f ca="1">IFERROR(__xludf.DUMMYFUNCTION("GOOGLETRANSLATE(A1061 , ""tr"" , ""en"")"),"Today is Vaccination Day for 448 thousand people!")</f>
        <v>Today is Vaccination Day for 448 thousand people!</v>
      </c>
    </row>
    <row r="1062" spans="1:5" ht="15.75" customHeight="1" x14ac:dyDescent="0.25">
      <c r="A1062" s="1" t="s">
        <v>2124</v>
      </c>
      <c r="B1062" s="1">
        <v>47321</v>
      </c>
      <c r="C1062" s="3">
        <v>44360.252939814818</v>
      </c>
      <c r="D1062" s="1" t="s">
        <v>2125</v>
      </c>
      <c r="E1062" s="4" t="str">
        <f ca="1">IFERROR(__xludf.DUMMYFUNCTION("GOOGLETRANSLATE(A1062 , ""tr"" , ""en"")"),"We landed up to 40 years of age. You can make an appointment from this morning if your age is 40 or above. Expect hundred percent attendance.")</f>
        <v>We landed up to 40 years of age. You can make an appointment from this morning if your age is 40 or above. Expect hundred percent attendance.</v>
      </c>
    </row>
    <row r="1063" spans="1:5" ht="15.75" customHeight="1" x14ac:dyDescent="0.25">
      <c r="A1063" s="1" t="s">
        <v>2126</v>
      </c>
      <c r="B1063" s="1">
        <v>30680</v>
      </c>
      <c r="C1063" s="3">
        <v>44359.920787037037</v>
      </c>
      <c r="D1063" s="1" t="s">
        <v>2127</v>
      </c>
      <c r="E1063" s="4" t="str">
        <f ca="1">IFERROR(__xludf.DUMMYFUNCTION("GOOGLETRANSLATE(A1063 , ""tr"" , ""en"")"),"A total of 12 June Saturday has been 449,684 vaccines. 99,485% of the appointments to make vaccinations come and have their vaccinations. We approach a step closer to normal life. Thanks.")</f>
        <v>A total of 12 June Saturday has been 449,684 vaccines. 99,485% of the appointments to make vaccinations come and have their vaccinations. We approach a step closer to normal life. Thanks.</v>
      </c>
    </row>
    <row r="1064" spans="1:5" ht="15.75" customHeight="1" x14ac:dyDescent="0.25">
      <c r="A1064" s="1" t="s">
        <v>2128</v>
      </c>
      <c r="B1064" s="1">
        <v>5056</v>
      </c>
      <c r="C1064" s="3">
        <v>44359.633472222224</v>
      </c>
      <c r="D1064" s="1" t="s">
        <v>2129</v>
      </c>
      <c r="E1064" s="4" t="str">
        <f ca="1">IFERROR(__xludf.DUMMYFUNCTION("GOOGLETRANSLATE(A1064 , ""tr"" , ""en"")"),"We see how the TG3 team from the Italian RAI television is in Mardin in Mardin, how easily the biases are changed. Thanks aunty in Halise. Be right our friend saint. Right Be the young ladies who trust the surroundings. https://t.co/kd5vbnfjle")</f>
        <v>We see how the TG3 team from the Italian RAI television is in Mardin in Mardin, how easily the biases are changed. Thanks aunty in Halise. Be right our friend saint. Right Be the young ladies who trust the surroundings. https://t.co/kd5vbnfjle</v>
      </c>
    </row>
    <row r="1065" spans="1:5" ht="15.75" customHeight="1" x14ac:dyDescent="0.25">
      <c r="A1065" s="1" t="s">
        <v>2130</v>
      </c>
      <c r="B1065" s="1">
        <v>25313</v>
      </c>
      <c r="C1065" s="3">
        <v>44359.532951388886</v>
      </c>
      <c r="D1065" s="1" t="s">
        <v>2131</v>
      </c>
      <c r="E1065" s="4" t="str">
        <f ca="1">IFERROR(__xludf.DUMMYFUNCTION("GOOGLETRANSLATE(A1065 , ""tr"" , ""en"")"),"3 hours ago we made 33 millionth overdose. We are looking forward to the time we decide the orders.")</f>
        <v>3 hours ago we made 33 millionth overdose. We are looking forward to the time we decide the orders.</v>
      </c>
    </row>
    <row r="1066" spans="1:5" ht="15.75" customHeight="1" x14ac:dyDescent="0.25">
      <c r="A1066" s="1" t="s">
        <v>2132</v>
      </c>
      <c r="B1066" s="1">
        <v>8720</v>
      </c>
      <c r="C1066" s="3">
        <v>44359.334351851852</v>
      </c>
      <c r="D1066" s="1" t="s">
        <v>2133</v>
      </c>
      <c r="E1066" s="4" t="str">
        <f ca="1">IFERROR(__xludf.DUMMYFUNCTION("GOOGLETRANSLATE(A1066 , ""tr"" , ""en"")"),"Our domestic vaccine is in the final stage. Volunteer in phase 3 human studies, let's get to the conclusion.
https://t.co/e8uh4tln81 https://t.co/pg4xo7yrsz")</f>
        <v>Our domestic vaccine is in the final stage. Volunteer in phase 3 human studies, let's get to the conclusion.
https://t.co/e8uh4tln81 https://t.co/pg4xo7yrsz</v>
      </c>
    </row>
    <row r="1067" spans="1:5" ht="15.75" customHeight="1" x14ac:dyDescent="0.25">
      <c r="A1067" s="1" t="s">
        <v>2134</v>
      </c>
      <c r="B1067" s="1">
        <v>36270</v>
      </c>
      <c r="C1067" s="3">
        <v>44359.31349537037</v>
      </c>
      <c r="D1067" s="1" t="s">
        <v>2135</v>
      </c>
      <c r="E1067" s="4" t="str">
        <f ca="1">IFERROR(__xludf.DUMMYFUNCTION("GOOGLETRANSLATE(A1067 , ""tr"" , ""en"")"),"Thank you on behalf of the millions waiting for the punishment of the vaccination.")</f>
        <v>Thank you on behalf of the millions waiting for the punishment of the vaccination.</v>
      </c>
    </row>
    <row r="1068" spans="1:5" ht="15.75" customHeight="1" x14ac:dyDescent="0.25">
      <c r="A1068" s="1" t="s">
        <v>2136</v>
      </c>
      <c r="B1068" s="1">
        <v>36664</v>
      </c>
      <c r="C1068" s="3">
        <v>44359.241064814814</v>
      </c>
      <c r="D1068" s="1" t="s">
        <v>2137</v>
      </c>
      <c r="E1068" s="4" t="str">
        <f ca="1">IFERROR(__xludf.DUMMYFUNCTION("GOOGLETRANSLATE(A1068 , ""tr"" , ""en"")"),"Today at least 450,000 people have an important appointment.")</f>
        <v>Today at least 450,000 people have an important appointment.</v>
      </c>
    </row>
    <row r="1069" spans="1:5" ht="15.75" customHeight="1" x14ac:dyDescent="0.25">
      <c r="A1069" s="1" t="s">
        <v>2138</v>
      </c>
      <c r="B1069" s="1">
        <v>27842</v>
      </c>
      <c r="C1069" s="3">
        <v>44358.877106481479</v>
      </c>
      <c r="D1069" s="1" t="s">
        <v>2139</v>
      </c>
      <c r="E1069" s="4" t="str">
        <f ca="1">IFERROR(__xludf.DUMMYFUNCTION("GOOGLETRANSLATE(A1069 , ""tr"" , ""en"")"),"23.59 o'clock. In the last 24 hours, total 597,647 dose vaccines were performed. Thanks to thousands of our citizens who do not disrupt our friends who work in this time! Vaccine, sacrifice, planning: there are all, no problem!")</f>
        <v>23.59 o'clock. In the last 24 hours, total 597,647 dose vaccines were performed. Thanks to thousands of our citizens who do not disrupt our friends who work in this time! Vaccine, sacrifice, planning: there are all, no problem!</v>
      </c>
    </row>
    <row r="1070" spans="1:5" ht="15.75" customHeight="1" x14ac:dyDescent="0.25">
      <c r="A1070" s="1" t="s">
        <v>2140</v>
      </c>
      <c r="B1070" s="1">
        <v>18026</v>
      </c>
      <c r="C1070" s="3">
        <v>44358.780289351853</v>
      </c>
      <c r="D1070" s="1" t="s">
        <v>2141</v>
      </c>
      <c r="E1070" s="4" t="str">
        <f ca="1">IFERROR(__xludf.DUMMYFUNCTION("GOOGLETRANSLATE(A1070 , ""tr"" , ""en"")"),"Our eyes are in Turkey-Italy match in Turkey. This match, which is the opening match of the European football tournament, will watch the whole world. What is football, the world you see friends!")</f>
        <v>Our eyes are in Turkey-Italy match in Turkey. This match, which is the opening match of the European football tournament, will watch the whole world. What is football, the world you see friends!</v>
      </c>
    </row>
    <row r="1071" spans="1:5" ht="15.75" customHeight="1" x14ac:dyDescent="0.25">
      <c r="A1071" s="1" t="s">
        <v>2142</v>
      </c>
      <c r="B1071" s="1">
        <v>24764</v>
      </c>
      <c r="C1071" s="3">
        <v>44358.734942129631</v>
      </c>
      <c r="D1071" s="1" t="s">
        <v>2143</v>
      </c>
      <c r="E1071" s="4" t="str">
        <f ca="1">IFERROR(__xludf.DUMMYFUNCTION("GOOGLETRANSLATE(A1071 , ""tr"" , ""en"")"),"500 thousandths dose vaccine has just been done! In the number of daily dose we will reach a new record at future hours. Our employees are at work. Our daily capacity is more than 3 times on this dose. Let's see: How many dose of today's vaccine will reac"&amp;"h total? On the other side what will be the result of the match?")</f>
        <v>500 thousandths dose vaccine has just been done! In the number of daily dose we will reach a new record at future hours. Our employees are at work. Our daily capacity is more than 3 times on this dose. Let's see: How many dose of today's vaccine will reach total? On the other side what will be the result of the match?</v>
      </c>
    </row>
    <row r="1072" spans="1:5" ht="15.75" customHeight="1" x14ac:dyDescent="0.25">
      <c r="A1072" s="1" t="s">
        <v>2144</v>
      </c>
      <c r="B1072" s="1">
        <v>4731</v>
      </c>
      <c r="C1072" s="3">
        <v>44358.690509259257</v>
      </c>
      <c r="D1072" s="1" t="s">
        <v>2145</v>
      </c>
      <c r="E1072" s="4" t="str">
        <f ca="1">IFERROR(__xludf.DUMMYFUNCTION("GOOGLETRANSLATE(A1072 , ""tr"" , ""en"")"),"The Turkish Crescent is 153 years old. The first founders in 1868 were the sacrifice of sacrifices such as today's duty physicians, staff, volunteers. Where there is a help call Kızılay's Hilal there again. Kızılay is our favorites flag on our world. http"&amp;"s://t.co/5yuodz266q")</f>
        <v>The Turkish Crescent is 153 years old. The first founders in 1868 were the sacrifice of sacrifices such as today's duty physicians, staff, volunteers. Where there is a help call Kızılay's Hilal there again. Kızılay is our favorites flag on our world. https://t.co/5yuodz266q</v>
      </c>
    </row>
    <row r="1073" spans="1:5" ht="15.75" customHeight="1" x14ac:dyDescent="0.25">
      <c r="A1073" s="1" t="s">
        <v>2146</v>
      </c>
      <c r="B1073" s="1">
        <v>51332</v>
      </c>
      <c r="C1073" s="3">
        <v>44358.52202546296</v>
      </c>
      <c r="D1073" s="1" t="s">
        <v>2147</v>
      </c>
      <c r="E1073" s="4" t="str">
        <f ca="1">IFERROR(__xludf.DUMMYFUNCTION("GOOGLETRANSLATE(A1073 , ""tr"" , ""en"")"),"We start tomorrow's vaccines with cargo employees. We're now accelerated thoroughly.")</f>
        <v>We start tomorrow's vaccines with cargo employees. We're now accelerated thoroughly.</v>
      </c>
    </row>
    <row r="1074" spans="1:5" ht="15.75" customHeight="1" x14ac:dyDescent="0.25">
      <c r="A1074" s="1" t="s">
        <v>2148</v>
      </c>
      <c r="B1074" s="1">
        <v>17162</v>
      </c>
      <c r="C1074" s="3">
        <v>44358.334479166668</v>
      </c>
      <c r="D1074" s="1" t="s">
        <v>2149</v>
      </c>
      <c r="E1074" s="4" t="str">
        <f ca="1">IFERROR(__xludf.DUMMYFUNCTION("GOOGLETRANSLATE(A1074 , ""tr"" , ""en"")"),"Taxi and filled trades are included in our vaccine programs with employees in city and intercity transport activities. They may have vaccines from tomorrow.")</f>
        <v>Taxi and filled trades are included in our vaccine programs with employees in city and intercity transport activities. They may have vaccines from tomorrow.</v>
      </c>
    </row>
    <row r="1075" spans="1:5" ht="15.75" customHeight="1" x14ac:dyDescent="0.25">
      <c r="A1075" s="1" t="s">
        <v>2150</v>
      </c>
      <c r="B1075" s="1">
        <v>66744</v>
      </c>
      <c r="C1075" s="3">
        <v>44358.304282407407</v>
      </c>
      <c r="D1075" s="1" t="s">
        <v>2151</v>
      </c>
      <c r="E1075" s="4" t="str">
        <f ca="1">IFERROR(__xludf.DUMMYFUNCTION("GOOGLETRANSLATE(A1075 , ""tr"" , ""en"")"),"Each BIONTECH VILLA has 6 people in the vial, ie 6 dose vaccines. After the vial is opened and diluted, these 6 dose vaccines should be used within 6 hours. Doses that are unused within 6 hours can then be used, wasted. Vaccine precious, not easy to suppl"&amp;"y. Do not disraped your appointment.")</f>
        <v>Each BIONTECH VILLA has 6 people in the vial, ie 6 dose vaccines. After the vial is opened and diluted, these 6 dose vaccines should be used within 6 hours. Doses that are unused within 6 hours can then be used, wasted. Vaccine precious, not easy to supply. Do not disraped your appointment.</v>
      </c>
    </row>
    <row r="1076" spans="1:5" ht="15.75" customHeight="1" x14ac:dyDescent="0.25">
      <c r="A1076" s="1" t="s">
        <v>2152</v>
      </c>
      <c r="B1076" s="1">
        <v>26722</v>
      </c>
      <c r="C1076" s="3">
        <v>44357.730358796296</v>
      </c>
      <c r="D1076" s="1" t="s">
        <v>2153</v>
      </c>
      <c r="E1076" s="4" t="str">
        <f ca="1">IFERROR(__xludf.DUMMYFUNCTION("GOOGLETRANSLATE(A1076 , ""tr"" , ""en"")"),"Without age restraint, all lawyers are included in the vaccine program. All of our lawyers can be vaccines from tomorrow. Trust this power.")</f>
        <v>Without age restraint, all lawyers are included in the vaccine program. All of our lawyers can be vaccines from tomorrow. Trust this power.</v>
      </c>
    </row>
    <row r="1077" spans="1:5" ht="15.75" customHeight="1" x14ac:dyDescent="0.25">
      <c r="A1077" s="1" t="s">
        <v>2154</v>
      </c>
      <c r="B1077" s="1">
        <v>18090</v>
      </c>
      <c r="C1077" s="3">
        <v>44357.717615740738</v>
      </c>
      <c r="D1077" s="1" t="s">
        <v>2155</v>
      </c>
      <c r="E1077" s="4" t="str">
        <f ca="1">IFERROR(__xludf.DUMMYFUNCTION("GOOGLETRANSLATE(A1077 , ""tr"" , ""en"")"),"Within the scope of the vaccine program, barber and hairdressers are also intrinsically. You can get your appointments from tomorrow. Trust this power.")</f>
        <v>Within the scope of the vaccine program, barber and hairdressers are also intrinsically. You can get your appointments from tomorrow. Trust this power.</v>
      </c>
    </row>
    <row r="1078" spans="1:5" ht="15.75" customHeight="1" x14ac:dyDescent="0.25">
      <c r="A1078" s="1" t="s">
        <v>2156</v>
      </c>
      <c r="B1078" s="1">
        <v>16234</v>
      </c>
      <c r="C1078" s="3">
        <v>44357.705000000002</v>
      </c>
      <c r="D1078" s="1" t="s">
        <v>2157</v>
      </c>
      <c r="E1078" s="4" t="str">
        <f ca="1">IFERROR(__xludf.DUMMYFUNCTION("GOOGLETRANSLATE(A1078 , ""tr"" , ""en"")"),"In our vaccine program, the identification of our occupational groups is continued. From the tomorrow, café, restaurant and restaurant employees with food production and distribution sector are also included in the program. Trust this power.")</f>
        <v>In our vaccine program, the identification of our occupational groups is continued. From the tomorrow, café, restaurant and restaurant employees with food production and distribution sector are also included in the program. Trust this power.</v>
      </c>
    </row>
    <row r="1079" spans="1:5" ht="15.75" customHeight="1" x14ac:dyDescent="0.25">
      <c r="A1079" s="1" t="s">
        <v>2158</v>
      </c>
      <c r="B1079" s="1">
        <v>6996</v>
      </c>
      <c r="C1079" s="3">
        <v>44356.759039351855</v>
      </c>
      <c r="D1079" s="1" t="s">
        <v>2159</v>
      </c>
      <c r="E1079" s="4" t="str">
        <f ca="1">IFERROR(__xludf.DUMMYFUNCTION("GOOGLETRANSLATE(A1079 , ""tr"" , ""en"")"),"We will get rid of outbreak news very soon. The day is close to bright, healthy and happy days. Great Turkey is a strong state. Trust this power. https://t.co/fewzmbfnrb")</f>
        <v>We will get rid of outbreak news very soon. The day is close to bright, healthy and happy days. Great Turkey is a strong state. Trust this power. https://t.co/fewzmbfnrb</v>
      </c>
    </row>
    <row r="1080" spans="1:5" ht="15.75" customHeight="1" x14ac:dyDescent="0.25">
      <c r="A1080" s="1" t="s">
        <v>2160</v>
      </c>
      <c r="B1080" s="1">
        <v>4643</v>
      </c>
      <c r="C1080" s="3">
        <v>44356.750393518516</v>
      </c>
      <c r="D1080" s="1" t="s">
        <v>2161</v>
      </c>
      <c r="E1080" s="4" t="str">
        <f ca="1">IFERROR(__xludf.DUMMYFUNCTION("GOOGLETRANSLATE(A1080 , ""tr"" , ""en"")"),"Scientific studies continue to be the third dose of people who provide immunity and two dose vaccines with the specific period of time. https://t.co/lgvucz2gmj")</f>
        <v>Scientific studies continue to be the third dose of people who provide immunity and two dose vaccines with the specific period of time. https://t.co/lgvucz2gmj</v>
      </c>
    </row>
    <row r="1081" spans="1:5" ht="15.75" customHeight="1" x14ac:dyDescent="0.25">
      <c r="A1081" s="1" t="s">
        <v>2162</v>
      </c>
      <c r="B1081" s="1">
        <v>5556</v>
      </c>
      <c r="C1081" s="3">
        <v>44356.740810185183</v>
      </c>
      <c r="D1081" s="1" t="s">
        <v>2163</v>
      </c>
      <c r="E1081" s="4" t="str">
        <f ca="1">IFERROR(__xludf.DUMMYFUNCTION("GOOGLETRANSLATE(A1081 , ""tr"" , ""en"")"),"Turkish vaccine has come to the final stage. We will always live together with the continuity of the outbreak and external dependence in the vaccination. https://t.co/kekIaia3ln")</f>
        <v>Turkish vaccine has come to the final stage. We will always live together with the continuity of the outbreak and external dependence in the vaccination. https://t.co/kekIaia3ln</v>
      </c>
    </row>
    <row r="1082" spans="1:5" ht="15.75" customHeight="1" x14ac:dyDescent="0.25">
      <c r="A1082" s="1" t="s">
        <v>2164</v>
      </c>
      <c r="B1082" s="1">
        <v>3741</v>
      </c>
      <c r="C1082" s="3">
        <v>44356.726736111108</v>
      </c>
      <c r="D1082" s="1" t="s">
        <v>2165</v>
      </c>
      <c r="E1082" s="4" t="str">
        <f ca="1">IFERROR(__xludf.DUMMYFUNCTION("GOOGLETRANSLATE(A1082 , ""tr"" , ""en"")"),"Let us continue to comply with our personal measures uncompromising until we get social immunity with vaccination. https://t.co/mweIXX44TI")</f>
        <v>Let us continue to comply with our personal measures uncompromising until we get social immunity with vaccination. https://t.co/mweIXX44TI</v>
      </c>
    </row>
    <row r="1083" spans="1:5" ht="15.75" customHeight="1" x14ac:dyDescent="0.25">
      <c r="A1083" s="1" t="s">
        <v>2166</v>
      </c>
      <c r="B1083" s="1">
        <v>8655</v>
      </c>
      <c r="C1083" s="3">
        <v>44356.719027777777</v>
      </c>
      <c r="D1083" s="1" t="s">
        <v>2167</v>
      </c>
      <c r="E1083" s="4" t="str">
        <f ca="1">IFERROR(__xludf.DUMMYFUNCTION("GOOGLETRANSLATE(A1083 , ""tr"" , ""en"")"),"Whether you have your turn due to the job or the occupation group, please be your vaccine without losing time. https://t.co/etoxkhja9k")</f>
        <v>Whether you have your turn due to the job or the occupation group, please be your vaccine without losing time. https://t.co/etoxkhja9k</v>
      </c>
    </row>
    <row r="1084" spans="1:5" ht="15.75" customHeight="1" x14ac:dyDescent="0.25">
      <c r="A1084" s="1" t="s">
        <v>2168</v>
      </c>
      <c r="B1084" s="1">
        <v>5013</v>
      </c>
      <c r="C1084" s="3">
        <v>44356.710046296299</v>
      </c>
      <c r="D1084" s="1" t="s">
        <v>2169</v>
      </c>
      <c r="E1084" s="4" t="str">
        <f ca="1">IFERROR(__xludf.DUMMYFUNCTION("GOOGLETRANSLATE(A1084 , ""tr"" , ""en"")"),"It is close to the days when we are going to kiss the hands of our elders, we will cuddle with our loved ones. https://t.co/fpsfzIHYPH")</f>
        <v>It is close to the days when we are going to kiss the hands of our elders, we will cuddle with our loved ones. https://t.co/fpsfzIHYPH</v>
      </c>
    </row>
    <row r="1085" spans="1:5" ht="15.75" customHeight="1" x14ac:dyDescent="0.25">
      <c r="A1085" s="1" t="s">
        <v>2170</v>
      </c>
      <c r="B1085" s="1">
        <v>2713</v>
      </c>
      <c r="C1085" s="3">
        <v>44356.677627314813</v>
      </c>
      <c r="D1085" s="1" t="s">
        <v>2171</v>
      </c>
      <c r="E1085" s="4" t="str">
        <f ca="1">IFERROR(__xludf.DUMMYFUNCTION("GOOGLETRANSLATE(A1085 , ""tr"" , ""en"")"),"Live: After our Science Board Meeting, you can follow our press statement from our Youtube link below.
Video: https://t.co/jv1ajforwb")</f>
        <v>Live: After our Science Board Meeting, you can follow our press statement from our Youtube link below.
Video: https://t.co/jv1ajforwb</v>
      </c>
    </row>
    <row r="1086" spans="1:5" ht="15.75" customHeight="1" x14ac:dyDescent="0.25">
      <c r="A1086" s="1" t="s">
        <v>2172</v>
      </c>
      <c r="B1086" s="1">
        <v>2769</v>
      </c>
      <c r="C1086" s="3">
        <v>44356.63994212963</v>
      </c>
      <c r="D1086" s="1" t="s">
        <v>2173</v>
      </c>
      <c r="E1086" s="4" t="str">
        <f ca="1">IFERROR(__xludf.DUMMYFUNCTION("GOOGLETRANSLATE(A1086 , ""tr"" , ""en"")"),"After our scientific commercial meeting, we can follow our press statement, hours: 19.00 From our Youtube channel below.
YouTube: https://t.co/lzzbtwlqkj")</f>
        <v>After our scientific commercial meeting, we can follow our press statement, hours: 19.00 From our Youtube channel below.
YouTube: https://t.co/lzzbtwlqkj</v>
      </c>
    </row>
    <row r="1087" spans="1:5" ht="15.75" customHeight="1" x14ac:dyDescent="0.25">
      <c r="A1087" s="1" t="s">
        <v>2174</v>
      </c>
      <c r="B1087" s="1">
        <v>0</v>
      </c>
      <c r="C1087" s="3">
        <v>44356.379317129627</v>
      </c>
      <c r="D1087" s="1" t="s">
        <v>2175</v>
      </c>
      <c r="E1087" s="4" t="str">
        <f ca="1">IFERROR(__xludf.DUMMYFUNCTION("GOOGLETRANSLATE(A1087 , ""tr"" , ""en"")"),"RT @rterdogan: AK Party Tbm Group Meeting https://t.co/yylj8yfhtm")</f>
        <v>RT @rterdogan: AK Party Tbm Group Meeting https://t.co/yylj8yfhtm</v>
      </c>
    </row>
    <row r="1088" spans="1:5" ht="15.75" customHeight="1" x14ac:dyDescent="0.25">
      <c r="A1088" s="1" t="s">
        <v>2176</v>
      </c>
      <c r="B1088" s="1">
        <v>15394</v>
      </c>
      <c r="C1088" s="3">
        <v>44355.855810185189</v>
      </c>
      <c r="D1088" s="1" t="s">
        <v>2177</v>
      </c>
      <c r="E1088" s="4" t="str">
        <f ca="1">IFERROR(__xludf.DUMMYFUNCTION("GOOGLETRANSLATE(A1088 , ""tr"" , ""en"")"),"Behzat Bey, your order has already come due to your age group :) But don't worry, our theaters are already in the coverage that we declare. https://t.co/xz3kh2ltum")</f>
        <v>Behzat Bey, your order has already come due to your age group :) But don't worry, our theaters are already in the coverage that we declare. https://t.co/xz3kh2ltum</v>
      </c>
    </row>
    <row r="1089" spans="1:5" ht="15.75" customHeight="1" x14ac:dyDescent="0.25">
      <c r="A1089" s="1" t="s">
        <v>2178</v>
      </c>
      <c r="B1089" s="1">
        <v>13207</v>
      </c>
      <c r="C1089" s="3">
        <v>44355.831226851849</v>
      </c>
      <c r="D1089" s="1" t="s">
        <v>2179</v>
      </c>
      <c r="E1089" s="4" t="str">
        <f ca="1">IFERROR(__xludf.DUMMYFUNCTION("GOOGLETRANSLATE(A1089 , ""tr"" , ""en"")"),"Cem Bey, don't worry about 13 September our university students will be their vaccinations. Now the epidemic will leave the agenda of our country. You are supporting too. https://t.co/2zvuxvw1xn")</f>
        <v>Cem Bey, don't worry about 13 September our university students will be their vaccinations. Now the epidemic will leave the agenda of our country. You are supporting too. https://t.co/2zvuxvw1xn</v>
      </c>
    </row>
    <row r="1090" spans="1:5" ht="15.75" customHeight="1" x14ac:dyDescent="0.25">
      <c r="A1090" s="1" t="s">
        <v>2180</v>
      </c>
      <c r="B1090" s="1">
        <v>35150</v>
      </c>
      <c r="C1090" s="3">
        <v>44355.709814814814</v>
      </c>
      <c r="D1090" s="1" t="s">
        <v>2181</v>
      </c>
      <c r="E1090" s="4" t="str">
        <f ca="1">IFERROR(__xludf.DUMMYFUNCTION("GOOGLETRANSLATE(A1090 , ""tr"" , ""en"")"),"An occupational group is in the more vaccine program. In order to start face-to-face training in September in September, we start the vaccination of our faculty members and university staff. Trust this power.")</f>
        <v>An occupational group is in the more vaccine program. In order to start face-to-face training in September in September, we start the vaccination of our faculty members and university staff. Trust this power.</v>
      </c>
    </row>
    <row r="1091" spans="1:5" ht="15.75" customHeight="1" x14ac:dyDescent="0.25">
      <c r="A1091" s="1" t="s">
        <v>2182</v>
      </c>
      <c r="B1091" s="1">
        <v>16143</v>
      </c>
      <c r="C1091" s="3">
        <v>44355.664143518516</v>
      </c>
      <c r="D1091" s="1" t="s">
        <v>2183</v>
      </c>
      <c r="E1091" s="4" t="str">
        <f ca="1">IFERROR(__xludf.DUMMYFUNCTION("GOOGLETRANSLATE(A1091 , ""tr"" , ""en"")"),"In our vaccine program, we start the more vaccination of a group. Musicians, movies and array production teams can be able to be vaccinated from tomorrow. By adding new profession and age groups every day, we will remove our country from the epidemic agen"&amp;"da as soon as possible. Trust this power.")</f>
        <v>In our vaccine program, we start the more vaccination of a group. Musicians, movies and array production teams can be able to be vaccinated from tomorrow. By adding new profession and age groups every day, we will remove our country from the epidemic agenda as soon as possible. Trust this power.</v>
      </c>
    </row>
    <row r="1092" spans="1:5" ht="15.75" customHeight="1" x14ac:dyDescent="0.25">
      <c r="A1092" s="1" t="s">
        <v>2184</v>
      </c>
      <c r="B1092" s="1">
        <v>4495</v>
      </c>
      <c r="C1092" s="3">
        <v>44355.584398148145</v>
      </c>
      <c r="D1092" s="1" t="s">
        <v>2185</v>
      </c>
      <c r="E1092" s="4" t="str">
        <f ca="1">IFERROR(__xludf.DUMMYFUNCTION("GOOGLETRANSLATE(A1092 , ""tr"" , ""en"")"),"The number of cases in a final week is the most diminished provinces in Gumushane, Bilecik, Bayburt, Kocaeli and Kırklareli. We will be immunized with the vaccine to continue decline in the numbers of cases. Trust this power. https://t.co/it0jpgv8JI")</f>
        <v>The number of cases in a final week is the most diminished provinces in Gumushane, Bilecik, Bayburt, Kocaeli and Kırklareli. We will be immunized with the vaccine to continue decline in the numbers of cases. Trust this power. https://t.co/it0jpgv8JI</v>
      </c>
    </row>
    <row r="1093" spans="1:5" ht="15.75" customHeight="1" x14ac:dyDescent="0.25">
      <c r="A1093" s="1" t="s">
        <v>2186</v>
      </c>
      <c r="B1093" s="1">
        <v>6314</v>
      </c>
      <c r="C1093" s="3">
        <v>44355.571689814817</v>
      </c>
      <c r="D1093" s="1" t="s">
        <v>2187</v>
      </c>
      <c r="E1093" s="4" t="str">
        <f ca="1">IFERROR(__xludf.DUMMYFUNCTION("GOOGLETRANSLATE(A1093 , ""tr"" , ""en"")"),"In our provinces, you can see the current version of the incidence map that shows a total number of considers who correspond to 100,000 population. Although the speed of the case numbers decrease the speed is reduced, it continues to fall. Trust this powe"&amp;"r. https://t.co/tdew0cuzqs")</f>
        <v>In our provinces, you can see the current version of the incidence map that shows a total number of considers who correspond to 100,000 population. Although the speed of the case numbers decrease the speed is reduced, it continues to fall. Trust this power. https://t.co/tdew0cuzqs</v>
      </c>
    </row>
    <row r="1094" spans="1:5" ht="15.75" customHeight="1" x14ac:dyDescent="0.25">
      <c r="A1094" s="1" t="s">
        <v>2188</v>
      </c>
      <c r="B1094" s="1">
        <v>19867</v>
      </c>
      <c r="C1094" s="3">
        <v>44355.334374999999</v>
      </c>
      <c r="D1094" s="1" t="s">
        <v>2189</v>
      </c>
      <c r="E1094" s="4" t="str">
        <f ca="1">IFERROR(__xludf.DUMMYFUNCTION("GOOGLETRANSLATE(A1094 , ""tr"" , ""en"")"),"There are new facilities in access to vaccine. For BionTech vaccine, our family physicians are also enabled with public and private hospitals. From today you can make an appointment via E-NAB and MHRS. Trust this power.")</f>
        <v>There are new facilities in access to vaccine. For BionTech vaccine, our family physicians are also enabled with public and private hospitals. From today you can make an appointment via E-NAB and MHRS. Trust this power.</v>
      </c>
    </row>
    <row r="1095" spans="1:5" ht="15.75" customHeight="1" x14ac:dyDescent="0.25">
      <c r="A1095" s="1" t="s">
        <v>2190</v>
      </c>
      <c r="B1095" s="1">
        <v>11899</v>
      </c>
      <c r="C1095" s="3">
        <v>44354.550428240742</v>
      </c>
      <c r="D1095" s="1" t="s">
        <v>2191</v>
      </c>
      <c r="E1095" s="4" t="str">
        <f ca="1">IFERROR(__xludf.DUMMYFUNCTION("GOOGLETRANSLATE(A1095 , ""tr"" , ""en"")"),"Cahit Zarikoğlu, said the seven beautiful men and one of them. With their poems, he gave us with the youth he raised: ""I have white news my brothers"". Abdurrahim Karakoç touched the heart of our people with Mihriban poetry. I remember that two poets for"&amp;" the difference in the year acres.")</f>
        <v>Cahit Zarikoğlu, said the seven beautiful men and one of them. With their poems, he gave us with the youth he raised: "I have white news my brothers". Abdurrahim Karakoç touched the heart of our people with Mihriban poetry. I remember that two poets for the difference in the year acres.</v>
      </c>
    </row>
    <row r="1096" spans="1:5" ht="15.75" customHeight="1" x14ac:dyDescent="0.25">
      <c r="A1096" s="1" t="s">
        <v>2192</v>
      </c>
      <c r="B1096" s="1">
        <v>8766</v>
      </c>
      <c r="C1096" s="3">
        <v>44353.815092592595</v>
      </c>
      <c r="D1096" s="1" t="s">
        <v>2193</v>
      </c>
      <c r="E1096" s="4" t="str">
        <f ca="1">IFERROR(__xludf.DUMMYFUNCTION("GOOGLETRANSLATE(A1096 , ""tr"" , ""en"")"),"Paw Yıldızırım The Herois Soldier with Handmade Explosives in the Harecat region Wishing SAMET SEKET to the mercy, relatives and our nation. https://t.co/t44q9yzzfn")</f>
        <v>Paw Yıldızırım The Herois Soldier with Handmade Explosives in the Harecat region Wishing SAMET SEKET to the mercy, relatives and our nation. https://t.co/t44q9yzzfn</v>
      </c>
    </row>
    <row r="1097" spans="1:5" ht="15.75" customHeight="1" x14ac:dyDescent="0.25">
      <c r="A1097" s="1" t="s">
        <v>2194</v>
      </c>
      <c r="B1097" s="1">
        <v>15776</v>
      </c>
      <c r="C1097" s="3">
        <v>44353.643912037034</v>
      </c>
      <c r="D1097" s="1" t="s">
        <v>2195</v>
      </c>
      <c r="E1097" s="4" t="str">
        <f ca="1">IFERROR(__xludf.DUMMYFUNCTION("GOOGLETRANSLATE(A1097 , ""tr"" , ""en"")"),"Precious dietitians celebrate your World Dieticians Day. Your support is important to those who want to return to their old normal. To the old ordinary, according to us, including healthy eating and normal weights.")</f>
        <v>Precious dietitians celebrate your World Dieticians Day. Your support is important to those who want to return to their old normal. To the old ordinary, according to us, including healthy eating and normal weights.</v>
      </c>
    </row>
    <row r="1098" spans="1:5" ht="15.75" customHeight="1" x14ac:dyDescent="0.25">
      <c r="A1098" s="1" t="s">
        <v>2196</v>
      </c>
      <c r="B1098" s="1">
        <v>6005</v>
      </c>
      <c r="C1098" s="3">
        <v>44352.844814814816</v>
      </c>
      <c r="D1098" s="1" t="s">
        <v>2197</v>
      </c>
      <c r="E1098" s="4" t="str">
        <f ca="1">IFERROR(__xludf.DUMMYFUNCTION("GOOGLETRANSLATE(A1098 , ""tr"" , ""en"")"),"We get to our minors to get to our minors #theles are https://t.co/hywonczonf")</f>
        <v>We get to our minors to get to our minors #theles are https://t.co/hywonczonf</v>
      </c>
    </row>
    <row r="1099" spans="1:5" ht="15.75" customHeight="1" x14ac:dyDescent="0.25">
      <c r="A1099" s="1" t="s">
        <v>2198</v>
      </c>
      <c r="B1099" s="1">
        <v>26334</v>
      </c>
      <c r="C1099" s="3">
        <v>44352.701099537036</v>
      </c>
      <c r="D1099" s="1" t="s">
        <v>2199</v>
      </c>
      <c r="E1099" s="4" t="str">
        <f ca="1">IFERROR(__xludf.DUMMYFUNCTION("GOOGLETRANSLATE(A1099 , ""tr"" , ""en"")"),"Today is World Environment Day. Let me alert from today. We will soon remove the masks. But not the place!")</f>
        <v>Today is World Environment Day. Let me alert from today. We will soon remove the masks. But not the place!</v>
      </c>
    </row>
    <row r="1100" spans="1:5" ht="15.75" customHeight="1" x14ac:dyDescent="0.25">
      <c r="A1100" s="1" t="s">
        <v>2200</v>
      </c>
      <c r="B1100" s="1">
        <v>10958</v>
      </c>
      <c r="C1100" s="3">
        <v>44351.872395833336</v>
      </c>
      <c r="D1100" s="1" t="s">
        <v>2201</v>
      </c>
      <c r="E1100" s="4" t="str">
        <f ca="1">IFERROR(__xludf.DUMMYFUNCTION("GOOGLETRANSLATE(A1100 , ""tr"" , ""en"")"),"We have reached a total of 30 million dose in the vaccine. As of today, we will see the results of this number very soon, 84 million. The way to return to healthy days, let's continue with determination.")</f>
        <v>We have reached a total of 30 million dose in the vaccine. As of today, we will see the results of this number very soon, 84 million. The way to return to healthy days, let's continue with determination.</v>
      </c>
    </row>
    <row r="1101" spans="1:5" ht="15.75" customHeight="1" x14ac:dyDescent="0.25">
      <c r="A1101" s="1" t="s">
        <v>2202</v>
      </c>
      <c r="B1101" s="1">
        <v>21274</v>
      </c>
      <c r="C1101" s="3">
        <v>44351.868576388886</v>
      </c>
      <c r="D1101" s="1" t="s">
        <v>2203</v>
      </c>
      <c r="E1101" s="4" t="str">
        <f ca="1">IFERROR(__xludf.DUMMYFUNCTION("GOOGLETRANSLATE(A1101 , ""tr"" , ""en"")"),"Our passing count has landed below 100 today. The attention and vaccine you have shown is increasingly controlling everything. In our patients who left our call, I wish more than Allah. The way to return to healthy days, let's continue with determination.")</f>
        <v>Our passing count has landed below 100 today. The attention and vaccine you have shown is increasingly controlling everything. In our patients who left our call, I wish more than Allah. The way to return to healthy days, let's continue with determination.</v>
      </c>
    </row>
    <row r="1102" spans="1:5" ht="15.75" customHeight="1" x14ac:dyDescent="0.25">
      <c r="A1102" s="1" t="s">
        <v>2204</v>
      </c>
      <c r="B1102" s="1">
        <v>3485</v>
      </c>
      <c r="C1102" s="3">
        <v>44351.832824074074</v>
      </c>
      <c r="D1102" s="1" t="s">
        <v>2205</v>
      </c>
      <c r="E1102" s="4" t="str">
        <f ca="1">IFERROR(__xludf.DUMMYFUNCTION("GOOGLETRANSLATE(A1102 , ""tr"" , ""en"")"),"The Hasan, which compiled the hidden treasures of the music and the masses that bring together with the masses, today was terrified today. With the heart attack, this music person leaves us will live in the hearts. Thanks to this world that is widespread "&amp;"the Turk Ahmet Aslan and Kemal vocabulates a window: https://t.co/eevdu2dkm5")</f>
        <v>The Hasan, which compiled the hidden treasures of the music and the masses that bring together with the masses, today was terrified today. With the heart attack, this music person leaves us will live in the hearts. Thanks to this world that is widespread the Turk Ahmet Aslan and Kemal vocabulates a window: https://t.co/eevdu2dkm5</v>
      </c>
    </row>
    <row r="1103" spans="1:5" ht="15.75" customHeight="1" x14ac:dyDescent="0.25">
      <c r="A1103" s="1" t="s">
        <v>2206</v>
      </c>
      <c r="B1103" s="1">
        <v>6505</v>
      </c>
      <c r="C1103" s="3">
        <v>44351.619351851848</v>
      </c>
      <c r="D1103" s="1" t="s">
        <v>2207</v>
      </c>
      <c r="E1103" s="4" t="str">
        <f ca="1">IFERROR(__xludf.DUMMYFUNCTION("GOOGLETRANSLATE(A1103 , ""tr"" , ""en"")"),"We strive to prepare all the necessary requirements for our citizens to be vaccinated. Our citizens are almost our service will be there. We will gain immunity as vaccination and bring out its epidemic agenda. Trust this power. https://t.co/smybxbejj4")</f>
        <v>We strive to prepare all the necessary requirements for our citizens to be vaccinated. Our citizens are almost our service will be there. We will gain immunity as vaccination and bring out its epidemic agenda. Trust this power. https://t.co/smybxbejj4</v>
      </c>
    </row>
    <row r="1104" spans="1:5" ht="15.75" customHeight="1" x14ac:dyDescent="0.25">
      <c r="A1104" s="1" t="s">
        <v>2208</v>
      </c>
      <c r="B1104" s="1">
        <v>12218</v>
      </c>
      <c r="C1104" s="3">
        <v>44351.46402777778</v>
      </c>
      <c r="D1104" s="1" t="s">
        <v>2209</v>
      </c>
      <c r="E1104" s="4" t="str">
        <f ca="1">IFERROR(__xludf.DUMMYFUNCTION("GOOGLETRANSLATE(A1104 , ""tr"" , ""en"")"),"As of today, 30 million dose of overdose was performed. More than one-third of our population has been applied. We have an agreement for more than three-fold dose vaccines of our population. Tomorrow will be more beautiful than today. Trust this power. ht"&amp;"tps://t.co/h7ao82ctpi")</f>
        <v>As of today, 30 million dose of overdose was performed. More than one-third of our population has been applied. We have an agreement for more than three-fold dose vaccines of our population. Tomorrow will be more beautiful than today. Trust this power. https://t.co/h7ao82ctpi</v>
      </c>
    </row>
    <row r="1105" spans="1:5" ht="15.75" customHeight="1" x14ac:dyDescent="0.25">
      <c r="A1105" s="1" t="s">
        <v>2210</v>
      </c>
      <c r="B1105" s="1">
        <v>6025</v>
      </c>
      <c r="C1105" s="3">
        <v>44350.534259259257</v>
      </c>
      <c r="D1105" s="1" t="s">
        <v>2211</v>
      </c>
      <c r="E1105" s="4" t="str">
        <f ca="1">IFERROR(__xludf.DUMMYFUNCTION("GOOGLETRANSLATE(A1105 , ""tr"" , ""en"")"),"Our battle, poverty, searing of freedom, our great poet telling the universal story of human beings, I respect the Yenim Hikmet in the year of death. We have gained the love of the whole world of all the world's love. Let's listen to the girl's poetry fro"&amp;"m his own voice. https://t.co/yujimmptln")</f>
        <v>Our battle, poverty, searing of freedom, our great poet telling the universal story of human beings, I respect the Yenim Hikmet in the year of death. We have gained the love of the whole world of all the world's love. Let's listen to the girl's poetry from his own voice. https://t.co/yujimmptln</v>
      </c>
    </row>
    <row r="1106" spans="1:5" ht="15.75" customHeight="1" x14ac:dyDescent="0.25">
      <c r="A1106" s="1" t="s">
        <v>2212</v>
      </c>
      <c r="B1106" s="1">
        <v>25550</v>
      </c>
      <c r="C1106" s="3">
        <v>44349.687418981484</v>
      </c>
      <c r="D1106" s="1" t="s">
        <v>2213</v>
      </c>
      <c r="E1106" s="4" t="str">
        <f ca="1">IFERROR(__xludf.DUMMYFUNCTION("GOOGLETRANSLATE(A1106 , ""tr"" , ""en"")"),"A new period is starting for our next week inoculation program. From Monday June 7, all our teachers will be vaccinated without age limit. We will gain immunity with the vaccine and bring out the epidemic agenda. Trust this power.")</f>
        <v>A new period is starting for our next week inoculation program. From Monday June 7, all our teachers will be vaccinated without age limit. We will gain immunity with the vaccine and bring out the epidemic agenda. Trust this power.</v>
      </c>
    </row>
    <row r="1107" spans="1:5" ht="15.75" customHeight="1" x14ac:dyDescent="0.25">
      <c r="A1107" s="1" t="s">
        <v>2214</v>
      </c>
      <c r="B1107" s="1">
        <v>4453</v>
      </c>
      <c r="C1107" s="3">
        <v>44349.679467592592</v>
      </c>
      <c r="D1107" s="1" t="s">
        <v>2215</v>
      </c>
      <c r="E1107" s="4" t="str">
        <f ca="1">IFERROR(__xludf.DUMMYFUNCTION("GOOGLETRANSLATE(A1107 , ""tr"" , ""en"")"),"In Bitlis-Tatvan in the conflict in which they entered the martyrs falling ranger of Yücel Aki and Gendarmeri Lieutenant Baki Koçak. I wish our family, lovers and my nationality. For our 4 hero soldiers injured in the same conflict, I wish you emergency h"&amp;"ealing. https://t.co/bacfp12pum")</f>
        <v>In Bitlis-Tatvan in the conflict in which they entered the martyrs falling ranger of Yücel Aki and Gendarmeri Lieutenant Baki Koçak. I wish our family, lovers and my nationality. For our 4 hero soldiers injured in the same conflict, I wish you emergency healing. https://t.co/bacfp12pum</v>
      </c>
    </row>
    <row r="1108" spans="1:5" ht="15.75" customHeight="1" x14ac:dyDescent="0.25">
      <c r="A1108" s="1" t="s">
        <v>2216</v>
      </c>
      <c r="B1108" s="1">
        <v>5337</v>
      </c>
      <c r="C1108" s="3">
        <v>44349.674884259257</v>
      </c>
      <c r="D1108" s="1" t="s">
        <v>2217</v>
      </c>
      <c r="E1108" s="4" t="str">
        <f ca="1">IFERROR(__xludf.DUMMYFUNCTION("GOOGLETRANSLATE(A1108 , ""tr"" , ""en"")"),"The way to the old normal is going through vaccination. https://t.co/vvovvxkkdn")</f>
        <v>The way to the old normal is going through vaccination. https://t.co/vvovvxkkdn</v>
      </c>
    </row>
    <row r="1109" spans="1:5" ht="15.75" customHeight="1" x14ac:dyDescent="0.25">
      <c r="A1109" s="1" t="s">
        <v>2218</v>
      </c>
      <c r="B1109" s="1">
        <v>4755</v>
      </c>
      <c r="C1109" s="3">
        <v>44349.668368055558</v>
      </c>
      <c r="D1109" s="1" t="s">
        <v>2219</v>
      </c>
      <c r="E1109" s="4" t="str">
        <f ca="1">IFERROR(__xludf.DUMMYFUNCTION("GOOGLETRANSLATE(A1109 , ""tr"" , ""en"")"),"Our citizen of our citizen has to be the vaccination safely if there is possibility of vaccination with vaccination. https://t.co/v6tfcx8bcp")</f>
        <v>Our citizen of our citizen has to be the vaccination safely if there is possibility of vaccination with vaccination. https://t.co/v6tfcx8bcp</v>
      </c>
    </row>
    <row r="1110" spans="1:5" ht="15.75" customHeight="1" x14ac:dyDescent="0.25">
      <c r="A1110" s="1" t="s">
        <v>2220</v>
      </c>
      <c r="B1110" s="1">
        <v>8505</v>
      </c>
      <c r="C1110" s="3">
        <v>44349.660243055558</v>
      </c>
      <c r="D1110" s="1" t="s">
        <v>2221</v>
      </c>
      <c r="E1110" s="4" t="str">
        <f ca="1">IFERROR(__xludf.DUMMYFUNCTION("GOOGLETRANSLATE(A1110 , ""tr"" , ""en"")"),"The last summer that the masks sweat in our face will be this summer. https://t.co/6dlklyko0f")</f>
        <v>The last summer that the masks sweat in our face will be this summer. https://t.co/6dlklyko0f</v>
      </c>
    </row>
    <row r="1111" spans="1:5" ht="15.75" customHeight="1" x14ac:dyDescent="0.25">
      <c r="A1111" s="1" t="s">
        <v>2222</v>
      </c>
      <c r="B1111" s="1">
        <v>2704</v>
      </c>
      <c r="C1111" s="3">
        <v>44349.642905092594</v>
      </c>
      <c r="D1111" s="1" t="s">
        <v>2223</v>
      </c>
      <c r="E1111" s="4" t="str">
        <f ca="1">IFERROR(__xludf.DUMMYFUNCTION("GOOGLETRANSLATE(A1111 , ""tr"" , ""en"")"),"Live: After our Science Board Meeting, you can follow our press statement from our Youtube link below.
Video: https://t.co/s3tnybezkn")</f>
        <v>Live: After our Science Board Meeting, you can follow our press statement from our Youtube link below.
Video: https://t.co/s3tnybezkn</v>
      </c>
    </row>
    <row r="1112" spans="1:5" ht="15.75" customHeight="1" x14ac:dyDescent="0.25">
      <c r="A1112" s="1" t="s">
        <v>2224</v>
      </c>
      <c r="B1112" s="1">
        <v>2217</v>
      </c>
      <c r="C1112" s="3">
        <v>44349.632453703707</v>
      </c>
      <c r="D1112" s="1" t="s">
        <v>2225</v>
      </c>
      <c r="E1112" s="4" t="str">
        <f ca="1">IFERROR(__xludf.DUMMYFUNCTION("GOOGLETRANSLATE(A1112 , ""tr"" , ""en"")"),"After our Science Board meeting, we can follow our press statement from our Youtube channel below in 18.20.
YouTube: https://t.co/lzzbtwlqkj")</f>
        <v>After our Science Board meeting, we can follow our press statement from our Youtube channel below in 18.20.
YouTube: https://t.co/lzzbtwlqkj</v>
      </c>
    </row>
    <row r="1113" spans="1:5" ht="15.75" customHeight="1" x14ac:dyDescent="0.25">
      <c r="A1113" s="1" t="s">
        <v>2226</v>
      </c>
      <c r="B1113" s="1">
        <v>4801</v>
      </c>
      <c r="C1113" s="3">
        <v>44349.457442129627</v>
      </c>
      <c r="D1113" s="1" t="s">
        <v>2227</v>
      </c>
      <c r="E1113" s="4" t="str">
        <f ca="1">IFERROR(__xludf.DUMMYFUNCTION("GOOGLETRANSLATE(A1113 , ""tr"" , ""en"")"),"It is not only a heavy crime that brought severe penalties to violence instead of respective respondency and sacrifice, but also a heavy embarrassment of conscience. # HEALTHEFYEFYAFIOK HTTPS://T.CO/I5VPKF0LLV")</f>
        <v>It is not only a heavy crime that brought severe penalties to violence instead of respective respondency and sacrifice, but also a heavy embarrassment of conscience. # HEALTHEFYEFYAFIOK HTTPS://T.CO/I5VPKF0LLV</v>
      </c>
    </row>
    <row r="1114" spans="1:5" ht="15.75" customHeight="1" x14ac:dyDescent="0.25">
      <c r="A1114" s="1" t="s">
        <v>2228</v>
      </c>
      <c r="B1114" s="1">
        <v>9184</v>
      </c>
      <c r="C1114" s="3">
        <v>44348.818749999999</v>
      </c>
      <c r="D1114" s="1" t="s">
        <v>2229</v>
      </c>
      <c r="E1114" s="4" t="str">
        <f ca="1">IFERROR(__xludf.DUMMYFUNCTION("GOOGLETRANSLATE(A1114 , ""tr"" , ""en"")"),"I visited the colleague with the attack on himself in the hospital where the Ertan Alexander was treated. The situation is going well every day. Our follow-up will continue until the results of the attacks. Preserving health workers is all responsibility."&amp;" https://t.co/2hcmcczBTI")</f>
        <v>I visited the colleague with the attack on himself in the hospital where the Ertan Alexander was treated. The situation is going well every day. Our follow-up will continue until the results of the attacks. Preserving health workers is all responsibility. https://t.co/2hcmcczBTI</v>
      </c>
    </row>
    <row r="1115" spans="1:5" ht="15.75" customHeight="1" x14ac:dyDescent="0.25">
      <c r="A1115" s="1" t="s">
        <v>2230</v>
      </c>
      <c r="B1115" s="1">
        <v>4924</v>
      </c>
      <c r="C1115" s="3">
        <v>44348.716643518521</v>
      </c>
      <c r="D1115" s="1" t="s">
        <v>2231</v>
      </c>
      <c r="E1115" s="4" t="str">
        <f ca="1">IFERROR(__xludf.DUMMYFUNCTION("GOOGLETRANSLATE(A1115 , ""tr"" , ""en"")"),"The number of cases in a final week is the most diminished provinces in Erzurum, Tunceli, Kastamonu, Samsun and Kocaeli. It takes positive cruise. Trust this power. https://t.co/saqw0yjtj6")</f>
        <v>The number of cases in a final week is the most diminished provinces in Erzurum, Tunceli, Kastamonu, Samsun and Kocaeli. It takes positive cruise. Trust this power. https://t.co/saqw0yjtj6</v>
      </c>
    </row>
    <row r="1116" spans="1:5" ht="15.75" customHeight="1" x14ac:dyDescent="0.25">
      <c r="A1116" s="1" t="s">
        <v>2232</v>
      </c>
      <c r="B1116" s="1">
        <v>7011</v>
      </c>
      <c r="C1116" s="3">
        <v>44348.7108912037</v>
      </c>
      <c r="D1116" s="1" t="s">
        <v>2233</v>
      </c>
      <c r="E1116" s="4" t="str">
        <f ca="1">IFERROR(__xludf.DUMMYFUNCTION("GOOGLETRANSLATE(A1116 , ""tr"" , ""en"")"),"In our provinces, you can see the current version of the incidence map that shows a total number of considers who correspond to 100,000 population. The decline trend of the number of cases continues. https://t.co/xbwwbckwmm")</f>
        <v>In our provinces, you can see the current version of the incidence map that shows a total number of considers who correspond to 100,000 population. The decline trend of the number of cases continues. https://t.co/xbwwbckwmm</v>
      </c>
    </row>
    <row r="1117" spans="1:5" ht="15.75" customHeight="1" x14ac:dyDescent="0.25">
      <c r="A1117" s="1" t="s">
        <v>2234</v>
      </c>
      <c r="B1117" s="1">
        <v>16590</v>
      </c>
      <c r="C1117" s="3">
        <v>44348.662581018521</v>
      </c>
      <c r="D1117" s="1" t="s">
        <v>2235</v>
      </c>
      <c r="E1117" s="4" t="str">
        <f ca="1">IFERROR(__xludf.DUMMYFUNCTION("GOOGLETRANSLATE(A1117 , ""tr"" , ""en"")"),"COVID-19 VAS COVID-19 VAS CORONOVAC; Approved by the World Health Organization. We will continue to bring the reliability and effect of proven every vaccine with our citizens. Trust this power.")</f>
        <v>COVID-19 VAS COVID-19 VAS CORONOVAC; Approved by the World Health Organization. We will continue to bring the reliability and effect of proven every vaccine with our citizens. Trust this power.</v>
      </c>
    </row>
    <row r="1118" spans="1:5" ht="15.75" customHeight="1" x14ac:dyDescent="0.25">
      <c r="A1118" s="1" t="s">
        <v>2236</v>
      </c>
      <c r="B1118" s="1">
        <v>24948</v>
      </c>
      <c r="C1118" s="3">
        <v>44348.507523148146</v>
      </c>
      <c r="D1118" s="1" t="s">
        <v>2237</v>
      </c>
      <c r="E1118" s="4" t="str">
        <f ca="1">IFERROR(__xludf.DUMMYFUNCTION("GOOGLETRANSLATE(A1118 , ""tr"" , ""en"")"),"The vaccine program of our citizens over 50 years started as of today. We will remove the effect of the outbreak with the vaccine from our agenda. Trust this power.")</f>
        <v>The vaccine program of our citizens over 50 years started as of today. We will remove the effect of the outbreak with the vaccine from our agenda. Trust this power.</v>
      </c>
    </row>
    <row r="1119" spans="1:5" ht="15.75" customHeight="1" x14ac:dyDescent="0.25">
      <c r="A1119" s="1" t="s">
        <v>2238</v>
      </c>
      <c r="B1119" s="1">
        <v>5931</v>
      </c>
      <c r="C1119" s="3">
        <v>44347.791620370372</v>
      </c>
      <c r="D1119" s="1" t="s">
        <v>2239</v>
      </c>
      <c r="E1119" s="4" t="str">
        <f ca="1">IFERROR(__xludf.DUMMYFUNCTION("GOOGLETRANSLATE(A1119 , ""tr"" , ""en"")"),"To share all the beauties of life with our loved ones #sholes of https://t.co/31auc7evza")</f>
        <v>To share all the beauties of life with our loved ones #sholes of https://t.co/31auc7evza</v>
      </c>
    </row>
    <row r="1120" spans="1:5" ht="15.75" customHeight="1" x14ac:dyDescent="0.25">
      <c r="A1120" s="1" t="s">
        <v>2240</v>
      </c>
      <c r="B1120" s="1">
        <v>0</v>
      </c>
      <c r="C1120" s="3">
        <v>44347.703865740739</v>
      </c>
      <c r="D1120" s="1" t="s">
        <v>2241</v>
      </c>
      <c r="E1120" s="4" t="str">
        <f ca="1">IFERROR(__xludf.DUMMYFUNCTION("GOOGLETRANSLATE(A1120 , ""tr"" , ""en"")"),"RT @rterdogan: Shouting Nation After Cabinet Meeting https://t.co/wg6thhver0")</f>
        <v>RT @rterdogan: Shouting Nation After Cabinet Meeting https://t.co/wg6thhver0</v>
      </c>
    </row>
    <row r="1121" spans="1:5" ht="15.75" customHeight="1" x14ac:dyDescent="0.25">
      <c r="A1121" s="1" t="s">
        <v>2242</v>
      </c>
      <c r="B1121" s="1">
        <v>24702</v>
      </c>
      <c r="C1121" s="3">
        <v>44347.505706018521</v>
      </c>
      <c r="D1121" s="1" t="s">
        <v>2243</v>
      </c>
      <c r="E1121" s="4" t="str">
        <f ca="1">IFERROR(__xludf.DUMMYFUNCTION("GOOGLETRANSLATE(A1121 , ""tr"" , ""en"")"),"With the smoke of tobacco products such as cigarette, puro, pipo, hookah, you will probably prepare the causes of diseases away from you. Even even even. Do not afford to be caught in heavy diseases for the sake of a brief ""joy."" May 31st Be Decision Da"&amp;"y for Health Day of the World Together.")</f>
        <v>With the smoke of tobacco products such as cigarette, puro, pipo, hookah, you will probably prepare the causes of diseases away from you. Even even even. Do not afford to be caught in heavy diseases for the sake of a brief "joy." May 31st Be Decision Day for Health Day of the World Together.</v>
      </c>
    </row>
    <row r="1122" spans="1:5" ht="15.75" customHeight="1" x14ac:dyDescent="0.25">
      <c r="A1122" s="1" t="s">
        <v>2244</v>
      </c>
      <c r="B1122" s="1">
        <v>23755</v>
      </c>
      <c r="C1122" s="3">
        <v>44346.889965277776</v>
      </c>
      <c r="D1122" s="1" t="s">
        <v>2245</v>
      </c>
      <c r="E1122" s="4" t="str">
        <f ca="1">IFERROR(__xludf.DUMMYFUNCTION("GOOGLETRANSLATE(A1122 , ""tr"" , ""en"")"),"Anadolu Efes, the Russian team in the Semi final of the Euroleague, was the champion by beating the Spanish team Barcelona in the final. I celebrate everyone with a share in this success, especially our players. The crucials know the largest of Europe ver"&amp;"y well, so much!")</f>
        <v>Anadolu Efes, the Russian team in the Semi final of the Euroleague, was the champion by beating the Spanish team Barcelona in the final. I celebrate everyone with a share in this success, especially our players. The crucials know the largest of Europe very well, so much!</v>
      </c>
    </row>
    <row r="1123" spans="1:5" ht="15.75" customHeight="1" x14ac:dyDescent="0.25">
      <c r="A1123" s="1" t="s">
        <v>2246</v>
      </c>
      <c r="B1123" s="1">
        <v>8183</v>
      </c>
      <c r="C1123" s="3">
        <v>44346.793796296297</v>
      </c>
      <c r="D1123" s="1" t="s">
        <v>2247</v>
      </c>
      <c r="E1123" s="4" t="str">
        <f ca="1">IFERROR(__xludf.DUMMYFUNCTION("GOOGLETRANSLATE(A1123 , ""tr"" , ""en"")"),"Our business is to normalize our lives #theles are https://t.co/lmmr7hkk97")</f>
        <v>Our business is to normalize our lives #theles are https://t.co/lmmr7hkk97</v>
      </c>
    </row>
    <row r="1124" spans="1:5" ht="15.75" customHeight="1" x14ac:dyDescent="0.25">
      <c r="A1124" s="1" t="s">
        <v>2248</v>
      </c>
      <c r="B1124" s="1">
        <v>8447</v>
      </c>
      <c r="C1124" s="3">
        <v>44345.771006944444</v>
      </c>
      <c r="D1124" s="1" t="s">
        <v>2249</v>
      </c>
      <c r="E1124" s="4" t="str">
        <f ca="1">IFERROR(__xludf.DUMMYFUNCTION("GOOGLETRANSLATE(A1124 , ""tr"" , ""en"")"),"We are going to reach victory together against Koronavirus Https://t.co/cp8pkxs1nr")</f>
        <v>We are going to reach victory together against Koronavirus Https://t.co/cp8pkxs1nr</v>
      </c>
    </row>
    <row r="1125" spans="1:5" ht="15.75" customHeight="1" x14ac:dyDescent="0.25">
      <c r="A1125" s="1" t="s">
        <v>2250</v>
      </c>
      <c r="B1125" s="1">
        <v>29778</v>
      </c>
      <c r="C1125" s="3">
        <v>44345.333796296298</v>
      </c>
      <c r="D1125" s="1" t="s">
        <v>2251</v>
      </c>
      <c r="E1125" s="4" t="str">
        <f ca="1">IFERROR(__xludf.DUMMYFUNCTION("GOOGLETRANSLATE(A1125 , ""tr"" , ""en"")"),"We love you with the love of the first day Istanbul. Happy 568th anniversary of the conquest, the spirit of the Irraborated Fatih is the Sadi. https://t.co/rkqbruizyq")</f>
        <v>We love you with the love of the first day Istanbul. Happy 568th anniversary of the conquest, the spirit of the Irraborated Fatih is the Sadi. https://t.co/rkqbruizyq</v>
      </c>
    </row>
    <row r="1126" spans="1:5" ht="15.75" customHeight="1" x14ac:dyDescent="0.25">
      <c r="A1126" s="1" t="s">
        <v>2252</v>
      </c>
      <c r="B1126" s="1">
        <v>9314</v>
      </c>
      <c r="C1126" s="3">
        <v>44344.828831018516</v>
      </c>
      <c r="D1126" s="1" t="s">
        <v>2253</v>
      </c>
      <c r="E1126" s="4" t="str">
        <f ca="1">IFERROR(__xludf.DUMMYFUNCTION("GOOGLETRANSLATE(A1126 , ""tr"" , ""en"")"),"We are going to reach the light at the end of the tunnel #theles that are https://t.co/ftohjstlaz")</f>
        <v>We are going to reach the light at the end of the tunnel #theles that are https://t.co/ftohjstlaz</v>
      </c>
    </row>
    <row r="1127" spans="1:5" ht="15.75" customHeight="1" x14ac:dyDescent="0.25">
      <c r="A1127" s="1" t="s">
        <v>2254</v>
      </c>
      <c r="B1127" s="1">
        <v>3649</v>
      </c>
      <c r="C1127" s="3">
        <v>44344.805185185185</v>
      </c>
      <c r="D1127" s="1" t="s">
        <v>2255</v>
      </c>
      <c r="E1127" s="4" t="str">
        <f ca="1">IFERROR(__xludf.DUMMYFUNCTION("GOOGLETRANSLATE(A1127 , ""tr"" , ""en"")"),"The vaccination of our full-dependent mid-level and heavy disabled citizens began. Our health workers are there if you need the service. Trust this power. https://t.co/zanwtvm07o")</f>
        <v>The vaccination of our full-dependent mid-level and heavy disabled citizens began. Our health workers are there if you need the service. Trust this power. https://t.co/zanwtvm07o</v>
      </c>
    </row>
    <row r="1128" spans="1:5" ht="15.75" customHeight="1" x14ac:dyDescent="0.25">
      <c r="A1128" s="1" t="s">
        <v>2256</v>
      </c>
      <c r="B1128" s="1">
        <v>22573</v>
      </c>
      <c r="C1128" s="3">
        <v>44343.870729166665</v>
      </c>
      <c r="D1128" s="1" t="s">
        <v>2257</v>
      </c>
      <c r="E1128" s="4" t="str">
        <f ca="1">IFERROR(__xludf.DUMMYFUNCTION("GOOGLETRANSLATE(A1128 , ""tr"" , ""en"")"),"Attacked colleague Ertan Alexander's surgery successfully completed. I talked to himself, the situation is good. Under the supervision of police for aggressive judicial transactions. I will be a follower to the end of the subject. Our physicians entrusted"&amp;" by our physicians are entrusted to us.")</f>
        <v>Attacked colleague Ertan Alexander's surgery successfully completed. I talked to himself, the situation is good. Under the supervision of police for aggressive judicial transactions. I will be a follower to the end of the subject. Our physicians entrusted by our physicians are entrusted to us.</v>
      </c>
    </row>
    <row r="1129" spans="1:5" ht="15.75" customHeight="1" x14ac:dyDescent="0.25">
      <c r="A1129" s="1" t="s">
        <v>2258</v>
      </c>
      <c r="B1129" s="1">
        <v>22111</v>
      </c>
      <c r="C1129" s="3">
        <v>44343.812858796293</v>
      </c>
      <c r="D1129" s="1" t="s">
        <v>2259</v>
      </c>
      <c r="E1129" s="4" t="str">
        <f ca="1">IFERROR(__xludf.DUMMYFUNCTION("GOOGLETRANSLATE(A1129 , ""tr"" , ""en"")"),"In Ankara Training and Research Hospital, our assistant physician was attacked by his hand and waist by the hand of the Ertan Alexander. Our physician with a blade is currently in operation. I follow the situation closely. The pardon of trying to cut the "&amp;"healing hand is not possible.")</f>
        <v>In Ankara Training and Research Hospital, our assistant physician was attacked by his hand and waist by the hand of the Ertan Alexander. Our physician with a blade is currently in operation. I follow the situation closely. The pardon of trying to cut the healing hand is not possible.</v>
      </c>
    </row>
    <row r="1130" spans="1:5" ht="15.75" customHeight="1" x14ac:dyDescent="0.25">
      <c r="A1130" s="1" t="s">
        <v>2260</v>
      </c>
      <c r="B1130" s="1">
        <v>7943</v>
      </c>
      <c r="C1130" s="3">
        <v>44343.751168981478</v>
      </c>
      <c r="D1130" s="1" t="s">
        <v>2261</v>
      </c>
      <c r="E1130" s="4" t="str">
        <f ca="1">IFERROR(__xludf.DUMMYFUNCTION("GOOGLETRANSLATE(A1130 , ""tr"" , ""en"")"),"We are the re-normalization of our lives and we are handling https://t.co/iokmdo3dhn")</f>
        <v>We are the re-normalization of our lives and we are handling https://t.co/iokmdo3dhn</v>
      </c>
    </row>
    <row r="1131" spans="1:5" ht="15.75" customHeight="1" x14ac:dyDescent="0.25">
      <c r="A1131" s="1" t="s">
        <v>2262</v>
      </c>
      <c r="B1131" s="1">
        <v>7349</v>
      </c>
      <c r="C1131" s="3">
        <v>44343.57744212963</v>
      </c>
      <c r="D1131" s="1" t="s">
        <v>2263</v>
      </c>
      <c r="E1131" s="4" t="str">
        <f ca="1">IFERROR(__xludf.DUMMYFUNCTION("GOOGLETRANSLATE(A1131 , ""tr"" , ""en"")"),"61 years past 27 May 27 revolution as a history of the Democracy, as a Haynebet Hate. Although they are innocent that they are innocent, I remember our martyrs of democracy. The persecution is not paydar. History recognizes the right to live in heroes.")</f>
        <v>61 years past 27 May 27 revolution as a history of the Democracy, as a Haynebet Hate. Although they are innocent that they are innocent, I remember our martyrs of democracy. The persecution is not paydar. History recognizes the right to live in heroes.</v>
      </c>
    </row>
    <row r="1132" spans="1:5" ht="15.75" customHeight="1" x14ac:dyDescent="0.25">
      <c r="A1132" s="1" t="s">
        <v>2264</v>
      </c>
      <c r="B1132" s="1">
        <v>19549</v>
      </c>
      <c r="C1132" s="3">
        <v>44343.355011574073</v>
      </c>
      <c r="D1132" s="1" t="s">
        <v>2265</v>
      </c>
      <c r="E1132" s="4" t="str">
        <f ca="1">IFERROR(__xludf.DUMMYFUNCTION("GOOGLETRANSLATE(A1132 , ""tr"" , ""en"")"),"In our vaccine program, we begin to vaccination a priority group. From today, the total dependent mid-level and heavy disabled citizens are starting. Trust this power.")</f>
        <v>In our vaccine program, we begin to vaccination a priority group. From today, the total dependent mid-level and heavy disabled citizens are starting. Trust this power.</v>
      </c>
    </row>
    <row r="1133" spans="1:5" ht="15.75" customHeight="1" x14ac:dyDescent="0.25">
      <c r="A1133" s="1" t="s">
        <v>2266</v>
      </c>
      <c r="B1133" s="1">
        <v>6910</v>
      </c>
      <c r="C1133" s="3">
        <v>44343.334178240744</v>
      </c>
      <c r="D1133" s="1" t="s">
        <v>2267</v>
      </c>
      <c r="E1133" s="4" t="str">
        <f ca="1">IFERROR(__xludf.DUMMYFUNCTION("GOOGLETRANSLATE(A1133 , ""tr"" , ""en"")"),"We have also come to the final stage of our native vaccine. One of the three vaccines continuing phase studies has come to phase 3 stages. Phase 3 vaccines will begin as soon as possible. I would like to give the gospel in which the use of our own develop"&amp;"ment is also approaching. https://t.co/7enohe4nh1")</f>
        <v>We have also come to the final stage of our native vaccine. One of the three vaccines continuing phase studies has come to phase 3 stages. Phase 3 vaccines will begin as soon as possible. I would like to give the gospel in which the use of our own development is also approaching. https://t.co/7enohe4nh1</v>
      </c>
    </row>
    <row r="1134" spans="1:5" ht="15.75" customHeight="1" x14ac:dyDescent="0.25">
      <c r="A1134" s="1" t="s">
        <v>2268</v>
      </c>
      <c r="B1134" s="1">
        <v>7623</v>
      </c>
      <c r="C1134" s="3">
        <v>44342.851087962961</v>
      </c>
      <c r="D1134" s="1" t="s">
        <v>2269</v>
      </c>
      <c r="E1134" s="4" t="str">
        <f ca="1">IFERROR(__xludf.DUMMYFUNCTION("GOOGLETRANSLATE(A1134 , ""tr"" , ""en"")"),"We have visited the farmers in the vaccine program to make their vaccines where they are located. We will stop the outbreak with vaccine. Trust this power. https://t.co/g2o4npw6ga")</f>
        <v>We have visited the farmers in the vaccine program to make their vaccines where they are located. We will stop the outbreak with vaccine. Trust this power. https://t.co/g2o4npw6ga</v>
      </c>
    </row>
    <row r="1135" spans="1:5" ht="15.75" customHeight="1" x14ac:dyDescent="0.25">
      <c r="A1135" s="1" t="s">
        <v>2270</v>
      </c>
      <c r="B1135" s="1">
        <v>6445</v>
      </c>
      <c r="C1135" s="3">
        <v>44342.798310185186</v>
      </c>
      <c r="D1135" s="1" t="s">
        <v>2271</v>
      </c>
      <c r="E1135" s="4" t="str">
        <f ca="1">IFERROR(__xludf.DUMMYFUNCTION("GOOGLETRANSLATE(A1135 , ""tr"" , ""en"")"),"When the vaccine procurement is slowed, I present you to the appreciation of these beautiful news today in the same opening today. Those who continue to criticize each positive development are of course and are the rights as it remains within the framewor"&amp;"k of this respect. https://t.co/8aid1jgils")</f>
        <v>When the vaccine procurement is slowed, I present you to the appreciation of these beautiful news today in the same opening today. Those who continue to criticize each positive development are of course and are the rights as it remains within the framework of this respect. https://t.co/8aid1jgils</v>
      </c>
    </row>
    <row r="1136" spans="1:5" ht="15.75" customHeight="1" x14ac:dyDescent="0.25">
      <c r="A1136" s="1" t="s">
        <v>2272</v>
      </c>
      <c r="B1136" s="1">
        <v>5060</v>
      </c>
      <c r="C1136" s="3">
        <v>44342.786400462966</v>
      </c>
      <c r="D1136" s="1" t="s">
        <v>2273</v>
      </c>
      <c r="E1136" s="4" t="str">
        <f ca="1">IFERROR(__xludf.DUMMYFUNCTION("GOOGLETRANSLATE(A1136 , ""tr"" , ""en"")"),"Our scientists are liaison from the beginning of the process with Uğur Şahin and Özling Turece. We have previously been 120 million doses of the agreement we have signed as 30 million doses in 27 December 2020. For your support and efforts, I thank our Uğ"&amp;"ur Üyüm and his team. https://t.co/zsql0lmrs2")</f>
        <v>Our scientists are liaison from the beginning of the process with Uğur Şahin and Özling Turece. We have previously been 120 million doses of the agreement we have signed as 30 million doses in 27 December 2020. For your support and efforts, I thank our Uğur Üyüm and his team. https://t.co/zsql0lmrs2</v>
      </c>
    </row>
    <row r="1137" spans="1:5" ht="15.75" customHeight="1" x14ac:dyDescent="0.25">
      <c r="A1137" s="1" t="s">
        <v>2274</v>
      </c>
      <c r="B1137" s="1">
        <v>5488</v>
      </c>
      <c r="C1137" s="3">
        <v>44342.780972222223</v>
      </c>
      <c r="D1137" s="1" t="s">
        <v>2275</v>
      </c>
      <c r="E1137" s="4" t="str">
        <f ca="1">IFERROR(__xludf.DUMMYFUNCTION("GOOGLETRANSLATE(A1137 , ""tr"" , ""en"")"),"In the days where the vaccine supply is most distressed, we conducted one of the world's fastest vaccine campaigns. Very soon a significant amount of vaccine will have reached our country. I am thankful for the support and understanding of the Chinese aut"&amp;"horities from here. https://t.co/cuefhd4o21")</f>
        <v>In the days where the vaccine supply is most distressed, we conducted one of the world's fastest vaccine campaigns. Very soon a significant amount of vaccine will have reached our country. I am thankful for the support and understanding of the Chinese authorities from here. https://t.co/cuefhd4o21</v>
      </c>
    </row>
    <row r="1138" spans="1:5" ht="15.75" customHeight="1" x14ac:dyDescent="0.25">
      <c r="A1138" s="1" t="s">
        <v>2276</v>
      </c>
      <c r="B1138" s="1">
        <v>5805</v>
      </c>
      <c r="C1138" s="3">
        <v>44342.775196759256</v>
      </c>
      <c r="D1138" s="1" t="s">
        <v>2277</v>
      </c>
      <c r="E1138" s="4" t="str">
        <f ca="1">IFERROR(__xludf.DUMMYFUNCTION("GOOGLETRANSLATE(A1138 , ""tr"" , ""en"")"),"In the normalization period, we aim to decrease the restrictions, but that individual measures will stand out and a reinforced application with common vaccination. From June 1, our citizens over 50 years of age will be introduced. https://t.co/oc3llg77mp")</f>
        <v>In the normalization period, we aim to decrease the restrictions, but that individual measures will stand out and a reinforced application with common vaccination. From June 1, our citizens over 50 years of age will be introduced. https://t.co/oc3llg77mp</v>
      </c>
    </row>
    <row r="1139" spans="1:5" ht="15.75" customHeight="1" x14ac:dyDescent="0.25">
      <c r="A1139" s="1" t="s">
        <v>2278</v>
      </c>
      <c r="B1139" s="1">
        <v>3798</v>
      </c>
      <c r="C1139" s="3">
        <v>44342.682685185187</v>
      </c>
      <c r="D1139" s="1" t="s">
        <v>2279</v>
      </c>
      <c r="E1139" s="4" t="str">
        <f ca="1">IFERROR(__xludf.DUMMYFUNCTION("GOOGLETRANSLATE(A1139 , ""tr"" , ""en"")"),"Live: After our Science Board Meeting, you can follow our press statement from our Youtube link below.
Video: https://t.co/spfupz0ni6")</f>
        <v>Live: After our Science Board Meeting, you can follow our press statement from our Youtube link below.
Video: https://t.co/spfupz0ni6</v>
      </c>
    </row>
    <row r="1140" spans="1:5" ht="15.75" customHeight="1" x14ac:dyDescent="0.25">
      <c r="A1140" s="1" t="s">
        <v>2172</v>
      </c>
      <c r="B1140" s="1">
        <v>3508</v>
      </c>
      <c r="C1140" s="3">
        <v>44342.656238425923</v>
      </c>
      <c r="D1140" s="1" t="s">
        <v>2280</v>
      </c>
      <c r="E1140" s="4" t="str">
        <f ca="1">IFERROR(__xludf.DUMMYFUNCTION("GOOGLETRANSLATE(A1140 , ""tr"" , ""en"")"),"After our scientific commercial meeting, we can follow our press statement, hours: 19.00 From our Youtube channel below.
YouTube: https://t.co/lzzbtwlqkj")</f>
        <v>After our scientific commercial meeting, we can follow our press statement, hours: 19.00 From our Youtube channel below.
YouTube: https://t.co/lzzbtwlqkj</v>
      </c>
    </row>
    <row r="1141" spans="1:5" ht="15.75" customHeight="1" x14ac:dyDescent="0.25">
      <c r="A1141" s="1" t="s">
        <v>2281</v>
      </c>
      <c r="B1141" s="1">
        <v>0</v>
      </c>
      <c r="C1141" s="3">
        <v>44342.388090277775</v>
      </c>
      <c r="D1141" s="1" t="s">
        <v>2282</v>
      </c>
      <c r="E1141" s="4" t="str">
        <f ca="1">IFERROR(__xludf.DUMMYFUNCTION("GOOGLETRANSLATE(A1141 , ""tr"" , ""en"")"),"RT @rterdogan: AK Party Tbm Group Meeting https://t.co/qhtfks5jkz")</f>
        <v>RT @rterdogan: AK Party Tbm Group Meeting https://t.co/qhtfks5jkz</v>
      </c>
    </row>
    <row r="1142" spans="1:5" ht="15.75" customHeight="1" x14ac:dyDescent="0.25">
      <c r="A1142" s="1" t="s">
        <v>2283</v>
      </c>
      <c r="B1142" s="1">
        <v>7129</v>
      </c>
      <c r="C1142" s="3">
        <v>44341.727268518516</v>
      </c>
      <c r="D1142" s="1" t="s">
        <v>2284</v>
      </c>
      <c r="E1142" s="4" t="str">
        <f ca="1">IFERROR(__xludf.DUMMYFUNCTION("GOOGLETRANSLATE(A1142 , ""tr"" , ""en"")"),"The number of cases in a final week is the most diminished provinces in Erzincan, Istanbul, Karabük, Pain and Karaman. It takes positive cruise. We will succeed with fighting together. https://t.co/hutylf6kzz")</f>
        <v>The number of cases in a final week is the most diminished provinces in Erzincan, Istanbul, Karabük, Pain and Karaman. It takes positive cruise. We will succeed with fighting together. https://t.co/hutylf6kzz</v>
      </c>
    </row>
    <row r="1143" spans="1:5" ht="15.75" customHeight="1" x14ac:dyDescent="0.25">
      <c r="A1143" s="1" t="s">
        <v>2285</v>
      </c>
      <c r="B1143" s="1">
        <v>11615</v>
      </c>
      <c r="C1143" s="3">
        <v>44341.722858796296</v>
      </c>
      <c r="D1143" s="1" t="s">
        <v>2286</v>
      </c>
      <c r="E1143" s="4" t="str">
        <f ca="1">IFERROR(__xludf.DUMMYFUNCTION("GOOGLETRANSLATE(A1143 , ""tr"" , ""en"")"),"In our provinces, you can see the current version of the incidence map that shows a total number of considers who correspond to 100,000 population. The decline trend of the number of cases continues. https://t.co/lv2r51epvz")</f>
        <v>In our provinces, you can see the current version of the incidence map that shows a total number of considers who correspond to 100,000 population. The decline trend of the number of cases continues. https://t.co/lv2r51epvz</v>
      </c>
    </row>
    <row r="1144" spans="1:5" ht="15.75" customHeight="1" x14ac:dyDescent="0.25">
      <c r="A1144" s="1" t="s">
        <v>2287</v>
      </c>
      <c r="B1144" s="1">
        <v>9960</v>
      </c>
      <c r="C1144" s="3">
        <v>44341.539629629631</v>
      </c>
      <c r="D1144" s="1" t="s">
        <v>2288</v>
      </c>
      <c r="E1144" s="4" t="str">
        <f ca="1">IFERROR(__xludf.DUMMYFUNCTION("GOOGLETRANSLATE(A1144 , ""tr"" , ""en"")"),"Today, Necip Fazıl's Vefat anniversary. It is a great poet and other than being inquiry, in every aspect. Their works are not only books, but the generations. We remember himself or herself. https://t.co/kuujcqvyrz")</f>
        <v>Today, Necip Fazıl's Vefat anniversary. It is a great poet and other than being inquiry, in every aspect. Their works are not only books, but the generations. We remember himself or herself. https://t.co/kuujcqvyrz</v>
      </c>
    </row>
    <row r="1145" spans="1:5" ht="15.75" customHeight="1" x14ac:dyDescent="0.25">
      <c r="A1145" s="1" t="s">
        <v>2289</v>
      </c>
      <c r="B1145" s="1">
        <v>10852</v>
      </c>
      <c r="C1145" s="3">
        <v>44338.872314814813</v>
      </c>
      <c r="D1145" s="1" t="s">
        <v>2290</v>
      </c>
      <c r="E1145" s="4" t="str">
        <f ca="1">IFERROR(__xludf.DUMMYFUNCTION("GOOGLETRANSLATE(A1145 , ""tr"" , ""en"")"),"The vaccination sequence of seasonal agricultural workers are doing the vaccinations of our citizens. Trust this power. https://t.co/eryj9akriu")</f>
        <v>The vaccination sequence of seasonal agricultural workers are doing the vaccinations of our citizens. Trust this power. https://t.co/eryj9akriu</v>
      </c>
    </row>
    <row r="1146" spans="1:5" ht="15.75" customHeight="1" x14ac:dyDescent="0.25">
      <c r="A1146" s="1" t="s">
        <v>2291</v>
      </c>
      <c r="B1146" s="1">
        <v>15958</v>
      </c>
      <c r="C1146" s="3">
        <v>44338.709305555552</v>
      </c>
      <c r="D1146" s="1" t="s">
        <v>2292</v>
      </c>
      <c r="E1146" s="4" t="str">
        <f ca="1">IFERROR(__xludf.DUMMYFUNCTION("GOOGLETRANSLATE(A1146 , ""tr"" , ""en"")"),"We continue to work with our strength to access adequate vaccine. If our citizen citizens are vaccinated, the destructive effect of this summer release will end. Our citizen's citizen should be vaccine. Trust this power.")</f>
        <v>We continue to work with our strength to access adequate vaccine. If our citizen citizens are vaccinated, the destructive effect of this summer release will end. Our citizen's citizen should be vaccine. Trust this power.</v>
      </c>
    </row>
    <row r="1147" spans="1:5" ht="15.75" customHeight="1" x14ac:dyDescent="0.25">
      <c r="A1147" s="1" t="s">
        <v>2293</v>
      </c>
      <c r="B1147" s="1">
        <v>55410</v>
      </c>
      <c r="C1147" s="3">
        <v>44338.70244212963</v>
      </c>
      <c r="D1147" s="1" t="s">
        <v>2294</v>
      </c>
      <c r="E1147" s="4" t="str">
        <f ca="1">IFERROR(__xludf.DUMMYFUNCTION("GOOGLETRANSLATE(A1147 , ""tr"" , ""en"")"),"We have 100 million dose Sinovac, 120 million dose of biontech and 50 million dose of sputnik vaccines. More than 3 times vaccine of our 270 million dose population. Trust this power.")</f>
        <v>We have 100 million dose Sinovac, 120 million dose of biontech and 50 million dose of sputnik vaccines. More than 3 times vaccine of our 270 million dose population. Trust this power.</v>
      </c>
    </row>
    <row r="1148" spans="1:5" ht="15.75" customHeight="1" x14ac:dyDescent="0.25">
      <c r="A1148" s="1" t="s">
        <v>2295</v>
      </c>
      <c r="B1148" s="1">
        <v>27083</v>
      </c>
      <c r="C1148" s="3">
        <v>44338.6878125</v>
      </c>
      <c r="D1148" s="1" t="s">
        <v>2296</v>
      </c>
      <c r="E1148" s="4" t="str">
        <f ca="1">IFERROR(__xludf.DUMMYFUNCTION("GOOGLETRANSLATE(A1148 , ""tr"" , ""en"")"),"It continues to give the fruit of patience. Today we landed below the number of 9,000 cases. We are the ones that will make the decline continuously. Trust this power.")</f>
        <v>It continues to give the fruit of patience. Today we landed below the number of 9,000 cases. We are the ones that will make the decline continuously. Trust this power.</v>
      </c>
    </row>
    <row r="1149" spans="1:5" ht="15.75" customHeight="1" x14ac:dyDescent="0.25">
      <c r="A1149" s="1" t="s">
        <v>2297</v>
      </c>
      <c r="B1149" s="1">
        <v>36585</v>
      </c>
      <c r="C1149" s="3">
        <v>44337.687673611108</v>
      </c>
      <c r="D1149" s="1" t="s">
        <v>2298</v>
      </c>
      <c r="E1149" s="4" t="str">
        <f ca="1">IFERROR(__xludf.DUMMYFUNCTION("GOOGLETRANSLATE(A1149 , ""tr"" , ""en"")"),"With Ambulance Helicopter, Eskişehir City Hospital is the 15-month Beril Baby's state of the 15-month Beril baby in which we brought to the burning treatment center of Eskişehir city Hospital. If the patient is particularly a child, I always thank you to "&amp;"our health personnel and your interest in your heart. https://t.co/mra47rbfab")</f>
        <v>With Ambulance Helicopter, Eskişehir City Hospital is the 15-month Beril Baby's state of the 15-month Beril baby in which we brought to the burning treatment center of Eskişehir city Hospital. If the patient is particularly a child, I always thank you to our health personnel and your interest in your heart. https://t.co/mra47rbfab</v>
      </c>
    </row>
    <row r="1150" spans="1:5" ht="15.75" customHeight="1" x14ac:dyDescent="0.25">
      <c r="A1150" s="1" t="s">
        <v>2299</v>
      </c>
      <c r="B1150" s="1">
        <v>19150</v>
      </c>
      <c r="C1150" s="3">
        <v>44337.676018518519</v>
      </c>
      <c r="D1150" s="1" t="s">
        <v>2300</v>
      </c>
      <c r="E1150" s="4" t="str">
        <f ca="1">IFERROR(__xludf.DUMMYFUNCTION("GOOGLETRANSLATE(A1150 , ""tr"" , ""en"")"),"Valued Voice Artist Hakan Yesterday was discharged from Ankara City Hospital. I offer my wishes to carry the Liver and the kidney transplant successfully completed and loved ones. I would like to thank all health workers with our physicians in the treatme"&amp;"nt. https://t.co/419fuijolj")</f>
        <v>Valued Voice Artist Hakan Yesterday was discharged from Ankara City Hospital. I offer my wishes to carry the Liver and the kidney transplant successfully completed and loved ones. I would like to thank all health workers with our physicians in the treatment. https://t.co/419fuijolj</v>
      </c>
    </row>
    <row r="1151" spans="1:5" ht="15.75" customHeight="1" x14ac:dyDescent="0.25">
      <c r="A1151" s="1" t="s">
        <v>2301</v>
      </c>
      <c r="B1151" s="1">
        <v>19376</v>
      </c>
      <c r="C1151" s="3">
        <v>44336.804062499999</v>
      </c>
      <c r="D1151" s="1" t="s">
        <v>2302</v>
      </c>
      <c r="E1151" s="4" t="str">
        <f ca="1">IFERROR(__xludf.DUMMYFUNCTION("GOOGLETRANSLATE(A1151 , ""tr"" , ""en"")"),"Professor to the announcement today. Dr. With the Vaccine Supply Agreement with Uğur Sahin, we will have a total of 120 million dose biontech vaccines by the end of September! 6.1 million dosing part of this is delivered. Seems to be the end of the epidem"&amp;"ic. # 120milyondosis https://t.co/Iuniynuafe")</f>
        <v>Professor to the announcement today. Dr. With the Vaccine Supply Agreement with Uğur Sahin, we will have a total of 120 million dose biontech vaccines by the end of September! 6.1 million dosing part of this is delivered. Seems to be the end of the epidemic. # 120milyondosis https://t.co/Iuniynuafe</v>
      </c>
    </row>
    <row r="1152" spans="1:5" ht="15.75" customHeight="1" x14ac:dyDescent="0.25">
      <c r="A1152" s="1" t="s">
        <v>2303</v>
      </c>
      <c r="B1152" s="1">
        <v>72090</v>
      </c>
      <c r="C1152" s="3">
        <v>44336.776747685188</v>
      </c>
      <c r="D1152" s="1" t="s">
        <v>2304</v>
      </c>
      <c r="E1152" s="4" t="str">
        <f ca="1">IFERROR(__xludf.DUMMYFUNCTION("GOOGLETRANSLATE(A1152 , ""tr"" , ""en"")"),"Seems to be the end of the epidemic. # 120milyondosis")</f>
        <v>Seems to be the end of the epidemic. # 120milyondosis</v>
      </c>
    </row>
    <row r="1153" spans="1:5" ht="15.75" customHeight="1" x14ac:dyDescent="0.25">
      <c r="A1153" s="1" t="s">
        <v>2305</v>
      </c>
      <c r="B1153" s="1">
        <v>11829</v>
      </c>
      <c r="C1153" s="3">
        <v>44336.763807870368</v>
      </c>
      <c r="D1153" s="1" t="s">
        <v>2306</v>
      </c>
      <c r="E1153" s="4" t="str">
        <f ca="1">IFERROR(__xludf.DUMMYFUNCTION("GOOGLETRANSLATE(A1153 , ""tr"" , ""en"")"),"Developing the first COVID-19 vaccine. Dr. Uğur Sahin and Dr. The Özlem Tereci joined the Board of Science Board online. We have announced the 120 million dose biontech vaccine supply agreement from the screens with our Ughan Şahin teacher. The eye is Ayd"&amp;"ın Turkey. # 120milyondosis https://t.co/qslhlrans2")</f>
        <v>Developing the first COVID-19 vaccine. Dr. Uğur Sahin and Dr. The Özlem Tereci joined the Board of Science Board online. We have announced the 120 million dose biontech vaccine supply agreement from the screens with our Ughan Şahin teacher. The eye is Aydın Turkey. # 120milyondosis https://t.co/qslhlrans2</v>
      </c>
    </row>
    <row r="1154" spans="1:5" ht="15.75" customHeight="1" x14ac:dyDescent="0.25">
      <c r="A1154" s="1" t="s">
        <v>2307</v>
      </c>
      <c r="B1154" s="1">
        <v>5359</v>
      </c>
      <c r="C1154" s="3">
        <v>44336.677812499998</v>
      </c>
      <c r="D1154" s="1" t="s">
        <v>2308</v>
      </c>
      <c r="E1154" s="4" t="str">
        <f ca="1">IFERROR(__xludf.DUMMYFUNCTION("GOOGLETRANSLATE(A1154 , ""tr"" , ""en"")"),"After our Science Board meeting, our press statement on the latest developments on the coronavirus.
📍 The Ministry of Health
https://t.co/B954PYXMIG")</f>
        <v>After our Science Board meeting, our press statement on the latest developments on the coronavirus.
📍 The Ministry of Health
https://t.co/B954PYXMIG</v>
      </c>
    </row>
    <row r="1155" spans="1:5" ht="15.75" customHeight="1" x14ac:dyDescent="0.25">
      <c r="A1155" s="1" t="s">
        <v>2309</v>
      </c>
      <c r="B1155" s="1">
        <v>0</v>
      </c>
      <c r="C1155" s="3">
        <v>44335.75271990741</v>
      </c>
      <c r="D1155" s="1" t="s">
        <v>2310</v>
      </c>
      <c r="E1155" s="4" t="str">
        <f ca="1">IFERROR(__xludf.DUMMYFUNCTION("GOOGLETRANSLATE(A1155 , ""tr"" , ""en"")"),"RT @rterdogan: # Limbers of Limbers, @CB_Kutuphane https:///.co/ym9qlywkln with our young in @ cb_kutuphane")</f>
        <v>RT @rterdogan: # Limbers of Limbers, @CB_Kutuphane https:///.co/ym9qlywkln with our young in @ cb_kutuphane</v>
      </c>
    </row>
    <row r="1156" spans="1:5" ht="15.75" customHeight="1" x14ac:dyDescent="0.25">
      <c r="A1156" s="1" t="s">
        <v>2311</v>
      </c>
      <c r="B1156" s="1">
        <v>3821</v>
      </c>
      <c r="C1156" s="3">
        <v>44335.35359953704</v>
      </c>
      <c r="D1156" s="1" t="s">
        <v>2312</v>
      </c>
      <c r="E1156" s="4" t="str">
        <f ca="1">IFERROR(__xludf.DUMMYFUNCTION("GOOGLETRANSLATE(A1156 , ""tr"" , ""en"")"),"Yesterday in the Great Nation Assembly of Turkey, we met together with our deputies, we further handled the health issues in their regions. https://t.co/rplgdisatr")</f>
        <v>Yesterday in the Great Nation Assembly of Turkey, we met together with our deputies, we further handled the health issues in their regions. https://t.co/rplgdisatr</v>
      </c>
    </row>
    <row r="1157" spans="1:5" ht="15.75" customHeight="1" x14ac:dyDescent="0.25">
      <c r="A1157" s="1" t="s">
        <v>2313</v>
      </c>
      <c r="B1157" s="1">
        <v>8936</v>
      </c>
      <c r="C1157" s="3">
        <v>44335.33489583333</v>
      </c>
      <c r="D1157" s="1" t="s">
        <v>2314</v>
      </c>
      <c r="E1157" s="4" t="str">
        <f ca="1">IFERROR(__xludf.DUMMYFUNCTION("GOOGLETRANSLATE(A1157 , ""tr"" , ""en"")"),"It is the resurrection day of a nation at the time of all the enemies are done now. What is homeland, what is homeland defendant, is the day that is shown to the whole world today. May 19 Atatürk Memorial, Happy Youth and Sports Day. https://t.co/n5Ikcray"&amp;"g1")</f>
        <v>It is the resurrection day of a nation at the time of all the enemies are done now. What is homeland, what is homeland defendant, is the day that is shown to the whole world today. May 19 Atatürk Memorial, Happy Youth and Sports Day. https://t.co/n5Ikcrayg1</v>
      </c>
    </row>
    <row r="1158" spans="1:5" ht="15.75" customHeight="1" x14ac:dyDescent="0.25">
      <c r="A1158" s="1" t="s">
        <v>2315</v>
      </c>
      <c r="B1158" s="1">
        <v>5764</v>
      </c>
      <c r="C1158" s="3">
        <v>44334.673055555555</v>
      </c>
      <c r="D1158" s="1" t="s">
        <v>2316</v>
      </c>
      <c r="E1158" s="4" t="str">
        <f ca="1">IFERROR(__xludf.DUMMYFUNCTION("GOOGLETRANSLATE(A1158 , ""tr"" , ""en"")"),"The number of cases in a final week is the most diminishing provinces in Kastamonu, Tekirdag, Istanbul, Bayburt and Zonguldak. We have to make this beautiful course lasting. We were able to achieve again. https://t.co/pgiuvfvktg")</f>
        <v>The number of cases in a final week is the most diminishing provinces in Kastamonu, Tekirdag, Istanbul, Bayburt and Zonguldak. We have to make this beautiful course lasting. We were able to achieve again. https://t.co/pgiuvfvktg</v>
      </c>
    </row>
    <row r="1159" spans="1:5" ht="15.75" customHeight="1" x14ac:dyDescent="0.25">
      <c r="A1159" s="1" t="s">
        <v>2317</v>
      </c>
      <c r="B1159" s="1">
        <v>23773</v>
      </c>
      <c r="C1159" s="3">
        <v>44334.666724537034</v>
      </c>
      <c r="D1159" s="1" t="s">
        <v>2318</v>
      </c>
      <c r="E1159" s="4" t="str">
        <f ca="1">IFERROR(__xludf.DUMMYFUNCTION("GOOGLETRANSLATE(A1159 , ""tr"" , ""en"")"),"Today we go to a new stage in the vaccine campaign. We had received all our primary teachers in the vaccine program without age limitation. Now, we are starting to vaccinate all our branch teachers over 40 years of age.")</f>
        <v>Today we go to a new stage in the vaccine campaign. We had received all our primary teachers in the vaccine program without age limitation. Now, we are starting to vaccinate all our branch teachers over 40 years of age.</v>
      </c>
    </row>
    <row r="1160" spans="1:5" ht="15.75" customHeight="1" x14ac:dyDescent="0.25">
      <c r="A1160" s="1" t="s">
        <v>2319</v>
      </c>
      <c r="B1160" s="1">
        <v>7204</v>
      </c>
      <c r="C1160" s="3">
        <v>44334.66375</v>
      </c>
      <c r="D1160" s="1" t="s">
        <v>2320</v>
      </c>
      <c r="E1160" s="4" t="str">
        <f ca="1">IFERROR(__xludf.DUMMYFUNCTION("GOOGLETRANSLATE(A1160 , ""tr"" , ""en"")"),"In our provinces, you can see the current version of the incidence map that shows a total number of considers who correspond to 100,000 population. Although the speed of decline is reduced, the decrease of the case numbers continue. https://t.co/tdbjwctgo"&amp;"k")</f>
        <v>In our provinces, you can see the current version of the incidence map that shows a total number of considers who correspond to 100,000 population. Although the speed of decline is reduced, the decrease of the case numbers continue. https://t.co/tdbjwctgok</v>
      </c>
    </row>
    <row r="1161" spans="1:5" ht="15.75" customHeight="1" x14ac:dyDescent="0.25">
      <c r="A1161" s="1" t="s">
        <v>2321</v>
      </c>
      <c r="B1161" s="1">
        <v>0</v>
      </c>
      <c r="C1161" s="3">
        <v>44333.688263888886</v>
      </c>
      <c r="D1161" s="1" t="s">
        <v>2322</v>
      </c>
      <c r="E1161" s="4" t="str">
        <f ca="1">IFERROR(__xludf.DUMMYFUNCTION("GOOGLETRANSLATE(A1161 , ""tr"" , ""en"")"),"RT @rterdogan: Recommend the nation after Cabinet Meeting https://t.co/EICWLQNYHF")</f>
        <v>RT @rterdogan: Recommend the nation after Cabinet Meeting https://t.co/EICWLQNYHF</v>
      </c>
    </row>
    <row r="1162" spans="1:5" ht="15.75" customHeight="1" x14ac:dyDescent="0.25">
      <c r="A1162" s="1" t="s">
        <v>2323</v>
      </c>
      <c r="B1162" s="1">
        <v>12819</v>
      </c>
      <c r="C1162" s="3">
        <v>44332.335092592592</v>
      </c>
      <c r="D1162" s="1" t="s">
        <v>2324</v>
      </c>
      <c r="E1162" s="4" t="str">
        <f ca="1">IFERROR(__xludf.DUMMYFUNCTION("GOOGLETRANSLATE(A1162 , ""tr"" , ""en"")"),"Alican went to collect the plateau muzla plants at the mountain rocks yesterday. Losing his balance and fallen. Our teams receiving the knowledge that he was injured reached our 12-year-old sister with ambulance helicopter, he made the first intervention "&amp;"in umke. In Van Education Research Hospital right now. The condition is good. https://t.co/fc92o9ywux")</f>
        <v>Alican went to collect the plateau muzla plants at the mountain rocks yesterday. Losing his balance and fallen. Our teams receiving the knowledge that he was injured reached our 12-year-old sister with ambulance helicopter, he made the first intervention in umke. In Van Education Research Hospital right now. The condition is good. https://t.co/fc92o9ywux</v>
      </c>
    </row>
    <row r="1163" spans="1:5" ht="15.75" customHeight="1" x14ac:dyDescent="0.25">
      <c r="A1163" s="1" t="s">
        <v>2325</v>
      </c>
      <c r="B1163" s="1">
        <v>34308</v>
      </c>
      <c r="C1163" s="3">
        <v>44331.840300925927</v>
      </c>
      <c r="D1163" s="1" t="s">
        <v>2326</v>
      </c>
      <c r="E1163" s="4" t="str">
        <f ca="1">IFERROR(__xludf.DUMMYFUNCTION("GOOGLETRANSLATE(A1163 , ""tr"" , ""en"")"),"The Super League Champion was clear. We celebrate Besiktas and your supporters. As of the moment, I believe that the Besiktas community will continue to be the tight-fid of the epidemic struggle. Let's stay at risk when sharing joys.")</f>
        <v>The Super League Champion was clear. We celebrate Besiktas and your supporters. As of the moment, I believe that the Besiktas community will continue to be the tight-fid of the epidemic struggle. Let's stay at risk when sharing joys.</v>
      </c>
    </row>
    <row r="1164" spans="1:5" ht="15.75" customHeight="1" x14ac:dyDescent="0.25">
      <c r="A1164" s="1" t="s">
        <v>2327</v>
      </c>
      <c r="B1164" s="1">
        <v>7883</v>
      </c>
      <c r="C1164" s="3">
        <v>44330.478472222225</v>
      </c>
      <c r="D1164" s="1" t="s">
        <v>2328</v>
      </c>
      <c r="E1164" s="4" t="str">
        <f ca="1">IFERROR(__xludf.DUMMYFUNCTION("GOOGLETRANSLATE(A1164 , ""tr"" , ""en"")"),"Pandemide have been medicine to all.
The first loss from health personnel was one of you. We know in your number, which serves human health; Mercy is the members of the profession where good and other humanitarian qualifications are seen. We are gratitude"&amp;" to you.
Happy Pharmacists Day. https://t.co/w9Ippeh4xt")</f>
        <v>Pandemide have been medicine to all.
The first loss from health personnel was one of you. We know in your number, which serves human health; Mercy is the members of the profession where good and other humanitarian qualifications are seen. We are gratitude to you.
Happy Pharmacists Day. https://t.co/w9Ippeh4xt</v>
      </c>
    </row>
    <row r="1165" spans="1:5" ht="15.75" customHeight="1" x14ac:dyDescent="0.25">
      <c r="A1165" s="1" t="s">
        <v>2329</v>
      </c>
      <c r="B1165" s="1">
        <v>13561</v>
      </c>
      <c r="C1165" s="3">
        <v>44329.907881944448</v>
      </c>
      <c r="D1165" s="1" t="s">
        <v>2330</v>
      </c>
      <c r="E1165" s="4" t="str">
        <f ca="1">IFERROR(__xludf.DUMMYFUNCTION("GOOGLETRANSLATE(A1165 , ""tr"" , ""en"")"),"In Pain Dogubeyazıt, the traitor of the terrorist was conducted by the terrorist organization The Hero of Hero Private Operated Operi Public to Kabalay, I wish our nation to our nation. May the soul of our soul in the Sad. https://t.co/defwmzyvr6")</f>
        <v>In Pain Dogubeyazıt, the traitor of the terrorist was conducted by the terrorist organization The Hero of Hero Private Operated Operi Public to Kabalay, I wish our nation to our nation. May the soul of our soul in the Sad. https://t.co/defwmzyvr6</v>
      </c>
    </row>
    <row r="1166" spans="1:5" ht="15.75" customHeight="1" x14ac:dyDescent="0.25">
      <c r="A1166" s="1" t="s">
        <v>2331</v>
      </c>
      <c r="B1166" s="1">
        <v>9181</v>
      </c>
      <c r="C1166" s="3">
        <v>44329.710856481484</v>
      </c>
      <c r="D1166" s="1" t="s">
        <v>2332</v>
      </c>
      <c r="E1166" s="4" t="str">
        <f ca="1">IFERROR(__xludf.DUMMYFUNCTION("GOOGLETRANSLATE(A1166 , ""tr"" , ""en"")"),"Filiation and contacted tracking continue at the day of the day. This sacrifice will not be forgotten. https://t.co/vt8fifincd")</f>
        <v>Filiation and contacted tracking continue at the day of the day. This sacrifice will not be forgotten. https://t.co/vt8fifincd</v>
      </c>
    </row>
    <row r="1167" spans="1:5" ht="15.75" customHeight="1" x14ac:dyDescent="0.25">
      <c r="A1167" s="1" t="s">
        <v>2333</v>
      </c>
      <c r="B1167" s="1">
        <v>10277</v>
      </c>
      <c r="C1167" s="3">
        <v>44329.614675925928</v>
      </c>
      <c r="D1167" s="1" t="s">
        <v>2334</v>
      </c>
      <c r="E1167" s="4" t="str">
        <f ca="1">IFERROR(__xludf.DUMMYFUNCTION("GOOGLETRANSLATE(A1167 , ""tr"" , ""en"")"),"Our health workers have a festiveology. Let's earn these sacrificial sentences. Happy Our Feast. https://t.co/ufyzuvdgkp")</f>
        <v>Our health workers have a festiveology. Let's earn these sacrificial sentences. Happy Our Feast. https://t.co/ufyzuvdgkp</v>
      </c>
    </row>
    <row r="1168" spans="1:5" ht="15.75" customHeight="1" x14ac:dyDescent="0.25">
      <c r="A1168" s="1" t="s">
        <v>2335</v>
      </c>
      <c r="B1168" s="1">
        <v>7282</v>
      </c>
      <c r="C1168" s="3">
        <v>44329.529444444444</v>
      </c>
      <c r="D1168" s="1" t="s">
        <v>2336</v>
      </c>
      <c r="E1168" s="4" t="str">
        <f ca="1">IFERROR(__xludf.DUMMYFUNCTION("GOOGLETRANSLATE(A1168 , ""tr"" , ""en"")"),"With our loved ones, but distance, the third holiday we will grew without kissing. We reach the days at the end of a month we spend the large part of the restrictions that the restrictions will be gradually. I'm congratulating your feast with the feast of"&amp;" the holidays we will cuddle. https://t.co/no70cozmzn")</f>
        <v>With our loved ones, but distance, the third holiday we will grew without kissing. We reach the days at the end of a month we spend the large part of the restrictions that the restrictions will be gradually. I'm congratulating your feast with the feast of the holidays we will cuddle. https://t.co/no70cozmzn</v>
      </c>
    </row>
    <row r="1169" spans="1:5" ht="15.75" customHeight="1" x14ac:dyDescent="0.25">
      <c r="A1169" s="1" t="s">
        <v>2337</v>
      </c>
      <c r="B1169" s="1">
        <v>33407</v>
      </c>
      <c r="C1169" s="3">
        <v>44328.708506944444</v>
      </c>
      <c r="D1169" s="1" t="s">
        <v>2338</v>
      </c>
      <c r="E1169" s="4" t="str">
        <f ca="1">IFERROR(__xludf.DUMMYFUNCTION("GOOGLETRANSLATE(A1169 , ""tr"" , ""en"")"),"We go to a new tier in the vaccine program. From the tomorrow, we begin to vaccinate the spouses of our health workers. They will be able to make an appointment from tomorrow. Thank you for the sacrifice and fight to our health workers until this time.")</f>
        <v>We go to a new tier in the vaccine program. From the tomorrow, we begin to vaccinate the spouses of our health workers. They will be able to make an appointment from tomorrow. Thank you for the sacrifice and fight to our health workers until this time.</v>
      </c>
    </row>
    <row r="1170" spans="1:5" ht="15.75" customHeight="1" x14ac:dyDescent="0.25">
      <c r="A1170" s="1" t="s">
        <v>2339</v>
      </c>
      <c r="B1170" s="1">
        <v>9391</v>
      </c>
      <c r="C1170" s="3">
        <v>44328.482222222221</v>
      </c>
      <c r="D1170" s="1" t="s">
        <v>2340</v>
      </c>
      <c r="E1170" s="4" t="str">
        <f ca="1">IFERROR(__xludf.DUMMYFUNCTION("GOOGLETRANSLATE(A1170 , ""tr"" , ""en"")"),"Our value is nursing fraternity in our world.
The owners of the labor that will not be forgettable, our pride our friends ...
In the epidemic we have experienced, he seasted the almighty volumes.
The expression of our feelings of gratitude is difficult.
M"&amp;"ay 12 Happy Nurses Day. https://t.co/zbbwsgixqg")</f>
        <v>Our value is nursing fraternity in our world.
The owners of the labor that will not be forgettable, our pride our friends ...
In the epidemic we have experienced, he seasted the almighty volumes.
The expression of our feelings of gratitude is difficult.
May 12 Happy Nurses Day. https://t.co/zbbwsgixqg</v>
      </c>
    </row>
    <row r="1171" spans="1:5" ht="15.75" customHeight="1" x14ac:dyDescent="0.25">
      <c r="A1171" s="1" t="s">
        <v>2341</v>
      </c>
      <c r="B1171" s="1">
        <v>7827</v>
      </c>
      <c r="C1171" s="3">
        <v>44327.656655092593</v>
      </c>
      <c r="D1171" s="1" t="s">
        <v>2342</v>
      </c>
      <c r="E1171" s="4" t="str">
        <f ca="1">IFERROR(__xludf.DUMMYFUNCTION("GOOGLETRANSLATE(A1171 , ""tr"" , ""en"")"),"We have evaluated the course of the epidemic with our health managers in Istanbul. The number of cases and polyclinic applications decreased by 65%. In the hospitalization, 50% decrease in a third of the dense care. It takes the fruit of the patience it s"&amp;"hows Istanbul. We have to stop the epidemic. https://t.co/9ga35otzkn")</f>
        <v>We have evaluated the course of the epidemic with our health managers in Istanbul. The number of cases and polyclinic applications decreased by 65%. In the hospitalization, 50% decrease in a third of the dense care. It takes the fruit of the patience it shows Istanbul. We have to stop the epidemic. https://t.co/9ga35otzkn</v>
      </c>
    </row>
    <row r="1172" spans="1:5" ht="15.75" customHeight="1" x14ac:dyDescent="0.25">
      <c r="A1172" s="1" t="s">
        <v>2343</v>
      </c>
      <c r="B1172" s="1">
        <v>7148</v>
      </c>
      <c r="C1172" s="3">
        <v>44327.542268518519</v>
      </c>
      <c r="D1172" s="1" t="s">
        <v>2344</v>
      </c>
      <c r="E1172" s="4" t="str">
        <f ca="1">IFERROR(__xludf.DUMMYFUNCTION("GOOGLETRANSLATE(A1172 , ""tr"" , ""en"")"),"Last week Case Number of Case Numbers Our most reduced provinces Kırklareli, Çanakkale, Düzce, Istanbul and Tekirdag. The decline in the number of cases will be widely experienced in all of our provinces. https://t.co/6ocxhykkk")</f>
        <v>Last week Case Number of Case Numbers Our most reduced provinces Kırklareli, Çanakkale, Düzce, Istanbul and Tekirdag. The decline in the number of cases will be widely experienced in all of our provinces. https://t.co/6ocxhykkk</v>
      </c>
    </row>
    <row r="1173" spans="1:5" ht="15.75" customHeight="1" x14ac:dyDescent="0.25">
      <c r="A1173" s="1" t="s">
        <v>2345</v>
      </c>
      <c r="B1173" s="1">
        <v>110799</v>
      </c>
      <c r="C1173" s="3">
        <v>44326.888124999998</v>
      </c>
      <c r="D1173" s="1" t="s">
        <v>2346</v>
      </c>
      <c r="E1173" s="4" t="str">
        <f ca="1">IFERROR(__xludf.DUMMYFUNCTION("GOOGLETRANSLATE(A1173 , ""tr"" , ""en"")"),"Masjid-i Aksa is the holy mabed. Mabedde cannot remain silent. Unless mania in the persecution of the mind there is no liberation to anyone.")</f>
        <v>Masjid-i Aksa is the holy mabed. Mabedde cannot remain silent. Unless mania in the persecution of the mind there is no liberation to anyone.</v>
      </c>
    </row>
    <row r="1174" spans="1:5" ht="15.75" customHeight="1" x14ac:dyDescent="0.25">
      <c r="A1174" s="1" t="s">
        <v>2347</v>
      </c>
      <c r="B1174" s="1">
        <v>13446</v>
      </c>
      <c r="C1174" s="3">
        <v>44326.589131944442</v>
      </c>
      <c r="D1174" s="1" t="s">
        <v>2348</v>
      </c>
      <c r="E1174" s="4" t="str">
        <f ca="1">IFERROR(__xludf.DUMMYFUNCTION("GOOGLETRANSLATE(A1174 , ""tr"" , ""en"")"),"In our provinces, you can find the insidans map showing the number of weekly cases corresponding to 100,000 population. Our determination will continue to reduce the number of cases. https://t.co/jj1bzah5ev")</f>
        <v>In our provinces, you can find the insidans map showing the number of weekly cases corresponding to 100,000 population. Our determination will continue to reduce the number of cases. https://t.co/jj1bzah5ev</v>
      </c>
    </row>
    <row r="1175" spans="1:5" ht="15.75" customHeight="1" x14ac:dyDescent="0.25">
      <c r="A1175" s="1" t="s">
        <v>2349</v>
      </c>
      <c r="B1175" s="1">
        <v>21262</v>
      </c>
      <c r="C1175" s="3">
        <v>44325.527118055557</v>
      </c>
      <c r="D1175" s="1" t="s">
        <v>2350</v>
      </c>
      <c r="E1175" s="4" t="str">
        <f ca="1">IFERROR(__xludf.DUMMYFUNCTION("GOOGLETRANSLATE(A1175 , ""tr"" , ""en"")"),"The love of adoption could not be fitted to another mother's heart another. I celebrate our Mother's Day of our loving mothers, especially the health worker mothers who fight the expense of unable to loving their son. If you have the main one.")</f>
        <v>The love of adoption could not be fitted to another mother's heart another. I celebrate our Mother's Day of our loving mothers, especially the health worker mothers who fight the expense of unable to loving their son. If you have the main one.</v>
      </c>
    </row>
    <row r="1176" spans="1:5" ht="15.75" customHeight="1" x14ac:dyDescent="0.25">
      <c r="A1176" s="1" t="s">
        <v>2351</v>
      </c>
      <c r="B1176" s="1">
        <v>33857</v>
      </c>
      <c r="C1176" s="3">
        <v>44324.740729166668</v>
      </c>
      <c r="D1176" s="1" t="s">
        <v>2352</v>
      </c>
      <c r="E1176" s="4" t="str">
        <f ca="1">IFERROR(__xludf.DUMMYFUNCTION("GOOGLETRANSLATE(A1176 , ""tr"" , ""en"")"),"Kadir Night: The night of the YCELIS. Every person's night to be a ""acz"".
Message not to repeat mistakes is to know that the world is coming to the world.
Happy your night.")</f>
        <v>Kadir Night: The night of the YCELIS. Every person's night to be a "acz".
Message not to repeat mistakes is to know that the world is coming to the world.
Happy your night.</v>
      </c>
    </row>
    <row r="1177" spans="1:5" ht="15.75" customHeight="1" x14ac:dyDescent="0.25">
      <c r="A1177" s="1" t="s">
        <v>2353</v>
      </c>
      <c r="B1177" s="1">
        <v>37514</v>
      </c>
      <c r="C1177" s="3">
        <v>44322.693680555552</v>
      </c>
      <c r="D1177" s="1" t="s">
        <v>2354</v>
      </c>
      <c r="E1177" s="4" t="str">
        <f ca="1">IFERROR(__xludf.DUMMYFUNCTION("GOOGLETRANSLATE(A1177 , ""tr"" , ""en"")"),"Where that old ramadans have never been so manidar. But if the pretzards, the beaches are nice, the intentions are still blessed as it used to be. We are in friendly table with our hearts.")</f>
        <v>Where that old ramadans have never been so manidar. But if the pretzards, the beaches are nice, the intentions are still blessed as it used to be. We are in friendly table with our hearts.</v>
      </c>
    </row>
    <row r="1178" spans="1:5" ht="15.75" customHeight="1" x14ac:dyDescent="0.25">
      <c r="A1178" s="1" t="s">
        <v>2355</v>
      </c>
      <c r="B1178" s="1">
        <v>5967</v>
      </c>
      <c r="C1178" s="3">
        <v>44322.570300925923</v>
      </c>
      <c r="D1178" s="1" t="s">
        <v>2356</v>
      </c>
      <c r="E1178" s="4" t="str">
        <f ca="1">IFERROR(__xludf.DUMMYFUNCTION("GOOGLETRANSLATE(A1178 , ""tr"" , ""en"")"),"In the graph I share on 5 May 2021, provincial names are incorrectly placed on the graphics. This technical error has been redeployed by the correct version in our Ministry of Department. I am offering the correct state of the chart to your reinstatement."&amp;" https://t.co/eazshouIce")</f>
        <v>In the graph I share on 5 May 2021, provincial names are incorrectly placed on the graphics. This technical error has been redeployed by the correct version in our Ministry of Department. I am offering the correct state of the chart to your reinstatement. https://t.co/eazshouIce</v>
      </c>
    </row>
    <row r="1179" spans="1:5" ht="15.75" customHeight="1" x14ac:dyDescent="0.25">
      <c r="A1179" s="1" t="s">
        <v>2357</v>
      </c>
      <c r="B1179" s="1">
        <v>12520</v>
      </c>
      <c r="C1179" s="3">
        <v>44321.869629629633</v>
      </c>
      <c r="D1179" s="1" t="s">
        <v>2358</v>
      </c>
      <c r="E1179" s="4" t="str">
        <f ca="1">IFERROR(__xludf.DUMMYFUNCTION("GOOGLETRANSLATE(A1179 , ""tr"" , ""en"")"),"World midwife's day. Health services start with birth. The place of the place in our profession is the 5th May World Magnal Day, celebrating the Day 5 of our midwives, we respect each of our families and society.")</f>
        <v>World midwife's day. Health services start with birth. The place of the place in our profession is the 5th May World Magnal Day, celebrating the Day 5 of our midwives, we respect each of our families and society.</v>
      </c>
    </row>
    <row r="1180" spans="1:5" ht="15.75" customHeight="1" x14ac:dyDescent="0.25">
      <c r="A1180" s="1" t="s">
        <v>2359</v>
      </c>
      <c r="B1180" s="1">
        <v>8259</v>
      </c>
      <c r="C1180" s="3">
        <v>44321.810578703706</v>
      </c>
      <c r="D1180" s="1" t="s">
        <v>2360</v>
      </c>
      <c r="E1180" s="4" t="str">
        <f ca="1">IFERROR(__xludf.DUMMYFUNCTION("GOOGLETRANSLATE(A1180 , ""tr"" , ""en"")"),"We lost Emine Rayu 83 from the famous items of our Turkish. We have been condolences to the mercy, relatives and readers from Allah to our writer on several generations with their novels. Rest in peace.")</f>
        <v>We lost Emine Rayu 83 from the famous items of our Turkish. We have been condolences to the mercy, relatives and readers from Allah to our writer on several generations with their novels. Rest in peace.</v>
      </c>
    </row>
    <row r="1181" spans="1:5" ht="15.75" customHeight="1" x14ac:dyDescent="0.25">
      <c r="A1181" s="1" t="s">
        <v>2361</v>
      </c>
      <c r="B1181" s="1">
        <v>11324</v>
      </c>
      <c r="C1181" s="3">
        <v>44321.751770833333</v>
      </c>
      <c r="D1181" s="1" t="s">
        <v>2362</v>
      </c>
      <c r="E1181" s="4" t="str">
        <f ca="1">IFERROR(__xludf.DUMMYFUNCTION("GOOGLETRANSLATE(A1181 , ""tr"" , ""en"")"),"Currently Turkey; With 100 million dose Sinovac, 90 million dose biontech and 50 million dose are also signed with sputnik. The agreements were signed for the overdose of our approximate population. https://t.co/scxfamvwzl")</f>
        <v>Currently Turkey; With 100 million dose Sinovac, 90 million dose biontech and 50 million dose are also signed with sputnik. The agreements were signed for the overdose of our approximate population. https://t.co/scxfamvwzl</v>
      </c>
    </row>
    <row r="1182" spans="1:5" ht="15.75" customHeight="1" x14ac:dyDescent="0.25">
      <c r="A1182" s="1" t="s">
        <v>2363</v>
      </c>
      <c r="B1182" s="1">
        <v>6063</v>
      </c>
      <c r="C1182" s="3">
        <v>44321.741249999999</v>
      </c>
      <c r="D1182" s="1" t="s">
        <v>2364</v>
      </c>
      <c r="E1182" s="4" t="str">
        <f ca="1">IFERROR(__xludf.DUMMYFUNCTION("GOOGLETRANSLATE(A1182 , ""tr"" , ""en"")"),"Along with applied measures and restrictions, we have been significantly decreased in the number of cases in the last 15 days when the general course of the disease is taken into consideration. https://t.co/chfszaa4nz")</f>
        <v>Along with applied measures and restrictions, we have been significantly decreased in the number of cases in the last 15 days when the general course of the disease is taken into consideration. https://t.co/chfszaa4nz</v>
      </c>
    </row>
    <row r="1183" spans="1:5" ht="15.75" customHeight="1" x14ac:dyDescent="0.25">
      <c r="A1183" s="1" t="s">
        <v>2365</v>
      </c>
      <c r="B1183" s="1">
        <v>3442</v>
      </c>
      <c r="C1183" s="3">
        <v>44321.650821759256</v>
      </c>
      <c r="D1183" s="1" t="s">
        <v>2366</v>
      </c>
      <c r="E1183" s="4" t="str">
        <f ca="1">IFERROR(__xludf.DUMMYFUNCTION("GOOGLETRANSLATE(A1183 , ""tr"" , ""en"")"),"Live: After our Science Board Meeting, you can follow our press statement from our Youtube link below.
Video: https://t.co/7dhbb32pjl")</f>
        <v>Live: After our Science Board Meeting, you can follow our press statement from our Youtube link below.
Video: https://t.co/7dhbb32pjl</v>
      </c>
    </row>
    <row r="1184" spans="1:5" ht="15.75" customHeight="1" x14ac:dyDescent="0.25">
      <c r="A1184" s="1" t="s">
        <v>2367</v>
      </c>
      <c r="B1184" s="1">
        <v>3060</v>
      </c>
      <c r="C1184" s="3">
        <v>44321.612245370372</v>
      </c>
      <c r="D1184" s="1" t="s">
        <v>2368</v>
      </c>
      <c r="E1184" s="4" t="str">
        <f ca="1">IFERROR(__xludf.DUMMYFUNCTION("GOOGLETRANSLATE(A1184 , ""tr"" , ""en"")"),"Following our Science Board Meeting, you can follow our press statement, hours: 18.15 from our Youtube channel below.
YouTube: https://t.co/juhniesmt3q")</f>
        <v>Following our Science Board Meeting, you can follow our press statement, hours: 18.15 from our Youtube channel below.
YouTube: https://t.co/juhniesmt3q</v>
      </c>
    </row>
    <row r="1185" spans="1:5" ht="15.75" customHeight="1" x14ac:dyDescent="0.25">
      <c r="A1185" s="1" t="s">
        <v>2369</v>
      </c>
      <c r="B1185" s="1">
        <v>12351</v>
      </c>
      <c r="C1185" s="3">
        <v>44320.64167824074</v>
      </c>
      <c r="D1185" s="1" t="s">
        <v>2370</v>
      </c>
      <c r="E1185" s="4" t="str">
        <f ca="1">IFERROR(__xludf.DUMMYFUNCTION("GOOGLETRANSLATE(A1185 , ""tr"" , ""en"")"),"In our provinces, you can find the current version of the incidence map showing the number of cases corresponding to 100,000 population in a week. Measures and restrictions will turn this map to a better table every night. https://t.co/ukz20fvx9r")</f>
        <v>In our provinces, you can find the current version of the incidence map showing the number of cases corresponding to 100,000 population in a week. Measures and restrictions will turn this map to a better table every night. https://t.co/ukz20fvx9r</v>
      </c>
    </row>
    <row r="1186" spans="1:5" ht="15.75" customHeight="1" x14ac:dyDescent="0.25">
      <c r="A1186" s="1" t="s">
        <v>2371</v>
      </c>
      <c r="B1186" s="1">
        <v>7012</v>
      </c>
      <c r="C1186" s="3">
        <v>44319.704652777778</v>
      </c>
      <c r="D1186" s="1" t="s">
        <v>2372</v>
      </c>
      <c r="E1186" s="4" t="str">
        <f ca="1">IFERROR(__xludf.DUMMYFUNCTION("GOOGLETRANSLATE(A1186 , ""tr"" , ""en"")"),"At the end of this process we want to live a real feast in which the case numbers are very decreased. We want to live like holiday, feast. https://t.co/jIpls63kzy")</f>
        <v>At the end of this process we want to live a real feast in which the case numbers are very decreased. We want to live like holiday, feast. https://t.co/jIpls63kzy</v>
      </c>
    </row>
    <row r="1187" spans="1:5" ht="15.75" customHeight="1" x14ac:dyDescent="0.25">
      <c r="A1187" s="1" t="s">
        <v>2373</v>
      </c>
      <c r="B1187" s="1">
        <v>4816</v>
      </c>
      <c r="C1187" s="3">
        <v>44319.698344907411</v>
      </c>
      <c r="D1187" s="1" t="s">
        <v>2374</v>
      </c>
      <c r="E1187" s="4" t="str">
        <f ca="1">IFERROR(__xludf.DUMMYFUNCTION("GOOGLETRANSLATE(A1187 , ""tr"" , ""en"")"),"In this distressed period, we show an example of a large sacrifice of nation. I believe we will surely see their earnings soon.
The struggle will be earned together. https://t.co/ILMVB617KA")</f>
        <v>In this distressed period, we show an example of a large sacrifice of nation. I believe we will surely see their earnings soon.
The struggle will be earned together. https://t.co/ILMVB617KA</v>
      </c>
    </row>
    <row r="1188" spans="1:5" ht="15.75" customHeight="1" x14ac:dyDescent="0.25">
      <c r="A1188" s="1" t="s">
        <v>2375</v>
      </c>
      <c r="B1188" s="1">
        <v>3986</v>
      </c>
      <c r="C1188" s="3">
        <v>44319.685868055552</v>
      </c>
      <c r="D1188" s="1" t="s">
        <v>2376</v>
      </c>
      <c r="E1188" s="4" t="str">
        <f ca="1">IFERROR(__xludf.DUMMYFUNCTION("GOOGLETRANSLATE(A1188 , ""tr"" , ""en"")"),"In Edirne, the number of cases were 50% in the number of cases.
The ratio of over 65 citizens in Edirne is 88%. https://t.co/r0eonhcevi")</f>
        <v>In Edirne, the number of cases were 50% in the number of cases.
The ratio of over 65 citizens in Edirne is 88%. https://t.co/r0eonhcevi</v>
      </c>
    </row>
    <row r="1189" spans="1:5" ht="15.75" customHeight="1" x14ac:dyDescent="0.25">
      <c r="A1189" s="1" t="s">
        <v>2377</v>
      </c>
      <c r="B1189" s="1">
        <v>3672</v>
      </c>
      <c r="C1189" s="3">
        <v>44319.671053240738</v>
      </c>
      <c r="D1189" s="1" t="s">
        <v>2378</v>
      </c>
      <c r="E1189" s="4" t="str">
        <f ca="1">IFERROR(__xludf.DUMMYFUNCTION("GOOGLETRANSLATE(A1189 , ""tr"" , ""en"")"),"We will mobilize our current capacity with our new contracts and vaccination supplies and walk a faster vaccination program. BionTech vaccine will be delivered to our country as 30 million doses by the end of June. Will reach a total of 90 million dose. h"&amp;"ttps://t.co/nhmc9qzz52")</f>
        <v>We will mobilize our current capacity with our new contracts and vaccination supplies and walk a faster vaccination program. BionTech vaccine will be delivered to our country as 30 million doses by the end of June. Will reach a total of 90 million dose. https://t.co/nhmc9qzz52</v>
      </c>
    </row>
    <row r="1190" spans="1:5" ht="15.75" customHeight="1" x14ac:dyDescent="0.25">
      <c r="A1190" s="1" t="s">
        <v>2379</v>
      </c>
      <c r="B1190" s="1">
        <v>7171</v>
      </c>
      <c r="C1190" s="3">
        <v>44319.662048611113</v>
      </c>
      <c r="D1190" s="1" t="s">
        <v>2380</v>
      </c>
      <c r="E1190" s="4" t="str">
        <f ca="1">IFERROR(__xludf.DUMMYFUNCTION("GOOGLETRANSLATE(A1190 , ""tr"" , ""en"")"),"With the decline in the number of cases, we see some evaluations that are unusual and non-well-intentioned by reducing test numbers by reducing the number of test numbers. In summary, the decrease of the test numbers is not the reason for the fact that th"&amp;"e number of cases falling down. https://t.co/kp5ks2sabt")</f>
        <v>With the decline in the number of cases, we see some evaluations that are unusual and non-well-intentioned by reducing test numbers by reducing the number of test numbers. In summary, the decrease of the test numbers is not the reason for the fact that the number of cases falling down. https://t.co/kp5ks2sabt</v>
      </c>
    </row>
    <row r="1191" spans="1:5" ht="15.75" customHeight="1" x14ac:dyDescent="0.25">
      <c r="A1191" s="1" t="s">
        <v>2381</v>
      </c>
      <c r="B1191" s="1">
        <v>3143</v>
      </c>
      <c r="C1191" s="3">
        <v>44319.574826388889</v>
      </c>
      <c r="D1191" s="1" t="s">
        <v>2382</v>
      </c>
      <c r="E1191" s="4" t="str">
        <f ca="1">IFERROR(__xludf.DUMMYFUNCTION("GOOGLETRANSLATE(A1191 , ""tr"" , ""en"")"),"EDİRNE, Tekirdag, Çanakkale, Kırklareli in EDİRNE, Kırklareli last situation and Turkey:
📍sirne https://t.co/6tlblmncgr")</f>
        <v>EDİRNE, Tekirdag, Çanakkale, Kırklareli in EDİRNE, Kırklareli last situation and Turkey:
📍sirne https://t.co/6tlblmncgr</v>
      </c>
    </row>
    <row r="1192" spans="1:5" ht="15.75" customHeight="1" x14ac:dyDescent="0.25">
      <c r="A1192" s="1" t="s">
        <v>2383</v>
      </c>
      <c r="B1192" s="1">
        <v>6553</v>
      </c>
      <c r="C1192" s="3">
        <v>44319.51771990741</v>
      </c>
      <c r="D1192" s="1" t="s">
        <v>2384</v>
      </c>
      <c r="E1192" s="4" t="str">
        <f ca="1">IFERROR(__xludf.DUMMYFUNCTION("GOOGLETRANSLATE(A1192 , ""tr"" , ""en"")"),"Edirne Sultan 1. Murat State We have chatted with our elds treated in our hospital. Their health status and satisfaction is our priority. https://t.co/sahrdhtjbn")</f>
        <v>Edirne Sultan 1. Murat State We have chatted with our elds treated in our hospital. Their health status and satisfaction is our priority. https://t.co/sahrdhtjbn</v>
      </c>
    </row>
    <row r="1193" spans="1:5" ht="15.75" customHeight="1" x14ac:dyDescent="0.25">
      <c r="A1193" s="1" t="s">
        <v>2385</v>
      </c>
      <c r="B1193" s="1">
        <v>2510</v>
      </c>
      <c r="C1193" s="3">
        <v>44319.432060185187</v>
      </c>
      <c r="D1193" s="1" t="s">
        <v>2386</v>
      </c>
      <c r="E1193" s="4" t="str">
        <f ca="1">IFERROR(__xludf.DUMMYFUNCTION("GOOGLETRANSLATE(A1193 , ""tr"" , ""en"")"),"We are at Edirne. We will carry out meetings with Edirne, Tekirdag, Canakkale and Kırklareli provinces to assess the outbreak process in the region. https://t.co/tt5jh7dmh4")</f>
        <v>We are at Edirne. We will carry out meetings with Edirne, Tekirdag, Canakkale and Kırklareli provinces to assess the outbreak process in the region. https://t.co/tt5jh7dmh4</v>
      </c>
    </row>
    <row r="1194" spans="1:5" ht="15.75" customHeight="1" x14ac:dyDescent="0.25">
      <c r="A1194" s="1" t="s">
        <v>2387</v>
      </c>
      <c r="B1194" s="1">
        <v>11274</v>
      </c>
      <c r="C1194" s="3">
        <v>44319.372256944444</v>
      </c>
      <c r="D1194" s="1" t="s">
        <v>2388</v>
      </c>
      <c r="E1194" s="4" t="str">
        <f ca="1">IFERROR(__xludf.DUMMYFUNCTION("GOOGLETRANSLATE(A1194 , ""tr"" , ""en"")"),"Karabuk University Founding Rector and 26th Term Karabük MPs, our brother, lost Burhanettin Uysal Geyefendi due to coronavirus. I wish our sister of Burhanettin to the mercy, loves and their relatives from Allah.")</f>
        <v>Karabuk University Founding Rector and 26th Term Karabük MPs, our brother, lost Burhanettin Uysal Geyefendi due to coronavirus. I wish our sister of Burhanettin to the mercy, loves and their relatives from Allah.</v>
      </c>
    </row>
    <row r="1195" spans="1:5" ht="15.75" customHeight="1" x14ac:dyDescent="0.25">
      <c r="A1195" s="1" t="s">
        <v>2389</v>
      </c>
      <c r="B1195" s="1">
        <v>8225</v>
      </c>
      <c r="C1195" s="3">
        <v>44318.93540509259</v>
      </c>
      <c r="D1195" s="1" t="s">
        <v>2390</v>
      </c>
      <c r="E1195" s="4" t="str">
        <f ca="1">IFERROR(__xludf.DUMMYFUNCTION("GOOGLETRANSLATE(A1195 , ""tr"" , ""en"")"),"While a foundation is treated in the University of University Hospital, it was found in Covid-19, as we should be in our records in our records that all information is not given in the death report in the death report. From here there is no benefit of any"&amp;"one making the reliability of the information suspicious. https://t.co/e8r9ndafgd https://t.co/creqkınv8u")</f>
        <v>While a foundation is treated in the University of University Hospital, it was found in Covid-19, as we should be in our records in our records that all information is not given in the death report in the death report. From here there is no benefit of anyone making the reliability of the information suspicious. https://t.co/e8r9ndafgd https://t.co/creqkınv8u</v>
      </c>
    </row>
    <row r="1196" spans="1:5" ht="15.75" customHeight="1" x14ac:dyDescent="0.25">
      <c r="A1196" s="1" t="s">
        <v>2391</v>
      </c>
      <c r="B1196" s="1">
        <v>26718</v>
      </c>
      <c r="C1196" s="3">
        <v>44317.469004629631</v>
      </c>
      <c r="D1196" s="1" t="s">
        <v>2392</v>
      </c>
      <c r="E1196" s="4" t="str">
        <f ca="1">IFERROR(__xludf.DUMMYFUNCTION("GOOGLETRANSLATE(A1196 , ""tr"" , ""en"")"),"I celebrate the Day 1 of the labor and Solidarity Day of all laborers, especially the fedakar and Cansiperane running health workers. https://t.co/wyv9vsmbjr")</f>
        <v>I celebrate the Day 1 of the labor and Solidarity Day of all laborers, especially the fedakar and Cansiperane running health workers. https://t.co/wyv9vsmbjr</v>
      </c>
    </row>
    <row r="1197" spans="1:5" ht="15.75" customHeight="1" x14ac:dyDescent="0.25">
      <c r="A1197" s="1" t="s">
        <v>2393</v>
      </c>
      <c r="B1197" s="1">
        <v>6957</v>
      </c>
      <c r="C1197" s="3">
        <v>44316.732407407406</v>
      </c>
      <c r="D1197" s="1" t="s">
        <v>2394</v>
      </c>
      <c r="E1197" s="4" t="str">
        <f ca="1">IFERROR(__xludf.DUMMYFUNCTION("GOOGLETRANSLATE(A1197 , ""tr"" , ""en"")"),"In Antalya, the number of case numbers decreased by 35%. https://t.co/xpuyf7h5jg")</f>
        <v>In Antalya, the number of case numbers decreased by 35%. https://t.co/xpuyf7h5jg</v>
      </c>
    </row>
    <row r="1198" spans="1:5" ht="15.75" customHeight="1" x14ac:dyDescent="0.25">
      <c r="A1198" s="1" t="s">
        <v>2395</v>
      </c>
      <c r="B1198" s="1">
        <v>4642</v>
      </c>
      <c r="C1198" s="3">
        <v>44316.719548611109</v>
      </c>
      <c r="D1198" s="1" t="s">
        <v>2396</v>
      </c>
      <c r="E1198" s="4" t="str">
        <f ca="1">IFERROR(__xludf.DUMMYFUNCTION("GOOGLETRANSLATE(A1198 , ""tr"" , ""en"")"),"Our vaccination program will drive faster as new vaccines reach. Our goal is to vaccinate over 40 years of age. https://t.co/kubimhxzoy")</f>
        <v>Our vaccination program will drive faster as new vaccines reach. Our goal is to vaccinate over 40 years of age. https://t.co/kubimhxzoy</v>
      </c>
    </row>
    <row r="1199" spans="1:5" ht="15.75" customHeight="1" x14ac:dyDescent="0.25">
      <c r="A1199" s="1" t="s">
        <v>2397</v>
      </c>
      <c r="B1199" s="1">
        <v>7389</v>
      </c>
      <c r="C1199" s="3">
        <v>44316.703125</v>
      </c>
      <c r="D1199" s="1" t="s">
        <v>2398</v>
      </c>
      <c r="E1199" s="4" t="str">
        <f ca="1">IFERROR(__xludf.DUMMYFUNCTION("GOOGLETRANSLATE(A1199 , ""tr"" , ""en"")"),"The compliance on the first day of tightened restraints was satisfied. Thank you because of their tenderness to all our citizens. https://t.co/p3xictccom")</f>
        <v>The compliance on the first day of tightened restraints was satisfied. Thank you because of their tenderness to all our citizens. https://t.co/p3xictccom</v>
      </c>
    </row>
    <row r="1200" spans="1:5" ht="15.75" customHeight="1" x14ac:dyDescent="0.25">
      <c r="A1200" s="1" t="s">
        <v>2399</v>
      </c>
      <c r="B1200" s="1">
        <v>3408</v>
      </c>
      <c r="C1200" s="3">
        <v>44316.635949074072</v>
      </c>
      <c r="D1200" s="1" t="s">
        <v>2400</v>
      </c>
      <c r="E1200" s="4" t="str">
        <f ca="1">IFERROR(__xludf.DUMMYFUNCTION("GOOGLETRANSLATE(A1200 , ""tr"" , ""en"")"),"Last Status in Antalya, Isparta, Burdur in the fight against the output of Antalya and Turkey:
📍antalia
https://t.co/itisdsutIe")</f>
        <v>Last Status in Antalya, Isparta, Burdur in the fight against the output of Antalya and Turkey:
📍antalia
https://t.co/itisdsutIe</v>
      </c>
    </row>
    <row r="1201" spans="1:5" ht="15.75" customHeight="1" x14ac:dyDescent="0.25">
      <c r="A1201" s="1" t="s">
        <v>2401</v>
      </c>
      <c r="B1201" s="1">
        <v>5332</v>
      </c>
      <c r="C1201" s="3">
        <v>44316.61273148148</v>
      </c>
      <c r="D1201" s="1" t="s">
        <v>2402</v>
      </c>
      <c r="E1201" s="4" t="str">
        <f ca="1">IFERROR(__xludf.DUMMYFUNCTION("GOOGLETRANSLATE(A1201 , ""tr"" , ""en"")"),"We have visited our puppies in the treatment of Kepez in our hospital. The situations are fine and they will recently be discharged. For our families expressing their satisfaction due to health services, I thank our hospital staff. https://t.co/x5cubrsndh")</f>
        <v>We have visited our puppies in the treatment of Kepez in our hospital. The situations are fine and they will recently be discharged. For our families expressing their satisfaction due to health services, I thank our hospital staff. https://t.co/x5cubrsndh</v>
      </c>
    </row>
    <row r="1202" spans="1:5" ht="15.75" customHeight="1" x14ac:dyDescent="0.25">
      <c r="A1202" s="1" t="s">
        <v>2403</v>
      </c>
      <c r="B1202" s="1">
        <v>17406</v>
      </c>
      <c r="C1202" s="3">
        <v>44316.520844907405</v>
      </c>
      <c r="D1202" s="1" t="s">
        <v>2404</v>
      </c>
      <c r="E1202" s="4" t="str">
        <f ca="1">IFERROR(__xludf.DUMMYFUNCTION("GOOGLETRANSLATE(A1202 , ""tr"" , ""en"")"),"Turkey's medical and medical device institution has made the emergency use of sputnik v vaccine at the end of the examination and evaluations. I wish it is auspicious for two countries. Thus, as the third vaccine, the sputnik v vaccine will also be used i"&amp;"n our country.")</f>
        <v>Turkey's medical and medical device institution has made the emergency use of sputnik v vaccine at the end of the examination and evaluations. I wish it is auspicious for two countries. Thus, as the third vaccine, the sputnik v vaccine will also be used in our country.</v>
      </c>
    </row>
    <row r="1203" spans="1:5" ht="15.75" customHeight="1" x14ac:dyDescent="0.25">
      <c r="A1203" s="1" t="s">
        <v>2405</v>
      </c>
      <c r="B1203" s="1">
        <v>7718</v>
      </c>
      <c r="C1203" s="3">
        <v>44316.424895833334</v>
      </c>
      <c r="D1203" s="1" t="s">
        <v>2406</v>
      </c>
      <c r="E1203" s="4" t="str">
        <f ca="1">IFERROR(__xludf.DUMMYFUNCTION("GOOGLETRANSLATE(A1203 , ""tr"" , ""en"")"),"We are in Antalya.
On the first day of 17-day shutdown, we will be able to assess the situation on the epidemic process with our provinces of Antalya, Isparta and Burdur. https://t.co/70zt7jne0o")</f>
        <v>We are in Antalya.
On the first day of 17-day shutdown, we will be able to assess the situation on the epidemic process with our provinces of Antalya, Isparta and Burdur. https://t.co/70zt7jne0o</v>
      </c>
    </row>
    <row r="1204" spans="1:5" ht="15.75" customHeight="1" x14ac:dyDescent="0.25">
      <c r="A1204" s="1" t="s">
        <v>2407</v>
      </c>
      <c r="B1204" s="1">
        <v>29879</v>
      </c>
      <c r="C1204" s="3">
        <v>44315.820277777777</v>
      </c>
      <c r="D1204" s="1" t="s">
        <v>2408</v>
      </c>
      <c r="E1204" s="4" t="str">
        <f ca="1">IFERROR(__xludf.DUMMYFUNCTION("GOOGLETRANSLATE(A1204 , ""tr"" , ""en"")"),"Our 17-day challenge began.
May the feast, feast be. https://t.co/sc8wngkjb")</f>
        <v>Our 17-day challenge began.
May the feast, feast be. https://t.co/sc8wngkjb</v>
      </c>
    </row>
    <row r="1205" spans="1:5" ht="15.75" customHeight="1" x14ac:dyDescent="0.25">
      <c r="A1205" s="1" t="s">
        <v>2409</v>
      </c>
      <c r="B1205" s="1">
        <v>4659</v>
      </c>
      <c r="C1205" s="3">
        <v>44315.680844907409</v>
      </c>
      <c r="D1205" s="1" t="s">
        <v>2410</v>
      </c>
      <c r="E1205" s="4" t="str">
        <f ca="1">IFERROR(__xludf.DUMMYFUNCTION("GOOGLETRANSLATE(A1205 , ""tr"" , ""en"")"),"Our Minister of Study and Social Security Mr. Vedat Bilgin Geyefendi is on the visit to the visit. I thank you for the gentle hospitality, I wish you success in his task. https://t.co/b17pwjeyok")</f>
        <v>Our Minister of Study and Social Security Mr. Vedat Bilgin Geyefendi is on the visit to the visit. I thank you for the gentle hospitality, I wish you success in his task. https://t.co/b17pwjeyok</v>
      </c>
    </row>
    <row r="1206" spans="1:5" ht="15.75" customHeight="1" x14ac:dyDescent="0.25">
      <c r="A1206" s="1" t="s">
        <v>2411</v>
      </c>
      <c r="B1206" s="1">
        <v>6243</v>
      </c>
      <c r="C1206" s="3">
        <v>44315.668530092589</v>
      </c>
      <c r="D1206" s="1" t="s">
        <v>2412</v>
      </c>
      <c r="E1206" s="4" t="str">
        <f ca="1">IFERROR(__xludf.DUMMYFUNCTION("GOOGLETRANSLATE(A1206 , ""tr"" , ""en"")"),"We visited the Family and Social Services Minister Mr. Derya Burn House, and wish you success in his task. I wish themselves in terms of muvafufens. https://t.co/py0gkmra3z")</f>
        <v>We visited the Family and Social Services Minister Mr. Derya Burn House, and wish you success in his task. I wish themselves in terms of muvafufens. https://t.co/py0gkmra3z</v>
      </c>
    </row>
    <row r="1207" spans="1:5" ht="15.75" customHeight="1" x14ac:dyDescent="0.25">
      <c r="A1207" s="1" t="s">
        <v>2413</v>
      </c>
      <c r="B1207" s="1">
        <v>5290</v>
      </c>
      <c r="C1207" s="3">
        <v>44315.655046296299</v>
      </c>
      <c r="D1207" s="1" t="s">
        <v>2414</v>
      </c>
      <c r="E1207" s="4" t="str">
        <f ca="1">IFERROR(__xludf.DUMMYFUNCTION("GOOGLETRANSLATE(A1207 , ""tr"" , ""en"")"),"We have visited the Minister of Commerce Mr. Mehmet Mus Geyefendi to visit our wishes by visiting the authority. I wish our siblings in his task. https://t.co/bqoson5fol")</f>
        <v>We have visited the Minister of Commerce Mr. Mehmet Mus Geyefendi to visit our wishes by visiting the authority. I wish our siblings in his task. https://t.co/bqoson5fol</v>
      </c>
    </row>
    <row r="1208" spans="1:5" ht="15.75" customHeight="1" x14ac:dyDescent="0.25">
      <c r="A1208" s="1" t="s">
        <v>2415</v>
      </c>
      <c r="B1208" s="1">
        <v>5767</v>
      </c>
      <c r="C1208" s="3">
        <v>44314.728692129633</v>
      </c>
      <c r="D1208" s="1" t="s">
        <v>2416</v>
      </c>
      <c r="E1208" s="4" t="str">
        <f ca="1">IFERROR(__xludf.DUMMYFUNCTION("GOOGLETRANSLATE(A1208 , ""tr"" , ""en"")"),"I realize that the power of the promise is reduced but I have no worries from your strength. https://t.co/8i34og3yeb")</f>
        <v>I realize that the power of the promise is reduced but I have no worries from your strength. https://t.co/8i34og3yeb</v>
      </c>
    </row>
    <row r="1209" spans="1:5" ht="15.75" customHeight="1" x14ac:dyDescent="0.25">
      <c r="A1209" s="1" t="s">
        <v>2417</v>
      </c>
      <c r="B1209" s="1">
        <v>3825</v>
      </c>
      <c r="C1209" s="3">
        <v>44314.717442129629</v>
      </c>
      <c r="D1209" s="1" t="s">
        <v>2418</v>
      </c>
      <c r="E1209" s="4" t="str">
        <f ca="1">IFERROR(__xludf.DUMMYFUNCTION("GOOGLETRANSLATE(A1209 , ""tr"" , ""en"")"),"The effectiveness of vaccination studies is also another issue that is closely related to the outbreak of the outbreak: mutations. https://t.co/21ouohp9bi")</f>
        <v>The effectiveness of vaccination studies is also another issue that is closely related to the outbreak of the outbreak: mutations. https://t.co/21ouohp9bi</v>
      </c>
    </row>
    <row r="1210" spans="1:5" ht="15.75" customHeight="1" x14ac:dyDescent="0.25">
      <c r="A1210" s="1" t="s">
        <v>2419</v>
      </c>
      <c r="B1210" s="1">
        <v>5007</v>
      </c>
      <c r="C1210" s="3">
        <v>44314.705509259256</v>
      </c>
      <c r="D1210" s="1" t="s">
        <v>2420</v>
      </c>
      <c r="E1210" s="4" t="str">
        <f ca="1">IFERROR(__xludf.DUMMYFUNCTION("GOOGLETRANSLATE(A1210 , ""tr"" , ""en"")"),"Our domestic power is our native vaccines getting ready to go to the field. https://t.co/yhnhk2ohi9")</f>
        <v>Our domestic power is our native vaccines getting ready to go to the field. https://t.co/yhnhk2ohi9</v>
      </c>
    </row>
    <row r="1211" spans="1:5" ht="15.75" customHeight="1" x14ac:dyDescent="0.25">
      <c r="A1211" s="1" t="s">
        <v>2421</v>
      </c>
      <c r="B1211" s="1">
        <v>7903</v>
      </c>
      <c r="C1211" s="3">
        <v>44314.697418981479</v>
      </c>
      <c r="D1211" s="1" t="s">
        <v>2422</v>
      </c>
      <c r="E1211" s="4" t="str">
        <f ca="1">IFERROR(__xludf.DUMMYFUNCTION("GOOGLETRANSLATE(A1211 , ""tr"" , ""en"")"),"The vaccine supply is strengthening for the next 2 months, but it is expected to experience vaccine abundance. https://t.co/91vymykuwa")</f>
        <v>The vaccine supply is strengthening for the next 2 months, but it is expected to experience vaccine abundance. https://t.co/91vymykuwa</v>
      </c>
    </row>
    <row r="1212" spans="1:5" ht="15.75" customHeight="1" x14ac:dyDescent="0.25">
      <c r="A1212" s="1" t="s">
        <v>2423</v>
      </c>
      <c r="B1212" s="1">
        <v>6191</v>
      </c>
      <c r="C1212" s="3">
        <v>44314.67591435185</v>
      </c>
      <c r="D1212" s="1" t="s">
        <v>2424</v>
      </c>
      <c r="E1212" s="4" t="str">
        <f ca="1">IFERROR(__xludf.DUMMYFUNCTION("GOOGLETRANSLATE(A1212 , ""tr"" , ""en"")"),"We paid heavy price throughout the epidemic with the whole world. https://t.co/mfmdxjcowo")</f>
        <v>We paid heavy price throughout the epidemic with the whole world. https://t.co/mfmdxjcowo</v>
      </c>
    </row>
    <row r="1213" spans="1:5" ht="15.75" customHeight="1" x14ac:dyDescent="0.25">
      <c r="A1213" s="1" t="s">
        <v>2425</v>
      </c>
      <c r="B1213" s="1">
        <v>3188</v>
      </c>
      <c r="C1213" s="3">
        <v>44314.65011574074</v>
      </c>
      <c r="D1213" s="1" t="s">
        <v>2426</v>
      </c>
      <c r="E1213" s="4" t="str">
        <f ca="1">IFERROR(__xludf.DUMMYFUNCTION("GOOGLETRANSLATE(A1213 , ""tr"" , ""en"")"),"Live: After our Science Board Meeting, you can follow our press statement from our Youtube link below.
Video: https://t.co/z0w7k9ddea")</f>
        <v>Live: After our Science Board Meeting, you can follow our press statement from our Youtube link below.
Video: https://t.co/z0w7k9ddea</v>
      </c>
    </row>
    <row r="1214" spans="1:5" ht="15.75" customHeight="1" x14ac:dyDescent="0.25">
      <c r="A1214" s="1" t="s">
        <v>2427</v>
      </c>
      <c r="B1214" s="1">
        <v>3127</v>
      </c>
      <c r="C1214" s="3">
        <v>44314.593865740739</v>
      </c>
      <c r="D1214" s="1" t="s">
        <v>2428</v>
      </c>
      <c r="E1214" s="4" t="str">
        <f ca="1">IFERROR(__xludf.DUMMYFUNCTION("GOOGLETRANSLATE(A1214 , ""tr"" , ""en"")"),"After our Science Board Meeting, we can follow our press statement from our Youtube channel below in 18.00.
YouTube: https://t.co/juhniesmt3q")</f>
        <v>After our Science Board Meeting, we can follow our press statement from our Youtube channel below in 18.00.
YouTube: https://t.co/juhniesmt3q</v>
      </c>
    </row>
    <row r="1215" spans="1:5" ht="15.75" customHeight="1" x14ac:dyDescent="0.25">
      <c r="A1215" s="1" t="s">
        <v>2429</v>
      </c>
      <c r="B1215" s="1">
        <v>4765</v>
      </c>
      <c r="C1215" s="3">
        <v>44314.49759259259</v>
      </c>
      <c r="D1215" s="1" t="s">
        <v>2430</v>
      </c>
      <c r="E1215" s="4" t="str">
        <f ca="1">IFERROR(__xludf.DUMMYFUNCTION("GOOGLETRANSLATE(A1215 , ""tr"" , ""en"")"),"According to the last week, the number of weekly cases corresponding to 100,000 population is most increasing provinces; Zonguldak, Gumushane, Kirsehir, Pain and Giresun. If our most diminishing provinces, Yalova, Kastamonu, Canakkale, Samsun and Yozgat. "&amp;"https://t.co/qrioioILGGQ")</f>
        <v>According to the last week, the number of weekly cases corresponding to 100,000 population is most increasing provinces; Zonguldak, Gumushane, Kirsehir, Pain and Giresun. If our most diminishing provinces, Yalova, Kastamonu, Canakkale, Samsun and Yozgat. https://t.co/qrioioILGGQ</v>
      </c>
    </row>
    <row r="1216" spans="1:5" ht="15.75" customHeight="1" x14ac:dyDescent="0.25">
      <c r="A1216" s="1" t="s">
        <v>2431</v>
      </c>
      <c r="B1216" s="1">
        <v>8201</v>
      </c>
      <c r="C1216" s="3">
        <v>44313.580405092594</v>
      </c>
      <c r="D1216" s="1" t="s">
        <v>2432</v>
      </c>
      <c r="E1216" s="4" t="str">
        <f ca="1">IFERROR(__xludf.DUMMYFUNCTION("GOOGLETRANSLATE(A1216 , ""tr"" , ""en"")"),"In the north of Iraq, I was conducting the infantry Lt. https://t.co/v4dlpxg3nl")</f>
        <v>In the north of Iraq, I was conducting the infantry Lt. https://t.co/v4dlpxg3nl</v>
      </c>
    </row>
    <row r="1217" spans="1:5" ht="15.75" customHeight="1" x14ac:dyDescent="0.25">
      <c r="A1217" s="1" t="s">
        <v>2433</v>
      </c>
      <c r="B1217" s="1">
        <v>53464</v>
      </c>
      <c r="C1217" s="3">
        <v>44312.706608796296</v>
      </c>
      <c r="D1217" s="1" t="s">
        <v>2434</v>
      </c>
      <c r="E1217" s="4" t="str">
        <f ca="1">IFERROR(__xludf.DUMMYFUNCTION("GOOGLETRANSLATE(A1217 , ""tr"" , ""en"")"),"Our home is the most secure pen. We will continue the fight for a while. May the end of this sacrifice get feast.")</f>
        <v>Our home is the most secure pen. We will continue the fight for a while. May the end of this sacrifice get feast.</v>
      </c>
    </row>
    <row r="1218" spans="1:5" ht="15.75" customHeight="1" x14ac:dyDescent="0.25">
      <c r="A1218" s="1" t="s">
        <v>2435</v>
      </c>
      <c r="B1218" s="1">
        <v>9986</v>
      </c>
      <c r="C1218" s="3">
        <v>44312.702291666668</v>
      </c>
      <c r="D1218" s="1" t="s">
        <v>2436</v>
      </c>
      <c r="E1218" s="4" t="str">
        <f ca="1">IFERROR(__xludf.DUMMYFUNCTION("GOOGLETRANSLATE(A1218 , ""tr"" , ""en"")"),"In our provinces, you can see the insidans map showing the number of weekly cases corresponding to 100,000 population. Measures and restrictions will make the effect more. https://t.co/vmlogvvxxy")</f>
        <v>In our provinces, you can see the insidans map showing the number of weekly cases corresponding to 100,000 population. Measures and restrictions will make the effect more. https://t.co/vmlogvvxxy</v>
      </c>
    </row>
    <row r="1219" spans="1:5" ht="15.75" customHeight="1" x14ac:dyDescent="0.25">
      <c r="A1219" s="1" t="s">
        <v>2437</v>
      </c>
      <c r="B1219" s="1">
        <v>0</v>
      </c>
      <c r="C1219" s="3">
        <v>44312.666701388887</v>
      </c>
      <c r="D1219" s="1" t="s">
        <v>2438</v>
      </c>
      <c r="E1219" s="4" t="str">
        <f ca="1">IFERROR(__xludf.DUMMYFUNCTION("GOOGLETRANSLATE(A1219 , ""tr"" , ""en"")"),"RT @rterdogan: Shouting Nation After Cabinet Meeting https://t.co/ehz4kpsj83")</f>
        <v>RT @rterdogan: Shouting Nation After Cabinet Meeting https://t.co/ehz4kpsj83</v>
      </c>
    </row>
    <row r="1220" spans="1:5" ht="15.75" customHeight="1" x14ac:dyDescent="0.25">
      <c r="A1220" s="1" t="s">
        <v>2439</v>
      </c>
      <c r="B1220" s="1">
        <v>8993</v>
      </c>
      <c r="C1220" s="3">
        <v>44310.879166666666</v>
      </c>
      <c r="D1220" s="1" t="s">
        <v>2440</v>
      </c>
      <c r="E1220" s="4" t="str">
        <f ca="1">IFERROR(__xludf.DUMMYFUNCTION("GOOGLETRANSLATE(A1220 , ""tr"" , ""en"")"),"Mr. Minister; Gentle visit and thank you for your beautiful messages. We are grateful for the support of your squad. https://t.co/woeducdrmx")</f>
        <v>Mr. Minister; Gentle visit and thank you for your beautiful messages. We are grateful for the support of your squad. https://t.co/woeducdrmx</v>
      </c>
    </row>
    <row r="1221" spans="1:5" ht="15.75" customHeight="1" x14ac:dyDescent="0.25">
      <c r="A1221" s="1" t="s">
        <v>2441</v>
      </c>
      <c r="B1221" s="1">
        <v>13015</v>
      </c>
      <c r="C1221" s="3">
        <v>44310.866689814815</v>
      </c>
      <c r="D1221" s="1" t="s">
        <v>2442</v>
      </c>
      <c r="E1221" s="4" t="str">
        <f ca="1">IFERROR(__xludf.DUMMYFUNCTION("GOOGLETRANSLATE(A1221 , ""tr"" , ""en"")"),"Mr. The President has a hurious thankful thanks. https://t.co/tujzfnkej1")</f>
        <v>Mr. The President has a hurious thankful thanks. https://t.co/tujzfnkej1</v>
      </c>
    </row>
    <row r="1222" spans="1:5" ht="15.75" customHeight="1" x14ac:dyDescent="0.25">
      <c r="A1222" s="1" t="s">
        <v>2443</v>
      </c>
      <c r="B1222" s="1">
        <v>20204</v>
      </c>
      <c r="C1222" s="3">
        <v>44310.863807870373</v>
      </c>
      <c r="D1222" s="1" t="s">
        <v>2444</v>
      </c>
      <c r="E1222" s="4" t="str">
        <f ca="1">IFERROR(__xludf.DUMMYFUNCTION("GOOGLETRANSLATE(A1222 , ""tr"" , ""en"")"),"Today, we have delined our President of our President of our health workers in the seizure. They gave moral to our health workers. We thank you. https://t.co/f9rt6qlemt")</f>
        <v>Today, we have delined our President of our President of our health workers in the seizure. They gave moral to our health workers. We thank you. https://t.co/f9rt6qlemt</v>
      </c>
    </row>
    <row r="1223" spans="1:5" ht="15.75" customHeight="1" x14ac:dyDescent="0.25">
      <c r="A1223" s="1" t="s">
        <v>2445</v>
      </c>
      <c r="B1223" s="1">
        <v>13050</v>
      </c>
      <c r="C1223" s="3">
        <v>44310.436793981484</v>
      </c>
      <c r="D1223" s="1" t="s">
        <v>2446</v>
      </c>
      <c r="E1223" s="4" t="str">
        <f ca="1">IFERROR(__xludf.DUMMYFUNCTION("GOOGLETRANSLATE(A1223 , ""tr"" , ""en"")"),"Northern Cyprus Turkish Republic President Mr. Ersin Tatar Beyefendi's father rüstem Tatar gentleman passed the gentleman. The amounting of Allah is mercy; I wish their relatives, loves and patience to the president.")</f>
        <v>Northern Cyprus Turkish Republic President Mr. Ersin Tatar Beyefendi's father rüstem Tatar gentleman passed the gentleman. The amounting of Allah is mercy; I wish their relatives, loves and patience to the president.</v>
      </c>
    </row>
    <row r="1224" spans="1:5" ht="15.75" customHeight="1" x14ac:dyDescent="0.25">
      <c r="A1224" s="1" t="s">
        <v>2447</v>
      </c>
      <c r="B1224" s="1">
        <v>48242</v>
      </c>
      <c r="C1224" s="3">
        <v>44309.762291666666</v>
      </c>
      <c r="D1224" s="1" t="s">
        <v>2448</v>
      </c>
      <c r="E1224" s="4" t="str">
        <f ca="1">IFERROR(__xludf.DUMMYFUNCTION("GOOGLETRANSLATE(A1224 , ""tr"" , ""en"")"),"Yeah that we married. Mustafa Erkam Army. Fatsa is reading at Toki Primary School. Not my grandson but sometimes my place is making an explanation. https://t.co/uigzxlpdrp")</f>
        <v>Yeah that we married. Mustafa Erkam Army. Fatsa is reading at Toki Primary School. Not my grandson but sometimes my place is making an explanation. https://t.co/uigzxlpdrp</v>
      </c>
    </row>
    <row r="1225" spans="1:5" ht="15.75" customHeight="1" x14ac:dyDescent="0.25">
      <c r="A1225" s="1" t="s">
        <v>2449</v>
      </c>
      <c r="B1225" s="1">
        <v>10231</v>
      </c>
      <c r="C1225" s="3">
        <v>44309.705590277779</v>
      </c>
      <c r="D1225" s="1" t="s">
        <v>2450</v>
      </c>
      <c r="E1225" s="4" t="str">
        <f ca="1">IFERROR(__xludf.DUMMYFUNCTION("GOOGLETRANSLATE(A1225 , ""tr"" , ""en"")"),"We assessed the process of epidemic with our provincial health managers. In Istanbul, there was approximately 20% of the number of cases. There is also a decrease in polyclinics and in the lying patient number. But the intensive care load continues. Compl"&amp;"iance with constraints began to be felt. We will achieve together. https://t.co/dvp667bbmw")</f>
        <v>We assessed the process of epidemic with our provincial health managers. In Istanbul, there was approximately 20% of the number of cases. There is also a decrease in polyclinics and in the lying patient number. But the intensive care load continues. Compliance with constraints began to be felt. We will achieve together. https://t.co/dvp667bbmw</v>
      </c>
    </row>
    <row r="1226" spans="1:5" ht="15.75" customHeight="1" x14ac:dyDescent="0.2">
      <c r="A1226" s="5" t="s">
        <v>2451</v>
      </c>
      <c r="B1226" s="1">
        <v>101463</v>
      </c>
      <c r="C1226" s="3">
        <v>44309.552430555559</v>
      </c>
      <c r="D1226" s="1" t="s">
        <v>2452</v>
      </c>
      <c r="E1226" s="6" t="str">
        <f ca="1">IFERROR(__xludf.DUMMYFUNCTION("GOOGLETRANSLATE(A1226 , ""tr"" , ""en"")"),"https://t.co/zkbt2pfn7f")</f>
        <v>https://t.co/zkbt2pfn7f</v>
      </c>
    </row>
    <row r="1227" spans="1:5" ht="15.75" customHeight="1" x14ac:dyDescent="0.25">
      <c r="A1227" s="1" t="s">
        <v>2453</v>
      </c>
      <c r="B1227" s="1">
        <v>54034</v>
      </c>
      <c r="C1227" s="3">
        <v>44309.545034722221</v>
      </c>
      <c r="D1227" s="1" t="s">
        <v>2454</v>
      </c>
      <c r="E1227" s="4" t="str">
        <f ca="1">IFERROR(__xludf.DUMMYFUNCTION("GOOGLETRANSLATE(A1227 , ""tr"" , ""en"")"),"I will make an explanation at 16.15 o'clock.")</f>
        <v>I will make an explanation at 16.15 o'clock.</v>
      </c>
    </row>
    <row r="1228" spans="1:5" ht="15.75" customHeight="1" x14ac:dyDescent="0.25">
      <c r="A1228" s="1" t="s">
        <v>2455</v>
      </c>
      <c r="B1228" s="1">
        <v>6183</v>
      </c>
      <c r="C1228" s="3">
        <v>44308.679432870369</v>
      </c>
      <c r="D1228" s="1" t="s">
        <v>2456</v>
      </c>
      <c r="E1228" s="4" t="str">
        <f ca="1">IFERROR(__xludf.DUMMYFUNCTION("GOOGLETRANSLATE(A1228 , ""tr"" , ""en"")"),"It is the responsibility of all of us to struggle with the society to inform the society in epidemic management and keep together. https://t.co/fscjr5dwud")</f>
        <v>It is the responsibility of all of us to struggle with the society to inform the society in epidemic management and keep together. https://t.co/fscjr5dwud</v>
      </c>
    </row>
    <row r="1229" spans="1:5" ht="15.75" customHeight="1" x14ac:dyDescent="0.25">
      <c r="A1229" s="1" t="s">
        <v>2457</v>
      </c>
      <c r="B1229" s="1">
        <v>7819</v>
      </c>
      <c r="C1229" s="3">
        <v>44308.671840277777</v>
      </c>
      <c r="D1229" s="1" t="s">
        <v>2458</v>
      </c>
      <c r="E1229" s="4" t="str">
        <f ca="1">IFERROR(__xludf.DUMMYFUNCTION("GOOGLETRANSLATE(A1229 , ""tr"" , ""en"")"),"The native vaccine means domestic strength and confidence. https://t.co/daopjf3cxg")</f>
        <v>The native vaccine means domestic strength and confidence. https://t.co/daopjf3cxg</v>
      </c>
    </row>
    <row r="1230" spans="1:5" ht="15.75" customHeight="1" x14ac:dyDescent="0.25">
      <c r="A1230" s="1" t="s">
        <v>2459</v>
      </c>
      <c r="B1230" s="1">
        <v>13695</v>
      </c>
      <c r="C1230" s="3">
        <v>44308.666562500002</v>
      </c>
      <c r="D1230" s="1" t="s">
        <v>2460</v>
      </c>
      <c r="E1230" s="4" t="str">
        <f ca="1">IFERROR(__xludf.DUMMYFUNCTION("GOOGLETRANSLATE(A1230 , ""tr"" , ""en"")"),"A new species appeared other than existing mutations. https://t.co/yy4cfzzxyy")</f>
        <v>A new species appeared other than existing mutations. https://t.co/yy4cfzzxyy</v>
      </c>
    </row>
    <row r="1231" spans="1:5" ht="15.75" customHeight="1" x14ac:dyDescent="0.25">
      <c r="A1231" s="1" t="s">
        <v>2461</v>
      </c>
      <c r="B1231" s="1">
        <v>8328</v>
      </c>
      <c r="C1231" s="3">
        <v>44308.66133101852</v>
      </c>
      <c r="D1231" s="1" t="s">
        <v>2462</v>
      </c>
      <c r="E1231" s="4" t="str">
        <f ca="1">IFERROR(__xludf.DUMMYFUNCTION("GOOGLETRANSLATE(A1231 , ""tr"" , ""en"")"),"The rate of increase in the number of cases has declined. After that, the number of cases will fall with the construction and measures. https://t.co/wu7ahh07ve")</f>
        <v>The rate of increase in the number of cases has declined. After that, the number of cases will fall with the construction and measures. https://t.co/wu7ahh07ve</v>
      </c>
    </row>
    <row r="1232" spans="1:5" ht="15.75" customHeight="1" x14ac:dyDescent="0.25">
      <c r="A1232" s="1" t="s">
        <v>2463</v>
      </c>
      <c r="B1232" s="1">
        <v>4567</v>
      </c>
      <c r="C1232" s="3">
        <v>44308.585960648146</v>
      </c>
      <c r="D1232" s="1" t="s">
        <v>2464</v>
      </c>
      <c r="E1232" s="4" t="str">
        <f ca="1">IFERROR(__xludf.DUMMYFUNCTION("GOOGLETRANSLATE(A1232 , ""tr"" , ""en"")"),"After our Science Board meeting, we can follow our press statement from our Youtube link below.
Video: https://t.co/ytxIwouumx")</f>
        <v>After our Science Board meeting, we can follow our press statement from our Youtube link below.
Video: https://t.co/ytxIwouumx</v>
      </c>
    </row>
    <row r="1233" spans="1:5" ht="15.75" customHeight="1" x14ac:dyDescent="0.25">
      <c r="A1233" s="1" t="s">
        <v>2465</v>
      </c>
      <c r="B1233" s="1">
        <v>5825</v>
      </c>
      <c r="C1233" s="3">
        <v>44308.550451388888</v>
      </c>
      <c r="D1233" s="1" t="s">
        <v>2466</v>
      </c>
      <c r="E1233" s="4" t="str">
        <f ca="1">IFERROR(__xludf.DUMMYFUNCTION("GOOGLETRANSLATE(A1233 , ""tr"" , ""en"")"),"After our Science Board meeting, we can follow our press statement, hours: 17.00 From our Youtube channel below.
YouTube: https://t.co/juhnizzmt3q https://t.co/b8mrnihjij")</f>
        <v>After our Science Board meeting, we can follow our press statement, hours: 17.00 From our Youtube channel below.
YouTube: https://t.co/juhnizzmt3q https://t.co/b8mrnihjij</v>
      </c>
    </row>
    <row r="1234" spans="1:5" ht="15.75" customHeight="1" x14ac:dyDescent="0.25">
      <c r="A1234" s="1" t="s">
        <v>2467</v>
      </c>
      <c r="B1234" s="1">
        <v>11635</v>
      </c>
      <c r="C1234" s="3">
        <v>44307.891284722224</v>
      </c>
      <c r="D1234" s="1" t="s">
        <v>2468</v>
      </c>
      <c r="E1234" s="4" t="str">
        <f ca="1">IFERROR(__xludf.DUMMYFUNCTION("GOOGLETRANSLATE(A1234 , ""tr"" , ""en"")"),"In Albania, the president of our President, Turkey-Albania Fier Friendship Hospital opening the opening of the Friendship Hospital. May our brothers and brotherhood be auspicious. https://t.co/eIVKBK6MPR")</f>
        <v>In Albania, the president of our President, Turkey-Albania Fier Friendship Hospital opening the opening of the Friendship Hospital. May our brothers and brotherhood be auspicious. https://t.co/eIVKBK6MPR</v>
      </c>
    </row>
    <row r="1235" spans="1:5" ht="15.75" customHeight="1" x14ac:dyDescent="0.25">
      <c r="A1235" s="1" t="s">
        <v>2469</v>
      </c>
      <c r="B1235" s="1">
        <v>0</v>
      </c>
      <c r="C1235" s="3">
        <v>44307.569930555554</v>
      </c>
      <c r="D1235" s="1" t="s">
        <v>2470</v>
      </c>
      <c r="E1235" s="4" t="str">
        <f ca="1">IFERROR(__xludf.DUMMYFUNCTION("GOOGLETRANSLATE(A1235 , ""tr"" , ""en"")"),"RT @rterdogan: Turkey-Albania Fier Friendship Hospital Opening Program https://t.co/yfguwt5oyo")</f>
        <v>RT @rterdogan: Turkey-Albania Fier Friendship Hospital Opening Program https://t.co/yfguwt5oyo</v>
      </c>
    </row>
    <row r="1236" spans="1:5" ht="15.75" customHeight="1" x14ac:dyDescent="0.25">
      <c r="A1236" s="1" t="s">
        <v>2471</v>
      </c>
      <c r="B1236" s="1">
        <v>4877</v>
      </c>
      <c r="C1236" s="3">
        <v>44307.551157407404</v>
      </c>
      <c r="D1236" s="1" t="s">
        <v>2472</v>
      </c>
      <c r="E1236" s="4" t="str">
        <f ca="1">IFERROR(__xludf.DUMMYFUNCTION("GOOGLETRANSLATE(A1236 , ""tr"" , ""en"")"),"Turkey-Albania Fier Friendship Hospital Opening Ceremony.
📍ARnavian https://t.co/mqxhfofhj6")</f>
        <v>Turkey-Albania Fier Friendship Hospital Opening Ceremony.
📍ARnavian https://t.co/mqxhfofhj6</v>
      </c>
    </row>
    <row r="1237" spans="1:5" ht="15.75" customHeight="1" x14ac:dyDescent="0.25">
      <c r="A1237" s="1" t="s">
        <v>2473</v>
      </c>
      <c r="B1237" s="1">
        <v>11641</v>
      </c>
      <c r="C1237" s="3">
        <v>44306.986226851855</v>
      </c>
      <c r="D1237" s="1" t="s">
        <v>2474</v>
      </c>
      <c r="E1237" s="4" t="str">
        <f ca="1">IFERROR(__xludf.DUMMYFUNCTION("GOOGLETRANSLATE(A1237 , ""tr"" , ""en"")"),"I am delivering my wishes to the Londatian Bilgin Beyefendi, who was assigned to the Ministry of Labor and Social Security in the New Cabinet, the Derya Burn Hanımendi to the Ministry of Family and Social Services. Service to the nation waits us.")</f>
        <v>I am delivering my wishes to the Londatian Bilgin Beyefendi, who was assigned to the Ministry of Labor and Social Security in the New Cabinet, the Derya Burn Hanımendi to the Ministry of Family and Social Services. Service to the nation waits us.</v>
      </c>
    </row>
    <row r="1238" spans="1:5" ht="15.75" customHeight="1" x14ac:dyDescent="0.25">
      <c r="A1238" s="1" t="s">
        <v>2475</v>
      </c>
      <c r="B1238" s="1">
        <v>16321</v>
      </c>
      <c r="C1238" s="3">
        <v>44306.985231481478</v>
      </c>
      <c r="D1238" s="1" t="s">
        <v>2476</v>
      </c>
      <c r="E1238" s="4" t="str">
        <f ca="1">IFERROR(__xludf.DUMMYFUNCTION("GOOGLETRANSLATE(A1238 , ""tr"" , ""en"")"),"Our Family, Working and Social Services Together in the cabinet, our old minister of Old Ministers to Zehra Emerald Selçuk Hanımendi and the Trade Old Minister of the Minister of Trade is very much thanks for the services and friendships to Pekcan Hanımen"&amp;"di.")</f>
        <v>Our Family, Working and Social Services Together in the cabinet, our old minister of Old Ministers to Zehra Emerald Selçuk Hanımendi and the Trade Old Minister of the Minister of Trade is very much thanks for the services and friendships to Pekcan Hanımendi.</v>
      </c>
    </row>
    <row r="1239" spans="1:5" ht="15.75" customHeight="1" x14ac:dyDescent="0.25">
      <c r="A1239" s="1" t="s">
        <v>2477</v>
      </c>
      <c r="B1239" s="1">
        <v>9097</v>
      </c>
      <c r="C1239" s="3">
        <v>44306.892199074071</v>
      </c>
      <c r="D1239" s="1" t="s">
        <v>2478</v>
      </c>
      <c r="E1239" s="4" t="str">
        <f ca="1">IFERROR(__xludf.DUMMYFUNCTION("GOOGLETRANSLATE(A1239 , ""tr"" , ""en"")"),"Dear Brother Saramil Thayar Geyefendi's Father Hüseyin Tayyar Gentleman Hüseyin Tayyar Genefendi. Cherish the mercy from Allah, I wish their condolences to their relatives.")</f>
        <v>Dear Brother Saramil Thayar Geyefendi's Father Hüseyin Tayyar Gentleman Hüseyin Tayyar Genefendi. Cherish the mercy from Allah, I wish their condolences to their relatives.</v>
      </c>
    </row>
    <row r="1240" spans="1:5" ht="15.75" customHeight="1" x14ac:dyDescent="0.25">
      <c r="A1240" s="1" t="s">
        <v>2479</v>
      </c>
      <c r="B1240" s="1">
        <v>6379</v>
      </c>
      <c r="C1240" s="3">
        <v>44306.474016203705</v>
      </c>
      <c r="D1240" s="1" t="s">
        <v>2480</v>
      </c>
      <c r="E1240" s="4" t="str">
        <f ca="1">IFERROR(__xludf.DUMMYFUNCTION("GOOGLETRANSLATE(A1240 , ""tr"" , ""en"")"),"The number of weekly cases corresponding to the 100,000 population is the most increasing provinces Düzce, Çanakkale, Zonguldak, Yozgat and Yalova. Our decreasing provinces are children, Kilis, Samsun, Osmaniye and Adiyaman. The number of cases increased "&amp;"by the rate of increase. Case numbers will also decrease with measures. https://t.co/mmshmt3jei")</f>
        <v>The number of weekly cases corresponding to the 100,000 population is the most increasing provinces Düzce, Çanakkale, Zonguldak, Yozgat and Yalova. Our decreasing provinces are children, Kilis, Samsun, Osmaniye and Adiyaman. The number of cases increased by the rate of increase. Case numbers will also decrease with measures. https://t.co/mmshmt3jei</v>
      </c>
    </row>
    <row r="1241" spans="1:5" ht="15.75" customHeight="1" x14ac:dyDescent="0.25">
      <c r="A1241" s="1" t="s">
        <v>2481</v>
      </c>
      <c r="B1241" s="1">
        <v>18523</v>
      </c>
      <c r="C1241" s="3">
        <v>44305.885474537034</v>
      </c>
      <c r="D1241" s="1" t="s">
        <v>2482</v>
      </c>
      <c r="E1241" s="4" t="str">
        <f ca="1">IFERROR(__xludf.DUMMYFUNCTION("GOOGLETRANSLATE(A1241 , ""tr"" , ""en"")"),"This tool carried out our health workers on the return path after completing a patient's filion in Iğdır. The status of our doctor, nurse and driver is good. Health workers will be referred to with the years of health care. Get well soon. https://t.co/roy"&amp;"whspdti")</f>
        <v>This tool carried out our health workers on the return path after completing a patient's filion in Iğdır. The status of our doctor, nurse and driver is good. Health workers will be referred to with the years of health care. Get well soon. https://t.co/roywhspdti</v>
      </c>
    </row>
    <row r="1242" spans="1:5" ht="15.75" customHeight="1" x14ac:dyDescent="0.25">
      <c r="A1242" s="1" t="s">
        <v>2483</v>
      </c>
      <c r="B1242" s="1">
        <v>20632</v>
      </c>
      <c r="C1242" s="3">
        <v>44305.797453703701</v>
      </c>
      <c r="D1242" s="1" t="s">
        <v>2484</v>
      </c>
      <c r="E1242" s="4" t="str">
        <f ca="1">IFERROR(__xludf.DUMMYFUNCTION("GOOGLETRANSLATE(A1242 , ""tr"" , ""en"")"),"Occupancy in our intensive care beds in Istanbul 71.4%. 67.1% in Çanakkale. 73.5% in Tekirdağ. 69% in Kirklareli. 55.4% in Yalova. The increase in the number of cases also increases the burden of our health workers.")</f>
        <v>Occupancy in our intensive care beds in Istanbul 71.4%. 67.1% in Çanakkale. 73.5% in Tekirdağ. 69% in Kirklareli. 55.4% in Yalova. The increase in the number of cases also increases the burden of our health workers.</v>
      </c>
    </row>
    <row r="1243" spans="1:5" ht="15.75" customHeight="1" x14ac:dyDescent="0.25">
      <c r="A1243" s="1" t="s">
        <v>2485</v>
      </c>
      <c r="B1243" s="1">
        <v>7590</v>
      </c>
      <c r="C1243" s="3">
        <v>44305.7969212963</v>
      </c>
      <c r="D1243" s="1" t="s">
        <v>2486</v>
      </c>
      <c r="E1243" s="4" t="str">
        <f ca="1">IFERROR(__xludf.DUMMYFUNCTION("GOOGLETRANSLATE(A1243 , ""tr"" , ""en"")"),"Our case increase is the highest of Istanbul, Çanakkale, Tekirdağ, Kirklareli, Yalova, and we evaluated the epidemic process and the measures taken in our provinces by meeting the health managers and governors of our provinces. https://t.co/hbel1zlvlI")</f>
        <v>Our case increase is the highest of Istanbul, Çanakkale, Tekirdağ, Kirklareli, Yalova, and we evaluated the epidemic process and the measures taken in our provinces by meeting the health managers and governors of our provinces. https://t.co/hbel1zlvlI</v>
      </c>
    </row>
    <row r="1244" spans="1:5" ht="15.75" customHeight="1" x14ac:dyDescent="0.25">
      <c r="A1244" s="1" t="s">
        <v>2487</v>
      </c>
      <c r="B1244" s="1">
        <v>25353</v>
      </c>
      <c r="C1244" s="3">
        <v>44305.577199074076</v>
      </c>
      <c r="D1244" s="1" t="s">
        <v>2488</v>
      </c>
      <c r="E1244" s="4" t="str">
        <f ca="1">IFERROR(__xludf.DUMMYFUNCTION("GOOGLETRANSLATE(A1244 , ""tr"" , ""en"")"),"As of today, we go to a new phase in the vaccination program. In vaccination, the order came over 55 years old. I invite our order to get vaccinated our citizens. Our vaccine program will last with determination depending on the procurement conditions.")</f>
        <v>As of today, we go to a new phase in the vaccination program. In vaccination, the order came over 55 years old. I invite our order to get vaccinated our citizens. Our vaccine program will last with determination depending on the procurement conditions.</v>
      </c>
    </row>
    <row r="1245" spans="1:5" ht="15.75" customHeight="1" x14ac:dyDescent="0.25">
      <c r="A1245" s="1" t="s">
        <v>2489</v>
      </c>
      <c r="B1245" s="1">
        <v>12861</v>
      </c>
      <c r="C1245" s="3">
        <v>44305.328738425924</v>
      </c>
      <c r="D1245" s="1" t="s">
        <v>2490</v>
      </c>
      <c r="E1245" s="4" t="str">
        <f ca="1">IFERROR(__xludf.DUMMYFUNCTION("GOOGLETRANSLATE(A1245 , ""tr"" , ""en"")"),"As of today we have made over 20 million dose of dose. We tried to protect our citizens with our biggest and chronic illness. Our vaccine program will drive with all the difficulties with determination. https://t.co/OSI4yyriqp")</f>
        <v>As of today we have made over 20 million dose of dose. We tried to protect our citizens with our biggest and chronic illness. Our vaccine program will drive with all the difficulties with determination. https://t.co/OSI4yyriqp</v>
      </c>
    </row>
    <row r="1246" spans="1:5" ht="15.75" customHeight="1" x14ac:dyDescent="0.25">
      <c r="A1246" s="1" t="s">
        <v>2491</v>
      </c>
      <c r="B1246" s="1">
        <v>17635</v>
      </c>
      <c r="C1246" s="3">
        <v>44304.665601851855</v>
      </c>
      <c r="D1246" s="1" t="s">
        <v>2492</v>
      </c>
      <c r="E1246" s="4" t="str">
        <f ca="1">IFERROR(__xludf.DUMMYFUNCTION("GOOGLETRANSLATE(A1246 , ""tr"" , ""en"")"),"In our provinces, you can find the current version of the incidence map showing the number of cases corresponding to 100,000 population in a week. Restraint and measures began to reduce the rate of increase. Let's be unity to make this decline quickly and"&amp;" permanently. https://t.co/ahqwbtmvd0")</f>
        <v>In our provinces, you can find the current version of the incidence map showing the number of cases corresponding to 100,000 population in a week. Restraint and measures began to reduce the rate of increase. Let's be unity to make this decline quickly and permanently. https://t.co/ahqwbtmvd0</v>
      </c>
    </row>
    <row r="1247" spans="1:5" ht="15.75" customHeight="1" x14ac:dyDescent="0.25">
      <c r="A1247" s="1" t="s">
        <v>2493</v>
      </c>
      <c r="B1247" s="1">
        <v>26643</v>
      </c>
      <c r="C1247" s="3">
        <v>44303.862164351849</v>
      </c>
      <c r="D1247" s="1" t="s">
        <v>2494</v>
      </c>
      <c r="E1247" s="4" t="str">
        <f ca="1">IFERROR(__xludf.DUMMYFUNCTION("GOOGLETRANSLATE(A1247 , ""tr"" , ""en"")"),"2021 World Money Swimming series races on the first of 50 meters back on the Olympic and European Championship is the first in our girls. Congratulations Sumeye painter. Congratulations Sevilay Öztürk. https://t.co/awoocoelua")</f>
        <v>2021 World Money Swimming series races on the first of 50 meters back on the Olympic and European Championship is the first in our girls. Congratulations Sumeye painter. Congratulations Sevilay Öztürk. https://t.co/awoocoelua</v>
      </c>
    </row>
    <row r="1248" spans="1:5" ht="15.75" customHeight="1" x14ac:dyDescent="0.25">
      <c r="A1248" s="1" t="s">
        <v>2495</v>
      </c>
      <c r="B1248" s="1">
        <v>15997</v>
      </c>
      <c r="C1248" s="3">
        <v>44303.543969907405</v>
      </c>
      <c r="D1248" s="1" t="s">
        <v>2496</v>
      </c>
      <c r="E1248" s="4" t="str">
        <f ca="1">IFERROR(__xludf.DUMMYFUNCTION("GOOGLETRANSLATE(A1248 , ""tr"" , ""en"")"),"8. Our 8th President Turgut Özal, who served our nation with a more free and prosperous Turkey Ideal. https://t.co/iuwpk2azga")</f>
        <v>8. Our 8th President Turgut Özal, who served our nation with a more free and prosperous Turkey Ideal. https://t.co/iuwpk2azga</v>
      </c>
    </row>
    <row r="1249" spans="1:5" ht="15.75" customHeight="1" x14ac:dyDescent="0.25">
      <c r="A1249" s="1" t="s">
        <v>2497</v>
      </c>
      <c r="B1249" s="1">
        <v>8673</v>
      </c>
      <c r="C1249" s="3">
        <v>44302.292604166665</v>
      </c>
      <c r="D1249" s="1" t="s">
        <v>2498</v>
      </c>
      <c r="E1249" s="4" t="str">
        <f ca="1">IFERROR(__xludf.DUMMYFUNCTION("GOOGLETRANSLATE(A1249 , ""tr"" , ""en"")"),"Your contribution is not less than well before. We are all happy that your mother agreed to be vaccines. https://t.co/acı4rqvexw")</f>
        <v>Your contribution is not less than well before. We are all happy that your mother agreed to be vaccines. https://t.co/acı4rqvexw</v>
      </c>
    </row>
    <row r="1250" spans="1:5" ht="15.75" customHeight="1" x14ac:dyDescent="0.25">
      <c r="A1250" s="1" t="s">
        <v>2499</v>
      </c>
      <c r="B1250" s="1">
        <v>31818</v>
      </c>
      <c r="C1250" s="3">
        <v>44301.688668981478</v>
      </c>
      <c r="D1250" s="1" t="s">
        <v>2500</v>
      </c>
      <c r="E1250" s="4" t="str">
        <f ca="1">IFERROR(__xludf.DUMMYFUNCTION("GOOGLETRANSLATE(A1250 , ""tr"" , ""en"")"),"In the last two days, it has been appointed to very little portion of the opening vaccine capacity. Our hospitals are given up to 24 o'clock at night. There is the opportunity to be vaccines after iftar for those who cannot find day time. Our most importa"&amp;"nt weapon vaccination. Be vaccine without spending time if your turn has come.")</f>
        <v>In the last two days, it has been appointed to very little portion of the opening vaccine capacity. Our hospitals are given up to 24 o'clock at night. There is the opportunity to be vaccines after iftar for those who cannot find day time. Our most important weapon vaccination. Be vaccine without spending time if your turn has come.</v>
      </c>
    </row>
    <row r="1251" spans="1:5" ht="15.75" customHeight="1" x14ac:dyDescent="0.25">
      <c r="A1251" s="1" t="s">
        <v>2501</v>
      </c>
      <c r="B1251" s="1">
        <v>17484</v>
      </c>
      <c r="C1251" s="3">
        <v>44301.334745370368</v>
      </c>
      <c r="D1251" s="1" t="s">
        <v>2502</v>
      </c>
      <c r="E1251" s="4" t="str">
        <f ca="1">IFERROR(__xludf.DUMMYFUNCTION("GOOGLETRANSLATE(A1251 , ""tr"" , ""en"")"),"The vaccines we use in the vaccination program are applied in the centers that have appropriate storage conditions. The allegations where the vaccine goes in the trash is not compatible with the fact. We know each dose of vaccine and we are planning to hi"&amp;"m. The vaccine is not in question.")</f>
        <v>The vaccines we use in the vaccination program are applied in the centers that have appropriate storage conditions. The allegations where the vaccine goes in the trash is not compatible with the fact. We know each dose of vaccine and we are planning to him. The vaccine is not in question.</v>
      </c>
    </row>
    <row r="1252" spans="1:5" ht="15.75" customHeight="1" x14ac:dyDescent="0.25">
      <c r="A1252" s="1" t="s">
        <v>2503</v>
      </c>
      <c r="B1252" s="1">
        <v>10815</v>
      </c>
      <c r="C1252" s="3">
        <v>44300.931805555556</v>
      </c>
      <c r="D1252" s="1" t="s">
        <v>2504</v>
      </c>
      <c r="E1252" s="4" t="str">
        <f ca="1">IFERROR(__xludf.DUMMYFUNCTION("GOOGLETRANSLATE(A1252 , ""tr"" , ""en"")"),"Gökhan Bey, hi again.
The difficulties will get easier as we try our best together. The fact about the vaccination is better than perceived floor, it will be better. Thanks for your message. https://t.co/whgfrzoILU")</f>
        <v>Gökhan Bey, hi again.
The difficulties will get easier as we try our best together. The fact about the vaccination is better than perceived floor, it will be better. Thanks for your message. https://t.co/whgfrzoILU</v>
      </c>
    </row>
    <row r="1253" spans="1:5" ht="15.75" customHeight="1" x14ac:dyDescent="0.25">
      <c r="A1253" s="1" t="s">
        <v>2505</v>
      </c>
      <c r="B1253" s="1">
        <v>10779</v>
      </c>
      <c r="C1253" s="3">
        <v>44300.894780092596</v>
      </c>
      <c r="D1253" s="1" t="s">
        <v>2506</v>
      </c>
      <c r="E1253" s="4" t="str">
        <f ca="1">IFERROR(__xludf.DUMMYFUNCTION("GOOGLETRANSLATE(A1253 , ""tr"" , ""en"")"),"In the treacherous attack on the Örikik base region, I wish our military to our military and our nation. https://t.co/4xqzwqufkc")</f>
        <v>In the treacherous attack on the Örikik base region, I wish our military to our military and our nation. https://t.co/4xqzwqufkc</v>
      </c>
    </row>
    <row r="1254" spans="1:5" ht="15.75" customHeight="1" x14ac:dyDescent="0.25">
      <c r="A1254" s="1" t="s">
        <v>2507</v>
      </c>
      <c r="B1254" s="1">
        <v>23326</v>
      </c>
      <c r="C1254" s="3">
        <v>44300.847488425927</v>
      </c>
      <c r="D1254" s="1" t="s">
        <v>2508</v>
      </c>
      <c r="E1254" s="4" t="str">
        <f ca="1">IFERROR(__xludf.DUMMYFUNCTION("GOOGLETRANSLATE(A1254 , ""tr"" , ""en"")"),"Gökhan Bey brother does not get to the mansion to blame responsibility. We have no charge responsibility in the increased number of cases. 84 million has not increased the case numbers but we have the responsibility to struggle together. I don't doubt you"&amp;" will be supported. https://t.co/mnakqhbaiu")</f>
        <v>Gökhan Bey brother does not get to the mansion to blame responsibility. We have no charge responsibility in the increased number of cases. 84 million has not increased the case numbers but we have the responsibility to struggle together. I don't doubt you will be supported. https://t.co/mnakqhbaiu</v>
      </c>
    </row>
    <row r="1255" spans="1:5" ht="15.75" customHeight="1" x14ac:dyDescent="0.25">
      <c r="A1255" s="1" t="s">
        <v>2509</v>
      </c>
      <c r="B1255" s="1">
        <v>15233</v>
      </c>
      <c r="C1255" s="3">
        <v>44300.765740740739</v>
      </c>
      <c r="D1255" s="1" t="s">
        <v>2510</v>
      </c>
      <c r="E1255" s="4" t="str">
        <f ca="1">IFERROR(__xludf.DUMMYFUNCTION("GOOGLETRANSLATE(A1255 , ""tr"" , ""en"")"),"This photograph is from a hospital providing health services. The people who caused this scenery were taken out of consideration by attacking our health workers. Two people were arrested. Health workers are not supposedly in the action of the action, the "&amp;"responsibility of all of us. https://t.co/vppuokbr1e")</f>
        <v>This photograph is from a hospital providing health services. The people who caused this scenery were taken out of consideration by attacking our health workers. Two people were arrested. Health workers are not supposedly in the action of the action, the responsibility of all of us. https://t.co/vppuokbr1e</v>
      </c>
    </row>
    <row r="1256" spans="1:5" ht="15.75" customHeight="1" x14ac:dyDescent="0.25">
      <c r="A1256" s="1" t="s">
        <v>2511</v>
      </c>
      <c r="B1256" s="1">
        <v>9298</v>
      </c>
      <c r="C1256" s="3">
        <v>44300.765381944446</v>
      </c>
      <c r="D1256" s="1" t="s">
        <v>2512</v>
      </c>
      <c r="E1256" s="4" t="str">
        <f ca="1">IFERROR(__xludf.DUMMYFUNCTION("GOOGLETRANSLATE(A1256 , ""tr"" , ""en"")"),"Dr. Once again I was on the phone on the phone with Kemal Gökhan Günel. I would like to know that we have the rights of all our physicians in their self. I also thank our judicial organization because of their tenderness.")</f>
        <v>Dr. Once again I was on the phone on the phone with Kemal Gökhan Günel. I would like to know that we have the rights of all our physicians in their self. I also thank our judicial organization because of their tenderness.</v>
      </c>
    </row>
    <row r="1257" spans="1:5" ht="15.75" customHeight="1" x14ac:dyDescent="0.25">
      <c r="A1257" s="1" t="s">
        <v>2513</v>
      </c>
      <c r="B1257" s="1">
        <v>7370</v>
      </c>
      <c r="C1257" s="3">
        <v>44300.610995370371</v>
      </c>
      <c r="D1257" s="1" t="s">
        <v>2514</v>
      </c>
      <c r="E1257" s="4" t="str">
        <f ca="1">IFERROR(__xludf.DUMMYFUNCTION("GOOGLETRANSLATE(A1257 , ""tr"" , ""en"")"),"We lost the Yildirim Akbulut Gentleman from our old PM. It was a state man in the service of a good person and our nation. My condolences to the mercy, relatives and lovers from Allah. Rest in peace.")</f>
        <v>We lost the Yildirim Akbulut Gentleman from our old PM. It was a state man in the service of a good person and our nation. My condolences to the mercy, relatives and lovers from Allah. Rest in peace.</v>
      </c>
    </row>
    <row r="1258" spans="1:5" ht="15.75" customHeight="1" x14ac:dyDescent="0.25">
      <c r="A1258" s="1" t="s">
        <v>2515</v>
      </c>
      <c r="B1258" s="1">
        <v>25370</v>
      </c>
      <c r="C1258" s="3">
        <v>44300.576412037037</v>
      </c>
      <c r="D1258" s="1" t="s">
        <v>2516</v>
      </c>
      <c r="E1258" s="4" t="str">
        <f ca="1">IFERROR(__xludf.DUMMYFUNCTION("GOOGLETRANSLATE(A1258 , ""tr"" , ""en"")"),"Let's not leave all the job in vaccine. Let's reduce cases up to the vaccine. Partial shutdown is the opportunity.")</f>
        <v>Let's not leave all the job in vaccine. Let's reduce cases up to the vaccine. Partial shutdown is the opportunity.</v>
      </c>
    </row>
    <row r="1259" spans="1:5" ht="15.75" customHeight="1" x14ac:dyDescent="0.25">
      <c r="A1259" s="1" t="s">
        <v>2517</v>
      </c>
      <c r="B1259" s="1">
        <v>4770</v>
      </c>
      <c r="C1259" s="3">
        <v>44300.507349537038</v>
      </c>
      <c r="D1259" s="1" t="s">
        <v>2518</v>
      </c>
      <c r="E1259" s="4" t="str">
        <f ca="1">IFERROR(__xludf.DUMMYFUNCTION("GOOGLETRANSLATE(A1259 , ""tr"" , ""en"")"),"The most increase in the number of weekly cases corresponding to 100,000 population was in Kirklareli, Çanakkale, Bayburt, Istanbul and Tekirdağ. The decrease in Samsun and Ardahan took place. We have to reduce the number of cases with full compliance wit"&amp;"h new decisions. https://t.co/7e5hwypiov")</f>
        <v>The most increase in the number of weekly cases corresponding to 100,000 population was in Kirklareli, Çanakkale, Bayburt, Istanbul and Tekirdağ. The decrease in Samsun and Ardahan took place. We have to reduce the number of cases with full compliance with new decisions. https://t.co/7e5hwypiov</v>
      </c>
    </row>
    <row r="1260" spans="1:5" ht="15.75" customHeight="1" x14ac:dyDescent="0.25">
      <c r="A1260" s="1" t="s">
        <v>2519</v>
      </c>
      <c r="B1260" s="1">
        <v>8459</v>
      </c>
      <c r="C1260" s="3">
        <v>44300.030995370369</v>
      </c>
      <c r="D1260" s="1" t="s">
        <v>2520</v>
      </c>
      <c r="E1260" s="4" t="str">
        <f ca="1">IFERROR(__xludf.DUMMYFUNCTION("GOOGLETRANSLATE(A1260 , ""tr"" , ""en"")"),"Our Minister of Transport and Infrastructure Fair Karaismailoğlu Beyefendi's older sister Nermin Özturk Lady has lost his life. Nermin's Hanim mercy from Allah; I wish our Ministry of Ministry, the sorrowful family and all those who love with all the rela"&amp;"tives of the decent. Rest in peace.")</f>
        <v>Our Minister of Transport and Infrastructure Fair Karaismailoğlu Beyefendi's older sister Nermin Özturk Lady has lost his life. Nermin's Hanim mercy from Allah; I wish our Ministry of Ministry, the sorrowful family and all those who love with all the relatives of the decent. Rest in peace.</v>
      </c>
    </row>
    <row r="1261" spans="1:5" ht="15.75" customHeight="1" x14ac:dyDescent="0.2">
      <c r="A1261" s="5" t="s">
        <v>2521</v>
      </c>
      <c r="B1261" s="1">
        <v>3698</v>
      </c>
      <c r="C1261" s="3">
        <v>44299.918217592596</v>
      </c>
      <c r="D1261" s="1" t="s">
        <v>2522</v>
      </c>
      <c r="E1261" s="6" t="str">
        <f ca="1">IFERROR(__xludf.DUMMYFUNCTION("GOOGLETRANSLATE(A1261 , ""tr"" , ""en"")"),"https://t.co/movzparvqs")</f>
        <v>https://t.co/movzparvqs</v>
      </c>
    </row>
    <row r="1262" spans="1:5" ht="15.75" customHeight="1" x14ac:dyDescent="0.2">
      <c r="A1262" s="5" t="s">
        <v>2523</v>
      </c>
      <c r="B1262" s="1">
        <v>3835</v>
      </c>
      <c r="C1262" s="3">
        <v>44299.917997685188</v>
      </c>
      <c r="D1262" s="1" t="s">
        <v>2524</v>
      </c>
      <c r="E1262" s="6" t="str">
        <f ca="1">IFERROR(__xludf.DUMMYFUNCTION("GOOGLETRANSLATE(A1262 , ""tr"" , ""en"")"),"https://t.co/xnno2neydv")</f>
        <v>https://t.co/xnno2neydv</v>
      </c>
    </row>
    <row r="1263" spans="1:5" ht="15.75" customHeight="1" x14ac:dyDescent="0.2">
      <c r="A1263" s="5" t="s">
        <v>2525</v>
      </c>
      <c r="B1263" s="1">
        <v>3397</v>
      </c>
      <c r="C1263" s="3">
        <v>44299.91777777778</v>
      </c>
      <c r="D1263" s="1" t="s">
        <v>2526</v>
      </c>
      <c r="E1263" s="6" t="str">
        <f ca="1">IFERROR(__xludf.DUMMYFUNCTION("GOOGLETRANSLATE(A1263 , ""tr"" , ""en"")"),"https://t.co/9pcd7dngue")</f>
        <v>https://t.co/9pcd7dngue</v>
      </c>
    </row>
    <row r="1264" spans="1:5" ht="15.75" customHeight="1" x14ac:dyDescent="0.2">
      <c r="A1264" s="5" t="s">
        <v>2527</v>
      </c>
      <c r="B1264" s="1">
        <v>4001</v>
      </c>
      <c r="C1264" s="3">
        <v>44299.917407407411</v>
      </c>
      <c r="D1264" s="1" t="s">
        <v>2528</v>
      </c>
      <c r="E1264" s="6" t="str">
        <f ca="1">IFERROR(__xludf.DUMMYFUNCTION("GOOGLETRANSLATE(A1264 , ""tr"" , ""en"")"),"https://t.co/h9zwxcvy7v")</f>
        <v>https://t.co/h9zwxcvy7v</v>
      </c>
    </row>
    <row r="1265" spans="1:5" ht="15.75" customHeight="1" x14ac:dyDescent="0.2">
      <c r="A1265" s="5" t="s">
        <v>2529</v>
      </c>
      <c r="B1265" s="1">
        <v>8225</v>
      </c>
      <c r="C1265" s="3">
        <v>44299.917256944442</v>
      </c>
      <c r="D1265" s="1" t="s">
        <v>2530</v>
      </c>
      <c r="E1265" s="6" t="str">
        <f ca="1">IFERROR(__xludf.DUMMYFUNCTION("GOOGLETRANSLATE(A1265 , ""tr"" , ""en"")"),"https://t.co/1olziwixth")</f>
        <v>https://t.co/1olziwixth</v>
      </c>
    </row>
    <row r="1266" spans="1:5" ht="15.75" customHeight="1" x14ac:dyDescent="0.25">
      <c r="A1266" s="1" t="s">
        <v>2531</v>
      </c>
      <c r="B1266" s="1">
        <v>13223</v>
      </c>
      <c r="C1266" s="3">
        <v>44299.666076388887</v>
      </c>
      <c r="D1266" s="1" t="s">
        <v>2532</v>
      </c>
      <c r="E1266" s="4" t="str">
        <f ca="1">IFERROR(__xludf.DUMMYFUNCTION("GOOGLETRANSLATE(A1266 , ""tr"" , ""en"")"),"The current version of our incidence map showing the number of weekly cases corresponding to 100,000 population. Mutated virus is the same way but spread faster. Restrictions have become essential. We will struggle together and win. https://t.co/srninjxtr"&amp;"p")</f>
        <v>The current version of our incidence map showing the number of weekly cases corresponding to 100,000 population. Mutated virus is the same way but spread faster. Restrictions have become essential. We will struggle together and win. https://t.co/srninjxtrp</v>
      </c>
    </row>
    <row r="1267" spans="1:5" ht="15.75" customHeight="1" x14ac:dyDescent="0.25">
      <c r="A1267" s="1" t="s">
        <v>2533</v>
      </c>
      <c r="B1267" s="1">
        <v>0</v>
      </c>
      <c r="C1267" s="3">
        <v>44299.641412037039</v>
      </c>
      <c r="D1267" s="1" t="s">
        <v>2534</v>
      </c>
      <c r="E1267" s="4" t="str">
        <f ca="1">IFERROR(__xludf.DUMMYFUNCTION("GOOGLETRANSLATE(A1267 , ""tr"" , ""en"")"),"RT @rterdogan: Shouting Nation After Cabinet Meeting https://t.co/t72xuqgtqp")</f>
        <v>RT @rterdogan: Shouting Nation After Cabinet Meeting https://t.co/t72xuqgtqp</v>
      </c>
    </row>
    <row r="1268" spans="1:5" ht="15.75" customHeight="1" x14ac:dyDescent="0.25">
      <c r="A1268" s="1" t="s">
        <v>2535</v>
      </c>
      <c r="B1268" s="1">
        <v>30949</v>
      </c>
      <c r="C1268" s="3">
        <v>44298.918449074074</v>
      </c>
      <c r="D1268" s="1" t="s">
        <v>2536</v>
      </c>
      <c r="E1268" s="4" t="str">
        <f ca="1">IFERROR(__xludf.DUMMYFUNCTION("GOOGLETRANSLATE(A1268 , ""tr"" , ""en"")"),"We entered Ramadan in the BUSINESS. Against our daily requests, we will give an examination of our own decision. And better than this month we will get out as stronger people. Our Ramadan, our Oruc is blessed.")</f>
        <v>We entered Ramadan in the BUSINESS. Against our daily requests, we will give an examination of our own decision. And better than this month we will get out as stronger people. Our Ramadan, our Oruc is blessed.</v>
      </c>
    </row>
    <row r="1269" spans="1:5" ht="15.75" customHeight="1" x14ac:dyDescent="0.25">
      <c r="A1269" s="1" t="s">
        <v>2537</v>
      </c>
      <c r="B1269" s="1">
        <v>11255</v>
      </c>
      <c r="C1269" s="3">
        <v>44298.867824074077</v>
      </c>
      <c r="D1269" s="1" t="s">
        <v>2538</v>
      </c>
      <c r="E1269" s="4" t="str">
        <f ca="1">IFERROR(__xludf.DUMMYFUNCTION("GOOGLETRANSLATE(A1269 , ""tr"" , ""en"")"),"I want you to know: You won't be alone even if this job is over. You won't even see us unstable or annually. My request from you is to keep your morale high. https://t.co/62qiodjcev")</f>
        <v>I want you to know: You won't be alone even if this job is over. You won't even see us unstable or annually. My request from you is to keep your morale high. https://t.co/62qiodjcev</v>
      </c>
    </row>
    <row r="1270" spans="1:5" ht="15.75" customHeight="1" x14ac:dyDescent="0.25">
      <c r="A1270" s="1" t="s">
        <v>2539</v>
      </c>
      <c r="B1270" s="1">
        <v>5035</v>
      </c>
      <c r="C1270" s="3">
        <v>44298.861493055556</v>
      </c>
      <c r="D1270" s="1" t="s">
        <v>2540</v>
      </c>
      <c r="E1270" s="4" t="str">
        <f ca="1">IFERROR(__xludf.DUMMYFUNCTION("GOOGLETRANSLATE(A1270 , ""tr"" , ""en"")"),"More than 18 million dose of doses were carried out. Whether ""Turkey is successful in the vaccination."" Say, let's say, let's say that the discussion is not a reality: Turkey is the most vaccine in the world is the 6th country! https://t.co/nnaspjwoyw")</f>
        <v>More than 18 million dose of doses were carried out. Whether "Turkey is successful in the vaccination." Say, let's say, let's say that the discussion is not a reality: Turkey is the most vaccine in the world is the 6th country! https://t.co/nnaspjwoyw</v>
      </c>
    </row>
    <row r="1271" spans="1:5" ht="15.75" customHeight="1" x14ac:dyDescent="0.25">
      <c r="A1271" s="1" t="s">
        <v>2541</v>
      </c>
      <c r="B1271" s="1">
        <v>3716</v>
      </c>
      <c r="C1271" s="3">
        <v>44298.853368055556</v>
      </c>
      <c r="D1271" s="1" t="s">
        <v>2542</v>
      </c>
      <c r="E1271" s="4" t="str">
        <f ca="1">IFERROR(__xludf.DUMMYFUNCTION("GOOGLETRANSLATE(A1271 , ""tr"" , ""en"")"),"85% of new cases are welded in UK mutation. This shape of the virus is spread faster than the first coronavirus. This is the type of virus common in the world. The E484K mutation, where the WHO recommends strict follow-up, was found in the 4,820 cases. ht"&amp;"tps://t.co/pycw6c995v")</f>
        <v>85% of new cases are welded in UK mutation. This shape of the virus is spread faster than the first coronavirus. This is the type of virus common in the world. The E484K mutation, where the WHO recommends strict follow-up, was found in the 4,820 cases. https://t.co/pycw6c995v</v>
      </c>
    </row>
    <row r="1272" spans="1:5" ht="15.75" customHeight="1" x14ac:dyDescent="0.25">
      <c r="A1272" s="1" t="s">
        <v>2543</v>
      </c>
      <c r="B1272" s="1">
        <v>3832</v>
      </c>
      <c r="C1272" s="3">
        <v>44298.844583333332</v>
      </c>
      <c r="D1272" s="1" t="s">
        <v>2544</v>
      </c>
      <c r="E1272" s="4" t="str">
        <f ca="1">IFERROR(__xludf.DUMMYFUNCTION("GOOGLETRANSLATE(A1272 , ""tr"" , ""en"")"),"Variant means the virus that varied according to the first figure it occurs. Scientists from different countries connects Covid-19 to the new variants of the virus to show rapid propagation from the old one. Turkey's experience has confirmed that. https:/"&amp;"/t.co/kfsgz9foru")</f>
        <v>Variant means the virus that varied according to the first figure it occurs. Scientists from different countries connects Covid-19 to the new variants of the virus to show rapid propagation from the old one. Turkey's experience has confirmed that. https://t.co/kfsgz9foru</v>
      </c>
    </row>
    <row r="1273" spans="1:5" ht="15.75" customHeight="1" x14ac:dyDescent="0.25">
      <c r="A1273" s="1" t="s">
        <v>2545</v>
      </c>
      <c r="B1273" s="1">
        <v>5635</v>
      </c>
      <c r="C1273" s="3">
        <v>44298.831076388888</v>
      </c>
      <c r="D1273" s="1" t="s">
        <v>2546</v>
      </c>
      <c r="E1273" s="4" t="str">
        <f ca="1">IFERROR(__xludf.DUMMYFUNCTION("GOOGLETRANSLATE(A1273 , ""tr"" , ""en"")"),"Currently, two negative factors combine their forces against us, making it difficult for us to drive faster. One of the factors is to be tired of time. The more important factor is the new variants of the virus. https://t.co/bxrjzglcjr")</f>
        <v>Currently, two negative factors combine their forces against us, making it difficult for us to drive faster. One of the factors is to be tired of time. The more important factor is the new variants of the virus. https://t.co/bxrjzglcjr</v>
      </c>
    </row>
    <row r="1274" spans="1:5" ht="15.75" customHeight="1" x14ac:dyDescent="0.25">
      <c r="A1274" s="1" t="s">
        <v>2547</v>
      </c>
      <c r="B1274" s="1">
        <v>7253</v>
      </c>
      <c r="C1274" s="3">
        <v>44298.761828703704</v>
      </c>
      <c r="D1274" s="1" t="s">
        <v>2548</v>
      </c>
      <c r="E1274" s="4" t="str">
        <f ca="1">IFERROR(__xludf.DUMMYFUNCTION("GOOGLETRANSLATE(A1274 , ""tr"" , ""en"")"),"After our Science Board meeting, our press statement on the latest developments on the coronavirus.
📍 The Ministry of Health
https://t.co/rjsmm4tlvw")</f>
        <v>After our Science Board meeting, our press statement on the latest developments on the coronavirus.
📍 The Ministry of Health
https://t.co/rjsmm4tlvw</v>
      </c>
    </row>
    <row r="1275" spans="1:5" ht="15.75" customHeight="1" x14ac:dyDescent="0.25">
      <c r="A1275" s="1" t="s">
        <v>2549</v>
      </c>
      <c r="B1275" s="1">
        <v>22952</v>
      </c>
      <c r="C1275" s="3">
        <v>44296.626296296294</v>
      </c>
      <c r="D1275" s="1" t="s">
        <v>2550</v>
      </c>
      <c r="E1275" s="4" t="str">
        <f ca="1">IFERROR(__xludf.DUMMYFUNCTION("GOOGLETRANSLATE(A1275 , ""tr"" , ""en"")"),"We celebrate our life and the security of the safety of our community of our community of the police organization 176 of our police organization and Police Week.")</f>
        <v>We celebrate our life and the security of the safety of our community of our community of the police organization 176 of our police organization and Police Week.</v>
      </c>
    </row>
    <row r="1276" spans="1:5" ht="15.75" customHeight="1" x14ac:dyDescent="0.25">
      <c r="A1276" s="1" t="s">
        <v>2551</v>
      </c>
      <c r="B1276" s="1">
        <v>16517</v>
      </c>
      <c r="C1276" s="3">
        <v>44295.744756944441</v>
      </c>
      <c r="D1276" s="1" t="s">
        <v>2552</v>
      </c>
      <c r="E1276" s="4" t="str">
        <f ca="1">IFERROR(__xludf.DUMMYFUNCTION("GOOGLETRANSLATE(A1276 , ""tr"" , ""en"")"),"My Precious Brother, my friend Abdülhamit Rose geyefendi's Mothers of the Mothers of Mothers Saliha Hospital has been treated in the hospital. May the venue be in heaven, the authority.")</f>
        <v>My Precious Brother, my friend Abdülhamit Rose geyefendi's Mothers of the Mothers of Mothers Saliha Hospital has been treated in the hospital. May the venue be in heaven, the authority.</v>
      </c>
    </row>
    <row r="1277" spans="1:5" ht="15.75" customHeight="1" x14ac:dyDescent="0.25">
      <c r="A1277" s="1" t="s">
        <v>2553</v>
      </c>
      <c r="B1277" s="1">
        <v>17531</v>
      </c>
      <c r="C1277" s="3">
        <v>44295.737500000003</v>
      </c>
      <c r="D1277" s="1" t="s">
        <v>2554</v>
      </c>
      <c r="E1277" s="4" t="str">
        <f ca="1">IFERROR(__xludf.DUMMYFUNCTION("GOOGLETRANSLATE(A1277 , ""tr"" , ""en"")"),"85% of the cases detected form various variants. All data shows that contagion is faster. Measures to reduce the speed of contagion. The vaccine is our greatest weapon. Our citizen citizens should not hesitate to have their vaccination by taking their app"&amp;"ointments.")</f>
        <v>85% of the cases detected form various variants. All data shows that contagion is faster. Measures to reduce the speed of contagion. The vaccine is our greatest weapon. Our citizen citizens should not hesitate to have their vaccination by taking their appointments.</v>
      </c>
    </row>
    <row r="1278" spans="1:5" ht="15.75" customHeight="1" x14ac:dyDescent="0.25">
      <c r="A1278" s="1" t="s">
        <v>2555</v>
      </c>
      <c r="B1278" s="1">
        <v>5980</v>
      </c>
      <c r="C1278" s="3">
        <v>44295.736655092594</v>
      </c>
      <c r="D1278" s="1" t="s">
        <v>2556</v>
      </c>
      <c r="E1278" s="4" t="str">
        <f ca="1">IFERROR(__xludf.DUMMYFUNCTION("GOOGLETRANSLATE(A1278 , ""tr"" , ""en"")"),"We assessed the process of epidemic with our provincial health managers. According to Istanbul per March, the number of cases increased by approximately 10 times. About 40% of cases in our country in ISABUL. The status of Istanbul determines the status of"&amp;" our country. We can protect our country if we can protect Istanbul. https://t.co/rhievbiyxm")</f>
        <v>We assessed the process of epidemic with our provincial health managers. According to Istanbul per March, the number of cases increased by approximately 10 times. About 40% of cases in our country in ISABUL. The status of Istanbul determines the status of our country. We can protect our country if we can protect Istanbul. https://t.co/rhievbiyxm</v>
      </c>
    </row>
    <row r="1279" spans="1:5" ht="15.75" customHeight="1" x14ac:dyDescent="0.25">
      <c r="A1279" s="1" t="s">
        <v>2557</v>
      </c>
      <c r="B1279" s="1">
        <v>20954</v>
      </c>
      <c r="C1279" s="3">
        <v>44294.826585648145</v>
      </c>
      <c r="D1279" s="1" t="s">
        <v>2558</v>
      </c>
      <c r="E1279" s="4" t="str">
        <f ca="1">IFERROR(__xludf.DUMMYFUNCTION("GOOGLETRANSLATE(A1279 , ""tr"" , ""en"")"),"Our aging population is increasing. We need more every day to rehab with disabled and elderly care. We have precious colleagues carrying this burden of service. Turkey celebrate the Day of Physiotherapists, I thank them for the services.")</f>
        <v>Our aging population is increasing. We need more every day to rehab with disabled and elderly care. We have precious colleagues carrying this burden of service. Turkey celebrate the Day of Physiotherapists, I thank them for the services.</v>
      </c>
    </row>
    <row r="1280" spans="1:5" ht="15.75" customHeight="1" x14ac:dyDescent="0.25">
      <c r="A1280" s="1" t="s">
        <v>2559</v>
      </c>
      <c r="B1280" s="1">
        <v>14885</v>
      </c>
      <c r="C1280" s="3">
        <v>44293.868310185186</v>
      </c>
      <c r="D1280" s="1" t="s">
        <v>2560</v>
      </c>
      <c r="E1280" s="4" t="str">
        <f ca="1">IFERROR(__xludf.DUMMYFUNCTION("GOOGLETRANSLATE(A1280 , ""tr"" , ""en"")"),"In the region of Olive Branch Operations, I condolences our martyred hero soldiers to our merchant nation from Allah. https://t.co/zhfmwxfe58")</f>
        <v>In the region of Olive Branch Operations, I condolences our martyred hero soldiers to our merchant nation from Allah. https://t.co/zhfmwxfe58</v>
      </c>
    </row>
    <row r="1281" spans="1:5" ht="15.75" customHeight="1" x14ac:dyDescent="0.25">
      <c r="A1281" s="1" t="s">
        <v>2561</v>
      </c>
      <c r="B1281" s="1">
        <v>8693</v>
      </c>
      <c r="C1281" s="3">
        <v>44293.485023148147</v>
      </c>
      <c r="D1281" s="1" t="s">
        <v>2562</v>
      </c>
      <c r="E1281" s="4" t="str">
        <f ca="1">IFERROR(__xludf.DUMMYFUNCTION("GOOGLETRANSLATE(A1281 , ""tr"" , ""en"")"),"Thank you on behalf of all health workers and scientists for Sensitivity and Tevecch they show to our President. Fighting with global epidemics is a political issue. https://t.co/6bgquensnI")</f>
        <v>Thank you on behalf of all health workers and scientists for Sensitivity and Tevecch they show to our President. Fighting with global epidemics is a political issue. https://t.co/6bgquensnI</v>
      </c>
    </row>
    <row r="1282" spans="1:5" ht="15.75" customHeight="1" x14ac:dyDescent="0.25">
      <c r="A1282" s="1" t="s">
        <v>2563</v>
      </c>
      <c r="B1282" s="1">
        <v>2750</v>
      </c>
      <c r="C1282" s="3">
        <v>44293.371712962966</v>
      </c>
      <c r="D1282" s="1" t="s">
        <v>2564</v>
      </c>
      <c r="E1282" s="4" t="str">
        <f ca="1">IFERROR(__xludf.DUMMYFUNCTION("GOOGLETRANSLATE(A1282 , ""tr"" , ""en"")"),"Undoubtedly, Achieving Universal Health Coverage Will Continue to be our Ultimate Goal. In The Light of this Guiding Principle, We Will Strive Towards A Healthier and A Fairer World. #Uhc, # worldhealthday2021, @drtedros, @hans_kluge, # COVID19, @who")</f>
        <v>Undoubtedly, Achieving Universal Health Coverage Will Continue to be our Ultimate Goal. In The Light of this Guiding Principle, We Will Strive Towards A Healthier and A Fairer World. #Uhc, # worldhealthday2021, @drtedros, @hans_kluge, # COVID19, @who</v>
      </c>
    </row>
    <row r="1283" spans="1:5" ht="15.75" customHeight="1" x14ac:dyDescent="0.25">
      <c r="A1283" s="1" t="s">
        <v>2565</v>
      </c>
      <c r="B1283" s="1">
        <v>5741</v>
      </c>
      <c r="C1283" s="3">
        <v>44293.370509259257</v>
      </c>
      <c r="D1283" s="1" t="s">
        <v>2566</v>
      </c>
      <c r="E1283" s="4" t="str">
        <f ca="1">IFERROR(__xludf.DUMMYFUNCTION("GOOGLETRANSLATE(A1283 , ""tr"" , ""en"")"),"With no doubt, universal health inclusiveness will continue to be our ultimate goal. In the light of this guiding principle, we will continue to work with all our efforts for a healthier and fairer world. #Uhc, # worldhealthday2021, @drtedros, @hans_kluge"&amp;", # Covid19, @who")</f>
        <v>With no doubt, universal health inclusiveness will continue to be our ultimate goal. In the light of this guiding principle, we will continue to work with all our efforts for a healthier and fairer world. #Uhc, # worldhealthday2021, @drtedros, @hans_kluge, # Covid19, @who</v>
      </c>
    </row>
    <row r="1284" spans="1:5" ht="15.75" customHeight="1" x14ac:dyDescent="0.25">
      <c r="A1284" s="1" t="s">
        <v>2567</v>
      </c>
      <c r="B1284" s="1">
        <v>16931</v>
      </c>
      <c r="C1284" s="3">
        <v>44292.645115740743</v>
      </c>
      <c r="D1284" s="1" t="s">
        <v>2568</v>
      </c>
      <c r="E1284" s="4" t="str">
        <f ca="1">IFERROR(__xludf.DUMMYFUNCTION("GOOGLETRANSLATE(A1284 , ""tr"" , ""en"")"),"We have an average agency that allows us to live free of charge. In the 101th of its service, Congratulations to the Organization Year of Anatolia Agency.")</f>
        <v>We have an average agency that allows us to live free of charge. In the 101th of its service, Congratulations to the Organization Year of Anatolia Agency.</v>
      </c>
    </row>
    <row r="1285" spans="1:5" ht="15.75" customHeight="1" x14ac:dyDescent="0.25">
      <c r="A1285" s="1" t="s">
        <v>2569</v>
      </c>
      <c r="B1285" s="1">
        <v>32860</v>
      </c>
      <c r="C1285" s="3">
        <v>44292.627395833333</v>
      </c>
      <c r="D1285" s="1" t="s">
        <v>2570</v>
      </c>
      <c r="E1285" s="4" t="str">
        <f ca="1">IFERROR(__xludf.DUMMYFUNCTION("GOOGLETRANSLATE(A1285 , ""tr"" , ""en"")"),"Since the beginning, we separated the fight against the epidemic of politics. We never agree to insult our scientists with an aggressive style by ignoring the labor of our science board throughout the epidemic. The Science Board is not a political rant ma"&amp;"terial. Be respectful.")</f>
        <v>Since the beginning, we separated the fight against the epidemic of politics. We never agree to insult our scientists with an aggressive style by ignoring the labor of our science board throughout the epidemic. The Science Board is not a political rant material. Be respectful.</v>
      </c>
    </row>
    <row r="1286" spans="1:5" ht="15.75" customHeight="1" x14ac:dyDescent="0.25">
      <c r="A1286" s="1" t="s">
        <v>2571</v>
      </c>
      <c r="B1286" s="1">
        <v>0</v>
      </c>
      <c r="C1286" s="3">
        <v>44291.635787037034</v>
      </c>
      <c r="D1286" s="1" t="s">
        <v>2572</v>
      </c>
      <c r="E1286" s="4" t="str">
        <f ca="1">IFERROR(__xludf.DUMMYFUNCTION("GOOGLETRANSLATE(A1286 , ""tr"" , ""en"")"),"RT @rterdogan: After the assessment meeting press release https://t.co/3ssclnwogu")</f>
        <v>RT @rterdogan: After the assessment meeting press release https://t.co/3ssclnwogu</v>
      </c>
    </row>
    <row r="1287" spans="1:5" ht="15.75" customHeight="1" x14ac:dyDescent="0.25">
      <c r="A1287" s="1" t="s">
        <v>2573</v>
      </c>
      <c r="B1287" s="1">
        <v>7737</v>
      </c>
      <c r="C1287" s="3">
        <v>44290.604930555557</v>
      </c>
      <c r="D1287" s="1" t="s">
        <v>2574</v>
      </c>
      <c r="E1287" s="4" t="str">
        <f ca="1">IFERROR(__xludf.DUMMYFUNCTION("GOOGLETRANSLATE(A1287 , ""tr"" , ""en"")"),"If we continue to patiently patiently, the vaccine sequence is not evened in life, we will be experiencing a little pain that will finally feel safe. While the vaccination is going on, the number of large pain will decrease. There is a lot of the number o"&amp;"f yesterday's number of passes. Let's not take a risk. https://t.co/m0fasr71q7")</f>
        <v>If we continue to patiently patiently, the vaccine sequence is not evened in life, we will be experiencing a little pain that will finally feel safe. While the vaccination is going on, the number of large pain will decrease. There is a lot of the number of yesterday's number of passes. Let's not take a risk. https://t.co/m0fasr71q7</v>
      </c>
    </row>
    <row r="1288" spans="1:5" ht="15.75" customHeight="1" x14ac:dyDescent="0.25">
      <c r="A1288" s="1" t="s">
        <v>2575</v>
      </c>
      <c r="B1288" s="1">
        <v>41954</v>
      </c>
      <c r="C1288" s="3">
        <v>44290.600115740737</v>
      </c>
      <c r="D1288" s="1" t="s">
        <v>2576</v>
      </c>
      <c r="E1288" s="4" t="str">
        <f ca="1">IFERROR(__xludf.DUMMYFUNCTION("GOOGLETRANSLATE(A1288 , ""tr"" , ""en"")"),"Vaccine maintains more than mask and distance. Some more patience.")</f>
        <v>Vaccine maintains more than mask and distance. Some more patience.</v>
      </c>
    </row>
    <row r="1289" spans="1:5" ht="15.75" customHeight="1" x14ac:dyDescent="0.25">
      <c r="A1289" s="1" t="s">
        <v>2577</v>
      </c>
      <c r="B1289" s="1">
        <v>16299</v>
      </c>
      <c r="C1289" s="3">
        <v>44290.382847222223</v>
      </c>
      <c r="D1289" s="1" t="s">
        <v>2578</v>
      </c>
      <c r="E1289" s="4" t="str">
        <f ca="1">IFERROR(__xludf.DUMMYFUNCTION("GOOGLETRANSLATE(A1289 , ""tr"" , ""en"")"),"The rate of ages 65 over the last month in total cases dropped from 14.39% to 11.3%. The ratio of young people in active cases is increasing. We will keep our youngsters as well.")</f>
        <v>The rate of ages 65 over the last month in total cases dropped from 14.39% to 11.3%. The ratio of young people in active cases is increasing. We will keep our youngsters as well.</v>
      </c>
    </row>
    <row r="1290" spans="1:5" ht="15.75" customHeight="1" x14ac:dyDescent="0.25">
      <c r="A1290" s="1" t="s">
        <v>2579</v>
      </c>
      <c r="B1290" s="1">
        <v>34885</v>
      </c>
      <c r="C1290" s="3">
        <v>44290.368634259263</v>
      </c>
      <c r="D1290" s="1" t="s">
        <v>2580</v>
      </c>
      <c r="E1290" s="4" t="str">
        <f ca="1">IFERROR(__xludf.DUMMYFUNCTION("GOOGLETRANSLATE(A1290 , ""tr"" , ""en"")"),"Impact and the enthusiastic of guardianship are always wasted. Our nation has given his response to the mindset at the last 15 July.")</f>
        <v>Impact and the enthusiastic of guardianship are always wasted. Our nation has given his response to the mindset at the last 15 July.</v>
      </c>
    </row>
    <row r="1291" spans="1:5" ht="15.75" customHeight="1" x14ac:dyDescent="0.25">
      <c r="A1291" s="1" t="s">
        <v>2581</v>
      </c>
      <c r="B1291" s="1">
        <v>10289</v>
      </c>
      <c r="C1291" s="3">
        <v>44289.814710648148</v>
      </c>
      <c r="D1291" s="1" t="s">
        <v>2582</v>
      </c>
      <c r="E1291" s="4" t="str">
        <f ca="1">IFERROR(__xludf.DUMMYFUNCTION("GOOGLETRANSLATE(A1291 , ""tr"" , ""en"")"),"Turkey is the most vaccine in countries that have not yet produced its vaccination. The total number of dose is 16.668.844 as of the moment this message is placed on the publication. https://t.co/ezdmnm0aap")</f>
        <v>Turkey is the most vaccine in countries that have not yet produced its vaccination. The total number of dose is 16.668.844 as of the moment this message is placed on the publication. https://t.co/ezdmnm0aap</v>
      </c>
    </row>
    <row r="1292" spans="1:5" ht="15.75" customHeight="1" x14ac:dyDescent="0.25">
      <c r="A1292" s="1" t="s">
        <v>2583</v>
      </c>
      <c r="B1292" s="1">
        <v>11295</v>
      </c>
      <c r="C1292" s="3">
        <v>44289.810983796298</v>
      </c>
      <c r="D1292" s="1" t="s">
        <v>2584</v>
      </c>
      <c r="E1292" s="4" t="str">
        <f ca="1">IFERROR(__xludf.DUMMYFUNCTION("GOOGLETRANSLATE(A1292 , ""tr"" , ""en"")"),"We are in 6th among the most vaccine countries. Countries that make more than us are US, China, India, England and Brazil. https://t.co/k7dwgmqzxn")</f>
        <v>We are in 6th among the most vaccine countries. Countries that make more than us are US, China, India, England and Brazil. https://t.co/k7dwgmqzxn</v>
      </c>
    </row>
    <row r="1293" spans="1:5" ht="15.75" customHeight="1" x14ac:dyDescent="0.25">
      <c r="A1293" s="1" t="s">
        <v>2585</v>
      </c>
      <c r="B1293" s="1">
        <v>18514</v>
      </c>
      <c r="C1293" s="3">
        <v>44289.744837962964</v>
      </c>
      <c r="D1293" s="1" t="s">
        <v>2586</v>
      </c>
      <c r="E1293" s="4" t="str">
        <f ca="1">IFERROR(__xludf.DUMMYFUNCTION("GOOGLETRANSLATE(A1293 , ""tr"" , ""en"")"),"The current state of our incidence map showing the number of weekly cases corresponding to 100,000 population in our provinces. We have to turn the status to our favor. https://t.co/gqbktuyajj")</f>
        <v>The current state of our incidence map showing the number of weekly cases corresponding to 100,000 population in our provinces. We have to turn the status to our favor. https://t.co/gqbktuyajj</v>
      </c>
    </row>
    <row r="1294" spans="1:5" ht="15.75" customHeight="1" x14ac:dyDescent="0.25">
      <c r="A1294" s="1" t="s">
        <v>2587</v>
      </c>
      <c r="B1294" s="1">
        <v>8192</v>
      </c>
      <c r="C1294" s="3">
        <v>44288.808032407411</v>
      </c>
      <c r="D1294" s="1" t="s">
        <v>2588</v>
      </c>
      <c r="E1294" s="4" t="str">
        <f ca="1">IFERROR(__xludf.DUMMYFUNCTION("GOOGLETRANSLATE(A1294 , ""tr"" , ""en"")"),"I would like to send the following message to the valued health workers all over the world:
You guys are the people of all humanity, at the same time, for the same reason. Humanity will find the most beautiful way of expressing this feeling. https://t.co/"&amp;"4izw3au4ky")</f>
        <v>I would like to send the following message to the valued health workers all over the world:
You guys are the people of all humanity, at the same time, for the same reason. Humanity will find the most beautiful way of expressing this feeling. https://t.co/4izw3au4ky</v>
      </c>
    </row>
    <row r="1295" spans="1:5" ht="15.75" customHeight="1" x14ac:dyDescent="0.25">
      <c r="A1295" s="1" t="s">
        <v>2589</v>
      </c>
      <c r="B1295" s="1">
        <v>5530</v>
      </c>
      <c r="C1295" s="3">
        <v>44288.796736111108</v>
      </c>
      <c r="D1295" s="1" t="s">
        <v>2590</v>
      </c>
      <c r="E1295" s="4" t="str">
        <f ca="1">IFERROR(__xludf.DUMMYFUNCTION("GOOGLETRANSLATE(A1295 , ""tr"" , ""en"")"),"Autism Awareness Day
What is the greatest power?
The greatest power is human love that is not binded with any condition.
-
This power is in all of us. https://t.co/tlgblf6o7d")</f>
        <v>Autism Awareness Day
What is the greatest power?
The greatest power is human love that is not binded with any condition.
-
This power is in all of us. https://t.co/tlgblf6o7d</v>
      </c>
    </row>
    <row r="1296" spans="1:5" ht="15.75" customHeight="1" x14ac:dyDescent="0.25">
      <c r="A1296" s="1" t="s">
        <v>2591</v>
      </c>
      <c r="B1296" s="1">
        <v>4616</v>
      </c>
      <c r="C1296" s="3">
        <v>44288.694814814815</v>
      </c>
      <c r="D1296" s="1" t="s">
        <v>2592</v>
      </c>
      <c r="E1296" s="4" t="str">
        <f ca="1">IFERROR(__xludf.DUMMYFUNCTION("GOOGLETRANSLATE(A1296 , ""tr"" , ""en"")"),"Autism awareness day. With the mental special requirement and autistic individuals, we have been clung to our homework assignments in the last 1 year. These assignments are above the terms. The summary of our work is in the conversation in our autism symp"&amp;"osium.
Video: https://t.co/jghfo32l7v")</f>
        <v>Autism awareness day. With the mental special requirement and autistic individuals, we have been clung to our homework assignments in the last 1 year. These assignments are above the terms. The summary of our work is in the conversation in our autism symposium.
Video: https://t.co/jghfo32l7v</v>
      </c>
    </row>
    <row r="1297" spans="1:5" ht="15.75" customHeight="1" x14ac:dyDescent="0.25">
      <c r="A1297" s="1" t="s">
        <v>2593</v>
      </c>
      <c r="B1297" s="1">
        <v>5025</v>
      </c>
      <c r="C1297" s="3">
        <v>44288.685150462959</v>
      </c>
      <c r="D1297" s="1" t="s">
        <v>2594</v>
      </c>
      <c r="E1297" s="4" t="str">
        <f ca="1">IFERROR(__xludf.DUMMYFUNCTION("GOOGLETRANSLATE(A1297 , ""tr"" , ""en"")"),"DSO General Director Tedros Ghebreyesus We performed yesterdays yesterday, announced by our suggestion, 2021 international health workers in media briefing on the year of media briefing: https://t.co/ata0c5n2fz")</f>
        <v>DSO General Director Tedros Ghebreyesus We performed yesterdays yesterday, announced by our suggestion, 2021 international health workers in media briefing on the year of media briefing: https://t.co/ata0c5n2fz</v>
      </c>
    </row>
    <row r="1298" spans="1:5" ht="15.75" customHeight="1" x14ac:dyDescent="0.25">
      <c r="A1298" s="1" t="s">
        <v>2595</v>
      </c>
      <c r="B1298" s="1">
        <v>6629</v>
      </c>
      <c r="C1298" s="3">
        <v>44287.807997685188</v>
      </c>
      <c r="D1298" s="1" t="s">
        <v>2596</v>
      </c>
      <c r="E1298" s="4" t="str">
        <f ca="1">IFERROR(__xludf.DUMMYFUNCTION("GOOGLETRANSLATE(A1298 , ""tr"" , ""en"")"),"The General Director of the DSO Tedros Ghebreyesus is the media briefing in the media briefing Turkey's suggestion of international health workers announced 2021 and the world's health worker has taken the new look. Our conversation is on your youtube cha"&amp;"nnel.
Video: https://t.co/bfrto7cmpq")</f>
        <v>The General Director of the DSO Tedros Ghebreyesus is the media briefing in the media briefing Turkey's suggestion of international health workers announced 2021 and the world's health worker has taken the new look. Our conversation is on your youtube channel.
Video: https://t.co/bfrto7cmpq</v>
      </c>
    </row>
    <row r="1299" spans="1:5" ht="15.75" customHeight="1" x14ac:dyDescent="0.25">
      <c r="A1299" s="1" t="s">
        <v>2597</v>
      </c>
      <c r="B1299" s="1">
        <v>16876</v>
      </c>
      <c r="C1299" s="3">
        <v>44287.69803240741</v>
      </c>
      <c r="D1299" s="1" t="s">
        <v>2598</v>
      </c>
      <c r="E1299" s="4" t="str">
        <f ca="1">IFERROR(__xludf.DUMMYFUNCTION("GOOGLETRANSLATE(A1299 , ""tr"" , ""en"")"),"Professor Cemil Taşçıoğlu We lost our teacher today in the quite difficult period of the epidemic today. While the dark interior of hopes. It was a sample of us all with its great selfless. Health worker in himself and his personal, we are considered to r"&amp;"espect all our losses and mercy. Our pain is great, if our way is shortened. https://t.co/dltjgydysz")</f>
        <v>Professor Cemil Taşçıoğlu We lost our teacher today in the quite difficult period of the epidemic today. While the dark interior of hopes. It was a sample of us all with its great selfless. Health worker in himself and his personal, we are considered to respect all our losses and mercy. Our pain is great, if our way is shortened. https://t.co/dltjgydysz</v>
      </c>
    </row>
    <row r="1300" spans="1:5" ht="15.75" customHeight="1" x14ac:dyDescent="0.25">
      <c r="A1300" s="1" t="s">
        <v>2599</v>
      </c>
      <c r="B1300" s="1">
        <v>5908</v>
      </c>
      <c r="C1300" s="3">
        <v>44286.852303240739</v>
      </c>
      <c r="D1300" s="1" t="s">
        <v>2600</v>
      </c>
      <c r="E1300" s="4" t="str">
        <f ca="1">IFERROR(__xludf.DUMMYFUNCTION("GOOGLETRANSLATE(A1300 , ""tr"" , ""en"")"),"Our goal is: Common immunity with vaccine. The remaining part of the load is now above our scientists, health workers. This great sense of responsibility should give you the desire to comply with the measures. You need to do is to protect yourself and awa"&amp;"it your vaccine order.")</f>
        <v>Our goal is: Common immunity with vaccine. The remaining part of the load is now above our scientists, health workers. This great sense of responsibility should give you the desire to comply with the measures. You need to do is to protect yourself and await your vaccine order.</v>
      </c>
    </row>
    <row r="1301" spans="1:5" ht="15.75" customHeight="1" x14ac:dyDescent="0.25">
      <c r="A1301" s="1" t="s">
        <v>2601</v>
      </c>
      <c r="B1301" s="1">
        <v>14071</v>
      </c>
      <c r="C1301" s="3">
        <v>44286.850659722222</v>
      </c>
      <c r="D1301" s="1" t="s">
        <v>2602</v>
      </c>
      <c r="E1301" s="4" t="str">
        <f ca="1">IFERROR(__xludf.DUMMYFUNCTION("GOOGLETRANSLATE(A1301 , ""tr"" , ""en"")"),"Intranazal ie the phase 1 studies to be applied in the form of the nasal spray are about to begin. This vaccine will be a COVID vaccine that is not found in the world as we expect the results on volunteers. (Science Board Meeting, Wednesday 31 March)")</f>
        <v>Intranazal ie the phase 1 studies to be applied in the form of the nasal spray are about to begin. This vaccine will be a COVID vaccine that is not found in the world as we expect the results on volunteers. (Science Board Meeting, Wednesday 31 March)</v>
      </c>
    </row>
    <row r="1302" spans="1:5" ht="15.75" customHeight="1" x14ac:dyDescent="0.25">
      <c r="A1302" s="1" t="s">
        <v>2603</v>
      </c>
      <c r="B1302" s="1">
        <v>7319</v>
      </c>
      <c r="C1302" s="3">
        <v>44286.848877314813</v>
      </c>
      <c r="D1302" s="1" t="s">
        <v>2604</v>
      </c>
      <c r="E1302" s="4" t="str">
        <f ca="1">IFERROR(__xludf.DUMMYFUNCTION("GOOGLETRANSLATE(A1302 , ""tr"" , ""en"")"),"The issue of mutated viruses increases the propagation rate is solemnly addressed in the whole world. These variants are very common in the research in our country in our country. (Science Board Meeting, Wednesday 31 March)")</f>
        <v>The issue of mutated viruses increases the propagation rate is solemnly addressed in the whole world. These variants are very common in the research in our country in our country. (Science Board Meeting, Wednesday 31 March)</v>
      </c>
    </row>
    <row r="1303" spans="1:5" ht="15.75" customHeight="1" x14ac:dyDescent="0.25">
      <c r="A1303" s="1" t="s">
        <v>2605</v>
      </c>
      <c r="B1303" s="1">
        <v>22221</v>
      </c>
      <c r="C1303" s="3">
        <v>44286.84715277778</v>
      </c>
      <c r="D1303" s="1" t="s">
        <v>2606</v>
      </c>
      <c r="E1303" s="4" t="str">
        <f ca="1">IFERROR(__xludf.DUMMYFUNCTION("GOOGLETRANSLATE(A1303 , ""tr"" , ""en"")"),"The increased number of cases is proof that the virus continues to protect the power of the virus. The society seems to have not yet taken the agenda to the agenda. (Science Board Meeting, Wednesday 31 March)")</f>
        <v>The increased number of cases is proof that the virus continues to protect the power of the virus. The society seems to have not yet taken the agenda to the agenda. (Science Board Meeting, Wednesday 31 March)</v>
      </c>
    </row>
    <row r="1304" spans="1:5" ht="15.75" customHeight="1" x14ac:dyDescent="0.25">
      <c r="A1304" s="1" t="s">
        <v>2607</v>
      </c>
      <c r="B1304" s="1">
        <v>6884</v>
      </c>
      <c r="C1304" s="3">
        <v>44286.798483796294</v>
      </c>
      <c r="D1304" s="1" t="s">
        <v>2608</v>
      </c>
      <c r="E1304" s="4" t="str">
        <f ca="1">IFERROR(__xludf.DUMMYFUNCTION("GOOGLETRANSLATE(A1304 , ""tr"" , ""en"")"),"At the present meeting of the Science Board, we addressed the increasing risk level in some of our provinces, with the latest developments and vaccination in vaccination in the present meeting of the virus. With the vaccination, we are by means of the rem"&amp;"inder of the fact that the immunization target protects the virus power. https://t.co/2JFNWIHPOI")</f>
        <v>At the present meeting of the Science Board, we addressed the increasing risk level in some of our provinces, with the latest developments and vaccination in vaccination in the present meeting of the virus. With the vaccination, we are by means of the reminder of the fact that the immunization target protects the virus power. https://t.co/2JFNWIHPOI</v>
      </c>
    </row>
    <row r="1305" spans="1:5" ht="15.75" customHeight="1" x14ac:dyDescent="0.25">
      <c r="A1305" s="1" t="s">
        <v>2609</v>
      </c>
      <c r="B1305" s="1">
        <v>30030</v>
      </c>
      <c r="C1305" s="3">
        <v>44285.968356481484</v>
      </c>
      <c r="D1305" s="1" t="s">
        <v>2610</v>
      </c>
      <c r="E1305" s="4" t="str">
        <f ca="1">IFERROR(__xludf.DUMMYFUNCTION("GOOGLETRANSLATE(A1305 , ""tr"" , ""en"")"),"3-3 is not an equality. Let us show the difference between us with larger support.")</f>
        <v>3-3 is not an equality. Let us show the difference between us with larger support.</v>
      </c>
    </row>
    <row r="1306" spans="1:5" ht="15.75" customHeight="1" x14ac:dyDescent="0.25">
      <c r="A1306" s="1" t="s">
        <v>2611</v>
      </c>
      <c r="B1306" s="1">
        <v>4244</v>
      </c>
      <c r="C1306" s="3">
        <v>44285.936516203707</v>
      </c>
      <c r="D1306" s="1" t="s">
        <v>2612</v>
      </c>
      <c r="E1306" s="4" t="str">
        <f ca="1">IFERROR(__xludf.DUMMYFUNCTION("GOOGLETRANSLATE(A1306 , ""tr"" , ""en"")"),"We had another task yesterday. We were in the council of council. The Tuesday, Wednesdays and Thursdays in which the General Assembly is working on Wednesday and Thursday. I would like to thank all our proxies to meet us to convey your demands on our guar"&amp;"d. https://t.co/15nfkn6i1t")</f>
        <v>We had another task yesterday. We were in the council of council. The Tuesday, Wednesdays and Thursdays in which the General Assembly is working on Wednesday and Thursday. I would like to thank all our proxies to meet us to convey your demands on our guard. https://t.co/15nfkn6i1t</v>
      </c>
    </row>
    <row r="1307" spans="1:5" ht="15.75" customHeight="1" x14ac:dyDescent="0.25">
      <c r="A1307" s="1" t="s">
        <v>2613</v>
      </c>
      <c r="B1307" s="1">
        <v>34686</v>
      </c>
      <c r="C1307" s="3">
        <v>44284.713923611111</v>
      </c>
      <c r="D1307" s="1" t="s">
        <v>2614</v>
      </c>
      <c r="E1307" s="4" t="str">
        <f ca="1">IFERROR(__xludf.DUMMYFUNCTION("GOOGLETRANSLATE(A1307 , ""tr"" , ""en"")"),"Our last map showing the risk status of our provinces. The virus has not lost its power. We have to turn this map to blue. The vaccine program should struggle until we provide society immunity. We don't lose the easy one that has exceeded the hard one. ht"&amp;"tps://t.co/jbnzgpnbwq")</f>
        <v>Our last map showing the risk status of our provinces. The virus has not lost its power. We have to turn this map to blue. The vaccine program should struggle until we provide society immunity. We don't lose the easy one that has exceeded the hard one. https://t.co/jbnzgpnbwq</v>
      </c>
    </row>
    <row r="1308" spans="1:5" ht="15.75" customHeight="1" x14ac:dyDescent="0.25">
      <c r="A1308" s="1" t="s">
        <v>2615</v>
      </c>
      <c r="B1308" s="1">
        <v>0</v>
      </c>
      <c r="C1308" s="3">
        <v>44284.697210648148</v>
      </c>
      <c r="D1308" s="1" t="s">
        <v>2616</v>
      </c>
      <c r="E1308" s="4" t="str">
        <f ca="1">IFERROR(__xludf.DUMMYFUNCTION("GOOGLETRANSLATE(A1308 , ""tr"" , ""en"")"),"RT @rterdogan: Shouting Nation After Cabinet Meeting https://t.co/vcaxodxb1b")</f>
        <v>RT @rterdogan: Shouting Nation After Cabinet Meeting https://t.co/vcaxodxb1b</v>
      </c>
    </row>
    <row r="1309" spans="1:5" ht="15.75" customHeight="1" x14ac:dyDescent="0.25">
      <c r="A1309" s="1" t="s">
        <v>2617</v>
      </c>
      <c r="B1309" s="1">
        <v>19658</v>
      </c>
      <c r="C1309" s="3">
        <v>44283.507708333331</v>
      </c>
      <c r="D1309" s="1" t="s">
        <v>2618</v>
      </c>
      <c r="E1309" s="4" t="str">
        <f ca="1">IFERROR(__xludf.DUMMYFUNCTION("GOOGLETRANSLATE(A1309 , ""tr"" , ""en"")"),"Our Minister Minister Mr. Süleyman Loyal Geyefendi's Precious Unspecified Hami Reis Halk's mercy. I wish heracy from Allah, my brother Süleyman Bey and his family.")</f>
        <v>Our Minister Minister Mr. Süleyman Loyal Geyefendi's Precious Unspecified Hami Reis Halk's mercy. I wish heracy from Allah, my brother Süleyman Bey and his family.</v>
      </c>
    </row>
    <row r="1310" spans="1:5" ht="15.75" customHeight="1" x14ac:dyDescent="0.25">
      <c r="A1310" s="1" t="s">
        <v>2619</v>
      </c>
      <c r="B1310" s="1">
        <v>27741</v>
      </c>
      <c r="C1310" s="3">
        <v>44282.858715277776</v>
      </c>
      <c r="D1310" s="1" t="s">
        <v>2620</v>
      </c>
      <c r="E1310" s="4" t="str">
        <f ca="1">IFERROR(__xludf.DUMMYFUNCTION("GOOGLETRANSLATE(A1310 , ""tr"" , ""en"")"),"We will also get larger matches. We will also hug the fully.
A national football team is thankful for the win. https://t.co/fcba0sp40g")</f>
        <v>We will also get larger matches. We will also hug the fully.
A national football team is thankful for the win. https://t.co/fcba0sp40g</v>
      </c>
    </row>
    <row r="1311" spans="1:5" ht="15.75" customHeight="1" x14ac:dyDescent="0.25">
      <c r="A1311" s="1" t="s">
        <v>2621</v>
      </c>
      <c r="B1311" s="1">
        <v>26333</v>
      </c>
      <c r="C1311" s="3">
        <v>44282.773946759262</v>
      </c>
      <c r="D1311" s="1" t="s">
        <v>2622</v>
      </c>
      <c r="E1311" s="4" t="str">
        <f ca="1">IFERROR(__xludf.DUMMYFUNCTION("GOOGLETRANSLATE(A1311 , ""tr"" , ""en"")"),"Berate wander tonight. In the spirit of ""acquittal"", let's always be full of favor to be nailed to our surroundings to our environment for donating to our environment. Let us be the message to our other virtue and friendship. And we think, what is the m"&amp;"essage to us this night beyond all the gang messages?")</f>
        <v>Berate wander tonight. In the spirit of "acquittal", let's always be full of favor to be nailed to our surroundings to our environment for donating to our environment. Let us be the message to our other virtue and friendship. And we think, what is the message to us this night beyond all the gang messages?</v>
      </c>
    </row>
    <row r="1312" spans="1:5" ht="15.75" customHeight="1" x14ac:dyDescent="0.25">
      <c r="A1312" s="1" t="s">
        <v>2623</v>
      </c>
      <c r="B1312" s="1">
        <v>11185</v>
      </c>
      <c r="C1312" s="3">
        <v>44282.681516203702</v>
      </c>
      <c r="D1312" s="1" t="s">
        <v>2624</v>
      </c>
      <c r="E1312" s="4" t="str">
        <f ca="1">IFERROR(__xludf.DUMMYFUNCTION("GOOGLETRANSLATE(A1312 , ""tr"" , ""en"")"),"Morbid Obese, which is in the risk group, cancer and dialysis patients with malignant tumors and down syndrome are identified to the system to become a priority vaccination of our citizens and immuno suppressive treatment areas. We would like to protect o"&amp;"ur most risky citizen as soon as possible.")</f>
        <v>Morbid Obese, which is in the risk group, cancer and dialysis patients with malignant tumors and down syndrome are identified to the system to become a priority vaccination of our citizens and immuno suppressive treatment areas. We would like to protect our most risky citizen as soon as possible.</v>
      </c>
    </row>
    <row r="1313" spans="1:5" ht="15.75" customHeight="1" x14ac:dyDescent="0.25">
      <c r="A1313" s="1" t="s">
        <v>2625</v>
      </c>
      <c r="B1313" s="1">
        <v>22900</v>
      </c>
      <c r="C1313" s="3">
        <v>44282.681122685186</v>
      </c>
      <c r="D1313" s="1" t="s">
        <v>2626</v>
      </c>
      <c r="E1313" s="4" t="str">
        <f ca="1">IFERROR(__xludf.DUMMYFUNCTION("GOOGLETRANSLATE(A1313 , ""tr"" , ""en"")"),"We go to the new group in the vaccine program. Our citizens, which are defined into the system, our citizens over 60 years of age will be the vaccines by making an appointment with their partners. In addition, some risk groups were also included in the pr"&amp;"ogram.")</f>
        <v>We go to the new group in the vaccine program. Our citizens, which are defined into the system, our citizens over 60 years of age will be the vaccines by making an appointment with their partners. In addition, some risk groups were also included in the program.</v>
      </c>
    </row>
    <row r="1314" spans="1:5" ht="15.75" customHeight="1" x14ac:dyDescent="0.25">
      <c r="A1314" s="1" t="s">
        <v>2627</v>
      </c>
      <c r="B1314" s="1">
        <v>9111</v>
      </c>
      <c r="C1314" s="3">
        <v>44280.886620370373</v>
      </c>
      <c r="D1314" s="1" t="s">
        <v>2628</v>
      </c>
      <c r="E1314" s="4" t="str">
        <f ca="1">IFERROR(__xludf.DUMMYFUNCTION("GOOGLETRANSLATE(A1314 , ""tr"" , ""en"")"),"There's a question you'd expect: How long will it last? When is the epidemic to be controlled? This is very clear: this will last for this ordeal when vaccination is over. According to our plans, 100 million dose of vaccines will be in our hand until the "&amp;"end of May. And the vaccine of 50 million people will be completed. https://t.co/7mlp6sdq4k")</f>
        <v>There's a question you'd expect: How long will it last? When is the epidemic to be controlled? This is very clear: this will last for this ordeal when vaccination is over. According to our plans, 100 million dose of vaccines will be in our hand until the end of May. And the vaccine of 50 million people will be completed. https://t.co/7mlp6sdq4k</v>
      </c>
    </row>
    <row r="1315" spans="1:5" ht="15.75" customHeight="1" x14ac:dyDescent="0.25">
      <c r="A1315" s="1" t="s">
        <v>2629</v>
      </c>
      <c r="B1315" s="1">
        <v>5816</v>
      </c>
      <c r="C1315" s="3">
        <v>44280.867928240739</v>
      </c>
      <c r="D1315" s="1" t="s">
        <v>2630</v>
      </c>
      <c r="E1315" s="4" t="str">
        <f ca="1">IFERROR(__xludf.DUMMYFUNCTION("GOOGLETRANSLATE(A1315 , ""tr"" , ""en"")"),"It is very clear that the vaccine will be a long-term need. It is wrong to connect the vaccines produced by other countries. Beyond forced on supply, economic costs are also heavy. Our own vaccine is our own weapon. Our native vaccine studies include sign"&amp;"ificant developments towards the conclusion. https://t.co/hlvisfrovf")</f>
        <v>It is very clear that the vaccine will be a long-term need. It is wrong to connect the vaccines produced by other countries. Beyond forced on supply, economic costs are also heavy. Our own vaccine is our own weapon. Our native vaccine studies include significant developments towards the conclusion. https://t.co/hlvisfrovf</v>
      </c>
    </row>
    <row r="1316" spans="1:5" ht="15.75" customHeight="1" x14ac:dyDescent="0.25">
      <c r="A1316" s="1" t="s">
        <v>2631</v>
      </c>
      <c r="B1316" s="1">
        <v>4609</v>
      </c>
      <c r="C1316" s="3">
        <v>44280.837835648148</v>
      </c>
      <c r="D1316" s="1" t="s">
        <v>2632</v>
      </c>
      <c r="E1316" s="4" t="str">
        <f ca="1">IFERROR(__xludf.DUMMYFUNCTION("GOOGLETRANSLATE(A1316 , ""tr"" , ""en"")"),"Our options in vaccination are increasing. To accelerate the process of vaccination, we have new procurement sources as well as vaccines such as Sinovac, Biontech. Our interviews with different producers are driving. There are 40 million dose in supply pl"&amp;"anning with only one of them. https://t.co/yffxz5hclo")</f>
        <v>Our options in vaccination are increasing. To accelerate the process of vaccination, we have new procurement sources as well as vaccines such as Sinovac, Biontech. Our interviews with different producers are driving. There are 40 million dose in supply planning with only one of them. https://t.co/yffxz5hclo</v>
      </c>
    </row>
    <row r="1317" spans="1:5" ht="15.75" customHeight="1" x14ac:dyDescent="0.25">
      <c r="A1317" s="1" t="s">
        <v>2633</v>
      </c>
      <c r="B1317" s="1">
        <v>5503</v>
      </c>
      <c r="C1317" s="3">
        <v>44280.822870370372</v>
      </c>
      <c r="D1317" s="1" t="s">
        <v>2634</v>
      </c>
      <c r="E1317" s="4" t="str">
        <f ca="1">IFERROR(__xludf.DUMMYFUNCTION("GOOGLETRANSLATE(A1317 , ""tr"" , ""en"")"),"The BIONTECH vaccine. We have included the German originated BionTech vaccine to accelerate the vaccination. 1.4 million dose vaccines as of today. At the beginning of April this will reach 4.5 million dose. We also made a 30 million dosing option. We wil"&amp;"l get more vaccines as production increases. https://t.co/ftb6iruigw")</f>
        <v>The BIONTECH vaccine. We have included the German originated BionTech vaccine to accelerate the vaccination. 1.4 million dose vaccines as of today. At the beginning of April this will reach 4.5 million dose. We also made a 30 million dosing option. We will get more vaccines as production increases. https://t.co/ftb6iruigw</v>
      </c>
    </row>
    <row r="1318" spans="1:5" ht="15.75" customHeight="1" x14ac:dyDescent="0.25">
      <c r="A1318" s="1" t="s">
        <v>2635</v>
      </c>
      <c r="B1318" s="1">
        <v>11561</v>
      </c>
      <c r="C1318" s="3">
        <v>44280.820127314815</v>
      </c>
      <c r="D1318" s="1" t="s">
        <v>2636</v>
      </c>
      <c r="E1318" s="4" t="str">
        <f ca="1">IFERROR(__xludf.DUMMYFUNCTION("GOOGLETRANSLATE(A1318 , ""tr"" , ""en"")"),"What should we understand from the vaccine statement in the ""BULK""? The bulk although the vaccine is the bottled form of vaccine. This path is preferred due to the convenience in transport. 10 million dose vaccines that reach the previous 18 million dos"&amp;"e, which reached the previous 18 million dose. Bottle is started.")</f>
        <v>What should we understand from the vaccine statement in the "BULK"? The bulk although the vaccine is the bottled form of vaccine. This path is preferred due to the convenience in transport. 10 million dose vaccines that reach the previous 18 million dose, which reached the previous 18 million dose. Bottle is started.</v>
      </c>
    </row>
    <row r="1319" spans="1:5" ht="15.75" customHeight="1" x14ac:dyDescent="0.25">
      <c r="A1319" s="1" t="s">
        <v>2637</v>
      </c>
      <c r="B1319" s="1">
        <v>5716</v>
      </c>
      <c r="C1319" s="3">
        <v>44280.8125</v>
      </c>
      <c r="D1319" s="1" t="s">
        <v>2638</v>
      </c>
      <c r="E1319" s="4" t="str">
        <f ca="1">IFERROR(__xludf.DUMMYFUNCTION("GOOGLETRANSLATE(A1319 , ""tr"" , ""en"")"),"100 million dose vaccines will come by the end of May! The portion that comes so far is over 18 million dose. 14 million dose of vaccine was applied. The vaccine that corresponds to 10 million dose, the vaccine in the ""Bulk"" reached our hand today. With"&amp;" 100 million dose, we will have the vaccination of 50 million people. https://t.co/fsmroIoott")</f>
        <v>100 million dose vaccines will come by the end of May! The portion that comes so far is over 18 million dose. 14 million dose of vaccine was applied. The vaccine that corresponds to 10 million dose, the vaccine in the "Bulk" reached our hand today. With 100 million dose, we will have the vaccination of 50 million people. https://t.co/fsmroIoott</v>
      </c>
    </row>
    <row r="1320" spans="1:5" ht="15.75" customHeight="1" x14ac:dyDescent="0.25">
      <c r="A1320" s="1" t="s">
        <v>2639</v>
      </c>
      <c r="B1320" s="1">
        <v>5977</v>
      </c>
      <c r="C1320" s="3">
        <v>44280.772858796299</v>
      </c>
      <c r="D1320" s="1" t="s">
        <v>2640</v>
      </c>
      <c r="E1320" s="4" t="str">
        <f ca="1">IFERROR(__xludf.DUMMYFUNCTION("GOOGLETRANSLATE(A1320 , ""tr"" , ""en"")"),"After our science board meeting, we can watch our press statement from our YouTube channel.
Video: https://t.co/u3e5Ieoqux https://t.co/xakmwejr0y")</f>
        <v>After our science board meeting, we can watch our press statement from our YouTube channel.
Video: https://t.co/u3e5Ieoqux https://t.co/xakmwejr0y</v>
      </c>
    </row>
    <row r="1321" spans="1:5" ht="15.75" customHeight="1" x14ac:dyDescent="0.25">
      <c r="A1321" s="1" t="s">
        <v>2641</v>
      </c>
      <c r="B1321" s="1">
        <v>26783</v>
      </c>
      <c r="C1321" s="3">
        <v>44280.697604166664</v>
      </c>
      <c r="D1321" s="1" t="s">
        <v>2642</v>
      </c>
      <c r="E1321" s="4" t="str">
        <f ca="1">IFERROR(__xludf.DUMMYFUNCTION("GOOGLETRANSLATE(A1321 , ""tr"" , ""en"")"),"Your stance is not forgotten your style, even the sample was counted. Our nation is still thankful for the attitude such as the castle you show in the hard times of the country. You have brought the sense of Anatolia in politics. The man of this soil love"&amp;"d you for that too. Your soul is the Chairman Muhsin. https://t.co/3mtz31fcou")</f>
        <v>Your stance is not forgotten your style, even the sample was counted. Our nation is still thankful for the attitude such as the castle you show in the hard times of the country. You have brought the sense of Anatolia in politics. The man of this soil loved you for that too. Your soul is the Chairman Muhsin. https://t.co/3mtz31fcou</v>
      </c>
    </row>
    <row r="1322" spans="1:5" ht="15.75" customHeight="1" x14ac:dyDescent="0.25">
      <c r="A1322" s="1" t="s">
        <v>2643</v>
      </c>
      <c r="B1322" s="1">
        <v>18029</v>
      </c>
      <c r="C1322" s="3">
        <v>44279.723391203705</v>
      </c>
      <c r="D1322" s="1" t="s">
        <v>2644</v>
      </c>
      <c r="E1322" s="4" t="str">
        <f ca="1">IFERROR(__xludf.DUMMYFUNCTION("GOOGLETRANSLATE(A1322 , ""tr"" , ""en"")"),"Today, more than 700 thousand dose of biontech vaccines reached our country. Thus, approximately 1.4 million dose has reached the ready-made vaccine. This vaccine will be used for the first time in our country. The vaccine will be applied at each center t"&amp;"hat suits the storage conditions.")</f>
        <v>Today, more than 700 thousand dose of biontech vaccines reached our country. Thus, approximately 1.4 million dose has reached the ready-made vaccine. This vaccine will be used for the first time in our country. The vaccine will be applied at each center that suits the storage conditions.</v>
      </c>
    </row>
    <row r="1323" spans="1:5" ht="15.75" customHeight="1" x14ac:dyDescent="0.25">
      <c r="A1323" s="1" t="s">
        <v>2645</v>
      </c>
      <c r="B1323" s="1">
        <v>8800</v>
      </c>
      <c r="C1323" s="3">
        <v>44279.72247685185</v>
      </c>
      <c r="D1323" s="1" t="s">
        <v>2646</v>
      </c>
      <c r="E1323" s="4" t="str">
        <f ca="1">IFERROR(__xludf.DUMMYFUNCTION("GOOGLETRANSLATE(A1323 , ""tr"" , ""en"")"),"The biontech vaccine has reached our country to test 5,800 in the last week. If yesterday we have received about 750 thousand dose of overdose. The first time of tests and clinical research came to the first time biontech vaccine. Security tests are done "&amp;"and will be applied to our citizens coming next week. https://t.co/endmpad9rt")</f>
        <v>The biontech vaccine has reached our country to test 5,800 in the last week. If yesterday we have received about 750 thousand dose of overdose. The first time of tests and clinical research came to the first time biontech vaccine. Security tests are done and will be applied to our citizens coming next week. https://t.co/endmpad9rt</v>
      </c>
    </row>
    <row r="1324" spans="1:5" ht="15.75" customHeight="1" x14ac:dyDescent="0.25">
      <c r="A1324" s="1" t="s">
        <v>2647</v>
      </c>
      <c r="B1324" s="1">
        <v>30175</v>
      </c>
      <c r="C1324" s="3">
        <v>44279.609513888892</v>
      </c>
      <c r="D1324" s="1" t="s">
        <v>2648</v>
      </c>
      <c r="E1324" s="4" t="str">
        <f ca="1">IFERROR(__xludf.DUMMYFUNCTION("GOOGLETRANSLATE(A1324 , ""tr"" , ""en"")"),"The love is the love, compassion and science that will be brightly to the darkness. The AK Party established with this spirit will continue its way in 2023, in 2053 and the same vision in 2071. In our congress, we congratulate the President of the Preside"&amp;"nt of the President.")</f>
        <v>The love is the love, compassion and science that will be brightly to the darkness. The AK Party established with this spirit will continue its way in 2023, in 2053 and the same vision in 2071. In our congress, we congratulate the President of the President of the President.</v>
      </c>
    </row>
    <row r="1325" spans="1:5" ht="15.75" customHeight="1" x14ac:dyDescent="0.25">
      <c r="A1325" s="1" t="s">
        <v>2649</v>
      </c>
      <c r="B1325" s="1">
        <v>36480</v>
      </c>
      <c r="C1325" s="3">
        <v>44278.711099537039</v>
      </c>
      <c r="D1325" s="1" t="s">
        <v>2650</v>
      </c>
      <c r="E1325" s="4" t="str">
        <f ca="1">IFERROR(__xludf.DUMMYFUNCTION("GOOGLETRANSLATE(A1325 , ""tr"" , ""en"")"),"We have to pay attention. We found 26 thousand 182 new cases today. Again we have 138 life loss today. The case and the number of losses threaten our lives, which we have earned by effort. Our return is the measure.")</f>
        <v>We have to pay attention. We found 26 thousand 182 new cases today. Again we have 138 life loss today. The case and the number of losses threaten our lives, which we have earned by effort. Our return is the measure.</v>
      </c>
    </row>
    <row r="1326" spans="1:5" ht="15.75" customHeight="1" x14ac:dyDescent="0.25">
      <c r="A1326" s="1" t="s">
        <v>2651</v>
      </c>
      <c r="B1326" s="1">
        <v>9199</v>
      </c>
      <c r="C1326" s="3">
        <v>44278.431886574072</v>
      </c>
      <c r="D1326" s="1" t="s">
        <v>2652</v>
      </c>
      <c r="E1326" s="4" t="str">
        <f ca="1">IFERROR(__xludf.DUMMYFUNCTION("GOOGLETRANSLATE(A1326 , ""tr"" , ""en"")"),"Last week 100,000 Population Case Show Rate The most increasing provinces: Kastamonu, Çankırı, Yalova, Istanbul and Erzincan. Our most diminished provinces: Sinop, Gumushane, Mersin, Kırıkkale and Bur. Is the measure to eliminate the risk. https://t.co/mh"&amp;"um3yklho")</f>
        <v>Last week 100,000 Population Case Show Rate The most increasing provinces: Kastamonu, Çankırı, Yalova, Istanbul and Erzincan. Our most diminished provinces: Sinop, Gumushane, Mersin, Kırıkkale and Bur. Is the measure to eliminate the risk. https://t.co/mhum3yklho</v>
      </c>
    </row>
    <row r="1327" spans="1:5" ht="15.75" customHeight="1" x14ac:dyDescent="0.25">
      <c r="A1327" s="1" t="s">
        <v>2653</v>
      </c>
      <c r="B1327" s="1">
        <v>9687</v>
      </c>
      <c r="C1327" s="3">
        <v>44277.932557870372</v>
      </c>
      <c r="D1327" s="1" t="s">
        <v>2654</v>
      </c>
      <c r="E1327" s="4" t="str">
        <f ca="1">IFERROR(__xludf.DUMMYFUNCTION("GOOGLETRANSLATE(A1327 , ""tr"" , ""en"")"),"Case increase continues. In the past week, we have made a cororrelation meeting with our provincial administrators experiencing the most case increase. Our experience is enough to breast this increase. On-site decision, on-site measure, we will not give t"&amp;"he opportunity to the virus with effective struggle. https://t.co/r3ro87jivg")</f>
        <v>Case increase continues. In the past week, we have made a cororrelation meeting with our provincial administrators experiencing the most case increase. Our experience is enough to breast this increase. On-site decision, on-site measure, we will not give the opportunity to the virus with effective struggle. https://t.co/r3ro87jivg</v>
      </c>
    </row>
    <row r="1328" spans="1:5" ht="15.75" customHeight="1" x14ac:dyDescent="0.25">
      <c r="A1328" s="1" t="s">
        <v>2655</v>
      </c>
      <c r="B1328" s="1">
        <v>9169</v>
      </c>
      <c r="C1328" s="3">
        <v>44277.780312499999</v>
      </c>
      <c r="D1328" s="1" t="s">
        <v>2656</v>
      </c>
      <c r="E1328" s="4" t="str">
        <f ca="1">IFERROR(__xludf.DUMMYFUNCTION("GOOGLETRANSLATE(A1328 , ""tr"" , ""en"")"),"Our emergency medical technicians and technicians who have undertaken critical tasks in the moments competed in time to save life ... You are the hero of our health services, all of us boast. 22 March Emergency Medical Technicians and Technicians Happy Da"&amp;"y. Turkey loves you. https://t.co/uhu9hvtda7")</f>
        <v>Our emergency medical technicians and technicians who have undertaken critical tasks in the moments competed in time to save life ... You are the hero of our health services, all of us boast. 22 March Emergency Medical Technicians and Technicians Happy Day. Turkey loves you. https://t.co/uhu9hvtda7</v>
      </c>
    </row>
    <row r="1329" spans="1:5" ht="15.75" customHeight="1" x14ac:dyDescent="0.25">
      <c r="A1329" s="1" t="s">
        <v>2657</v>
      </c>
      <c r="B1329" s="1">
        <v>24707</v>
      </c>
      <c r="C1329" s="3">
        <v>44277.35670138889</v>
      </c>
      <c r="D1329" s="1" t="s">
        <v>2658</v>
      </c>
      <c r="E1329" s="4" t="str">
        <f ca="1">IFERROR(__xludf.DUMMYFUNCTION("GOOGLETRANSLATE(A1329 , ""tr"" , ""en"")"),"Tweet I left to throw yesterdays: 21 March World Poetry Day, yesterday, today, today, happy tomorrow. Let's reinforce the poem against all kinds of viruses, let's not forget.")</f>
        <v>Tweet I left to throw yesterdays: 21 March World Poetry Day, yesterday, today, today, happy tomorrow. Let's reinforce the poem against all kinds of viruses, let's not forget.</v>
      </c>
    </row>
    <row r="1330" spans="1:5" ht="15.75" customHeight="1" x14ac:dyDescent="0.25">
      <c r="A1330" s="1" t="s">
        <v>2659</v>
      </c>
      <c r="B1330" s="1">
        <v>25996</v>
      </c>
      <c r="C1330" s="3">
        <v>44277.314166666663</v>
      </c>
      <c r="D1330" s="1" t="s">
        <v>2660</v>
      </c>
      <c r="E1330" s="4" t="str">
        <f ca="1">IFERROR(__xludf.DUMMYFUNCTION("GOOGLETRANSLATE(A1330 , ""tr"" , ""en"")"),"We take the knowledge that they are removing the mask at work. However, the risk is in the work environment as it is outside. While at work, you are not far from the sight: You are in front of 83 million eyes with the risk you received. Please act respons"&amp;"ibly. Do not remove your mask.")</f>
        <v>We take the knowledge that they are removing the mask at work. However, the risk is in the work environment as it is outside. While at work, you are not far from the sight: You are in front of 83 million eyes with the risk you received. Please act responsibly. Do not remove your mask.</v>
      </c>
    </row>
    <row r="1331" spans="1:5" ht="15.75" customHeight="1" x14ac:dyDescent="0.25">
      <c r="A1331" s="1" t="s">
        <v>2661</v>
      </c>
      <c r="B1331" s="1">
        <v>13734</v>
      </c>
      <c r="C1331" s="3">
        <v>44276.684606481482</v>
      </c>
      <c r="D1331" s="1" t="s">
        <v>2662</v>
      </c>
      <c r="E1331" s="4" t="str">
        <f ca="1">IFERROR(__xludf.DUMMYFUNCTION("GOOGLETRANSLATE(A1331 , ""tr"" , ""en"")"),"Celebrated today is not just the arrival of the spring. More than that. For example, the rise of hopes. Spring inspire all of us against difficulties. I celebrate your Nevruz from the heart.")</f>
        <v>Celebrated today is not just the arrival of the spring. More than that. For example, the rise of hopes. Spring inspire all of us against difficulties. I celebrate your Nevruz from the heart.</v>
      </c>
    </row>
    <row r="1332" spans="1:5" ht="15.75" customHeight="1" x14ac:dyDescent="0.25">
      <c r="A1332" s="1" t="s">
        <v>2663</v>
      </c>
      <c r="B1332" s="1">
        <v>7216</v>
      </c>
      <c r="C1332" s="3">
        <v>44276.661006944443</v>
      </c>
      <c r="D1332" s="1" t="s">
        <v>2664</v>
      </c>
      <c r="E1332" s="4" t="str">
        <f ca="1">IFERROR(__xludf.DUMMYFUNCTION("GOOGLETRANSLATE(A1332 , ""tr"" , ""en"")"),"In love with this world, about half a century, leaving this world. The poems are not when they are the name of them. It was a folk ozan other, a folk philosophofu was a wise to the answer, asking the difficult questions to be expressed. A passenger in the"&amp;" most of the roads. We embarrass. https://t.co/dvp0nh2bey")</f>
        <v>In love with this world, about half a century, leaving this world. The poems are not when they are the name of them. It was a folk ozan other, a folk philosophofu was a wise to the answer, asking the difficult questions to be expressed. A passenger in the most of the roads. We embarrass. https://t.co/dvp0nh2bey</v>
      </c>
    </row>
    <row r="1333" spans="1:5" ht="15.75" customHeight="1" x14ac:dyDescent="0.25">
      <c r="A1333" s="1" t="s">
        <v>2665</v>
      </c>
      <c r="B1333" s="1">
        <v>9298</v>
      </c>
      <c r="C1333" s="3">
        <v>44276.643182870372</v>
      </c>
      <c r="D1333" s="1" t="s">
        <v>2666</v>
      </c>
      <c r="E1333" s="4" t="str">
        <f ca="1">IFERROR(__xludf.DUMMYFUNCTION("GOOGLETRANSLATE(A1333 , ""tr"" , ""en"")"),"On the occasion of DOWN SENDROMU awareness day, I respect our children with down syndrome, respect and their family of adult individuals and their families. Down syndrome are special people with their perceptions and feelings. Let's try to understand them"&amp;". Let's be sensitive to their world that is one.")</f>
        <v>On the occasion of DOWN SENDROMU awareness day, I respect our children with down syndrome, respect and their family of adult individuals and their families. Down syndrome are special people with their perceptions and feelings. Let's try to understand them. Let's be sensitive to their world that is one.</v>
      </c>
    </row>
    <row r="1334" spans="1:5" ht="15.75" customHeight="1" x14ac:dyDescent="0.25">
      <c r="A1334" s="1" t="s">
        <v>2667</v>
      </c>
      <c r="B1334" s="1">
        <v>40244</v>
      </c>
      <c r="C1334" s="3">
        <v>44276.625694444447</v>
      </c>
      <c r="D1334" s="1" t="s">
        <v>2668</v>
      </c>
      <c r="E1334" s="4" t="str">
        <f ca="1">IFERROR(__xludf.DUMMYFUNCTION("GOOGLETRANSLATE(A1334 , ""tr"" , ""en"")"),"Let's be cautious about today.")</f>
        <v>Let's be cautious about today.</v>
      </c>
    </row>
    <row r="1335" spans="1:5" ht="15.75" customHeight="1" x14ac:dyDescent="0.25">
      <c r="A1335" s="1" t="s">
        <v>2669</v>
      </c>
      <c r="B1335" s="1">
        <v>12785</v>
      </c>
      <c r="C1335" s="3">
        <v>44276.562962962962</v>
      </c>
      <c r="D1335" s="1" t="s">
        <v>2670</v>
      </c>
      <c r="E1335" s="4" t="str">
        <f ca="1">IFERROR(__xludf.DUMMYFUNCTION("GOOGLETRANSLATE(A1335 , ""tr"" , ""en"")"),"Close to the victory of the science, but some losses are also given to the victory too. Do not recognize this opportunity.")</f>
        <v>Close to the victory of the science, but some losses are also given to the victory too. Do not recognize this opportunity.</v>
      </c>
    </row>
    <row r="1336" spans="1:5" ht="15.75" customHeight="1" x14ac:dyDescent="0.25">
      <c r="A1336" s="1" t="s">
        <v>2671</v>
      </c>
      <c r="B1336" s="1">
        <v>18331</v>
      </c>
      <c r="C1336" s="3">
        <v>44276.535011574073</v>
      </c>
      <c r="D1336" s="1" t="s">
        <v>2672</v>
      </c>
      <c r="E1336" s="4" t="str">
        <f ca="1">IFERROR(__xludf.DUMMYFUNCTION("GOOGLETRANSLATE(A1336 , ""tr"" , ""en"")"),"Today, some of us are at home, some of us do not want to. Let's drop the risk of weekly everywhere.")</f>
        <v>Today, some of us are at home, some of us do not want to. Let's drop the risk of weekly everywhere.</v>
      </c>
    </row>
    <row r="1337" spans="1:5" ht="15.75" customHeight="1" x14ac:dyDescent="0.25">
      <c r="A1337" s="1" t="s">
        <v>2673</v>
      </c>
      <c r="B1337" s="1">
        <v>34293</v>
      </c>
      <c r="C1337" s="3">
        <v>44275.785937499997</v>
      </c>
      <c r="D1337" s="1" t="s">
        <v>2674</v>
      </c>
      <c r="E1337" s="4" t="str">
        <f ca="1">IFERROR(__xludf.DUMMYFUNCTION("GOOGLETRANSLATE(A1337 , ""tr"" , ""en"")"),"We cannot count the virus. We should not allow him to take our normal life. We can achieve this by complying with the measures.")</f>
        <v>We cannot count the virus. We should not allow him to take our normal life. We can achieve this by complying with the measures.</v>
      </c>
    </row>
    <row r="1338" spans="1:5" ht="15.75" customHeight="1" x14ac:dyDescent="0.25">
      <c r="A1338" s="1" t="s">
        <v>2675</v>
      </c>
      <c r="B1338" s="1">
        <v>16366</v>
      </c>
      <c r="C1338" s="3">
        <v>44275.782685185186</v>
      </c>
      <c r="D1338" s="1" t="s">
        <v>2676</v>
      </c>
      <c r="E1338" s="4" t="str">
        <f ca="1">IFERROR(__xludf.DUMMYFUNCTION("GOOGLETRANSLATE(A1338 , ""tr"" , ""en"")"),"In our provinces, you can see the incidence map that shows the total number of cases corresponding to the weekly 100,000 population. We have to return to normal. This is only possible with a measure. https://t.co/MWA4RSIJDD")</f>
        <v>In our provinces, you can see the incidence map that shows the total number of cases corresponding to the weekly 100,000 population. We have to return to normal. This is only possible with a measure. https://t.co/MWA4RSIJDD</v>
      </c>
    </row>
    <row r="1339" spans="1:5" ht="15.75" customHeight="1" x14ac:dyDescent="0.25">
      <c r="A1339" s="1" t="s">
        <v>2677</v>
      </c>
      <c r="B1339" s="1">
        <v>31583</v>
      </c>
      <c r="C1339" s="3">
        <v>44274.857025462959</v>
      </c>
      <c r="D1339" s="1" t="s">
        <v>2678</v>
      </c>
      <c r="E1339" s="4" t="str">
        <f ca="1">IFERROR(__xludf.DUMMYFUNCTION("GOOGLETRANSLATE(A1339 , ""tr"" , ""en"")"),"Our scientists who depend on the German State Engineer Dr. With Özlem Tereci Professor Dr. Congratulate Uğur Sahin. The mercy to save the world is the science that will bring victory. https://t.co/pch5bdsvfw")</f>
        <v>Our scientists who depend on the German State Engineer Dr. With Özlem Tereci Professor Dr. Congratulate Uğur Sahin. The mercy to save the world is the science that will bring victory. https://t.co/pch5bdsvfw</v>
      </c>
    </row>
    <row r="1340" spans="1:5" ht="15.75" customHeight="1" x14ac:dyDescent="0.25">
      <c r="A1340" s="1" t="s">
        <v>2679</v>
      </c>
      <c r="B1340" s="1">
        <v>9343</v>
      </c>
      <c r="C1340" s="3">
        <v>44274.849178240744</v>
      </c>
      <c r="D1340" s="1" t="s">
        <v>2680</v>
      </c>
      <c r="E1340" s="4" t="str">
        <f ca="1">IFERROR(__xludf.DUMMYFUNCTION("GOOGLETRANSLATE(A1340 , ""tr"" , ""en"")"),"It's too big of our bigger age. Happy Seniors Weekly. https://t.co/rslsstm2dx")</f>
        <v>It's too big of our bigger age. Happy Seniors Weekly. https://t.co/rslsstm2dx</v>
      </c>
    </row>
    <row r="1341" spans="1:5" ht="15.75" customHeight="1" x14ac:dyDescent="0.25">
      <c r="A1341" s="1" t="s">
        <v>2681</v>
      </c>
      <c r="B1341" s="1">
        <v>10279</v>
      </c>
      <c r="C1341" s="3">
        <v>44274.750787037039</v>
      </c>
      <c r="D1341" s="1" t="s">
        <v>2682</v>
      </c>
      <c r="E1341" s="4" t="str">
        <f ca="1">IFERROR(__xludf.DUMMYFUNCTION("GOOGLETRANSLATE(A1341 , ""tr"" , ""en"")"),"We had a coordination meeting with our provinces where the case numbers increased. We have consulted measures and practices with provincial executives. We are the ones who can remove the restrictions for not to come again. There was no virus, we have to c"&amp;"omply with the measures. https://t.co/b88jp7yaz9")</f>
        <v>We had a coordination meeting with our provinces where the case numbers increased. We have consulted measures and practices with provincial executives. We are the ones who can remove the restrictions for not to come again. There was no virus, we have to comply with the measures. https://t.co/b88jp7yaz9</v>
      </c>
    </row>
    <row r="1342" spans="1:5" ht="15.75" customHeight="1" x14ac:dyDescent="0.25">
      <c r="A1342" s="1" t="s">
        <v>2683</v>
      </c>
      <c r="B1342" s="1">
        <v>6477</v>
      </c>
      <c r="C1342" s="3">
        <v>44274.619930555556</v>
      </c>
      <c r="D1342" s="1" t="s">
        <v>2684</v>
      </c>
      <c r="E1342" s="4" t="str">
        <f ca="1">IFERROR(__xludf.DUMMYFUNCTION("GOOGLETRANSLATE(A1342 , ""tr"" , ""en"")"),"The world's largest economic historian Mehmet young, leaving the world's historian mehmet young, generations we can benefit from the size of our country, leaving the same in the same body. May the head of our country be right. I wish the infinite mercy, t"&amp;"heir relatives. https://t.co/mwe0oz3y3t")</f>
        <v>The world's largest economic historian Mehmet young, leaving the world's historian mehmet young, generations we can benefit from the size of our country, leaving the same in the same body. May the head of our country be right. I wish the infinite mercy, their relatives. https://t.co/mwe0oz3y3t</v>
      </c>
    </row>
    <row r="1343" spans="1:5" ht="15.75" customHeight="1" x14ac:dyDescent="0.25">
      <c r="A1343" s="1" t="s">
        <v>2685</v>
      </c>
      <c r="B1343" s="1">
        <v>12641</v>
      </c>
      <c r="C1343" s="3">
        <v>44273.626192129632</v>
      </c>
      <c r="D1343" s="1" t="s">
        <v>2686</v>
      </c>
      <c r="E1343" s="4" t="str">
        <f ca="1">IFERROR(__xludf.DUMMYFUNCTION("GOOGLETRANSLATE(A1343 , ""tr"" , ""en"")"),"The state can only be served with a nationalistic and determination. Congratulations with the occasion of the General Presidency in the 13th Ordinary General Assembly of the Party of Mr. State Gardening that exhibits this national and steady stance.")</f>
        <v>The state can only be served with a nationalistic and determination. Congratulations with the occasion of the General Presidency in the 13th Ordinary General Assembly of the Party of Mr. State Gardening that exhibits this national and steady stance.</v>
      </c>
    </row>
    <row r="1344" spans="1:5" ht="15.75" customHeight="1" x14ac:dyDescent="0.25">
      <c r="A1344" s="1" t="s">
        <v>2687</v>
      </c>
      <c r="B1344" s="1">
        <v>28333</v>
      </c>
      <c r="C1344" s="3">
        <v>44273.366932870369</v>
      </c>
      <c r="D1344" s="1" t="s">
        <v>2688</v>
      </c>
      <c r="E1344" s="4" t="str">
        <f ca="1">IFERROR(__xludf.DUMMYFUNCTION("GOOGLETRANSLATE(A1344 , ""tr"" , ""en"")"),"The place is the place where the strongest is thought to be weak, is the place where it is helpless is Çanakkale. The place where a nation is confidently and stands up. In the 106th of our Çanakkale victory, I remember our martyrs and gratefully.")</f>
        <v>The place is the place where the strongest is thought to be weak, is the place where it is helpless is Çanakkale. The place where a nation is confidently and stands up. In the 106th of our Çanakkale victory, I remember our martyrs and gratefully.</v>
      </c>
    </row>
    <row r="1345" spans="1:5" ht="15.75" customHeight="1" x14ac:dyDescent="0.25">
      <c r="A1345" s="1" t="s">
        <v>2689</v>
      </c>
      <c r="B1345" s="1">
        <v>7578</v>
      </c>
      <c r="C1345" s="3">
        <v>44272.914525462962</v>
      </c>
      <c r="D1345" s="1" t="s">
        <v>2690</v>
      </c>
      <c r="E1345" s="4" t="str">
        <f ca="1">IFERROR(__xludf.DUMMYFUNCTION("GOOGLETRANSLATE(A1345 , ""tr"" , ""en"")"),"Never underestimate the job, saying the virus, not the old virus, mutated. Coronavirus is a dangerous virus, albeit the mutant. I offer all of you respect and greetings. Let's be cautious about today. https://t.co/e1sqjg5hkz")</f>
        <v>Never underestimate the job, saying the virus, not the old virus, mutated. Coronavirus is a dangerous virus, albeit the mutant. I offer all of you respect and greetings. Let's be cautious about today. https://t.co/e1sqjg5hkz</v>
      </c>
    </row>
    <row r="1346" spans="1:5" ht="15.75" customHeight="1" x14ac:dyDescent="0.25">
      <c r="A1346" s="1" t="s">
        <v>2691</v>
      </c>
      <c r="B1346" s="1">
        <v>5616</v>
      </c>
      <c r="C1346" s="3">
        <v>44272.907627314817</v>
      </c>
      <c r="D1346" s="1" t="s">
        <v>2692</v>
      </c>
      <c r="E1346" s="4" t="str">
        <f ca="1">IFERROR(__xludf.DUMMYFUNCTION("GOOGLETRANSLATE(A1346 , ""tr"" , ""en"")"),"There are no years in front of us to get COVID-19 to be a mass problem. Humanity exceeded the helplessness of 2020. The year 2021 is the year of Hope and Victory. https://t.co/pov7cuxqmz")</f>
        <v>There are no years in front of us to get COVID-19 to be a mass problem. Humanity exceeded the helplessness of 2020. The year 2021 is the year of Hope and Victory. https://t.co/pov7cuxqmz</v>
      </c>
    </row>
    <row r="1347" spans="1:5" ht="15.75" customHeight="1" x14ac:dyDescent="0.25">
      <c r="A1347" s="1" t="s">
        <v>2693</v>
      </c>
      <c r="B1347" s="1">
        <v>7378</v>
      </c>
      <c r="C1347" s="3">
        <v>44272.900462962964</v>
      </c>
      <c r="D1347" s="1" t="s">
        <v>2694</v>
      </c>
      <c r="E1347" s="4" t="str">
        <f ca="1">IFERROR(__xludf.DUMMYFUNCTION("GOOGLETRANSLATE(A1347 , ""tr"" , ""en"")"),"Do not give the virus the opportunity to capture social life! https://t.co/fq0tlkca0r")</f>
        <v>Do not give the virus the opportunity to capture social life! https://t.co/fq0tlkca0r</v>
      </c>
    </row>
    <row r="1348" spans="1:5" ht="15.75" customHeight="1" x14ac:dyDescent="0.25">
      <c r="A1348" s="1" t="s">
        <v>2695</v>
      </c>
      <c r="B1348" s="1">
        <v>4946</v>
      </c>
      <c r="C1348" s="3">
        <v>44272.888518518521</v>
      </c>
      <c r="D1348" s="1" t="s">
        <v>2696</v>
      </c>
      <c r="E1348" s="4" t="str">
        <f ca="1">IFERROR(__xludf.DUMMYFUNCTION("GOOGLETRANSLATE(A1348 , ""tr"" , ""en"")"),"Our science assembly was collected this week, evaluated the 15-day reflections of our normalization process: In the last 15 days, unfortunately, there was a case increase in most provinces. The results have not yet started to reflect on hospitals.
Video:"&amp;" https://t.co/oxid95vjd1 https://t.co/djps20dk4s")</f>
        <v>Our science assembly was collected this week, evaluated the 15-day reflections of our normalization process: In the last 15 days, unfortunately, there was a case increase in most provinces. The results have not yet started to reflect on hospitals.
Video: https://t.co/oxid95vjd1 https://t.co/djps20dk4s</v>
      </c>
    </row>
    <row r="1349" spans="1:5" ht="15.75" customHeight="1" x14ac:dyDescent="0.25">
      <c r="A1349" s="1" t="s">
        <v>2697</v>
      </c>
      <c r="B1349" s="1">
        <v>12094</v>
      </c>
      <c r="C1349" s="3">
        <v>44271.8280787037</v>
      </c>
      <c r="D1349" s="1" t="s">
        <v>2698</v>
      </c>
      <c r="E1349" s="4" t="str">
        <f ca="1">IFERROR(__xludf.DUMMYFUNCTION("GOOGLETRANSLATE(A1349 , ""tr"" , ""en"")"),"May the noodle aunt Allah give you a long life. Our responsibility to serve our elders. Yesterday we entrained you, today you have entrusted to us. https://t.co/bkoyxffhsu")</f>
        <v>May the noodle aunt Allah give you a long life. Our responsibility to serve our elders. Yesterday we entrained you, today you have entrusted to us. https://t.co/bkoyxffhsu</v>
      </c>
    </row>
    <row r="1350" spans="1:5" ht="15.75" customHeight="1" x14ac:dyDescent="0.25">
      <c r="A1350" s="1" t="s">
        <v>2699</v>
      </c>
      <c r="B1350" s="1">
        <v>11486</v>
      </c>
      <c r="C1350" s="3">
        <v>44271.681608796294</v>
      </c>
      <c r="D1350" s="1" t="s">
        <v>2700</v>
      </c>
      <c r="E1350" s="4" t="str">
        <f ca="1">IFERROR(__xludf.DUMMYFUNCTION("GOOGLETRANSLATE(A1350 , ""tr"" , ""en"")"),"The last week is 100,000 population in the case of the capability ratio The most increasing provinces: Samsun, Kilis, Balikesir, Istanbul and Yalova. Our most diminished provinces: Sakarya, Army, Amasya, Rize and Bur. Let's support controlled normalizatio"&amp;"n by complying with the measures. https://t.co/ymqzrulefv")</f>
        <v>The last week is 100,000 population in the case of the capability ratio The most increasing provinces: Samsun, Kilis, Balikesir, Istanbul and Yalova. Our most diminished provinces: Sakarya, Army, Amasya, Rize and Bur. Let's support controlled normalization by complying with the measures. https://t.co/ymqzrulefv</v>
      </c>
    </row>
    <row r="1351" spans="1:5" ht="15.75" customHeight="1" x14ac:dyDescent="0.25">
      <c r="A1351" s="1" t="s">
        <v>2701</v>
      </c>
      <c r="B1351" s="1">
        <v>25343</v>
      </c>
      <c r="C1351" s="3">
        <v>44270.899050925924</v>
      </c>
      <c r="D1351" s="1" t="s">
        <v>2702</v>
      </c>
      <c r="E1351" s="4" t="str">
        <f ca="1">IFERROR(__xludf.DUMMYFUNCTION("GOOGLETRANSLATE(A1351 , ""tr"" , ""en"")"),"You can see the total total case numbers that correspond to 100k population in our provinces on the map. It is possible to normalize by following the measures. https://t.co/8ryfngsIJB")</f>
        <v>You can see the total total case numbers that correspond to 100k population in our provinces on the map. It is possible to normalize by following the measures. https://t.co/8ryfngsIJB</v>
      </c>
    </row>
    <row r="1352" spans="1:5" ht="15.75" customHeight="1" x14ac:dyDescent="0.25">
      <c r="A1352" s="1" t="s">
        <v>2703</v>
      </c>
      <c r="B1352" s="1">
        <v>0</v>
      </c>
      <c r="C1352" s="3">
        <v>44270.687152777777</v>
      </c>
      <c r="D1352" s="1" t="s">
        <v>2704</v>
      </c>
      <c r="E1352" s="4" t="str">
        <f ca="1">IFERROR(__xludf.DUMMYFUNCTION("GOOGLETRANSLATE(A1352 , ""tr"" , ""en"")"),"RT @rterdogan: Shouting Nation After Cabinet Meeting https://t.co/vugdffbbt3")</f>
        <v>RT @rterdogan: Shouting Nation After Cabinet Meeting https://t.co/vugdffbbt3</v>
      </c>
    </row>
    <row r="1353" spans="1:5" ht="15.75" customHeight="1" x14ac:dyDescent="0.25">
      <c r="A1353" s="1" t="s">
        <v>2705</v>
      </c>
      <c r="B1353" s="1">
        <v>5250</v>
      </c>
      <c r="C1353" s="3">
        <v>44269.710486111115</v>
      </c>
      <c r="D1353" s="1" t="s">
        <v>2706</v>
      </c>
      <c r="E1353" s="4" t="str">
        <f ca="1">IFERROR(__xludf.DUMMYFUNCTION("GOOGLETRANSLATE(A1353 , ""tr"" , ""en"")"),"#Destanyazasımektupyaz
I'm writing my letter and uploaded it to the system. You can also forward your thoughts to our health personnel with your letter. They deserved a heart from the heart.
https://t.co/3pxvhdchxp")</f>
        <v>#Destanyazasımektupyaz
I'm writing my letter and uploaded it to the system. You can also forward your thoughts to our health personnel with your letter. They deserved a heart from the heart.
https://t.co/3pxvhdchxp</v>
      </c>
    </row>
    <row r="1354" spans="1:5" ht="15.75" customHeight="1" x14ac:dyDescent="0.25">
      <c r="A1354" s="1" t="s">
        <v>2707</v>
      </c>
      <c r="B1354" s="1">
        <v>10263</v>
      </c>
      <c r="C1354" s="3">
        <v>44269.583333333336</v>
      </c>
      <c r="D1354" s="1" t="s">
        <v>2708</v>
      </c>
      <c r="E1354" s="4" t="str">
        <f ca="1">IFERROR(__xludf.DUMMYFUNCTION("GOOGLETRANSLATE(A1354 , ""tr"" , ""en"")"),"Anyone without exception but everyone has accepted us if we need us ununnished, without hesitating, and we are in there with the most eye of our land. This honor is enough to us. https://t.co/xafgkt1ntr")</f>
        <v>Anyone without exception but everyone has accepted us if we need us ununnished, without hesitating, and we are in there with the most eye of our land. This honor is enough to us. https://t.co/xafgkt1ntr</v>
      </c>
    </row>
    <row r="1355" spans="1:5" ht="15.75" customHeight="1" x14ac:dyDescent="0.25">
      <c r="A1355" s="1" t="s">
        <v>2709</v>
      </c>
      <c r="B1355" s="1">
        <v>10148</v>
      </c>
      <c r="C1355" s="3">
        <v>44269.571030092593</v>
      </c>
      <c r="D1355" s="1" t="s">
        <v>2710</v>
      </c>
      <c r="E1355" s="4" t="str">
        <f ca="1">IFERROR(__xludf.DUMMYFUNCTION("GOOGLETRANSLATE(A1355 , ""tr"" , ""en"")"),"Employee without saying nights, I celebrate the 14 March of my colleagues who carry out this sacred task with great sacrifices and the most dishonor of the assets in the chest. https://t.co/me9lpelavv")</f>
        <v>Employee without saying nights, I celebrate the 14 March of my colleagues who carry out this sacred task with great sacrifices and the most dishonor of the assets in the chest. https://t.co/me9lpelavv</v>
      </c>
    </row>
    <row r="1356" spans="1:5" ht="15.75" customHeight="1" x14ac:dyDescent="0.25">
      <c r="A1356" s="1" t="s">
        <v>2711</v>
      </c>
      <c r="B1356" s="1">
        <v>0</v>
      </c>
      <c r="C1356" s="3">
        <v>44269.526655092595</v>
      </c>
      <c r="D1356" s="1" t="s">
        <v>2712</v>
      </c>
      <c r="E1356" s="4" t="str">
        <f ca="1">IFERROR(__xludf.DUMMYFUNCTION("GOOGLETRANSLATE(A1356 , ""tr"" , ""en"")"),"RT @tcbestepe: President Erdogan, # 14MARTTIPBAYRAM VIDEOMESAGI HTTPS://T.CO/MCSHIICR5H")</f>
        <v>RT @tcbestepe: President Erdogan, # 14MARTTIPBAYRAM VIDEOMESAGI HTTPS://T.CO/MCSHIICR5H</v>
      </c>
    </row>
    <row r="1357" spans="1:5" ht="15.75" customHeight="1" x14ac:dyDescent="0.25">
      <c r="A1357" s="1" t="s">
        <v>2713</v>
      </c>
      <c r="B1357" s="1">
        <v>5669</v>
      </c>
      <c r="C1357" s="3">
        <v>44269.50104166667</v>
      </c>
      <c r="D1357" s="1" t="s">
        <v>2714</v>
      </c>
      <c r="E1357" s="4" t="str">
        <f ca="1">IFERROR(__xludf.DUMMYFUNCTION("GOOGLETRANSLATE(A1357 , ""tr"" , ""en"")"),"March 14 Medical Day Program
Live broadcast: https://t.co/czm1wphfdo https://t.co/dcl3j3njoo")</f>
        <v>March 14 Medical Day Program
Live broadcast: https://t.co/czm1wphfdo https://t.co/dcl3j3njoo</v>
      </c>
    </row>
    <row r="1358" spans="1:5" ht="15.75" customHeight="1" x14ac:dyDescent="0.25">
      <c r="A1358" s="1" t="s">
        <v>2715</v>
      </c>
      <c r="B1358" s="1">
        <v>12954</v>
      </c>
      <c r="C1358" s="3">
        <v>44268.810879629629</v>
      </c>
      <c r="D1358" s="1" t="s">
        <v>2716</v>
      </c>
      <c r="E1358" s="4" t="str">
        <f ca="1">IFERROR(__xludf.DUMMYFUNCTION("GOOGLETRANSLATE(A1358 , ""tr"" , ""en"")"),"Mr. The 14th March Festival ceremony will be able to be followed by our Youtube channel.
YouTube: https://t.co/bxfzsefrun https://t.co/pjimmeu2yi")</f>
        <v>Mr. The 14th March Festival ceremony will be able to be followed by our Youtube channel.
YouTube: https://t.co/bxfzsefrun https://t.co/pjimmeu2yi</v>
      </c>
    </row>
    <row r="1359" spans="1:5" ht="15.75" customHeight="1" x14ac:dyDescent="0.25">
      <c r="A1359" s="1" t="s">
        <v>2717</v>
      </c>
      <c r="B1359" s="1">
        <v>48825</v>
      </c>
      <c r="C1359" s="3">
        <v>44268.335381944446</v>
      </c>
      <c r="D1359" s="1" t="s">
        <v>2718</v>
      </c>
      <c r="E1359" s="4" t="str">
        <f ca="1">IFERROR(__xludf.DUMMYFUNCTION("GOOGLETRANSLATE(A1359 , ""tr"" , ""en"")"),"Our Interior Minister Mr. Süleyman Noble Gentleman's Mothers of Motherem Moms had the mercy of the right. I wish more than Allah in Allah, Suleyman Bey to our brother and family.")</f>
        <v>Our Interior Minister Mr. Süleyman Noble Gentleman's Mothers of Motherem Moms had the mercy of the right. I wish more than Allah in Allah, Suleyman Bey to our brother and family.</v>
      </c>
    </row>
    <row r="1360" spans="1:5" ht="15.75" customHeight="1" x14ac:dyDescent="0.25">
      <c r="A1360" s="1" t="s">
        <v>2719</v>
      </c>
      <c r="B1360" s="1">
        <v>9614</v>
      </c>
      <c r="C1360" s="3">
        <v>44267.837152777778</v>
      </c>
      <c r="D1360" s="1" t="s">
        <v>2720</v>
      </c>
      <c r="E1360" s="4" t="str">
        <f ca="1">IFERROR(__xludf.DUMMYFUNCTION("GOOGLETRANSLATE(A1360 , ""tr"" , ""en"")"),"If we need to go to the house of our patient to access the health care, our teams are going to the house. Our offspring us, if our future is entrusted to our offspring. https://t.co/lgmwhhnsjq")</f>
        <v>If we need to go to the house of our patient to access the health care, our teams are going to the house. Our offspring us, if our future is entrusted to our offspring. https://t.co/lgmwhhnsjq</v>
      </c>
    </row>
    <row r="1361" spans="1:5" ht="15.75" customHeight="1" x14ac:dyDescent="0.25">
      <c r="A1361" s="1" t="s">
        <v>2721</v>
      </c>
      <c r="B1361" s="1">
        <v>19551</v>
      </c>
      <c r="C1361" s="3">
        <v>44267.337951388887</v>
      </c>
      <c r="D1361" s="1" t="s">
        <v>2722</v>
      </c>
      <c r="E1361" s="4" t="str">
        <f ca="1">IFERROR(__xludf.DUMMYFUNCTION("GOOGLETRANSLATE(A1361 , ""tr"" , ""en"")"),"I celebrate the 100th anniversary of our intelligence anthem, which has the most beautiful expression of freedom and independence from the heart. Our national poet Mehmet Akif Ersoy and I am grateful to the heroes of our glorious challenge.")</f>
        <v>I celebrate the 100th anniversary of our intelligence anthem, which has the most beautiful expression of freedom and independence from the heart. Our national poet Mehmet Akif Ersoy and I am grateful to the heroes of our glorious challenge.</v>
      </c>
    </row>
    <row r="1362" spans="1:5" ht="15.75" customHeight="1" x14ac:dyDescent="0.25">
      <c r="A1362" s="1" t="s">
        <v>2723</v>
      </c>
      <c r="B1362" s="1">
        <v>14775</v>
      </c>
      <c r="C1362" s="3">
        <v>44266.861261574071</v>
      </c>
      <c r="D1362" s="1" t="s">
        <v>2724</v>
      </c>
      <c r="E1362" s="4" t="str">
        <f ca="1">IFERROR(__xludf.DUMMYFUNCTION("GOOGLETRANSLATE(A1362 , ""tr"" , ""en"")"),"Hard days will stay behind too soon if we were all too yes. We will always get rid of this illness. https://t.co/48zxfduyk0")</f>
        <v>Hard days will stay behind too soon if we were all too yes. We will always get rid of this illness. https://t.co/48zxfduyk0</v>
      </c>
    </row>
    <row r="1363" spans="1:5" ht="15.75" customHeight="1" x14ac:dyDescent="0.25">
      <c r="A1363" s="1" t="s">
        <v>2725</v>
      </c>
      <c r="B1363" s="1">
        <v>56502</v>
      </c>
      <c r="C1363" s="3">
        <v>44266.725358796299</v>
      </c>
      <c r="D1363" s="1" t="s">
        <v>2726</v>
      </c>
      <c r="E1363" s="4" t="str">
        <f ca="1">IFERROR(__xludf.DUMMYFUNCTION("GOOGLETRANSLATE(A1363 , ""tr"" , ""en"")"),"From COVID-19, the days we will talk about the flu as well as the days will come: ""Dispensed! I have been a little corona. "" Let's not open the break with those days. Let's shorten the road together.")</f>
        <v>From COVID-19, the days we will talk about the flu as well as the days will come: "Dispensed! I have been a little corona. " Let's not open the break with those days. Let's shorten the road together.</v>
      </c>
    </row>
    <row r="1364" spans="1:5" ht="15.75" customHeight="1" x14ac:dyDescent="0.25">
      <c r="A1364" s="1" t="s">
        <v>2727</v>
      </c>
      <c r="B1364" s="1">
        <v>6202</v>
      </c>
      <c r="C1364" s="3">
        <v>44266.654930555553</v>
      </c>
      <c r="D1364" s="1" t="s">
        <v>2728</v>
      </c>
      <c r="E1364" s="4" t="str">
        <f ca="1">IFERROR(__xludf.DUMMYFUNCTION("GOOGLETRANSLATE(A1364 , ""tr"" , ""en"")"),"We need to believe that there is no power as big as hope. We have to know is the optimism that shortened the road. https://t.co/wxo1jibb4z")</f>
        <v>We need to believe that there is no power as big as hope. We have to know is the optimism that shortened the road. https://t.co/wxo1jibb4z</v>
      </c>
    </row>
    <row r="1365" spans="1:5" ht="15.75" customHeight="1" x14ac:dyDescent="0.25">
      <c r="A1365" s="1" t="s">
        <v>2729</v>
      </c>
      <c r="B1365" s="1">
        <v>6975</v>
      </c>
      <c r="C1365" s="3">
        <v>44266.646504629629</v>
      </c>
      <c r="D1365" s="1" t="s">
        <v>2730</v>
      </c>
      <c r="E1365" s="4" t="str">
        <f ca="1">IFERROR(__xludf.DUMMYFUNCTION("GOOGLETRANSLATE(A1365 , ""tr"" , ""en"")"),"In the presence of my nation, I express our health workers once again to our health workers. https://t.co/9jd4t1aofd")</f>
        <v>In the presence of my nation, I express our health workers once again to our health workers. https://t.co/9jd4t1aofd</v>
      </c>
    </row>
    <row r="1366" spans="1:5" ht="15.75" customHeight="1" x14ac:dyDescent="0.25">
      <c r="A1366" s="1" t="s">
        <v>2731</v>
      </c>
      <c r="B1366" s="1">
        <v>11776</v>
      </c>
      <c r="C1366" s="3">
        <v>44266.639305555553</v>
      </c>
      <c r="D1366" s="1" t="s">
        <v>2732</v>
      </c>
      <c r="E1366" s="4" t="str">
        <f ca="1">IFERROR(__xludf.DUMMYFUNCTION("GOOGLETRANSLATE(A1366 , ""tr"" , ""en"")"),"Coronavirus will get out of our lives. The dark shadow that it decreases 2020 will not be at 2021. https://t.co/tuqugcnrt6")</f>
        <v>Coronavirus will get out of our lives. The dark shadow that it decreases 2020 will not be at 2021. https://t.co/tuqugcnrt6</v>
      </c>
    </row>
    <row r="1367" spans="1:5" ht="15.75" customHeight="1" x14ac:dyDescent="0.25">
      <c r="A1367" s="1" t="s">
        <v>2733</v>
      </c>
      <c r="B1367" s="1">
        <v>0</v>
      </c>
      <c r="C1367" s="3">
        <v>44266.631539351853</v>
      </c>
      <c r="D1367" s="1" t="s">
        <v>2734</v>
      </c>
      <c r="E1367" s="4" t="str">
        <f ca="1">IFERROR(__xludf.DUMMYFUNCTION("GOOGLETRANSLATE(A1367 , ""tr"" , ""en"")"),"RT @rterdogan: With the sacrifice of our health army, our hospitals and strengths that we have increased their capacities, continuously.")</f>
        <v>RT @rterdogan: With the sacrifice of our health army, our hospitals and strengths that we have increased their capacities, continuously.</v>
      </c>
    </row>
    <row r="1368" spans="1:5" ht="15.75" customHeight="1" x14ac:dyDescent="0.25">
      <c r="A1368" s="1" t="s">
        <v>2735</v>
      </c>
      <c r="B1368" s="1">
        <v>10898</v>
      </c>
      <c r="C1368" s="3">
        <v>44266.593599537038</v>
      </c>
      <c r="D1368" s="1" t="s">
        <v>2736</v>
      </c>
      <c r="E1368" s="4" t="str">
        <f ca="1">IFERROR(__xludf.DUMMYFUNCTION("GOOGLETRANSLATE(A1368 , ""tr"" , ""en"")"),"1 year over the first case in Turkey.
https://t.co/p23wyf2mka")</f>
        <v>1 year over the first case in Turkey.
https://t.co/p23wyf2mka</v>
      </c>
    </row>
    <row r="1369" spans="1:5" ht="15.75" customHeight="1" x14ac:dyDescent="0.25">
      <c r="A1369" s="1" t="s">
        <v>2737</v>
      </c>
      <c r="B1369" s="1">
        <v>9133</v>
      </c>
      <c r="C1369" s="3">
        <v>44266.570370370369</v>
      </c>
      <c r="D1369" s="1" t="s">
        <v>2738</v>
      </c>
      <c r="E1369" s="4" t="str">
        <f ca="1">IFERROR(__xludf.DUMMYFUNCTION("GOOGLETRANSLATE(A1369 , ""tr"" , ""en"")"),"My precious citizens;
I will be in your peace at 17.00 o'clock.
YouTube: https://t.co/bxfzsefrun")</f>
        <v>My precious citizens;
I will be in your peace at 17.00 o'clock.
YouTube: https://t.co/bxfzsefrun</v>
      </c>
    </row>
    <row r="1370" spans="1:5" ht="15.75" customHeight="1" x14ac:dyDescent="0.25">
      <c r="A1370" s="1" t="s">
        <v>2739</v>
      </c>
      <c r="B1370" s="1">
        <v>13249</v>
      </c>
      <c r="C1370" s="3">
        <v>44265.79246527778</v>
      </c>
      <c r="D1370" s="1" t="s">
        <v>2740</v>
      </c>
      <c r="E1370" s="4" t="str">
        <f ca="1">IFERROR(__xludf.DUMMYFUNCTION("GOOGLETRANSLATE(A1370 , ""tr"" , ""en"")"),"In spite of all the obstacles of the vaccine procurement and implementation performance, we are competing in the early commissioned countries, in spite of all the obstacles of the global conditions. We have performed over 10 million vaccination.")</f>
        <v>In spite of all the obstacles of the vaccine procurement and implementation performance, we are competing in the early commissioned countries, in spite of all the obstacles of the global conditions. We have performed over 10 million vaccination.</v>
      </c>
    </row>
    <row r="1371" spans="1:5" ht="15.75" customHeight="1" x14ac:dyDescent="0.25">
      <c r="A1371" s="1" t="s">
        <v>2741</v>
      </c>
      <c r="B1371" s="1">
        <v>29360</v>
      </c>
      <c r="C1371" s="3">
        <v>44265.787627314814</v>
      </c>
      <c r="D1371" s="1" t="s">
        <v>2742</v>
      </c>
      <c r="E1371" s="4" t="str">
        <f ca="1">IFERROR(__xludf.DUMMYFUNCTION("GOOGLETRANSLATE(A1371 , ""tr"" , ""en"")"),"Mutant viruses increased the rate of propagation. Although this increase does not affect hospitalization into hospitals, it is very patient with very patient potential.")</f>
        <v>Mutant viruses increased the rate of propagation. Although this increase does not affect hospitalization into hospitals, it is very patient with very patient potential.</v>
      </c>
    </row>
    <row r="1372" spans="1:5" ht="15.75" customHeight="1" x14ac:dyDescent="0.25">
      <c r="A1372" s="1" t="s">
        <v>2743</v>
      </c>
      <c r="B1372" s="1">
        <v>22267</v>
      </c>
      <c r="C1372" s="3">
        <v>44265.785486111112</v>
      </c>
      <c r="D1372" s="1" t="s">
        <v>2744</v>
      </c>
      <c r="E1372" s="4" t="str">
        <f ca="1">IFERROR(__xludf.DUMMYFUNCTION("GOOGLETRANSLATE(A1372 , ""tr"" , ""en"")"),"To date, a total of 41.488 B.1.1.7 (UK) mutant in our 9 provinces, 61 B.1.351 (South Africa) mutant 1 B.1.427 (California-NewYork) mutant and 1 p.1 (Brazil) The mutant has been identified.")</f>
        <v>To date, a total of 41.488 B.1.1.7 (UK) mutant in our 9 provinces, 61 B.1.351 (South Africa) mutant 1 B.1.427 (California-NewYork) mutant and 1 p.1 (Brazil) The mutant has been identified.</v>
      </c>
    </row>
    <row r="1373" spans="1:5" ht="15.75" customHeight="1" x14ac:dyDescent="0.25">
      <c r="A1373" s="1" t="s">
        <v>2745</v>
      </c>
      <c r="B1373" s="1">
        <v>7225</v>
      </c>
      <c r="C1373" s="3">
        <v>44265.779108796298</v>
      </c>
      <c r="D1373" s="1" t="s">
        <v>2746</v>
      </c>
      <c r="E1373" s="4" t="str">
        <f ca="1">IFERROR(__xludf.DUMMYFUNCTION("GOOGLETRANSLATE(A1373 , ""tr"" , ""en"")"),"Do not forget! Faith is the closest color to red blue as long as there is a decision and determination. https://t.co/tjaablo2hy")</f>
        <v>Do not forget! Faith is the closest color to red blue as long as there is a decision and determination. https://t.co/tjaablo2hy</v>
      </c>
    </row>
    <row r="1374" spans="1:5" ht="15.75" customHeight="1" x14ac:dyDescent="0.25">
      <c r="A1374" s="1" t="s">
        <v>2747</v>
      </c>
      <c r="B1374" s="1">
        <v>32263</v>
      </c>
      <c r="C1374" s="3">
        <v>44265.589953703704</v>
      </c>
      <c r="D1374" s="1" t="s">
        <v>2748</v>
      </c>
      <c r="E1374" s="4" t="str">
        <f ca="1">IFERROR(__xludf.DUMMYFUNCTION("GOOGLETRANSLATE(A1374 , ""tr"" , ""en"")"),"The Motherac of our prophet has been the symbol of a happy longing of the human being of the human being. Because human soulmates would like to make the presence of one's presence to maturity. Celebrating your Facial Wardness, in our adventure, I wish the"&amp;" Mirac is guiding to all of us.")</f>
        <v>The Motherac of our prophet has been the symbol of a happy longing of the human being of the human being. Because human soulmates would like to make the presence of one's presence to maturity. Celebrating your Facial Wardness, in our adventure, I wish the Mirac is guiding to all of us.</v>
      </c>
    </row>
    <row r="1375" spans="1:5" ht="15.75" customHeight="1" x14ac:dyDescent="0.25">
      <c r="A1375" s="1" t="s">
        <v>2749</v>
      </c>
      <c r="B1375" s="1">
        <v>53727</v>
      </c>
      <c r="C1375" s="3">
        <v>44264.533310185187</v>
      </c>
      <c r="D1375" s="1" t="s">
        <v>2750</v>
      </c>
      <c r="E1375" s="4" t="str">
        <f ca="1">IFERROR(__xludf.DUMMYFUNCTION("GOOGLETRANSLATE(A1375 , ""tr"" , ""en"")"),"Let's keep our limits. It is not clear when the virus will attack.")</f>
        <v>Let's keep our limits. It is not clear when the virus will attack.</v>
      </c>
    </row>
    <row r="1376" spans="1:5" ht="15.75" customHeight="1" x14ac:dyDescent="0.25">
      <c r="A1376" s="1" t="s">
        <v>2751</v>
      </c>
      <c r="B1376" s="1">
        <v>92269</v>
      </c>
      <c r="C1376" s="3">
        <v>44263.778402777774</v>
      </c>
      <c r="D1376" s="1" t="s">
        <v>2752</v>
      </c>
      <c r="E1376" s="4" t="str">
        <f ca="1">IFERROR(__xludf.DUMMYFUNCTION("GOOGLETRANSLATE(A1376 , ""tr"" , ""en"")"),"The array, theater and cinema player Rasim Öztekin, after the heart discomfort, Dr. Siamese ERSEK chest heart and vascular surgery education and research have lost their life despite all interventions in our hospital. Every house with television was one o"&amp;"f the family. Sorry for your loss. https://t.co/0sozyIag7e")</f>
        <v>The array, theater and cinema player Rasim Öztekin, after the heart discomfort, Dr. Siamese ERSEK chest heart and vascular surgery education and research have lost their life despite all interventions in our hospital. Every house with television was one of the family. Sorry for your loss. https://t.co/0sozyIag7e</v>
      </c>
    </row>
    <row r="1377" spans="1:5" ht="15.75" customHeight="1" x14ac:dyDescent="0.25">
      <c r="A1377" s="1" t="s">
        <v>2753</v>
      </c>
      <c r="B1377" s="1">
        <v>13588</v>
      </c>
      <c r="C1377" s="3">
        <v>44263.399375000001</v>
      </c>
      <c r="D1377" s="1" t="s">
        <v>2754</v>
      </c>
      <c r="E1377" s="4" t="str">
        <f ca="1">IFERROR(__xludf.DUMMYFUNCTION("GOOGLETRANSLATE(A1377 , ""tr"" , ""en"")"),"Our vaccine program is progressing as planned. As of today, 10 million dose of overdose was performed. Thank you to all of the laboring staff. Our nation deserves the best. https://t.co/bzdpjon1ID")</f>
        <v>Our vaccine program is progressing as planned. As of today, 10 million dose of overdose was performed. Thank you to all of the laboring staff. Our nation deserves the best. https://t.co/bzdpjon1ID</v>
      </c>
    </row>
    <row r="1378" spans="1:5" ht="15.75" customHeight="1" x14ac:dyDescent="0.25">
      <c r="A1378" s="1" t="s">
        <v>2755</v>
      </c>
      <c r="B1378" s="1">
        <v>56518</v>
      </c>
      <c r="C1378" s="3">
        <v>44263.247731481482</v>
      </c>
      <c r="D1378" s="1" t="s">
        <v>2756</v>
      </c>
      <c r="E1378" s="4" t="str">
        <f ca="1">IFERROR(__xludf.DUMMYFUNCTION("GOOGLETRANSLATE(A1378 , ""tr"" , ""en"")"),"May the women donate us. Their sacrifices have not seen the equivalent that it deserves to date. Their lovingly was not protected with the same care. If the words have influenced more, life could have been better. Because mercy with strength is not separa"&amp;"ted in women. Happy 8 March International Women's Day.")</f>
        <v>May the women donate us. Their sacrifices have not seen the equivalent that it deserves to date. Their lovingly was not protected with the same care. If the words have influenced more, life could have been better. Because mercy with strength is not separated in women. Happy 8 March International Women's Day.</v>
      </c>
    </row>
    <row r="1379" spans="1:5" ht="15.75" customHeight="1" x14ac:dyDescent="0.25">
      <c r="A1379" s="1" t="s">
        <v>2757</v>
      </c>
      <c r="B1379" s="1">
        <v>37068</v>
      </c>
      <c r="C1379" s="3">
        <v>44262.667372685188</v>
      </c>
      <c r="D1379" s="1" t="s">
        <v>2758</v>
      </c>
      <c r="E1379" s="4" t="str">
        <f ca="1">IFERROR(__xludf.DUMMYFUNCTION("GOOGLETRANSLATE(A1379 , ""tr"" , ""en"")"),"Pain to Adiyaman, Batman Samsun, Bingöl Ordu, Bitesir, Diyarbakır to Istanbul, Mardin Trabzon, Van İzmir, to Siirt Rize, to the Hakkâri Sinop, Sanlıurfa Konya, Şırnak Zonguldak, butler to Tokat, Iğdir Giresun ... get an example! Let's reduce the risk in a"&amp;"ll provinces.")</f>
        <v>Pain to Adiyaman, Batman Samsun, Bingöl Ordu, Bitesir, Diyarbakır to Istanbul, Mardin Trabzon, Van İzmir, to Siirt Rize, to the Hakkâri Sinop, Sanlıurfa Konya, Şırnak Zonguldak, butler to Tokat, Iğdir Giresun ... get an example! Let's reduce the risk in all provinces.</v>
      </c>
    </row>
    <row r="1380" spans="1:5" ht="15.75" customHeight="1" x14ac:dyDescent="0.25">
      <c r="A1380" s="1" t="s">
        <v>2759</v>
      </c>
      <c r="B1380" s="1">
        <v>14215</v>
      </c>
      <c r="C1380" s="3">
        <v>44262.621203703704</v>
      </c>
      <c r="D1380" s="1" t="s">
        <v>2760</v>
      </c>
      <c r="E1380" s="4" t="str">
        <f ca="1">IFERROR(__xludf.DUMMYFUNCTION("GOOGLETRANSLATE(A1380 , ""tr"" , ""en"")"),"The last week 100,000 population is the most increasing provinces in the current rate: Sinop, Kilis, Samsun, Amasya and Edirne. Our most diminished provinces: Army, Bolu, Trabzon, Nevsehir and Karaman. Let's get all our provinces in the blue category by c"&amp;"omplying with the measures. https://t.co/ghs0lohtrn")</f>
        <v>The last week 100,000 population is the most increasing provinces in the current rate: Sinop, Kilis, Samsun, Amasya and Edirne. Our most diminished provinces: Army, Bolu, Trabzon, Nevsehir and Karaman. Let's get all our provinces in the blue category by complying with the measures. https://t.co/ghs0lohtrn</v>
      </c>
    </row>
    <row r="1381" spans="1:5" ht="15.75" customHeight="1" x14ac:dyDescent="0.25">
      <c r="A1381" s="1" t="s">
        <v>2761</v>
      </c>
      <c r="B1381" s="1">
        <v>70267</v>
      </c>
      <c r="C1381" s="3">
        <v>44262.008576388886</v>
      </c>
      <c r="D1381" s="1" t="s">
        <v>2762</v>
      </c>
      <c r="E1381" s="4" t="str">
        <f ca="1">IFERROR(__xludf.DUMMYFUNCTION("GOOGLETRANSLATE(A1381 , ""tr"" , ""en"")"),"A woman's on the street, the story of the child's eye was subjected to heavy violence, all oversigned Turkey. Our 112 emergency team in the incident in Samsun has reached the patient at 21.16 on 21.16 in 21.20. There is no vital problem in the training re"&amp;"search hospital at the moment.")</f>
        <v>A woman's on the street, the story of the child's eye was subjected to heavy violence, all oversigned Turkey. Our 112 emergency team in the incident in Samsun has reached the patient at 21.16 on 21.16 in 21.20. There is no vital problem in the training research hospital at the moment.</v>
      </c>
    </row>
    <row r="1382" spans="1:5" ht="15.75" customHeight="1" x14ac:dyDescent="0.25">
      <c r="A1382" s="1" t="s">
        <v>2763</v>
      </c>
      <c r="B1382" s="1">
        <v>13782</v>
      </c>
      <c r="C1382" s="3">
        <v>44261.679849537039</v>
      </c>
      <c r="D1382" s="1" t="s">
        <v>2764</v>
      </c>
      <c r="E1382" s="4" t="str">
        <f ca="1">IFERROR(__xludf.DUMMYFUNCTION("GOOGLETRANSLATE(A1382 , ""tr"" , ""en"")"),"Turkey has two armies. One maintains the land of the country, one of the 83 million. Both of them don't come to be fractured with political interest purposes. In particular, the supply of the battle of the outbreak, the supply of the vaccine is at risk wi"&amp;"th empty remarks. The queue order comes to those who wait! https://t.co/xvhns215n6")</f>
        <v>Turkey has two armies. One maintains the land of the country, one of the 83 million. Both of them don't come to be fractured with political interest purposes. In particular, the supply of the battle of the outbreak, the supply of the vaccine is at risk with empty remarks. The queue order comes to those who wait! https://t.co/xvhns215n6</v>
      </c>
    </row>
    <row r="1383" spans="1:5" ht="15.75" customHeight="1" x14ac:dyDescent="0.25">
      <c r="A1383" s="1" t="s">
        <v>2765</v>
      </c>
      <c r="B1383" s="1">
        <v>21900</v>
      </c>
      <c r="C1383" s="3">
        <v>44261.587951388887</v>
      </c>
      <c r="D1383" s="1" t="s">
        <v>2766</v>
      </c>
      <c r="E1383" s="4" t="str">
        <f ca="1">IFERROR(__xludf.DUMMYFUNCTION("GOOGLETRANSLATE(A1383 , ""tr"" , ""en"")"),"The color of our cities will be shaped in accordance with how much of our cities. We have to move more careful and cautious to avoid losing our existing advantages.")</f>
        <v>The color of our cities will be shaped in accordance with how much of our cities. We have to move more careful and cautious to avoid losing our existing advantages.</v>
      </c>
    </row>
    <row r="1384" spans="1:5" ht="15.75" customHeight="1" x14ac:dyDescent="0.25">
      <c r="A1384" s="1" t="s">
        <v>2767</v>
      </c>
      <c r="B1384" s="1">
        <v>16287</v>
      </c>
      <c r="C1384" s="3">
        <v>44261.575590277775</v>
      </c>
      <c r="D1384" s="1" t="s">
        <v>2768</v>
      </c>
      <c r="E1384" s="4" t="str">
        <f ca="1">IFERROR(__xludf.DUMMYFUNCTION("GOOGLETRANSLATE(A1384 , ""tr"" , ""en"")"),"The current state of the incidence map containing the number of weekly cases corresponding to 100,000 population for controlled normalization. High-risk provinces should be more prudent to lower their risks. Normalization should take place controlled. htt"&amp;"ps://t.co/wt7ysoj7qqqqqq")</f>
        <v>The current state of the incidence map containing the number of weekly cases corresponding to 100,000 population for controlled normalization. High-risk provinces should be more prudent to lower their risks. Normalization should take place controlled. https://t.co/wt7ysoj7qqqqqq</v>
      </c>
    </row>
    <row r="1385" spans="1:5" ht="15.75" customHeight="1" x14ac:dyDescent="0.25">
      <c r="A1385" s="1" t="s">
        <v>2769</v>
      </c>
      <c r="B1385" s="1">
        <v>151316</v>
      </c>
      <c r="C1385" s="3">
        <v>44261.544212962966</v>
      </c>
      <c r="D1385" s="1" t="s">
        <v>2770</v>
      </c>
      <c r="E1385" s="4" t="str">
        <f ca="1">IFERROR(__xludf.DUMMYFUNCTION("GOOGLETRANSLATE(A1385 , ""tr"" , ""en"")"),"All day no restriction restrictions there is no restriction :) slowly keep the path of the house?")</f>
        <v>All day no restriction restrictions there is no restriction :) slowly keep the path of the house?</v>
      </c>
    </row>
    <row r="1386" spans="1:5" ht="15.75" customHeight="1" x14ac:dyDescent="0.25">
      <c r="A1386" s="1" t="s">
        <v>2771</v>
      </c>
      <c r="B1386" s="1">
        <v>66243</v>
      </c>
      <c r="C1386" s="3">
        <v>44261.459768518522</v>
      </c>
      <c r="D1386" s="1" t="s">
        <v>2772</v>
      </c>
      <c r="E1386" s="4" t="str">
        <f ca="1">IFERROR(__xludf.DUMMYFUNCTION("GOOGLETRANSLATE(A1386 , ""tr"" , ""en"")"),"Happy Saturday! If we make the mistake, we are upset after ten days after a week.")</f>
        <v>Happy Saturday! If we make the mistake, we are upset after ten days after a week.</v>
      </c>
    </row>
    <row r="1387" spans="1:5" ht="15.75" customHeight="1" x14ac:dyDescent="0.25">
      <c r="A1387" s="1" t="s">
        <v>2773</v>
      </c>
      <c r="B1387" s="1">
        <v>26807</v>
      </c>
      <c r="C1387" s="3">
        <v>44261.366122685184</v>
      </c>
      <c r="D1387" s="1" t="s">
        <v>2774</v>
      </c>
      <c r="E1387" s="4" t="str">
        <f ca="1">IFERROR(__xludf.DUMMYFUNCTION("GOOGLETRANSLATE(A1387 , ""tr"" , ""en"")"),"Let's turn off the road to hard days: If we go out, let's put on the mask.")</f>
        <v>Let's turn off the road to hard days: If we go out, let's put on the mask.</v>
      </c>
    </row>
    <row r="1388" spans="1:5" ht="15.75" customHeight="1" x14ac:dyDescent="0.25">
      <c r="A1388" s="1" t="s">
        <v>2775</v>
      </c>
      <c r="B1388" s="1">
        <v>27942</v>
      </c>
      <c r="C1388" s="3">
        <v>44261.344629629632</v>
      </c>
      <c r="D1388" s="1" t="s">
        <v>2776</v>
      </c>
      <c r="E1388" s="4" t="str">
        <f ca="1">IFERROR(__xludf.DUMMYFUNCTION("GOOGLETRANSLATE(A1388 , ""tr"" , ""en"")"),"The reduction of restrictions is the reward of compliance with the rules. Let's obey the rules.")</f>
        <v>The reduction of restrictions is the reward of compliance with the rules. Let's obey the rules.</v>
      </c>
    </row>
    <row r="1389" spans="1:5" ht="15.75" customHeight="1" x14ac:dyDescent="0.25">
      <c r="A1389" s="1" t="s">
        <v>2777</v>
      </c>
      <c r="B1389" s="1">
        <v>74191</v>
      </c>
      <c r="C1389" s="3">
        <v>44261.319085648145</v>
      </c>
      <c r="D1389" s="1" t="s">
        <v>2778</v>
      </c>
      <c r="E1389" s="4" t="str">
        <f ca="1">IFERROR(__xludf.DUMMYFUNCTION("GOOGLETRANSLATE(A1389 , ""tr"" , ""en"")"),"The first of the Saturdays we expected! The continuation is dependent on us to know the asset.")</f>
        <v>The first of the Saturdays we expected! The continuation is dependent on us to know the asset.</v>
      </c>
    </row>
    <row r="1390" spans="1:5" ht="15.75" customHeight="1" x14ac:dyDescent="0.25">
      <c r="A1390" s="1" t="s">
        <v>2779</v>
      </c>
      <c r="B1390" s="1">
        <v>7259</v>
      </c>
      <c r="C1390" s="3">
        <v>44260.676238425927</v>
      </c>
      <c r="D1390" s="1" t="s">
        <v>2780</v>
      </c>
      <c r="E1390" s="4" t="str">
        <f ca="1">IFERROR(__xludf.DUMMYFUNCTION("GOOGLETRANSLATE(A1390 , ""tr"" , ""en"")"),"In Istanbul, we concluded with our health managers and evaluated the course of the epidemic. It is seen that patient increases in our polyclinics. Istanbul should be the sample city of normalization. We are determined to achieve this. https://t.co/g9ua2i2"&amp;"gpg")</f>
        <v>In Istanbul, we concluded with our health managers and evaluated the course of the epidemic. It is seen that patient increases in our polyclinics. Istanbul should be the sample city of normalization. We are determined to achieve this. https://t.co/g9ua2i2gpg</v>
      </c>
    </row>
    <row r="1391" spans="1:5" ht="15.75" customHeight="1" x14ac:dyDescent="0.25">
      <c r="A1391" s="1" t="s">
        <v>2781</v>
      </c>
      <c r="B1391" s="1">
        <v>11018</v>
      </c>
      <c r="C1391" s="3">
        <v>44260.668310185189</v>
      </c>
      <c r="D1391" s="1" t="s">
        <v>2782</v>
      </c>
      <c r="E1391" s="4" t="str">
        <f ca="1">IFERROR(__xludf.DUMMYFUNCTION("GOOGLETRANSLATE(A1391 , ""tr"" , ""en"")"),"The completed 702 bed Seyrantepe has examined the preparation of our city hospital in place. We start the patient acceptance in March. We will soon open up. Our strong health infrastructure is our greatest security. Trust this power. https://t.co/mkmbkx62"&amp;"qa")</f>
        <v>The completed 702 bed Seyrantepe has examined the preparation of our city hospital in place. We start the patient acceptance in March. We will soon open up. Our strong health infrastructure is our greatest security. Trust this power. https://t.co/mkmbkx62qa</v>
      </c>
    </row>
    <row r="1392" spans="1:5" ht="15.75" customHeight="1" x14ac:dyDescent="0.25">
      <c r="A1392" s="1" t="s">
        <v>2783</v>
      </c>
      <c r="B1392" s="1">
        <v>7978</v>
      </c>
      <c r="C1392" s="3">
        <v>44260.304594907408</v>
      </c>
      <c r="D1392" s="1" t="s">
        <v>2784</v>
      </c>
      <c r="E1392" s="4" t="str">
        <f ca="1">IFERROR(__xludf.DUMMYFUNCTION("GOOGLETRANSLATE(A1392 , ""tr"" , ""en"")"),"I would like to thank all of our laborary ministry staff. Have been registrant of their labor. https://t.co/rl1jc91krc")</f>
        <v>I would like to thank all of our laborary ministry staff. Have been registrant of their labor. https://t.co/rl1jc91krc</v>
      </c>
    </row>
    <row r="1393" spans="1:5" ht="15.75" customHeight="1" x14ac:dyDescent="0.25">
      <c r="A1393" s="1" t="s">
        <v>2785</v>
      </c>
      <c r="B1393" s="1">
        <v>9630</v>
      </c>
      <c r="C1393" s="3">
        <v>44259.801793981482</v>
      </c>
      <c r="D1393" s="1" t="s">
        <v>2786</v>
      </c>
      <c r="E1393" s="4" t="str">
        <f ca="1">IFERROR(__xludf.DUMMYFUNCTION("GOOGLETRANSLATE(A1393 , ""tr"" , ""en"")"),"Our responsibility to deliver health service regardless of conditions. We have to endeavor to make our Army province in a very high risk zone from the very high risk zone. https://t.co/k3kusng6qk")</f>
        <v>Our responsibility to deliver health service regardless of conditions. We have to endeavor to make our Army province in a very high risk zone from the very high risk zone. https://t.co/k3kusng6qk</v>
      </c>
    </row>
    <row r="1394" spans="1:5" ht="15.75" customHeight="1" x14ac:dyDescent="0.25">
      <c r="A1394" s="1" t="s">
        <v>2787</v>
      </c>
      <c r="B1394" s="1">
        <v>8165</v>
      </c>
      <c r="C1394" s="3">
        <v>44259.788946759261</v>
      </c>
      <c r="D1394" s="1" t="s">
        <v>2788</v>
      </c>
      <c r="E1394" s="4" t="str">
        <f ca="1">IFERROR(__xludf.DUMMYFUNCTION("GOOGLETRANSLATE(A1394 , ""tr"" , ""en"")"),"Konya, Trabzon, Sakarya, Edirne, Adiyaman Provincial Provincial Health Managers and Governors were online. In these provinces in very high risk group, we have consulted the measures to be taken in place and to enter the low risk group of these provinces. "&amp;"https://t.co/eznf9wtvp8")</f>
        <v>Konya, Trabzon, Sakarya, Edirne, Adiyaman Provincial Provincial Health Managers and Governors were online. In these provinces in very high risk group, we have consulted the measures to be taken in place and to enter the low risk group of these provinces. https://t.co/eznf9wtvp8</v>
      </c>
    </row>
    <row r="1395" spans="1:5" ht="15.75" customHeight="1" x14ac:dyDescent="0.25">
      <c r="A1395" s="1" t="s">
        <v>2789</v>
      </c>
      <c r="B1395" s="1">
        <v>27669</v>
      </c>
      <c r="C1395" s="3">
        <v>44259.656736111108</v>
      </c>
      <c r="D1395" s="1" t="s">
        <v>2790</v>
      </c>
      <c r="E1395" s="4" t="str">
        <f ca="1">IFERROR(__xludf.DUMMYFUNCTION("GOOGLETRANSLATE(A1395 , ""tr"" , ""en"")"),"As a result of the helicopter, which leads to Tatvan from Bingöl; When we married 9 homeland, our 4 soldiers were injured. I wish our martyrs to the mercy, the wounded soldiers to our urgent healing. May the head of our nation be right. https://t.co/UklCl"&amp;"q0QPU")</f>
        <v>As a result of the helicopter, which leads to Tatvan from Bingöl; When we married 9 homeland, our 4 soldiers were injured. I wish our martyrs to the mercy, the wounded soldiers to our urgent healing. May the head of our nation be right. https://t.co/UklClq0QPU</v>
      </c>
    </row>
    <row r="1396" spans="1:5" ht="15.75" customHeight="1" x14ac:dyDescent="0.25">
      <c r="A1396" s="1" t="s">
        <v>2791</v>
      </c>
      <c r="B1396" s="1">
        <v>27342</v>
      </c>
      <c r="C1396" s="3">
        <v>44258.864421296297</v>
      </c>
      <c r="D1396" s="1" t="s">
        <v>2792</v>
      </c>
      <c r="E1396" s="4" t="str">
        <f ca="1">IFERROR(__xludf.DUMMYFUNCTION("GOOGLETRANSLATE(A1396 , ""tr"" , ""en"")"),"Phase III, Conclusion II: The vaccine we use is 100% eliminating the need to hospitalization. Someone who has a vaccinated, even the CAVID-19 spends the COVID-19. This result, the Sinovac vaccine is described today in Turkey's phase III research. Life wil"&amp;"l be even more normal soon!")</f>
        <v>Phase III, Conclusion II: The vaccine we use is 100% eliminating the need to hospitalization. Someone who has a vaccinated, even the CAVID-19 spends the COVID-19. This result, the Sinovac vaccine is described today in Turkey's phase III research. Life will be even more normal soon!</v>
      </c>
    </row>
    <row r="1397" spans="1:5" ht="15.75" customHeight="1" x14ac:dyDescent="0.25">
      <c r="A1397" s="1" t="s">
        <v>2793</v>
      </c>
      <c r="B1397" s="1">
        <v>26471</v>
      </c>
      <c r="C1397" s="3">
        <v>44258.862685185188</v>
      </c>
      <c r="D1397" s="1" t="s">
        <v>2794</v>
      </c>
      <c r="E1397" s="4" t="str">
        <f ca="1">IFERROR(__xludf.DUMMYFUNCTION("GOOGLETRANSLATE(A1397 , ""tr"" , ""en"")"),"Phase III, Result I: The vaccine we use is effective in 83.5 of each 100 people. This result, the Sinovac vaccine is described today in Turkey's phase III research. Life will be even more normal soon!")</f>
        <v>Phase III, Result I: The vaccine we use is effective in 83.5 of each 100 people. This result, the Sinovac vaccine is described today in Turkey's phase III research. Life will be even more normal soon!</v>
      </c>
    </row>
    <row r="1398" spans="1:5" ht="15.75" customHeight="1" x14ac:dyDescent="0.25">
      <c r="A1398" s="1" t="s">
        <v>2795</v>
      </c>
      <c r="B1398" s="1">
        <v>14392</v>
      </c>
      <c r="C1398" s="3">
        <v>44258.796180555553</v>
      </c>
      <c r="D1398" s="1" t="s">
        <v>2796</v>
      </c>
      <c r="E1398" s="4" t="str">
        <f ca="1">IFERROR(__xludf.DUMMYFUNCTION("GOOGLETRANSLATE(A1398 , ""tr"" , ""en"")"),"We will continue weekly to publish the frequency of 7-day case in provincial basis, the risk map will be published in 15 days.")</f>
        <v>We will continue weekly to publish the frequency of 7-day case in provincial basis, the risk map will be published in 15 days.</v>
      </c>
    </row>
    <row r="1399" spans="1:5" ht="15.75" customHeight="1" x14ac:dyDescent="0.25">
      <c r="A1399" s="1" t="s">
        <v>2797</v>
      </c>
      <c r="B1399" s="1">
        <v>26058</v>
      </c>
      <c r="C1399" s="3">
        <v>44258.79451388889</v>
      </c>
      <c r="D1399" s="1" t="s">
        <v>2798</v>
      </c>
      <c r="E1399" s="4" t="str">
        <f ca="1">IFERROR(__xludf.DUMMYFUNCTION("GOOGLETRANSLATE(A1399 , ""tr"" , ""en"")"),"In our social mobility to the days we expect with hope, we will reach the spread of the virus.")</f>
        <v>In our social mobility to the days we expect with hope, we will reach the spread of the virus.</v>
      </c>
    </row>
    <row r="1400" spans="1:5" ht="15.75" customHeight="1" x14ac:dyDescent="0.25">
      <c r="A1400" s="1" t="s">
        <v>2799</v>
      </c>
      <c r="B1400" s="1">
        <v>6712</v>
      </c>
      <c r="C1400" s="3">
        <v>44258.791504629633</v>
      </c>
      <c r="D1400" s="1" t="s">
        <v>2800</v>
      </c>
      <c r="E1400" s="4" t="str">
        <f ca="1">IFERROR(__xludf.DUMMYFUNCTION("GOOGLETRANSLATE(A1400 , ""tr"" , ""en"")"),"Controlled Normalization period began actually. While living the comfort of this, let's not leave the measure. https://t.co/Ixyuf78nhz")</f>
        <v>Controlled Normalization period began actually. While living the comfort of this, let's not leave the measure. https://t.co/Ixyuf78nhz</v>
      </c>
    </row>
    <row r="1401" spans="1:5" ht="15.75" customHeight="1" x14ac:dyDescent="0.25">
      <c r="A1401" s="1" t="s">
        <v>2801</v>
      </c>
      <c r="B1401" s="1">
        <v>18136</v>
      </c>
      <c r="C1401" s="3">
        <v>44258.662581018521</v>
      </c>
      <c r="D1401" s="1" t="s">
        <v>2802</v>
      </c>
      <c r="E1401" s="4" t="str">
        <f ca="1">IFERROR(__xludf.DUMMYFUNCTION("GOOGLETRANSLATE(A1401 , ""tr"" , ""en"")"),"Today Sinovac vaccine has announced the results of Turkey Phase III. Accordingly, the general event is 83.5% and the hospitalization 100% blocks 100%. The clinical study was made over 10 thousand volunteers. More than 9 million dose occurred vaccines. Our"&amp;" experience is also the direction of hospitalization of hospitalization. https://t.co/amtfnfa6oa")</f>
        <v>Today Sinovac vaccine has announced the results of Turkey Phase III. Accordingly, the general event is 83.5% and the hospitalization 100% blocks 100%. The clinical study was made over 10 thousand volunteers. More than 9 million dose occurred vaccines. Our experience is also the direction of hospitalization of hospitalization. https://t.co/amtfnfa6oa</v>
      </c>
    </row>
    <row r="1402" spans="1:5" ht="15.75" customHeight="1" x14ac:dyDescent="0.25">
      <c r="A1402" s="1" t="s">
        <v>2803</v>
      </c>
      <c r="B1402" s="1">
        <v>21698</v>
      </c>
      <c r="C1402" s="3">
        <v>44257.797546296293</v>
      </c>
      <c r="D1402" s="1" t="s">
        <v>2804</v>
      </c>
      <c r="E1402" s="4" t="str">
        <f ca="1">IFERROR(__xludf.DUMMYFUNCTION("GOOGLETRANSLATE(A1402 , ""tr"" , ""en"")"),"We will try to be the blue of all of our Map. Our most important effort to ensure that is full compliance with measures. Yellow, orange and red provinces should be cautious until blue. Our blue provinces should also protect their status. https://t.co/5IJA"&amp;"NWZGCJ")</f>
        <v>We will try to be the blue of all of our Map. Our most important effort to ensure that is full compliance with measures. Yellow, orange and red provinces should be cautious until blue. Our blue provinces should also protect their status. https://t.co/5IJANWZGCJ</v>
      </c>
    </row>
    <row r="1403" spans="1:5" ht="15.75" customHeight="1" x14ac:dyDescent="0.25">
      <c r="A1403" s="1" t="s">
        <v>2805</v>
      </c>
      <c r="B1403" s="1">
        <v>13937</v>
      </c>
      <c r="C1403" s="3">
        <v>44256.901273148149</v>
      </c>
      <c r="D1403" s="1" t="s">
        <v>2806</v>
      </c>
      <c r="E1403" s="4" t="str">
        <f ca="1">IFERROR(__xludf.DUMMYFUNCTION("GOOGLETRANSLATE(A1403 , ""tr"" , ""en"")"),"We have announced the current map of the weekly total number of cases falling into 100,000 population in our provinces we explained every week. We are gradual and controlled normally. https://t.co/rvlhe7786o https://t.co/Iosaacuqb9")</f>
        <v>We have announced the current map of the weekly total number of cases falling into 100,000 population in our provinces we explained every week. We are gradual and controlled normally. https://t.co/rvlhe7786o https://t.co/Iosaacuqb9</v>
      </c>
    </row>
    <row r="1404" spans="1:5" ht="15.75" customHeight="1" x14ac:dyDescent="0.25">
      <c r="A1404" s="1" t="s">
        <v>2807</v>
      </c>
      <c r="B1404" s="1">
        <v>17822</v>
      </c>
      <c r="C1404" s="3">
        <v>44256.866539351853</v>
      </c>
      <c r="D1404" s="1" t="s">
        <v>2808</v>
      </c>
      <c r="E1404" s="4" t="str">
        <f ca="1">IFERROR(__xludf.DUMMYFUNCTION("GOOGLETRANSLATE(A1404 , ""tr"" , ""en"")"),"Our science assembly has taken into consideration the positive rate of PCR tests with the number of weekly cases that decreased to 100,000 population in determining the risk categories of provinces in determining the risk of PCR tests, intensive care occu"&amp;"pancy rate and intubation patient. We have a gradual normalization.")</f>
        <v>Our science assembly has taken into consideration the positive rate of PCR tests with the number of weekly cases that decreased to 100,000 population in determining the risk categories of provinces in determining the risk of PCR tests, intensive care occupancy rate and intubation patient. We have a gradual normalization.</v>
      </c>
    </row>
    <row r="1405" spans="1:5" ht="15.75" customHeight="1" x14ac:dyDescent="0.25">
      <c r="A1405" s="1" t="s">
        <v>2809</v>
      </c>
      <c r="B1405" s="1">
        <v>48452</v>
      </c>
      <c r="C1405" s="3">
        <v>44256.723703703705</v>
      </c>
      <c r="D1405" s="1" t="s">
        <v>2810</v>
      </c>
      <c r="E1405" s="4" t="str">
        <f ca="1">IFERROR(__xludf.DUMMYFUNCTION("GOOGLETRANSLATE(A1405 , ""tr"" , ""en"")"),"Our provinces were divided into 4 categories according to risk assessment criteria. Low-risk (blue), medium-risk (yellow), high-risk (orange) and categories as very high risk (red) were determined. Accordingly, normalization steps will be applied. We are "&amp;"cautious and gradual normalized. https://t.co/ims9a3ve3e")</f>
        <v>Our provinces were divided into 4 categories according to risk assessment criteria. Low-risk (blue), medium-risk (yellow), high-risk (orange) and categories as very high risk (red) were determined. Accordingly, normalization steps will be applied. We are cautious and gradual normalized. https://t.co/ims9a3ve3e</v>
      </c>
    </row>
    <row r="1406" spans="1:5" ht="15.75" customHeight="1" x14ac:dyDescent="0.25">
      <c r="A1406" s="1" t="s">
        <v>2811</v>
      </c>
      <c r="B1406" s="1">
        <v>0</v>
      </c>
      <c r="C1406" s="3">
        <v>44256.708240740743</v>
      </c>
      <c r="D1406" s="1" t="s">
        <v>2812</v>
      </c>
      <c r="E1406" s="4" t="str">
        <f ca="1">IFERROR(__xludf.DUMMYFUNCTION("GOOGLETRANSLATE(A1406 , ""tr"" , ""en"")"),"RT @rterdogan: Shouting Nation After Cabinet Meeting HTTPS://T.CO/SCDPJO3Y2S")</f>
        <v>RT @rterdogan: Shouting Nation After Cabinet Meeting HTTPS://T.CO/SCDPJO3Y2S</v>
      </c>
    </row>
    <row r="1407" spans="1:5" ht="15.75" customHeight="1" x14ac:dyDescent="0.25">
      <c r="A1407" s="1" t="s">
        <v>2813</v>
      </c>
      <c r="B1407" s="1">
        <v>16532</v>
      </c>
      <c r="C1407" s="3">
        <v>44255.770439814813</v>
      </c>
      <c r="D1407" s="1" t="s">
        <v>2814</v>
      </c>
      <c r="E1407" s="4" t="str">
        <f ca="1">IFERROR(__xludf.DUMMYFUNCTION("GOOGLETRANSLATE(A1407 , ""tr"" , ""en"")"),"112 I would like to have no need for emergency health care. It is a great assurance to know the existence. Healthiers are in the service of our nationality. https://t.co/tonqouq8hp")</f>
        <v>112 I would like to have no need for emergency health care. It is a great assurance to know the existence. Healthiers are in the service of our nationality. https://t.co/tonqouq8hp</v>
      </c>
    </row>
    <row r="1408" spans="1:5" ht="15.75" customHeight="1" x14ac:dyDescent="0.25">
      <c r="A1408" s="1" t="s">
        <v>2815</v>
      </c>
      <c r="B1408" s="1">
        <v>19851</v>
      </c>
      <c r="C1408" s="3">
        <v>44255.467465277776</v>
      </c>
      <c r="D1408" s="1" t="s">
        <v>2816</v>
      </c>
      <c r="E1408" s="4" t="str">
        <f ca="1">IFERROR(__xludf.DUMMYFUNCTION("GOOGLETRANSLATE(A1408 , ""tr"" , ""en"")"),"The pulse is not only to seize legitimate management; Social, Economic and Cultural Life is to be captive. # 28 The postmodern application of the pulse took place in the history as an example of postmodern application. In the face of all kinds of the puls"&amp;"e, we are next to the Nation will.")</f>
        <v>The pulse is not only to seize legitimate management; Social, Economic and Cultural Life is to be captive. # 28 The postmodern application of the pulse took place in the history as an example of postmodern application. In the face of all kinds of the pulse, we are next to the Nation will.</v>
      </c>
    </row>
    <row r="1409" spans="1:5" ht="15.75" customHeight="1" x14ac:dyDescent="0.25">
      <c r="A1409" s="1" t="s">
        <v>2817</v>
      </c>
      <c r="B1409" s="1">
        <v>9908</v>
      </c>
      <c r="C1409" s="3">
        <v>44254.614293981482</v>
      </c>
      <c r="D1409" s="1" t="s">
        <v>2818</v>
      </c>
      <c r="E1409" s="4" t="str">
        <f ca="1">IFERROR(__xludf.DUMMYFUNCTION("GOOGLETRANSLATE(A1409 , ""tr"" , ""en"")"),"Foreign states bringing our challenge to the agenda are increasing. We didn't tackle the world that you appreciate it. Our struggle for our citizen's health and pronouncement. The world's discretion is valuable but our nation's trust is more valuable. htt"&amp;"ps://t.co/kkwd7vmzwr")</f>
        <v>Foreign states bringing our challenge to the agenda are increasing. We didn't tackle the world that you appreciate it. Our struggle for our citizen's health and pronouncement. The world's discretion is valuable but our nation's trust is more valuable. https://t.co/kkwd7vmzwr</v>
      </c>
    </row>
    <row r="1410" spans="1:5" ht="15.75" customHeight="1" x14ac:dyDescent="0.25">
      <c r="A1410" s="1" t="s">
        <v>2819</v>
      </c>
      <c r="B1410" s="1">
        <v>22649</v>
      </c>
      <c r="C1410" s="3">
        <v>44254.429768518516</v>
      </c>
      <c r="D1410" s="1" t="s">
        <v>2820</v>
      </c>
      <c r="E1410" s="4" t="str">
        <f ca="1">IFERROR(__xludf.DUMMYFUNCTION("GOOGLETRANSLATE(A1410 , ""tr"" , ""en"")"),"He wanted to be mentioned as a Muslim that can be cared. Their lovers called him Mujahtan Erbakan. In the 10th year of the deceased Necmettin Erbakan teacher, I rememberful and gratefully. https://t.co/6bqvzf5v5j")</f>
        <v>He wanted to be mentioned as a Muslim that can be cared. Their lovers called him Mujahtan Erbakan. In the 10th year of the deceased Necmettin Erbakan teacher, I rememberful and gratefully. https://t.co/6bqvzf5v5j</v>
      </c>
    </row>
    <row r="1411" spans="1:5" ht="15.75" customHeight="1" x14ac:dyDescent="0.25">
      <c r="A1411" s="1" t="s">
        <v>2821</v>
      </c>
      <c r="B1411" s="1">
        <v>13801</v>
      </c>
      <c r="C1411" s="3">
        <v>44253.801296296297</v>
      </c>
      <c r="D1411" s="1" t="s">
        <v>2822</v>
      </c>
      <c r="E1411" s="4" t="str">
        <f ca="1">IFERROR(__xludf.DUMMYFUNCTION("GOOGLETRANSLATE(A1411 , ""tr"" , ""en"")"),"According to last week, the number of cases is the most diminished provinces in the 100,000 population; Bayburt, Erzincan, Trabzon, Karabuk and Hatay. If our provinces with the most increase; Army, Giresun, Samsun, Slap and Bolu. Needs more labor to norma"&amp;"lize. https://t.co/8ea1x3xx0e")</f>
        <v>According to last week, the number of cases is the most diminished provinces in the 100,000 population; Bayburt, Erzincan, Trabzon, Karabuk and Hatay. If our provinces with the most increase; Army, Giresun, Samsun, Slap and Bolu. Needs more labor to normalize. https://t.co/8ea1x3xx0e</v>
      </c>
    </row>
    <row r="1412" spans="1:5" ht="15.75" customHeight="1" x14ac:dyDescent="0.25">
      <c r="A1412" s="1" t="s">
        <v>2823</v>
      </c>
      <c r="B1412" s="1">
        <v>6787</v>
      </c>
      <c r="C1412" s="3">
        <v>44253.760127314818</v>
      </c>
      <c r="D1412" s="1" t="s">
        <v>2824</v>
      </c>
      <c r="E1412" s="4" t="str">
        <f ca="1">IFERROR(__xludf.DUMMYFUNCTION("GOOGLETRANSLATE(A1412 , ""tr"" , ""en"")"),"We have citizens that need the health service without leaving the place. We also have the possibility to provide them with this service. We will continue to work to serve more. https://t.co/Ihdinuaa6l")</f>
        <v>We have citizens that need the health service without leaving the place. We also have the possibility to provide them with this service. We will continue to work to serve more. https://t.co/Ihdinuaa6l</v>
      </c>
    </row>
    <row r="1413" spans="1:5" ht="15.75" customHeight="1" x14ac:dyDescent="0.25">
      <c r="A1413" s="1" t="s">
        <v>2825</v>
      </c>
      <c r="B1413" s="1">
        <v>12210</v>
      </c>
      <c r="C1413" s="3">
        <v>44253.527696759258</v>
      </c>
      <c r="D1413" s="1" t="s">
        <v>2826</v>
      </c>
      <c r="E1413" s="4" t="str">
        <f ca="1">IFERROR(__xludf.DUMMYFUNCTION("GOOGLETRANSLATE(A1413 , ""tr"" , ""en"")"),"The teacher is Azerbaijan. They slaughtered our eyes. Our martyrs are mercy and grateful ... https://t.co/Iooty05JQ2")</f>
        <v>The teacher is Azerbaijan. They slaughtered our eyes. Our martyrs are mercy and grateful ... https://t.co/Iooty05JQ2</v>
      </c>
    </row>
    <row r="1414" spans="1:5" ht="15.75" customHeight="1" x14ac:dyDescent="0.25">
      <c r="A1414" s="1" t="s">
        <v>2827</v>
      </c>
      <c r="B1414" s="1">
        <v>20019</v>
      </c>
      <c r="C1414" s="3">
        <v>44253.501840277779</v>
      </c>
      <c r="D1414" s="1" t="s">
        <v>2828</v>
      </c>
      <c r="E1414" s="4" t="str">
        <f ca="1">IFERROR(__xludf.DUMMYFUNCTION("GOOGLETRANSLATE(A1414 , ""tr"" , ""en"")"),"It is the mirror of ore in mercy, which is the prospect of the oppressions.
# Iyikydoğdunmilletin https://t.co/HIJL4KBFJI")</f>
        <v>It is the mirror of ore in mercy, which is the prospect of the oppressions.
# Iyikydoğdunmilletin https://t.co/HIJL4KBFJI</v>
      </c>
    </row>
    <row r="1415" spans="1:5" ht="15.75" customHeight="1" x14ac:dyDescent="0.25">
      <c r="A1415" s="1" t="s">
        <v>2829</v>
      </c>
      <c r="B1415" s="1">
        <v>3955</v>
      </c>
      <c r="C1415" s="3">
        <v>44253.405706018515</v>
      </c>
      <c r="D1415" s="1" t="s">
        <v>2830</v>
      </c>
      <c r="E1415" s="4" t="str">
        <f ca="1">IFERROR(__xludf.DUMMYFUNCTION("GOOGLETRANSLATE(A1415 , ""tr"" , ""en"")"),"Head of the EU Delegation The Ambassador Mr. Nikolaus Hosted Meyer-Landrut in our Ministry, we evaluated the epidemic struggle. We have consulted the projects and new cooperation facilities that are partnership with the EU. I thank him for his visit. @Eud"&amp;"elegationTur HTTPS://T.CO/RPKCQI8ZVA")</f>
        <v>Head of the EU Delegation The Ambassador Mr. Nikolaus Hosted Meyer-Landrut in our Ministry, we evaluated the epidemic struggle. We have consulted the projects and new cooperation facilities that are partnership with the EU. I thank him for his visit. @EudelegationTur HTTPS://T.CO/RPKCQI8ZVA</v>
      </c>
    </row>
    <row r="1416" spans="1:5" ht="15.75" customHeight="1" x14ac:dyDescent="0.25">
      <c r="A1416" s="1" t="s">
        <v>2831</v>
      </c>
      <c r="B1416" s="1">
        <v>7436</v>
      </c>
      <c r="C1416" s="3">
        <v>44253.341249999998</v>
      </c>
      <c r="D1416" s="1" t="s">
        <v>2832</v>
      </c>
      <c r="E1416" s="4" t="str">
        <f ca="1">IFERROR(__xludf.DUMMYFUNCTION("GOOGLETRANSLATE(A1416 , ""tr"" , ""en"")"),"Communication channels are well-intentioned in every demand and attitude. There is no need for political rosters to obtain information. https://t.co/tp89ki95lz")</f>
        <v>Communication channels are well-intentioned in every demand and attitude. There is no need for political rosters to obtain information. https://t.co/tp89ki95lz</v>
      </c>
    </row>
    <row r="1417" spans="1:5" ht="15.75" customHeight="1" x14ac:dyDescent="0.25">
      <c r="A1417" s="1" t="s">
        <v>2833</v>
      </c>
      <c r="B1417" s="1">
        <v>3604</v>
      </c>
      <c r="C1417" s="3">
        <v>44252.883148148147</v>
      </c>
      <c r="D1417" s="1" t="s">
        <v>2834</v>
      </c>
      <c r="E1417" s="4" t="str">
        <f ca="1">IFERROR(__xludf.DUMMYFUNCTION("GOOGLETRANSLATE(A1417 , ""tr"" , ""en"")"),"4. The citizen has been tried to cause confusion instead of calling the service path.
All this is unfortunately not moral.
Our nation's irfan is to deliver the level and right to realize the remarks of this truth. (Documents in Turkish and English) https:"&amp;"//t.co/nqrcvrile9")</f>
        <v>4. The citizen has been tried to cause confusion instead of calling the service path.
All this is unfortunately not moral.
Our nation's irfan is to deliver the level and right to realize the remarks of this truth. (Documents in Turkish and English) https://t.co/nqrcvrile9</v>
      </c>
    </row>
    <row r="1418" spans="1:5" ht="15.75" customHeight="1" x14ac:dyDescent="0.25">
      <c r="A1418" s="1" t="s">
        <v>2835</v>
      </c>
      <c r="B1418" s="1">
        <v>7739</v>
      </c>
      <c r="C1418" s="3">
        <v>44252.883125</v>
      </c>
      <c r="D1418" s="1" t="s">
        <v>2836</v>
      </c>
      <c r="E1418" s="4" t="str">
        <f ca="1">IFERROR(__xludf.DUMMYFUNCTION("GOOGLETRANSLATE(A1418 , ""tr"" , ""en"")"),"The place we stop is a point to surround everyone other than politics.
1. It has been imposed with unfair and unsubstantiated allegations.
2. The provision of vaccination has been tried to be blocked.
3. The epidemic management has been tried to make poli"&amp;"tical materials. https://t.co/o5byy3vmqq")</f>
        <v>The place we stop is a point to surround everyone other than politics.
1. It has been imposed with unfair and unsubstantiated allegations.
2. The provision of vaccination has been tried to be blocked.
3. The epidemic management has been tried to make political materials. https://t.co/o5byy3vmqq</v>
      </c>
    </row>
    <row r="1419" spans="1:5" ht="15.75" customHeight="1" x14ac:dyDescent="0.25">
      <c r="A1419" s="1" t="s">
        <v>2837</v>
      </c>
      <c r="B1419" s="1">
        <v>6873</v>
      </c>
      <c r="C1419" s="3">
        <v>44252.846319444441</v>
      </c>
      <c r="D1419" s="1" t="s">
        <v>2838</v>
      </c>
      <c r="E1419" s="4" t="str">
        <f ca="1">IFERROR(__xludf.DUMMYFUNCTION("GOOGLETRANSLATE(A1419 , ""tr"" , ""en"")"),"The vaccine is a matter of health. Health should not be drawn to political space. The steward is never acceptable attempts to disgust the supply of a strategic product in such a critical period. https://t.co/yd6ubvayf7")</f>
        <v>The vaccine is a matter of health. Health should not be drawn to political space. The steward is never acceptable attempts to disgust the supply of a strategic product in such a critical period. https://t.co/yd6ubvayf7</v>
      </c>
    </row>
    <row r="1420" spans="1:5" ht="15.75" customHeight="1" x14ac:dyDescent="0.25">
      <c r="A1420" s="1" t="s">
        <v>2839</v>
      </c>
      <c r="B1420" s="1">
        <v>6093</v>
      </c>
      <c r="C1420" s="3">
        <v>44252.827280092592</v>
      </c>
      <c r="D1420" s="1" t="s">
        <v>2840</v>
      </c>
      <c r="E1420" s="4" t="str">
        <f ca="1">IFERROR(__xludf.DUMMYFUNCTION("GOOGLETRANSLATE(A1420 , ""tr"" , ""en"")"),"We planned to gradual normalization in accordance with the risk classification. https://t.co/6GORDDID5")</f>
        <v>We planned to gradual normalization in accordance with the risk classification. https://t.co/6GORDDID5</v>
      </c>
    </row>
    <row r="1421" spans="1:5" ht="15.75" customHeight="1" x14ac:dyDescent="0.25">
      <c r="A1421" s="1" t="s">
        <v>2841</v>
      </c>
      <c r="B1421" s="1">
        <v>6573</v>
      </c>
      <c r="C1421" s="3">
        <v>44252.819606481484</v>
      </c>
      <c r="D1421" s="1" t="s">
        <v>2842</v>
      </c>
      <c r="E1421" s="4" t="str">
        <f ca="1">IFERROR(__xludf.DUMMYFUNCTION("GOOGLETRANSLATE(A1421 , ""tr"" , ""en"")"),"We are inoculated after 14 days of the second overdose vaccine. https://t.co/hzvu65nm8t")</f>
        <v>We are inoculated after 14 days of the second overdose vaccine. https://t.co/hzvu65nm8t</v>
      </c>
    </row>
    <row r="1422" spans="1:5" ht="15.75" customHeight="1" x14ac:dyDescent="0.25">
      <c r="A1422" s="1" t="s">
        <v>2843</v>
      </c>
      <c r="B1422" s="1">
        <v>7576</v>
      </c>
      <c r="C1422" s="3">
        <v>44252.794351851851</v>
      </c>
      <c r="D1422" s="1" t="s">
        <v>2844</v>
      </c>
      <c r="E1422" s="4" t="str">
        <f ca="1">IFERROR(__xludf.DUMMYFUNCTION("GOOGLETRANSLATE(A1422 , ""tr"" , ""en"")"),"We have succeeded in the fastest and most vaccination within the countries that provide the vaccine. https://t.co/pke7mwcdds")</f>
        <v>We have succeeded in the fastest and most vaccination within the countries that provide the vaccine. https://t.co/pke7mwcdds</v>
      </c>
    </row>
    <row r="1423" spans="1:5" ht="15.75" customHeight="1" x14ac:dyDescent="0.25">
      <c r="A1423" s="1" t="s">
        <v>2845</v>
      </c>
      <c r="B1423" s="1">
        <v>5564</v>
      </c>
      <c r="C1423" s="3">
        <v>44252.764363425929</v>
      </c>
      <c r="D1423" s="1" t="s">
        <v>2846</v>
      </c>
      <c r="E1423" s="4" t="str">
        <f ca="1">IFERROR(__xludf.DUMMYFUNCTION("GOOGLETRANSLATE(A1423 , ""tr"" , ""en"")"),"A year of the epidemic struggle has gained new experiences. The social impact of the epidemic is now more in focus than the old. https://t.co/r0lzbfmnql")</f>
        <v>A year of the epidemic struggle has gained new experiences. The social impact of the epidemic is now more in focus than the old. https://t.co/r0lzbfmnql</v>
      </c>
    </row>
    <row r="1424" spans="1:5" ht="15.75" customHeight="1" x14ac:dyDescent="0.25">
      <c r="A1424" s="1" t="s">
        <v>2847</v>
      </c>
      <c r="B1424" s="1">
        <v>10772</v>
      </c>
      <c r="C1424" s="3">
        <v>44252.69295138889</v>
      </c>
      <c r="D1424" s="1" t="s">
        <v>2848</v>
      </c>
      <c r="E1424" s="4" t="str">
        <f ca="1">IFERROR(__xludf.DUMMYFUNCTION("GOOGLETRANSLATE(A1424 , ""tr"" , ""en"")"),"After our Science Board meeting, our press statement on the latest developments on the coronavirus.
📍 The Ministry of Health
https://t.co/wxgccwddb")</f>
        <v>After our Science Board meeting, our press statement on the latest developments on the coronavirus.
📍 The Ministry of Health
https://t.co/wxgccwddb</v>
      </c>
    </row>
    <row r="1425" spans="1:5" ht="15.75" customHeight="1" x14ac:dyDescent="0.25">
      <c r="A1425" s="1" t="s">
        <v>2849</v>
      </c>
      <c r="B1425" s="1">
        <v>6295</v>
      </c>
      <c r="C1425" s="3">
        <v>44251.893831018519</v>
      </c>
      <c r="D1425" s="1" t="s">
        <v>2850</v>
      </c>
      <c r="E1425" s="4" t="str">
        <f ca="1">IFERROR(__xludf.DUMMYFUNCTION("GOOGLETRANSLATE(A1425 , ""tr"" , ""en"")"),"We have listened to our deputies of our citizens by passing the present in the parliament of our citizens. We have consulted our deputies with our deputies to our Supreme Council. https://t.co/cqlbrq6yd3")</f>
        <v>We have listened to our deputies of our citizens by passing the present in the parliament of our citizens. We have consulted our deputies with our deputies to our Supreme Council. https://t.co/cqlbrq6yd3</v>
      </c>
    </row>
    <row r="1426" spans="1:5" ht="15.75" customHeight="1" x14ac:dyDescent="0.25">
      <c r="A1426" s="1" t="s">
        <v>2851</v>
      </c>
      <c r="B1426" s="1">
        <v>13703</v>
      </c>
      <c r="C1426" s="3">
        <v>44251.869884259257</v>
      </c>
      <c r="D1426" s="1" t="s">
        <v>2852</v>
      </c>
      <c r="E1426" s="4" t="str">
        <f ca="1">IFERROR(__xludf.DUMMYFUNCTION("GOOGLETRANSLATE(A1426 , ""tr"" , ""en"")"),"The whole world is struggling out of outbreak. We also give a struggle as folks. While the political material is too important humanity task to be made, our stance will not change. https://t.co/dqxunpvw4c")</f>
        <v>The whole world is struggling out of outbreak. We also give a struggle as folks. While the political material is too important humanity task to be made, our stance will not change. https://t.co/dqxunpvw4c</v>
      </c>
    </row>
    <row r="1427" spans="1:5" ht="15.75" customHeight="1" x14ac:dyDescent="0.25">
      <c r="A1427" s="1" t="s">
        <v>2853</v>
      </c>
      <c r="B1427" s="1">
        <v>33152</v>
      </c>
      <c r="C1427" s="3">
        <v>44251.616620370369</v>
      </c>
      <c r="D1427" s="1" t="s">
        <v>2854</v>
      </c>
      <c r="E1427" s="4" t="str">
        <f ca="1">IFERROR(__xludf.DUMMYFUNCTION("GOOGLETRANSLATE(A1427 , ""tr"" , ""en"")"),"In the village schools where face-to-face education started the vaccination of our teachers. My friend of my friend overlooking the first vaccine was Selçuk. We will continue to strive together for a safer educational environment.")</f>
        <v>In the village schools where face-to-face education started the vaccination of our teachers. My friend of my friend overlooking the first vaccine was Selçuk. We will continue to strive together for a safer educational environment.</v>
      </c>
    </row>
    <row r="1428" spans="1:5" ht="15.75" customHeight="1" x14ac:dyDescent="0.25">
      <c r="A1428" s="1" t="s">
        <v>2855</v>
      </c>
      <c r="B1428" s="1">
        <v>25363</v>
      </c>
      <c r="C1428" s="3">
        <v>44249.874537037038</v>
      </c>
      <c r="D1428" s="1" t="s">
        <v>2856</v>
      </c>
      <c r="E1428" s="4" t="str">
        <f ca="1">IFERROR(__xludf.DUMMYFUNCTION("GOOGLETRANSLATE(A1428 , ""tr"" , ""en"")"),"The number of cases corresponding to 100,000 percent population has a significant increase in our provinces. In order to be able to return to normal life on what we talk to normalization, each of us should comply with more measures.
https://t.co/rvlhe7786"&amp;"o https://t.co/kpgq3g8c5n")</f>
        <v>The number of cases corresponding to 100,000 percent population has a significant increase in our provinces. In order to be able to return to normal life on what we talk to normalization, each of us should comply with more measures.
https://t.co/rvlhe7786o https://t.co/kpgq3g8c5n</v>
      </c>
    </row>
    <row r="1429" spans="1:5" ht="15.75" customHeight="1" x14ac:dyDescent="0.25">
      <c r="A1429" s="1" t="s">
        <v>2857</v>
      </c>
      <c r="B1429" s="1">
        <v>13892</v>
      </c>
      <c r="C1429" s="3">
        <v>44247.528761574074</v>
      </c>
      <c r="D1429" s="1" t="s">
        <v>2858</v>
      </c>
      <c r="E1429" s="4" t="str">
        <f ca="1">IFERROR(__xludf.DUMMYFUNCTION("GOOGLETRANSLATE(A1429 , ""tr"" , ""en"")"),"No matter where our flag is rippling for our health workers, no hours late. https://t.co/yt89x8hggi")</f>
        <v>No matter where our flag is rippling for our health workers, no hours late. https://t.co/yt89x8hggi</v>
      </c>
    </row>
    <row r="1430" spans="1:5" ht="15.75" customHeight="1" x14ac:dyDescent="0.25">
      <c r="A1430" s="1" t="s">
        <v>2859</v>
      </c>
      <c r="B1430" s="1">
        <v>36091</v>
      </c>
      <c r="C1430" s="3">
        <v>44247.400381944448</v>
      </c>
      <c r="D1430" s="1" t="s">
        <v>2860</v>
      </c>
      <c r="E1430" s="4" t="str">
        <f ca="1">IFERROR(__xludf.DUMMYFUNCTION("GOOGLETRANSLATE(A1430 , ""tr"" , ""en"")"),"We are rigorously working on normalization steps. We are gradual normalized with the period of decision on-site. As of March 1, the process will start with our provincial HIFZISSIHA Boards in the four-risk level of our governors within the framework of th"&amp;"e criteria determined.")</f>
        <v>We are rigorously working on normalization steps. We are gradual normalized with the period of decision on-site. As of March 1, the process will start with our provincial HIFZISSIHA Boards in the four-risk level of our governors within the framework of the criteria determined.</v>
      </c>
    </row>
    <row r="1431" spans="1:5" ht="15.75" customHeight="1" x14ac:dyDescent="0.25">
      <c r="A1431" s="1" t="s">
        <v>2861</v>
      </c>
      <c r="B1431" s="1">
        <v>28690</v>
      </c>
      <c r="C1431" s="3">
        <v>44246.802037037036</v>
      </c>
      <c r="D1431" s="1" t="s">
        <v>2862</v>
      </c>
      <c r="E1431" s="4" t="str">
        <f ca="1">IFERROR(__xludf.DUMMYFUNCTION("GOOGLETRANSLATE(A1431 , ""tr"" , ""en"")"),"We have worked a lifetime of human growth to our hometown, our President of YÖK We lost our muhammad Muhammad Saraş teacher of Muhammad, Muhammad, Muhammad. The death of the scholar is like the death of the realm. May the head of our nation be right.")</f>
        <v>We have worked a lifetime of human growth to our hometown, our President of YÖK We lost our muhammad Muhammad Saraş teacher of Muhammad, Muhammad, Muhammad. The death of the scholar is like the death of the realm. May the head of our nation be right.</v>
      </c>
    </row>
    <row r="1432" spans="1:5" ht="15.75" customHeight="1" x14ac:dyDescent="0.25">
      <c r="A1432" s="1" t="s">
        <v>2863</v>
      </c>
      <c r="B1432" s="1">
        <v>13421</v>
      </c>
      <c r="C1432" s="3">
        <v>44246.613599537035</v>
      </c>
      <c r="D1432" s="1" t="s">
        <v>2864</v>
      </c>
      <c r="E1432" s="4" t="str">
        <f ca="1">IFERROR(__xludf.DUMMYFUNCTION("GOOGLETRANSLATE(A1432 , ""tr"" , ""en"")"),"We have previously told you that the inactive vaccine will be less affected by the mutations as well as the risk of the side effect. Now the world began to talk and communicate it. We continue to work to ensure the best of our country's outrage citizens.
"&amp;"
https://t.co/obkjlt6pen")</f>
        <v>We have previously told you that the inactive vaccine will be less affected by the mutations as well as the risk of the side effect. Now the world began to talk and communicate it. We continue to work to ensure the best of our country's outrage citizens.
https://t.co/obkjlt6pen</v>
      </c>
    </row>
    <row r="1433" spans="1:5" ht="15.75" customHeight="1" x14ac:dyDescent="0.25">
      <c r="A1433" s="1" t="s">
        <v>2865</v>
      </c>
      <c r="B1433" s="1">
        <v>20974</v>
      </c>
      <c r="C1433" s="3">
        <v>44245.800925925927</v>
      </c>
      <c r="D1433" s="1" t="s">
        <v>2866</v>
      </c>
      <c r="E1433" s="4" t="str">
        <f ca="1">IFERROR(__xludf.DUMMYFUNCTION("GOOGLETRANSLATE(A1433 , ""tr"" , ""en"")"),"The heroes of the epidemic do not neglect our cute friends. The Army 112 Emergency Cheetic Mustafa Baran Case Return was not insensitive to the injured dog he saw on the road. The world is the mercy that makes an experienced place. https://t.co/od5grmuljf")</f>
        <v>The heroes of the epidemic do not neglect our cute friends. The Army 112 Emergency Cheetic Mustafa Baran Case Return was not insensitive to the injured dog he saw on the road. The world is the mercy that makes an experienced place. https://t.co/od5grmuljf</v>
      </c>
    </row>
    <row r="1434" spans="1:5" ht="15.75" customHeight="1" x14ac:dyDescent="0.25">
      <c r="A1434" s="1" t="s">
        <v>2867</v>
      </c>
      <c r="B1434" s="1">
        <v>71975</v>
      </c>
      <c r="C1434" s="3">
        <v>44245.65834490741</v>
      </c>
      <c r="D1434" s="1" t="s">
        <v>2868</v>
      </c>
      <c r="E1434" s="4" t="str">
        <f ca="1">IFERROR(__xludf.DUMMYFUNCTION("GOOGLETRANSLATE(A1434 , ""tr"" , ""en"")"),"Each coward is a new light of hope. The bright days are close. May our Regaib Waydill be blessed.")</f>
        <v>Each coward is a new light of hope. The bright days are close. May our Regaib Waydill be blessed.</v>
      </c>
    </row>
    <row r="1435" spans="1:5" ht="15.75" customHeight="1" x14ac:dyDescent="0.25">
      <c r="A1435" s="1" t="s">
        <v>2869</v>
      </c>
      <c r="B1435" s="1">
        <v>10720</v>
      </c>
      <c r="C1435" s="3">
        <v>44245.507210648146</v>
      </c>
      <c r="D1435" s="1" t="s">
        <v>2870</v>
      </c>
      <c r="E1435" s="4" t="str">
        <f ca="1">IFERROR(__xludf.DUMMYFUNCTION("GOOGLETRANSLATE(A1435 , ""tr"" , ""en"")"),"According to last week, the number of cases seen in 100,000 population in 1 week is the most increasing 5 products: Bilecik, Erzincan, Kilis, Usak and Canakkale. Our most diminishing provinces are Bitlis, Mardin, Kastamonu, Yalova and Bingöl. Our greatest"&amp;" strength together with the vaccination of measures and restrictions. https://t.co/moxqbbdvv5")</f>
        <v>According to last week, the number of cases seen in 100,000 population in 1 week is the most increasing 5 products: Bilecik, Erzincan, Kilis, Usak and Canakkale. Our most diminishing provinces are Bitlis, Mardin, Kastamonu, Yalova and Bingöl. Our greatest strength together with the vaccination of measures and restrictions. https://t.co/moxqbbdvv5</v>
      </c>
    </row>
    <row r="1436" spans="1:5" ht="15.75" customHeight="1" x14ac:dyDescent="0.25">
      <c r="A1436" s="1" t="s">
        <v>2871</v>
      </c>
      <c r="B1436" s="1">
        <v>20143</v>
      </c>
      <c r="C1436" s="3">
        <v>44244.855543981481</v>
      </c>
      <c r="D1436" s="1" t="s">
        <v>2872</v>
      </c>
      <c r="E1436" s="4" t="str">
        <f ca="1">IFERROR(__xludf.DUMMYFUNCTION("GOOGLETRANSLATE(A1436 , ""tr"" , ""en"")"),"In our country, the vaccine is only done in the order of priority determined by the Science Board and is free for all. The judicial transaction will be initiated about the scams that demands money by claiming to make our citizens priority in the vaccine. "&amp;"Notice to Sabim 184.")</f>
        <v>In our country, the vaccine is only done in the order of priority determined by the Science Board and is free for all. The judicial transaction will be initiated about the scams that demands money by claiming to make our citizens priority in the vaccine. Notice to Sabim 184.</v>
      </c>
    </row>
    <row r="1437" spans="1:5" ht="15.75" customHeight="1" x14ac:dyDescent="0.25">
      <c r="A1437" s="1" t="s">
        <v>2873</v>
      </c>
      <c r="B1437" s="1">
        <v>0</v>
      </c>
      <c r="C1437" s="3">
        <v>44244.683240740742</v>
      </c>
      <c r="D1437" s="1" t="s">
        <v>2874</v>
      </c>
      <c r="E1437" s="4" t="str">
        <f ca="1">IFERROR(__xludf.DUMMYFUNCTION("GOOGLETRANSLATE(A1437 , ""tr"" , ""en"")"),"RT @rterdogan: Shouting Nation After Cabinet Meeting https://t.co/6cx5sqlztt")</f>
        <v>RT @rterdogan: Shouting Nation After Cabinet Meeting https://t.co/6cx5sqlztt</v>
      </c>
    </row>
    <row r="1438" spans="1:5" ht="15.75" customHeight="1" x14ac:dyDescent="0.25">
      <c r="A1438" s="1" t="s">
        <v>2875</v>
      </c>
      <c r="B1438" s="1">
        <v>14690</v>
      </c>
      <c r="C1438" s="3">
        <v>44244.655023148145</v>
      </c>
      <c r="D1438" s="1" t="s">
        <v>2876</v>
      </c>
      <c r="E1438" s="4" t="str">
        <f ca="1">IFERROR(__xludf.DUMMYFUNCTION("GOOGLETRANSLATE(A1438 , ""tr"" , ""en"")"),"We are at your service on Saturday to make your vaccine. If you have received our message your first job get an appointment. Don't waste time against COVID-19. https://t.co/bsnclvnes0")</f>
        <v>We are at your service on Saturday to make your vaccine. If you have received our message your first job get an appointment. Don't waste time against COVID-19. https://t.co/bsnclvnes0</v>
      </c>
    </row>
    <row r="1439" spans="1:5" ht="15.75" customHeight="1" x14ac:dyDescent="0.25">
      <c r="A1439" s="1" t="s">
        <v>2877</v>
      </c>
      <c r="B1439" s="1">
        <v>44846</v>
      </c>
      <c r="C1439" s="3">
        <v>44243.801342592589</v>
      </c>
      <c r="D1439" s="1" t="s">
        <v>2878</v>
      </c>
      <c r="E1439" s="4" t="str">
        <f ca="1">IFERROR(__xludf.DUMMYFUNCTION("GOOGLETRANSLATE(A1439 , ""tr"" , ""en"")"),"We have made evaluations about higher education today. In the evaluation of the evaluation, it was conducted to face to face as facial as possible to the theoretical trainings to the theoretical trainings to the higher education institution.")</f>
        <v>We have made evaluations about higher education today. In the evaluation of the evaluation, it was conducted to face to face as facial as possible to the theoretical trainings to the theoretical trainings to the higher education institution.</v>
      </c>
    </row>
    <row r="1440" spans="1:5" ht="15.75" customHeight="1" x14ac:dyDescent="0.25">
      <c r="A1440" s="1" t="s">
        <v>2879</v>
      </c>
      <c r="B1440" s="1">
        <v>19835</v>
      </c>
      <c r="C1440" s="3">
        <v>44243.800243055557</v>
      </c>
      <c r="D1440" s="1" t="s">
        <v>2880</v>
      </c>
      <c r="E1440" s="4" t="str">
        <f ca="1">IFERROR(__xludf.DUMMYFUNCTION("GOOGLETRANSLATE(A1440 , ""tr"" , ""en"")"),"As of today we have made more than 5 million vaccines. We are about to complete the 1st stage in vaccination of the priority groups formed by the science board.")</f>
        <v>As of today we have made more than 5 million vaccines. We are about to complete the 1st stage in vaccination of the priority groups formed by the science board.</v>
      </c>
    </row>
    <row r="1441" spans="1:5" ht="15.75" customHeight="1" x14ac:dyDescent="0.25">
      <c r="A1441" s="1" t="s">
        <v>2881</v>
      </c>
      <c r="B1441" s="1">
        <v>10311</v>
      </c>
      <c r="C1441" s="3">
        <v>44243.785590277781</v>
      </c>
      <c r="D1441" s="1" t="s">
        <v>2882</v>
      </c>
      <c r="E1441" s="4" t="str">
        <f ca="1">IFERROR(__xludf.DUMMYFUNCTION("GOOGLETRANSLATE(A1441 , ""tr"" , ""en"")"),"We go to the ""on-site decision"" period according to the case numbers of the measures. https://t.co/7zvypczqfs")</f>
        <v>We go to the "on-site decision" period according to the case numbers of the measures. https://t.co/7zvypczqfs</v>
      </c>
    </row>
    <row r="1442" spans="1:5" ht="15.75" customHeight="1" x14ac:dyDescent="0.25">
      <c r="A1442" s="1" t="s">
        <v>2883</v>
      </c>
      <c r="B1442" s="1">
        <v>44601</v>
      </c>
      <c r="C1442" s="3">
        <v>44243.615694444445</v>
      </c>
      <c r="D1442" s="1" t="s">
        <v>2884</v>
      </c>
      <c r="E1442" s="4" t="str">
        <f ca="1">IFERROR(__xludf.DUMMYFUNCTION("GOOGLETRANSLATE(A1442 , ""tr"" , ""en"")"),"""You don't have your mother, who don't have."" Our famous psychologist Dogan Cüceloğlu used this sentence when telling the death of his mother. Today, we received a news that will make your life touched: Our teacher has left us. I wish his condolences to"&amp;" the mercy, lovers from Allah. https://t.co/ohthczzxko")</f>
        <v>"You don't have your mother, who don't have." Our famous psychologist Dogan Cüceloğlu used this sentence when telling the death of his mother. Today, we received a news that will make your life touched: Our teacher has left us. I wish his condolences to the mercy, lovers from Allah. https://t.co/ohthczzxko</v>
      </c>
    </row>
    <row r="1443" spans="1:5" ht="15.75" customHeight="1" x14ac:dyDescent="0.25">
      <c r="A1443" s="1" t="s">
        <v>2885</v>
      </c>
      <c r="B1443" s="1">
        <v>48503</v>
      </c>
      <c r="C1443" s="3">
        <v>44243.349537037036</v>
      </c>
      <c r="D1443" s="1" t="s">
        <v>2886</v>
      </c>
      <c r="E1443" s="4" t="str">
        <f ca="1">IFERROR(__xludf.DUMMYFUNCTION("GOOGLETRANSLATE(A1443 , ""tr"" , ""en"")"),"The fear we have experienced months will finally shrink as a needle tip. Let's get our vaccine if our turn comes.")</f>
        <v>The fear we have experienced months will finally shrink as a needle tip. Let's get our vaccine if our turn comes.</v>
      </c>
    </row>
    <row r="1444" spans="1:5" ht="15.75" customHeight="1" x14ac:dyDescent="0.25">
      <c r="A1444" s="1" t="s">
        <v>2887</v>
      </c>
      <c r="B1444" s="1">
        <v>35811</v>
      </c>
      <c r="C1444" s="3">
        <v>44242.914120370369</v>
      </c>
      <c r="D1444" s="1" t="s">
        <v>2888</v>
      </c>
      <c r="E1444" s="4" t="str">
        <f ca="1">IFERROR(__xludf.DUMMYFUNCTION("GOOGLETRANSLATE(A1444 , ""tr"" , ""en"")"),"Alperen Bey, maybe there is no old lover of the friend who prepares the chart there but Anatolia has nice people. Everyone knows that when you see there :) https://t.co/07uyppbzi1")</f>
        <v>Alperen Bey, maybe there is no old lover of the friend who prepares the chart there but Anatolia has nice people. Everyone knows that when you see there :) https://t.co/07uyppbzi1</v>
      </c>
    </row>
    <row r="1445" spans="1:5" ht="15.75" customHeight="1" x14ac:dyDescent="0.25">
      <c r="A1445" s="1" t="s">
        <v>2889</v>
      </c>
      <c r="B1445" s="1">
        <v>23391</v>
      </c>
      <c r="C1445" s="3">
        <v>44242.861608796295</v>
      </c>
      <c r="D1445" s="1" t="s">
        <v>2890</v>
      </c>
      <c r="E1445" s="4" t="str">
        <f ca="1">IFERROR(__xludf.DUMMYFUNCTION("GOOGLETRANSLATE(A1445 , ""tr"" , ""en"")"),"In our last press conference, I have stated that we will share the number of cases in our provinces. After that, we will declare the number of cases of 7 days at the beginning of each week. We are at in place decision. https://t.co/rvlhe7oIYM https://t.co"&amp;"/uq4k2tfmiz")</f>
        <v>In our last press conference, I have stated that we will share the number of cases in our provinces. After that, we will declare the number of cases of 7 days at the beginning of each week. We are at in place decision. https://t.co/rvlhe7oIYM https://t.co/uq4k2tfmiz</v>
      </c>
    </row>
    <row r="1446" spans="1:5" ht="15.75" customHeight="1" x14ac:dyDescent="0.25">
      <c r="A1446" s="1" t="s">
        <v>2891</v>
      </c>
      <c r="B1446" s="1">
        <v>6846</v>
      </c>
      <c r="C1446" s="3">
        <v>44242.714560185188</v>
      </c>
      <c r="D1446" s="1" t="s">
        <v>2892</v>
      </c>
      <c r="E1446" s="4" t="str">
        <f ca="1">IFERROR(__xludf.DUMMYFUNCTION("GOOGLETRANSLATE(A1446 , ""tr"" , ""en"")"),"Thank Mr. Mustafa Destici because of the support they give to our program. We will continue to work until all our citizens are vaccinated. https://t.co/pqllcdikh5")</f>
        <v>Thank Mr. Mustafa Destici because of the support they give to our program. We will continue to work until all our citizens are vaccinated. https://t.co/pqllcdikh5</v>
      </c>
    </row>
    <row r="1447" spans="1:5" ht="15.75" customHeight="1" x14ac:dyDescent="0.25">
      <c r="A1447" s="1" t="s">
        <v>2893</v>
      </c>
      <c r="B1447" s="1">
        <v>15480</v>
      </c>
      <c r="C1447" s="3">
        <v>44242.604189814818</v>
      </c>
      <c r="D1447" s="1" t="s">
        <v>2894</v>
      </c>
      <c r="E1447" s="4" t="str">
        <f ca="1">IFERROR(__xludf.DUMMYFUNCTION("GOOGLETRANSLATE(A1447 , ""tr"" , ""en"")"),"Our esteems are our precious. Our responsibility to look at them like our eyes. The relics of us wherever they become. https://t.co/bqphaj5p43")</f>
        <v>Our esteems are our precious. Our responsibility to look at them like our eyes. The relics of us wherever they become. https://t.co/bqphaj5p43</v>
      </c>
    </row>
    <row r="1448" spans="1:5" ht="15.75" customHeight="1" x14ac:dyDescent="0.25">
      <c r="A1448" s="1" t="s">
        <v>2895</v>
      </c>
      <c r="B1448" s="1">
        <v>38527</v>
      </c>
      <c r="C1448" s="3">
        <v>44242.405277777776</v>
      </c>
      <c r="D1448" s="1" t="s">
        <v>2896</v>
      </c>
      <c r="E1448" s="4" t="str">
        <f ca="1">IFERROR(__xludf.DUMMYFUNCTION("GOOGLETRANSLATE(A1448 , ""tr"" , ""en"")"),"We make over 500,000 vaccines today. As the number of vaccines increases, the question marks in our lives will be reduced.")</f>
        <v>We make over 500,000 vaccines today. As the number of vaccines increases, the question marks in our lives will be reduced.</v>
      </c>
    </row>
    <row r="1449" spans="1:5" ht="15.75" customHeight="1" x14ac:dyDescent="0.25">
      <c r="A1449" s="1" t="s">
        <v>2897</v>
      </c>
      <c r="B1449" s="1">
        <v>35356</v>
      </c>
      <c r="C1449" s="3">
        <v>44241.762280092589</v>
      </c>
      <c r="D1449" s="1" t="s">
        <v>2898</v>
      </c>
      <c r="E1449" s="4" t="str">
        <f ca="1">IFERROR(__xludf.DUMMYFUNCTION("GOOGLETRANSLATE(A1449 , ""tr"" , ""en"")"),"May the soul of our stands are in the Sad. May the head of our nation be right. Hain is in all opportunity to increase the violence of betrayal. Will stay on all the traitors of the traitors. Innocentions of innocents are to be buried in the terrorists. h"&amp;"ttps://t.co/5iyozeszhn")</f>
        <v>May the soul of our stands are in the Sad. May the head of our nation be right. Hain is in all opportunity to increase the violence of betrayal. Will stay on all the traitors of the traitors. Innocentions of innocents are to be buried in the terrorists. https://t.co/5iyozeszhn</v>
      </c>
    </row>
    <row r="1450" spans="1:5" ht="15.75" customHeight="1" x14ac:dyDescent="0.25">
      <c r="A1450" s="1" t="s">
        <v>2899</v>
      </c>
      <c r="B1450" s="1">
        <v>58383</v>
      </c>
      <c r="C1450" s="3">
        <v>44240.715474537035</v>
      </c>
      <c r="D1450" s="1" t="s">
        <v>2900</v>
      </c>
      <c r="E1450" s="4" t="str">
        <f ca="1">IFERROR(__xludf.DUMMYFUNCTION("GOOGLETRANSLATE(A1450 , ""tr"" , ""en"")"),"We have a lot of reason to be proud of this country. https://t.co/ft82j4l3il")</f>
        <v>We have a lot of reason to be proud of this country. https://t.co/ft82j4l3il</v>
      </c>
    </row>
    <row r="1451" spans="1:5" ht="15.75" customHeight="1" x14ac:dyDescent="0.25">
      <c r="A1451" s="1" t="s">
        <v>2901</v>
      </c>
      <c r="B1451" s="1">
        <v>12536</v>
      </c>
      <c r="C1451" s="3">
        <v>44240.640532407408</v>
      </c>
      <c r="D1451" s="1" t="s">
        <v>2902</v>
      </c>
      <c r="E1451" s="4" t="str">
        <f ca="1">IFERROR(__xludf.DUMMYFUNCTION("GOOGLETRANSLATE(A1451 , ""tr"" , ""en"")"),"This country of hometown will be in the prayer of our stay in our homeland Oman. https://t.co/eiphlk59tv")</f>
        <v>This country of hometown will be in the prayer of our stay in our homeland Oman. https://t.co/eiphlk59tv</v>
      </c>
    </row>
    <row r="1452" spans="1:5" ht="15.75" customHeight="1" x14ac:dyDescent="0.25">
      <c r="A1452" s="1" t="s">
        <v>2903</v>
      </c>
      <c r="B1452" s="1">
        <v>35695</v>
      </c>
      <c r="C1452" s="3">
        <v>44240.572511574072</v>
      </c>
      <c r="D1452" s="1" t="s">
        <v>2904</v>
      </c>
      <c r="E1452" s="4" t="str">
        <f ca="1">IFERROR(__xludf.DUMMYFUNCTION("GOOGLETRANSLATE(A1452 , ""tr"" , ""en"")"),"Death is a bridge, leads to friendly friend. The life of the lifetime is a low-volunteer, fedakar Kadir Eblak, which has passed our friendly service and people to grow. May the venue be in the heaven, the authority.")</f>
        <v>Death is a bridge, leads to friendly friend. The life of the lifetime is a low-volunteer, fedakar Kadir Eblak, which has passed our friendly service and people to grow. May the venue be in the heaven, the authority.</v>
      </c>
    </row>
    <row r="1453" spans="1:5" ht="15.75" customHeight="1" x14ac:dyDescent="0.25">
      <c r="A1453" s="1" t="s">
        <v>2905</v>
      </c>
      <c r="B1453" s="1">
        <v>83458</v>
      </c>
      <c r="C1453" s="3">
        <v>44240.422476851854</v>
      </c>
      <c r="D1453" s="1" t="s">
        <v>2906</v>
      </c>
      <c r="E1453" s="4" t="str">
        <f ca="1">IFERROR(__xludf.DUMMYFUNCTION("GOOGLETRANSLATE(A1453 , ""tr"" , ""en"")"),"My Allah is RECEB and Shaban blessed us to us and access us to Ramadan. Happy-happy days began. Get blessed.")</f>
        <v>My Allah is RECEB and Shaban blessed us to us and access us to Ramadan. Happy-happy days began. Get blessed.</v>
      </c>
    </row>
    <row r="1454" spans="1:5" ht="15.75" customHeight="1" x14ac:dyDescent="0.25">
      <c r="A1454" s="1" t="s">
        <v>2907</v>
      </c>
      <c r="B1454" s="1">
        <v>38859</v>
      </c>
      <c r="C1454" s="3">
        <v>44239.844212962962</v>
      </c>
      <c r="D1454" s="1" t="s">
        <v>2908</v>
      </c>
      <c r="E1454" s="4" t="str">
        <f ca="1">IFERROR(__xludf.DUMMYFUNCTION("GOOGLETRANSLATE(A1454 , ""tr"" , ""en"")"),"Yes # 235Apperability cannot be able to be
Because the number of 235 new assignments is not the number of squads that remain empty from the leftovers last year. Has nothing to do with new assignments. Spreading the wrong information directly is not health"&amp;"y.")</f>
        <v>Yes # 235Apperability cannot be able to be
Because the number of 235 new assignments is not the number of squads that remain empty from the leftovers last year. Has nothing to do with new assignments. Spreading the wrong information directly is not healthy.</v>
      </c>
    </row>
    <row r="1455" spans="1:5" ht="15.75" customHeight="1" x14ac:dyDescent="0.25">
      <c r="A1455" s="1" t="s">
        <v>2909</v>
      </c>
      <c r="B1455" s="1">
        <v>5415</v>
      </c>
      <c r="C1455" s="3">
        <v>44239.812905092593</v>
      </c>
      <c r="D1455" s="1" t="s">
        <v>2910</v>
      </c>
      <c r="E1455" s="4" t="str">
        <f ca="1">IFERROR(__xludf.DUMMYFUNCTION("GOOGLETRANSLATE(A1455 , ""tr"" , ""en"")"),"Hope to the Emergency Health care is never needed. However, if it is needed, we have health workers and health infrastructures that are grown as the speed. https://t.co/5k00pdupap")</f>
        <v>Hope to the Emergency Health care is never needed. However, if it is needed, we have health workers and health infrastructures that are grown as the speed. https://t.co/5k00pdupap</v>
      </c>
    </row>
    <row r="1456" spans="1:5" ht="15.75" customHeight="1" x14ac:dyDescent="0.25">
      <c r="A1456" s="1" t="s">
        <v>2911</v>
      </c>
      <c r="B1456" s="1">
        <v>36321</v>
      </c>
      <c r="C1456" s="3">
        <v>44239.713333333333</v>
      </c>
      <c r="D1456" s="1" t="s">
        <v>2912</v>
      </c>
      <c r="E1456" s="4" t="str">
        <f ca="1">IFERROR(__xludf.DUMMYFUNCTION("GOOGLETRANSLATE(A1456 , ""tr"" , ""en"")"),"The death of the scholar is like death. The Life is the Foundation of the Foundation to serve the life of Allah in the way of the Canaat Leader Hafiz Abdullah Revenue 107 years old. May the venue heaven, the spirit of the soul. https://t.co/d725spyhpu")</f>
        <v>The death of the scholar is like death. The Life is the Foundation of the Foundation to serve the life of Allah in the way of the Canaat Leader Hafiz Abdullah Revenue 107 years old. May the venue heaven, the spirit of the soul. https://t.co/d725spyhpu</v>
      </c>
    </row>
    <row r="1457" spans="1:5" ht="15.75" customHeight="1" x14ac:dyDescent="0.25">
      <c r="A1457" s="1" t="s">
        <v>2913</v>
      </c>
      <c r="B1457" s="1">
        <v>23563</v>
      </c>
      <c r="C1457" s="3">
        <v>44239.550810185188</v>
      </c>
      <c r="D1457" s="1" t="s">
        <v>2914</v>
      </c>
      <c r="E1457" s="4" t="str">
        <f ca="1">IFERROR(__xludf.DUMMYFUNCTION("GOOGLETRANSLATE(A1457 , ""tr"" , ""en"")"),"The number of our citizens to be vaccinated so far above 3.5 million. Today, our ages over 65 also plastered the arms.")</f>
        <v>The number of our citizens to be vaccinated so far above 3.5 million. Today, our ages over 65 also plastered the arms.</v>
      </c>
    </row>
    <row r="1458" spans="1:5" ht="15.75" customHeight="1" x14ac:dyDescent="0.25">
      <c r="A1458" s="1" t="s">
        <v>2915</v>
      </c>
      <c r="B1458" s="1">
        <v>13285</v>
      </c>
      <c r="C1458" s="3">
        <v>44239.399675925924</v>
      </c>
      <c r="D1458" s="1" t="s">
        <v>2916</v>
      </c>
      <c r="E1458" s="4" t="str">
        <f ca="1">IFERROR(__xludf.DUMMYFUNCTION("GOOGLETRANSLATE(A1458 , ""tr"" , ""en"")"),"Mr. Kemal Kılıkdaroğlu Thank you very much for the support to our vaccine campaign. All of our citizens will work until vaccinated. https://t.co/min4nc37kl")</f>
        <v>Mr. Kemal Kılıkdaroğlu Thank you very much for the support to our vaccine campaign. All of our citizens will work until vaccinated. https://t.co/min4nc37kl</v>
      </c>
    </row>
    <row r="1459" spans="1:5" ht="15.75" customHeight="1" x14ac:dyDescent="0.25">
      <c r="A1459" s="1" t="s">
        <v>2917</v>
      </c>
      <c r="B1459" s="1">
        <v>10560</v>
      </c>
      <c r="C1459" s="3">
        <v>44238.670902777776</v>
      </c>
      <c r="D1459" s="1" t="s">
        <v>2918</v>
      </c>
      <c r="E1459" s="4" t="str">
        <f ca="1">IFERROR(__xludf.DUMMYFUNCTION("GOOGLETRANSLATE(A1459 , ""tr"" , ""en"")"),"The vaccination of our citizens over 65 the morning tomorrow begins. Our citizens over 65 years of age will be able to vaccinate over 60 years of age. You are asking you to get your appointments from our web page and mobile application. https://t.co/jgfzw"&amp;"j4")</f>
        <v>The vaccination of our citizens over 65 the morning tomorrow begins. Our citizens over 65 years of age will be able to vaccinate over 60 years of age. You are asking you to get your appointments from our web page and mobile application. https://t.co/jgfzwj4</v>
      </c>
    </row>
    <row r="1460" spans="1:5" ht="15.75" customHeight="1" x14ac:dyDescent="0.25">
      <c r="A1460" s="1" t="s">
        <v>2919</v>
      </c>
      <c r="B1460" s="1">
        <v>9943</v>
      </c>
      <c r="C1460" s="3">
        <v>44238.5940162037</v>
      </c>
      <c r="D1460" s="1" t="s">
        <v>2920</v>
      </c>
      <c r="E1460" s="4" t="str">
        <f ca="1">IFERROR(__xludf.DUMMYFUNCTION("GOOGLETRANSLATE(A1460 , ""tr"" , ""en"")"),"Mr. State Bahçeli Beyefendi, I present my gratitude due to the sample posture in our support and vaccine program in our vaccine program. https://t.co/asrmm2krav")</f>
        <v>Mr. State Bahçeli Beyefendi, I present my gratitude due to the sample posture in our support and vaccine program in our vaccine program. https://t.co/asrmm2krav</v>
      </c>
    </row>
    <row r="1461" spans="1:5" ht="15.75" customHeight="1" x14ac:dyDescent="0.25">
      <c r="A1461" s="1" t="s">
        <v>2921</v>
      </c>
      <c r="B1461" s="1">
        <v>21897</v>
      </c>
      <c r="C1461" s="3">
        <v>44238.58357638889</v>
      </c>
      <c r="D1461" s="1" t="s">
        <v>2922</v>
      </c>
      <c r="E1461" s="4" t="str">
        <f ca="1">IFERROR(__xludf.DUMMYFUNCTION("GOOGLETRANSLATE(A1461 , ""tr"" , ""en"")"),"28 days ago In the vaccine campaign that our president has initiated, they were 2nd overdose. We will work until all our citizens are inoculated in their leadership.")</f>
        <v>28 days ago In the vaccine campaign that our president has initiated, they were 2nd overdose. We will work until all our citizens are inoculated in their leadership.</v>
      </c>
    </row>
    <row r="1462" spans="1:5" ht="15.75" customHeight="1" x14ac:dyDescent="0.25">
      <c r="A1462" s="1" t="s">
        <v>2923</v>
      </c>
      <c r="B1462" s="1">
        <v>14689</v>
      </c>
      <c r="C1462" s="3">
        <v>44237.914247685185</v>
      </c>
      <c r="D1462" s="1" t="s">
        <v>2924</v>
      </c>
      <c r="E1462" s="4" t="str">
        <f ca="1">IFERROR(__xludf.DUMMYFUNCTION("GOOGLETRANSLATE(A1462 , ""tr"" , ""en"")"),"In the north of Iraq, I wish our heroes that are entered in the north of terrorists. Sorry for your loss. https://t.co/nisjisiuw8")</f>
        <v>In the north of Iraq, I wish our heroes that are entered in the north of terrorists. Sorry for your loss. https://t.co/nisjisiuw8</v>
      </c>
    </row>
    <row r="1463" spans="1:5" ht="15.75" customHeight="1" x14ac:dyDescent="0.25">
      <c r="A1463" s="1" t="s">
        <v>2925</v>
      </c>
      <c r="B1463" s="1">
        <v>5564</v>
      </c>
      <c r="C1463" s="3">
        <v>44237.893437500003</v>
      </c>
      <c r="D1463" s="1" t="s">
        <v>2926</v>
      </c>
      <c r="E1463" s="4" t="str">
        <f ca="1">IFERROR(__xludf.DUMMYFUNCTION("GOOGLETRANSLATE(A1463 , ""tr"" , ""en"")"),"I have previously expressed the size of our vaccination capacity. We have enough subordinate structures when there is enough vaccine. https://t.co/w4ou5ntinu")</f>
        <v>I have previously expressed the size of our vaccination capacity. We have enough subordinate structures when there is enough vaccine. https://t.co/w4ou5ntinu</v>
      </c>
    </row>
    <row r="1464" spans="1:5" ht="15.75" customHeight="1" x14ac:dyDescent="0.25">
      <c r="A1464" s="1" t="s">
        <v>2927</v>
      </c>
      <c r="B1464" s="1">
        <v>14352</v>
      </c>
      <c r="C1464" s="3">
        <v>44237.881354166668</v>
      </c>
      <c r="D1464" s="1" t="s">
        <v>2928</v>
      </c>
      <c r="E1464" s="4" t="str">
        <f ca="1">IFERROR(__xludf.DUMMYFUNCTION("GOOGLETRANSLATE(A1464 , ""tr"" , ""en"")"),"The following message will work until we get to all our citizens. https://t.co/ynja3wsky")</f>
        <v>The following message will work until we get to all our citizens. https://t.co/ynja3wsky</v>
      </c>
    </row>
    <row r="1465" spans="1:5" ht="15.75" customHeight="1" x14ac:dyDescent="0.25">
      <c r="A1465" s="1" t="s">
        <v>2929</v>
      </c>
      <c r="B1465" s="1">
        <v>3879</v>
      </c>
      <c r="C1465" s="3">
        <v>44237.824513888889</v>
      </c>
      <c r="D1465" s="1" t="s">
        <v>2930</v>
      </c>
      <c r="E1465" s="4" t="str">
        <f ca="1">IFERROR(__xludf.DUMMYFUNCTION("GOOGLETRANSLATE(A1465 , ""tr"" , ""en"")"),"Among the COVID-19 vaccines produced by different countries, we have used our preference in particular inactive vaccines. I explained that in the press conference on which it is low risk and more effective. https://t.co/tfwdaguwxb https://t.co/nxu0bqvftz")</f>
        <v>Among the COVID-19 vaccines produced by different countries, we have used our preference in particular inactive vaccines. I explained that in the press conference on which it is low risk and more effective. https://t.co/tfwdaguwxb https://t.co/nxu0bqvftz</v>
      </c>
    </row>
    <row r="1466" spans="1:5" ht="15.75" customHeight="1" x14ac:dyDescent="0.25">
      <c r="A1466" s="1" t="s">
        <v>2931</v>
      </c>
      <c r="B1466" s="1">
        <v>6915</v>
      </c>
      <c r="C1466" s="3">
        <v>44237.810289351852</v>
      </c>
      <c r="D1466" s="1" t="s">
        <v>2932</v>
      </c>
      <c r="E1466" s="4" t="str">
        <f ca="1">IFERROR(__xludf.DUMMYFUNCTION("GOOGLETRANSLATE(A1466 , ""tr"" , ""en"")"),"Our nationality has no gay for the health and the presence of our nation. https://t.co/ahfnt5hahya")</f>
        <v>Our nationality has no gay for the health and the presence of our nation. https://t.co/ahfnt5hahya</v>
      </c>
    </row>
    <row r="1467" spans="1:5" ht="15.75" customHeight="1" x14ac:dyDescent="0.25">
      <c r="A1467" s="1" t="s">
        <v>2933</v>
      </c>
      <c r="B1467" s="1">
        <v>5216</v>
      </c>
      <c r="C1467" s="3">
        <v>44237.738761574074</v>
      </c>
      <c r="D1467" s="1" t="s">
        <v>2934</v>
      </c>
      <c r="E1467" s="4" t="str">
        <f ca="1">IFERROR(__xludf.DUMMYFUNCTION("GOOGLETRANSLATE(A1467 , ""tr"" , ""en"")"),"We are meticulously addressing the vaccine program for a foreseeable future. https://t.co/ilmfvgfKIO")</f>
        <v>We are meticulously addressing the vaccine program for a foreseeable future. https://t.co/ilmfvgfKIO</v>
      </c>
    </row>
    <row r="1468" spans="1:5" ht="15.75" customHeight="1" x14ac:dyDescent="0.25">
      <c r="A1468" s="1" t="s">
        <v>2935</v>
      </c>
      <c r="B1468" s="1">
        <v>45594</v>
      </c>
      <c r="C1468" s="3">
        <v>44237.719513888886</v>
      </c>
      <c r="D1468" s="1" t="s">
        <v>2936</v>
      </c>
      <c r="E1468" s="4" t="str">
        <f ca="1">IFERROR(__xludf.DUMMYFUNCTION("GOOGLETRANSLATE(A1468 , ""tr"" , ""en"")"),"I've been the second overdose of the day 28th. https://t.co/hruıks5tpz")</f>
        <v>I've been the second overdose of the day 28th. https://t.co/hruıks5tpz</v>
      </c>
    </row>
    <row r="1469" spans="1:5" ht="15.75" customHeight="1" x14ac:dyDescent="0.25">
      <c r="A1469" s="1" t="s">
        <v>2937</v>
      </c>
      <c r="B1469" s="1">
        <v>7465</v>
      </c>
      <c r="C1469" s="3">
        <v>44237.692847222221</v>
      </c>
      <c r="D1469" s="1" t="s">
        <v>2938</v>
      </c>
      <c r="E1469" s="4" t="str">
        <f ca="1">IFERROR(__xludf.DUMMYFUNCTION("GOOGLETRANSLATE(A1469 , ""tr"" , ""en"")"),"After our Science Board meeting, our press statement on the latest developments on the coronavirus.
📍 The Ministry of Health
https://t.co/amew1rhmbc")</f>
        <v>After our Science Board meeting, our press statement on the latest developments on the coronavirus.
📍 The Ministry of Health
https://t.co/amew1rhmbc</v>
      </c>
    </row>
    <row r="1470" spans="1:5" ht="15.75" customHeight="1" x14ac:dyDescent="0.25">
      <c r="A1470" s="1" t="s">
        <v>2939</v>
      </c>
      <c r="B1470" s="1">
        <v>10308</v>
      </c>
      <c r="C1470" s="3">
        <v>44236.636597222219</v>
      </c>
      <c r="D1470" s="1" t="s">
        <v>2940</v>
      </c>
      <c r="E1470" s="4" t="str">
        <f ca="1">IFERROR(__xludf.DUMMYFUNCTION("GOOGLETRANSLATE(A1470 , ""tr"" , ""en"")"),"Today is February 9th World Cigarette Day. Today you can also make a healthy decision for your future. To be able to attract your loved ones to your lungs for many years ... https://t.co/h9cvk8j0se")</f>
        <v>Today is February 9th World Cigarette Day. Today you can also make a healthy decision for your future. To be able to attract your loved ones to your lungs for many years ... https://t.co/h9cvk8j0se</v>
      </c>
    </row>
    <row r="1471" spans="1:5" ht="15.75" customHeight="1" x14ac:dyDescent="0.25">
      <c r="A1471" s="1" t="s">
        <v>2941</v>
      </c>
      <c r="B1471" s="1">
        <v>10410</v>
      </c>
      <c r="C1471" s="3">
        <v>44236.457488425927</v>
      </c>
      <c r="D1471" s="1" t="s">
        <v>2942</v>
      </c>
      <c r="E1471" s="4" t="str">
        <f ca="1">IFERROR(__xludf.DUMMYFUNCTION("GOOGLETRANSLATE(A1471 , ""tr"" , ""en"")"),"Our greatest bay to overcome the mountains, past the mountains to give health care. Our health workers are all over the place without saying hard. https://t.co/pdkwj4udld")</f>
        <v>Our greatest bay to overcome the mountains, past the mountains to give health care. Our health workers are all over the place without saying hard. https://t.co/pdkwj4udld</v>
      </c>
    </row>
    <row r="1472" spans="1:5" ht="15.75" customHeight="1" x14ac:dyDescent="0.25">
      <c r="A1472" s="1" t="s">
        <v>2943</v>
      </c>
      <c r="B1472" s="1">
        <v>6356</v>
      </c>
      <c r="C1472" s="3">
        <v>44235.66847222222</v>
      </c>
      <c r="D1472" s="1" t="s">
        <v>2944</v>
      </c>
      <c r="E1472" s="4" t="str">
        <f ca="1">IFERROR(__xludf.DUMMYFUNCTION("GOOGLETRANSLATE(A1472 , ""tr"" , ""en"")"),"Today Italy's Ankara Ambassador SN. We've accommodated the Massimo Gaiani. We addressed our work union on the global epidemic. The cooperation will continue in the epidemic management of two countries. We evaluated the ""Global Health Summit"" plans to be"&amp;" held in Italy's G20 period. https://t.co/IBGMIHOJO9")</f>
        <v>Today Italy's Ankara Ambassador SN. We've accommodated the Massimo Gaiani. We addressed our work union on the global epidemic. The cooperation will continue in the epidemic management of two countries. We evaluated the "Global Health Summit" plans to be held in Italy's G20 period. https://t.co/IBGMIHOJO9</v>
      </c>
    </row>
    <row r="1473" spans="1:5" ht="15.75" customHeight="1" x14ac:dyDescent="0.25">
      <c r="A1473" s="1" t="s">
        <v>2945</v>
      </c>
      <c r="B1473" s="1">
        <v>8651</v>
      </c>
      <c r="C1473" s="3">
        <v>44235.659513888888</v>
      </c>
      <c r="D1473" s="1" t="s">
        <v>2946</v>
      </c>
      <c r="E1473" s="4" t="str">
        <f ca="1">IFERROR(__xludf.DUMMYFUNCTION("GOOGLETRANSLATE(A1473 , ""tr"" , ""en"")"),"Today Hungary Foreign Affairs and Foreign Trade Minister SN. We've accommodated Peter Szijjarto. Minister Bey they thanked the support and cooperation during the global epidemic. Our work union with Hungary will continue. https://t.co/Ihgmiztrn5")</f>
        <v>Today Hungary Foreign Affairs and Foreign Trade Minister SN. We've accommodated Peter Szijjarto. Minister Bey they thanked the support and cooperation during the global epidemic. Our work union with Hungary will continue. https://t.co/Ihgmiztrn5</v>
      </c>
    </row>
    <row r="1474" spans="1:5" ht="15.75" customHeight="1" x14ac:dyDescent="0.25">
      <c r="A1474" s="1" t="s">
        <v>2947</v>
      </c>
      <c r="B1474" s="1">
        <v>22796</v>
      </c>
      <c r="C1474" s="3">
        <v>44233.789398148147</v>
      </c>
      <c r="D1474" s="1" t="s">
        <v>2948</v>
      </c>
      <c r="E1474" s="4" t="str">
        <f ca="1">IFERROR(__xludf.DUMMYFUNCTION("GOOGLETRANSLATE(A1474 , ""tr"" , ""en"")"),"The state of the state in the prayer of the elders. https://t.co/s2uvulejtn")</f>
        <v>The state of the state in the prayer of the elders. https://t.co/s2uvulejtn</v>
      </c>
    </row>
    <row r="1475" spans="1:5" ht="15.75" customHeight="1" x14ac:dyDescent="0.25">
      <c r="A1475" s="1" t="s">
        <v>2949</v>
      </c>
      <c r="B1475" s="1">
        <v>73156</v>
      </c>
      <c r="C1475" s="3">
        <v>44232.896921296298</v>
      </c>
      <c r="D1475" s="1" t="s">
        <v>2950</v>
      </c>
      <c r="E1475" s="4" t="str">
        <f ca="1">IFERROR(__xludf.DUMMYFUNCTION("GOOGLETRANSLATE(A1475 , ""tr"" , ""en"")"),"For the Union and Draw, we are in Erdoğaunan to be the voice of the oppressions to serve our nation")</f>
        <v>For the Union and Draw, we are in Erdoğaunan to be the voice of the oppressions to serve our nation</v>
      </c>
    </row>
    <row r="1476" spans="1:5" ht="15.75" customHeight="1" x14ac:dyDescent="0.25">
      <c r="A1476" s="1" t="s">
        <v>2951</v>
      </c>
      <c r="B1476" s="1">
        <v>0</v>
      </c>
      <c r="C1476" s="3">
        <v>44232.401493055557</v>
      </c>
      <c r="D1476" s="1" t="s">
        <v>2952</v>
      </c>
      <c r="E1476" s="4" t="str">
        <f ca="1">IFERROR(__xludf.DUMMYFUNCTION("GOOGLETRANSLATE(A1476 , ""tr"" , ""en"")"),"Rt @drfahrettinkoca: ""The state is like a breath of breath in cioon."" We are in the service of our nation. https://t.co/wvIaqrct7v")</f>
        <v>Rt @drfahrettinkoca: "The state is like a breath of breath in cioon." We are in the service of our nation. https://t.co/wvIaqrct7v</v>
      </c>
    </row>
    <row r="1477" spans="1:5" ht="15.75" customHeight="1" x14ac:dyDescent="0.25">
      <c r="A1477" s="1" t="s">
        <v>2953</v>
      </c>
      <c r="B1477" s="1">
        <v>11200</v>
      </c>
      <c r="C1477" s="3">
        <v>44231.750451388885</v>
      </c>
      <c r="D1477" s="1" t="s">
        <v>2954</v>
      </c>
      <c r="E1477" s="4" t="str">
        <f ca="1">IFERROR(__xludf.DUMMYFUNCTION("GOOGLETRANSLATE(A1477 , ""tr"" , ""en"")"),"""The state is like a breath of breath in cioon."" We are in the service of our nation. https://t.co/wvIaqrct7v")</f>
        <v>"The state is like a breath of breath in cioon." We are in the service of our nation. https://t.co/wvIaqrct7v</v>
      </c>
    </row>
    <row r="1478" spans="1:5" ht="15.75" customHeight="1" x14ac:dyDescent="0.25">
      <c r="A1478" s="1" t="s">
        <v>2955</v>
      </c>
      <c r="B1478" s="1">
        <v>8806</v>
      </c>
      <c r="C1478" s="3">
        <v>44231.744722222225</v>
      </c>
      <c r="D1478" s="1" t="s">
        <v>2956</v>
      </c>
      <c r="E1478" s="4" t="str">
        <f ca="1">IFERROR(__xludf.DUMMYFUNCTION("GOOGLETRANSLATE(A1478 , ""tr"" , ""en"")"),"Although the central of our struggle is the coronavirus epidemic, all diseases are continuing. Cancer continues to take our loved ones. Early diagnosis saves life in the fight against cancer. https://t.co/mez8hi4dhq")</f>
        <v>Although the central of our struggle is the coronavirus epidemic, all diseases are continuing. Cancer continues to take our loved ones. Early diagnosis saves life in the fight against cancer. https://t.co/mez8hi4dhq</v>
      </c>
    </row>
    <row r="1479" spans="1:5" ht="15.75" customHeight="1" x14ac:dyDescent="0.25">
      <c r="A1479" s="1" t="s">
        <v>2957</v>
      </c>
      <c r="B1479" s="1">
        <v>19474</v>
      </c>
      <c r="C1479" s="3">
        <v>44231.660694444443</v>
      </c>
      <c r="D1479" s="1" t="s">
        <v>2958</v>
      </c>
      <c r="E1479" s="4" t="str">
        <f ca="1">IFERROR(__xludf.DUMMYFUNCTION("GOOGLETRANSLATE(A1479 , ""tr"" , ""en"")"),"Ayla Kırs, İzmir's Seferihisar County, our nurse. In order to interfere with the patient who cannot leave his home due to the flood disaster, he reached the patient and reached the patient and made the necessary intervention. We are in the service of our "&amp;"nation under all conditions. https://t.co/bnwgwjvotp")</f>
        <v>Ayla Kırs, İzmir's Seferihisar County, our nurse. In order to interfere with the patient who cannot leave his home due to the flood disaster, he reached the patient and reached the patient and made the necessary intervention. We are in the service of our nation under all conditions. https://t.co/bnwgwjvotp</v>
      </c>
    </row>
    <row r="1480" spans="1:5" ht="15.75" customHeight="1" x14ac:dyDescent="0.25">
      <c r="A1480" s="1" t="s">
        <v>2959</v>
      </c>
      <c r="B1480" s="1">
        <v>13086</v>
      </c>
      <c r="C1480" s="3">
        <v>44231.652083333334</v>
      </c>
      <c r="D1480" s="1" t="s">
        <v>2960</v>
      </c>
      <c r="E1480" s="4" t="str">
        <f ca="1">IFERROR(__xludf.DUMMYFUNCTION("GOOGLETRANSLATE(A1480 , ""tr"" , ""en"")"),"While the homeland of the homeland has been martyred in Elbab, we were married to Süleyman Demirel, and I wish our nation to our nation. https://t.co/lcb6axyy2p")</f>
        <v>While the homeland of the homeland has been martyred in Elbab, we were married to Süleyman Demirel, and I wish our nation to our nation. https://t.co/lcb6axyy2p</v>
      </c>
    </row>
    <row r="1481" spans="1:5" ht="15.75" customHeight="1" x14ac:dyDescent="0.25">
      <c r="A1481" s="1" t="s">
        <v>2961</v>
      </c>
      <c r="B1481" s="1">
        <v>40826</v>
      </c>
      <c r="C1481" s="3">
        <v>44230.770127314812</v>
      </c>
      <c r="D1481" s="1" t="s">
        <v>2962</v>
      </c>
      <c r="E1481" s="4" t="str">
        <f ca="1">IFERROR(__xludf.DUMMYFUNCTION("GOOGLETRANSLATE(A1481 , ""tr"" , ""en"")"),"The number of cases requires us to treat more carefully to increase. Let's stay away from all kinds of environments that will increase mobility, come together, gather together. Let's avoid closed and crowded places.")</f>
        <v>The number of cases requires us to treat more carefully to increase. Let's stay away from all kinds of environments that will increase mobility, come together, gather together. Let's avoid closed and crowded places.</v>
      </c>
    </row>
    <row r="1482" spans="1:5" ht="15.75" customHeight="1" x14ac:dyDescent="0.25">
      <c r="A1482" s="1" t="s">
        <v>2963</v>
      </c>
      <c r="B1482" s="1">
        <v>26976</v>
      </c>
      <c r="C1482" s="3">
        <v>44230.765648148146</v>
      </c>
      <c r="D1482" s="1" t="s">
        <v>2964</v>
      </c>
      <c r="E1482" s="4" t="str">
        <f ca="1">IFERROR(__xludf.DUMMYFUNCTION("GOOGLETRANSLATE(A1482 , ""tr"" , ""en"")"),"Risky mutations are spreading from limit recognition. England mutation in our country was 196 Two South Africa has been encountered in a Brazilian Varion. We will continue to struggle without compromising measures these days when the new mutations are see"&amp;"n and the cases are reassigned.")</f>
        <v>Risky mutations are spreading from limit recognition. England mutation in our country was 196 Two South Africa has been encountered in a Brazilian Varion. We will continue to struggle without compromising measures these days when the new mutations are seen and the cases are reassigned.</v>
      </c>
    </row>
    <row r="1483" spans="1:5" ht="15.75" customHeight="1" x14ac:dyDescent="0.25">
      <c r="A1483" s="1" t="s">
        <v>2965</v>
      </c>
      <c r="B1483" s="1">
        <v>8154</v>
      </c>
      <c r="C1483" s="3">
        <v>44230.742835648147</v>
      </c>
      <c r="D1483" s="1" t="s">
        <v>2966</v>
      </c>
      <c r="E1483" s="4" t="str">
        <f ca="1">IFERROR(__xludf.DUMMYFUNCTION("GOOGLETRANSLATE(A1483 , ""tr"" , ""en"")"),"Our Science Board reviewed the weekly meeting today and review the course of the disease. The issues to be considered against the reatrow trend of mutations and cases were on the agenda. https://t.co/rvvrsrwanl")</f>
        <v>Our Science Board reviewed the weekly meeting today and review the course of the disease. The issues to be considered against the reatrow trend of mutations and cases were on the agenda. https://t.co/rvvrsrwanl</v>
      </c>
    </row>
    <row r="1484" spans="1:5" ht="15.75" customHeight="1" x14ac:dyDescent="0.25">
      <c r="A1484" s="1" t="s">
        <v>2967</v>
      </c>
      <c r="B1484" s="1">
        <v>15373</v>
      </c>
      <c r="C1484" s="3">
        <v>44228.909629629627</v>
      </c>
      <c r="D1484" s="1" t="s">
        <v>2968</v>
      </c>
      <c r="E1484" s="4" t="str">
        <f ca="1">IFERROR(__xludf.DUMMYFUNCTION("GOOGLETRANSLATE(A1484 , ""tr"" , ""en"")"),"Umke volunteering has ran our daughter Edanur, friends with Gökhan and Mehmet a mother to a mother who is born in the public bus. Umke Health Worker is a tremendous team of our volunteers. In the earthquake, fire, in the epidemic, each place at birth.
Um"&amp;"ke
""Hope volunteers"" https://t.co/lujog05awp")</f>
        <v>Umke volunteering has ran our daughter Edanur, friends with Gökhan and Mehmet a mother to a mother who is born in the public bus. Umke Health Worker is a tremendous team of our volunteers. In the earthquake, fire, in the epidemic, each place at birth.
Umke
"Hope volunteers" https://t.co/lujog05awp</v>
      </c>
    </row>
    <row r="1485" spans="1:5" ht="15.75" customHeight="1" x14ac:dyDescent="0.25">
      <c r="A1485" s="1" t="s">
        <v>2969</v>
      </c>
      <c r="B1485" s="1">
        <v>22244</v>
      </c>
      <c r="C1485" s="3">
        <v>44228.770578703705</v>
      </c>
      <c r="D1485" s="1" t="s">
        <v>2970</v>
      </c>
      <c r="E1485" s="4" t="str">
        <f ca="1">IFERROR(__xludf.DUMMYFUNCTION("GOOGLETRANSLATE(A1485 , ""tr"" , ""en"")"),"""Live the person that the state is thumbs up.""
Sheikh Liferel https://t.co/qasr0pohpq")</f>
        <v>"Live the person that the state is thumbs up."
Sheikh Liferel https://t.co/qasr0pohpq</v>
      </c>
    </row>
    <row r="1486" spans="1:5" ht="15.75" customHeight="1" x14ac:dyDescent="0.25">
      <c r="A1486" s="1" t="s">
        <v>2971</v>
      </c>
      <c r="B1486" s="1">
        <v>0</v>
      </c>
      <c r="C1486" s="3">
        <v>44228.692789351851</v>
      </c>
      <c r="D1486" s="1" t="s">
        <v>2972</v>
      </c>
      <c r="E1486" s="4" t="str">
        <f ca="1">IFERROR(__xludf.DUMMYFUNCTION("GOOGLETRANSLATE(A1486 , ""tr"" , ""en"")"),"RT @rterdogan: Recommend the nation after cabinet meeting https://t.co/whnrzcgthr")</f>
        <v>RT @rterdogan: Recommend the nation after cabinet meeting https://t.co/whnrzcgthr</v>
      </c>
    </row>
    <row r="1487" spans="1:5" ht="15.75" customHeight="1" x14ac:dyDescent="0.25">
      <c r="A1487" s="1" t="s">
        <v>2973</v>
      </c>
      <c r="B1487" s="1">
        <v>31036</v>
      </c>
      <c r="C1487" s="3">
        <v>44226.582025462965</v>
      </c>
      <c r="D1487" s="1" t="s">
        <v>2974</v>
      </c>
      <c r="E1487" s="4" t="str">
        <f ca="1">IFERROR(__xludf.DUMMYFUNCTION("GOOGLETRANSLATE(A1487 , ""tr"" , ""en"")"),"We have the state. https://t.co/7s6TQFI0KL")</f>
        <v>We have the state. https://t.co/7s6TQFI0KL</v>
      </c>
    </row>
    <row r="1488" spans="1:5" ht="15.75" customHeight="1" x14ac:dyDescent="0.25">
      <c r="A1488" s="1" t="s">
        <v>2975</v>
      </c>
      <c r="B1488" s="1">
        <v>18378</v>
      </c>
      <c r="C1488" s="3">
        <v>44225.729583333334</v>
      </c>
      <c r="D1488" s="1" t="s">
        <v>2976</v>
      </c>
      <c r="E1488" s="4" t="str">
        <f ca="1">IFERROR(__xludf.DUMMYFUNCTION("GOOGLETRANSLATE(A1488 , ""tr"" , ""en"")"),"We have to check the number of cases. When we have the control, we should move to the cautious and stay away from the crowded environments.")</f>
        <v>We have to check the number of cases. When we have the control, we should move to the cautious and stay away from the crowded environments.</v>
      </c>
    </row>
    <row r="1489" spans="1:5" ht="15.75" customHeight="1" x14ac:dyDescent="0.25">
      <c r="A1489" s="1" t="s">
        <v>2977</v>
      </c>
      <c r="B1489" s="1">
        <v>15322</v>
      </c>
      <c r="C1489" s="3">
        <v>44225.725624999999</v>
      </c>
      <c r="D1489" s="1" t="s">
        <v>2978</v>
      </c>
      <c r="E1489" s="4" t="str">
        <f ca="1">IFERROR(__xludf.DUMMYFUNCTION("GOOGLETRANSLATE(A1489 , ""tr"" , ""en"")"),"The fact that the virus is mutated does not affect vaccination studies for now. However, new mutations may also force vaccination studies. Our biggest weapon is still complying with the mask and distance rule.")</f>
        <v>The fact that the virus is mutated does not affect vaccination studies for now. However, new mutations may also force vaccination studies. Our biggest weapon is still complying with the mask and distance rule.</v>
      </c>
    </row>
    <row r="1490" spans="1:5" ht="15.75" customHeight="1" x14ac:dyDescent="0.25">
      <c r="A1490" s="1" t="s">
        <v>2979</v>
      </c>
      <c r="B1490" s="1">
        <v>28646</v>
      </c>
      <c r="C1490" s="3">
        <v>44225.722013888888</v>
      </c>
      <c r="D1490" s="1" t="s">
        <v>2980</v>
      </c>
      <c r="E1490" s="4" t="str">
        <f ca="1">IFERROR(__xludf.DUMMYFUNCTION("GOOGLETRANSLATE(A1490 , ""tr"" , ""en"")"),"We have to be careful to the threat of mutation. One of the factors behind the case increases in Europe is the mutated variant of the virus. The number of citizens identified in our country increased to 128. In our 17th city, the British variant was seen.")</f>
        <v>We have to be careful to the threat of mutation. One of the factors behind the case increases in Europe is the mutated variant of the virus. The number of citizens identified in our country increased to 128. In our 17th city, the British variant was seen.</v>
      </c>
    </row>
    <row r="1491" spans="1:5" ht="15.75" customHeight="1" x14ac:dyDescent="0.25">
      <c r="A1491" s="1" t="s">
        <v>2981</v>
      </c>
      <c r="B1491" s="1">
        <v>8959</v>
      </c>
      <c r="C1491" s="3">
        <v>44225.71607638889</v>
      </c>
      <c r="D1491" s="1" t="s">
        <v>2982</v>
      </c>
      <c r="E1491" s="4" t="str">
        <f ca="1">IFERROR(__xludf.DUMMYFUNCTION("GOOGLETRANSLATE(A1491 , ""tr"" , ""en"")"),"Construction Completed 620 Beds Istanbul Seyrantepe Reviewed preparations in our hospital. A new service area is added to our strong health lower structure. Seyrantepe Our hospital will start the patient acceptance in March. The works will be on our natio"&amp;"n will continue. https://t.co/x3jyj5nd7r")</f>
        <v>Construction Completed 620 Beds Istanbul Seyrantepe Reviewed preparations in our hospital. A new service area is added to our strong health lower structure. Seyrantepe Our hospital will start the patient acceptance in March. The works will be on our nation will continue. https://t.co/x3jyj5nd7r</v>
      </c>
    </row>
    <row r="1492" spans="1:5" ht="15.75" customHeight="1" x14ac:dyDescent="0.25">
      <c r="A1492" s="1" t="s">
        <v>2983</v>
      </c>
      <c r="B1492" s="1">
        <v>20317</v>
      </c>
      <c r="C1492" s="3">
        <v>44224.885578703703</v>
      </c>
      <c r="D1492" s="1" t="s">
        <v>2984</v>
      </c>
      <c r="E1492" s="4" t="str">
        <f ca="1">IFERROR(__xludf.DUMMYFUNCTION("GOOGLETRANSLATE(A1492 , ""tr"" , ""en"")"),"The first part of the 1st million dose of inactive vaccines, the first part of the delivery of the previous weekend has reached our hand. As of this morning the second part will have reached our country. In accordance with the supply program, the vaccine "&amp;"shipment will continue.")</f>
        <v>The first part of the 1st million dose of inactive vaccines, the first part of the delivery of the previous weekend has reached our hand. As of this morning the second part will have reached our country. In accordance with the supply program, the vaccine shipment will continue.</v>
      </c>
    </row>
    <row r="1493" spans="1:5" ht="15.75" customHeight="1" x14ac:dyDescent="0.25">
      <c r="A1493" s="1" t="s">
        <v>2985</v>
      </c>
      <c r="B1493" s="1">
        <v>21501</v>
      </c>
      <c r="C1493" s="3">
        <v>44224.747349537036</v>
      </c>
      <c r="D1493" s="1" t="s">
        <v>2986</v>
      </c>
      <c r="E1493" s="4" t="str">
        <f ca="1">IFERROR(__xludf.DUMMYFUNCTION("GOOGLETRANSLATE(A1493 , ""tr"" , ""en"")"),"The number of cases identified today is 7,279 people. We cannot ignore the severity of the situation. In terms of the salaries of the vaccine program, we must comply with the measures and restrictions. We should not risk the control we get with great labo"&amp;"r and trouble.")</f>
        <v>The number of cases identified today is 7,279 people. We cannot ignore the severity of the situation. In terms of the salaries of the vaccine program, we must comply with the measures and restrictions. We should not risk the control we get with great labor and trouble.</v>
      </c>
    </row>
    <row r="1494" spans="1:5" ht="15.75" customHeight="1" x14ac:dyDescent="0.25">
      <c r="A1494" s="1" t="s">
        <v>2987</v>
      </c>
      <c r="B1494" s="1">
        <v>20917</v>
      </c>
      <c r="C1494" s="3">
        <v>44223.828796296293</v>
      </c>
      <c r="D1494" s="1" t="s">
        <v>2988</v>
      </c>
      <c r="E1494" s="4" t="str">
        <f ca="1">IFERROR(__xludf.DUMMYFUNCTION("GOOGLETRANSLATE(A1494 , ""tr"" , ""en"")"),"The weapons of our health army were prepared. They are now more sheltered in the superior struggle they entered. We have completed the first step of our vaccine program by vaccinating health workers.")</f>
        <v>The weapons of our health army were prepared. They are now more sheltered in the superior struggle they entered. We have completed the first step of our vaccine program by vaccinating health workers.</v>
      </c>
    </row>
    <row r="1495" spans="1:5" ht="15.75" customHeight="1" x14ac:dyDescent="0.25">
      <c r="A1495" s="1" t="s">
        <v>2989</v>
      </c>
      <c r="B1495" s="1">
        <v>14314</v>
      </c>
      <c r="C1495" s="3">
        <v>44223.776261574072</v>
      </c>
      <c r="D1495" s="1" t="s">
        <v>2990</v>
      </c>
      <c r="E1495" s="4" t="str">
        <f ca="1">IFERROR(__xludf.DUMMYFUNCTION("GOOGLETRANSLATE(A1495 , ""tr"" , ""en"")"),"We should not remove the epidemic of the world from a person to all over the world. During the epidemic we gave a challenging struggle and our entire nation was very tired. This is the middle of which we are very close to receiving their pay.")</f>
        <v>We should not remove the epidemic of the world from a person to all over the world. During the epidemic we gave a challenging struggle and our entire nation was very tired. This is the middle of which we are very close to receiving their pay.</v>
      </c>
    </row>
    <row r="1496" spans="1:5" ht="15.75" customHeight="1" x14ac:dyDescent="0.25">
      <c r="A1496" s="1" t="s">
        <v>2991</v>
      </c>
      <c r="B1496" s="1">
        <v>25676</v>
      </c>
      <c r="C1496" s="3">
        <v>44223.775914351849</v>
      </c>
      <c r="D1496" s="1" t="s">
        <v>2992</v>
      </c>
      <c r="E1496" s="4" t="str">
        <f ca="1">IFERROR(__xludf.DUMMYFUNCTION("GOOGLETRANSLATE(A1496 , ""tr"" , ""en"")"),"With the proposal of our Science Board, our 75 years of age will be vaccine by making an appointment. We can better protect our elders.")</f>
        <v>With the proposal of our Science Board, our 75 years of age will be vaccine by making an appointment. We can better protect our elders.</v>
      </c>
    </row>
    <row r="1497" spans="1:5" ht="15.75" customHeight="1" x14ac:dyDescent="0.25">
      <c r="A1497" s="1" t="s">
        <v>2993</v>
      </c>
      <c r="B1497" s="1">
        <v>8178</v>
      </c>
      <c r="C1497" s="3">
        <v>44223.770335648151</v>
      </c>
      <c r="D1497" s="1" t="s">
        <v>2994</v>
      </c>
      <c r="E1497" s="4" t="str">
        <f ca="1">IFERROR(__xludf.DUMMYFUNCTION("GOOGLETRANSLATE(A1497 , ""tr"" , ""en"")"),"In our science board, we have evaluated the status of the vaccine program and the priority groups. The effect of the mutation to the course of the outbreak and the epidemic of the epidemic was on our agenda. https://t.co/vqj0qk0d2u")</f>
        <v>In our science board, we have evaluated the status of the vaccine program and the priority groups. The effect of the mutation to the course of the outbreak and the epidemic of the epidemic was on our agenda. https://t.co/vqj0qk0d2u</v>
      </c>
    </row>
    <row r="1498" spans="1:5" ht="15.75" customHeight="1" x14ac:dyDescent="0.25">
      <c r="A1498" s="1" t="s">
        <v>2995</v>
      </c>
      <c r="B1498" s="1">
        <v>20353</v>
      </c>
      <c r="C1498" s="3">
        <v>44222.680196759262</v>
      </c>
      <c r="D1498" s="1" t="s">
        <v>2996</v>
      </c>
      <c r="E1498" s="4" t="str">
        <f ca="1">IFERROR(__xludf.DUMMYFUNCTION("GOOGLETRANSLATE(A1498 , ""tr"" , ""en"")"),"We have significantly lowered the number of cases with compliance with measures and restrictions. However, the case numbers between 5,000-7,000 in the last days are still uneasyed. In the enclosed environments, we must remain away from the crowd, care for"&amp;" the mask and distance rules. https://t.co/rvlhe7786o")</f>
        <v>We have significantly lowered the number of cases with compliance with measures and restrictions. However, the case numbers between 5,000-7,000 in the last days are still uneasyed. In the enclosed environments, we must remain away from the crowd, care for the mask and distance rules. https://t.co/rvlhe7786o</v>
      </c>
    </row>
    <row r="1499" spans="1:5" ht="15.75" customHeight="1" x14ac:dyDescent="0.25">
      <c r="A1499" s="1" t="s">
        <v>2997</v>
      </c>
      <c r="B1499" s="1">
        <v>12667</v>
      </c>
      <c r="C1499" s="3">
        <v>44221.902303240742</v>
      </c>
      <c r="D1499" s="1" t="s">
        <v>2998</v>
      </c>
      <c r="E1499" s="4" t="str">
        <f ca="1">IFERROR(__xludf.DUMMYFUNCTION("GOOGLETRANSLATE(A1499 , ""tr"" , ""en"")"),"Our highest motivation of our patient healing as a result of the labor and dedication they give. Your health that makes us happy. We will continue to work until we are recovering our last patient as health workers. https://t.co/bfokc447c0")</f>
        <v>Our highest motivation of our patient healing as a result of the labor and dedication they give. Your health that makes us happy. We will continue to work until we are recovering our last patient as health workers. https://t.co/bfokc447c0</v>
      </c>
    </row>
    <row r="1500" spans="1:5" ht="15.75" customHeight="1" x14ac:dyDescent="0.25">
      <c r="A1500" s="1" t="s">
        <v>2999</v>
      </c>
      <c r="B1500" s="1">
        <v>13106</v>
      </c>
      <c r="C1500" s="3">
        <v>44221.860462962963</v>
      </c>
      <c r="D1500" s="1" t="s">
        <v>3000</v>
      </c>
      <c r="E1500" s="4" t="str">
        <f ca="1">IFERROR(__xludf.DUMMYFUNCTION("GOOGLETRANSLATE(A1500 , ""tr"" , ""en"")"),"In the president of our President, today, a year ago, new houses were delivered for the earthquake who lost their homes in the earthquake. Azize Hanım, who recovered by the wreckers Umke teams, he gained his home. https://t.co/olzuvoea3a")</f>
        <v>In the president of our President, today, a year ago, new houses were delivered for the earthquake who lost their homes in the earthquake. Azize Hanım, who recovered by the wreckers Umke teams, he gained his home. https://t.co/olzuvoea3a</v>
      </c>
    </row>
    <row r="1501" spans="1:5" ht="15.75" customHeight="1" x14ac:dyDescent="0.25">
      <c r="A1501" s="1" t="s">
        <v>3001</v>
      </c>
      <c r="B1501" s="1">
        <v>0</v>
      </c>
      <c r="C1501" s="3">
        <v>44221.549826388888</v>
      </c>
      <c r="D1501" s="1" t="s">
        <v>3002</v>
      </c>
      <c r="E1501" s="4" t="str">
        <f ca="1">IFERROR(__xludf.DUMMYFUNCTION("GOOGLETRANSLATE(A1501 , ""tr"" , ""en"")"),"RT @rterdogan: We are with our citizens in Elâzak. https://t.co/OXIQ3Z7XQA")</f>
        <v>RT @rterdogan: We are with our citizens in Elâzak. https://t.co/OXIQ3Z7XQA</v>
      </c>
    </row>
    <row r="1502" spans="1:5" ht="15.75" customHeight="1" x14ac:dyDescent="0.25">
      <c r="A1502" s="1" t="s">
        <v>3003</v>
      </c>
      <c r="B1502" s="1">
        <v>21909</v>
      </c>
      <c r="C1502" s="3">
        <v>44221.38894675926</v>
      </c>
      <c r="D1502" s="1" t="s">
        <v>3004</v>
      </c>
      <c r="E1502" s="4" t="str">
        <f ca="1">IFERROR(__xludf.DUMMYFUNCTION("GOOGLETRANSLATE(A1502 , ""tr"" , ""en"")"),"As of the Program prepared with the proposal of our Science Board, we start the vaccination of our citizens over 80 years of age. Our citizens over 80 will be vaccinated in our health institutions.")</f>
        <v>As of the Program prepared with the proposal of our Science Board, we start the vaccination of our citizens over 80 years of age. Our citizens over 80 will be vaccinated in our health institutions.</v>
      </c>
    </row>
    <row r="1503" spans="1:5" ht="15.75" customHeight="1" x14ac:dyDescent="0.25">
      <c r="A1503" s="1" t="s">
        <v>3005</v>
      </c>
      <c r="B1503" s="1">
        <v>10344</v>
      </c>
      <c r="C1503" s="3">
        <v>44221.368159722224</v>
      </c>
      <c r="D1503" s="1" t="s">
        <v>3006</v>
      </c>
      <c r="E1503" s="4" t="str">
        <f ca="1">IFERROR(__xludf.DUMMYFUNCTION("GOOGLETRANSLATE(A1503 , ""tr"" , ""en"")"),"All of the vaccine program in Turkey can now track the development of the program. We will be able to share more information as the program progresses. https://t.co/OSI4YY9HYR")</f>
        <v>All of the vaccine program in Turkey can now track the development of the program. We will be able to share more information as the program progresses. https://t.co/OSI4YY9HYR</v>
      </c>
    </row>
    <row r="1504" spans="1:5" ht="15.75" customHeight="1" x14ac:dyDescent="0.25">
      <c r="A1504" s="1" t="s">
        <v>3007</v>
      </c>
      <c r="B1504" s="1">
        <v>11156</v>
      </c>
      <c r="C1504" s="3">
        <v>44220.497060185182</v>
      </c>
      <c r="D1504" s="1" t="s">
        <v>3008</v>
      </c>
      <c r="E1504" s="4" t="str">
        <f ca="1">IFERROR(__xludf.DUMMYFUNCTION("GOOGLETRANSLATE(A1504 , ""tr"" , ""en"")"),"We were there with the earthquake disaster in Elazig a full year ago. May God experience such disasters to this Saint Nation. https://t.co/h7gf3a1y7x")</f>
        <v>We were there with the earthquake disaster in Elazig a full year ago. May God experience such disasters to this Saint Nation. https://t.co/h7gf3a1y7x</v>
      </c>
    </row>
    <row r="1505" spans="1:5" ht="15.75" customHeight="1" x14ac:dyDescent="0.25">
      <c r="A1505" s="1" t="s">
        <v>3009</v>
      </c>
      <c r="B1505" s="1">
        <v>20509</v>
      </c>
      <c r="C1505" s="3">
        <v>44220.468761574077</v>
      </c>
      <c r="D1505" s="1" t="s">
        <v>3010</v>
      </c>
      <c r="E1505" s="4" t="str">
        <f ca="1">IFERROR(__xludf.DUMMYFUNCTION("GOOGLETRANSLATE(A1505 , ""tr"" , ""en"")"),"He was slaughtered with a valentine who has made his profession with the love of homeland, and a valiant that has been a ferd of this nation. I remember Gaffar Okkan for the 20th year acres of death and gratefully. https://t.co/da20cl7jc9")</f>
        <v>He was slaughtered with a valentine who has made his profession with the love of homeland, and a valiant that has been a ferd of this nation. I remember Gaffar Okkan for the 20th year acres of death and gratefully. https://t.co/da20cl7jc9</v>
      </c>
    </row>
    <row r="1506" spans="1:5" ht="15.75" customHeight="1" x14ac:dyDescent="0.25">
      <c r="A1506" s="1" t="s">
        <v>3011</v>
      </c>
      <c r="B1506" s="1">
        <v>31748</v>
      </c>
      <c r="C1506" s="3">
        <v>44220.454050925924</v>
      </c>
      <c r="D1506" s="1" t="s">
        <v>3012</v>
      </c>
      <c r="E1506" s="4" t="str">
        <f ca="1">IFERROR(__xludf.DUMMYFUNCTION("GOOGLETRANSLATE(A1506 , ""tr"" , ""en"")"),"The first part of the 2nd million dose of inactive vaccines (6.5 million dose) vaccines will be in our country on Monday morning. The deliveries in accordance with the procurement plan will reach our hands to continue without a disruption.")</f>
        <v>The first part of the 2nd million dose of inactive vaccines (6.5 million dose) vaccines will be in our country on Monday morning. The deliveries in accordance with the procurement plan will reach our hands to continue without a disruption.</v>
      </c>
    </row>
    <row r="1507" spans="1:5" ht="15.75" customHeight="1" x14ac:dyDescent="0.25">
      <c r="A1507" s="1" t="s">
        <v>3013</v>
      </c>
      <c r="B1507" s="1">
        <v>24217</v>
      </c>
      <c r="C1507" s="3">
        <v>44219.795486111114</v>
      </c>
      <c r="D1507" s="1" t="s">
        <v>3014</v>
      </c>
      <c r="E1507" s="4" t="str">
        <f ca="1">IFERROR(__xludf.DUMMYFUNCTION("GOOGLETRANSLATE(A1507 , ""tr"" , ""en"")"),"More than 1,200,000 people have been vaccinated so far. You can see the vaccine distribution on the basis of provinces in Turkey. You will be able to follow this as of Monday. More than 224,000 people were vaccinated in Istanbul with the most health worke"&amp;"rs. https://t.co/czghzjx4ep")</f>
        <v>More than 1,200,000 people have been vaccinated so far. You can see the vaccine distribution on the basis of provinces in Turkey. You will be able to follow this as of Monday. More than 224,000 people were vaccinated in Istanbul with the most health workers. https://t.co/czghzjx4ep</v>
      </c>
    </row>
    <row r="1508" spans="1:5" ht="15.75" customHeight="1" x14ac:dyDescent="0.25">
      <c r="A1508" s="1" t="s">
        <v>3015</v>
      </c>
      <c r="B1508" s="1">
        <v>24163</v>
      </c>
      <c r="C1508" s="3">
        <v>44218.699155092596</v>
      </c>
      <c r="D1508" s="1" t="s">
        <v>3016</v>
      </c>
      <c r="E1508" s="4" t="str">
        <f ca="1">IFERROR(__xludf.DUMMYFUNCTION("GOOGLETRANSLATE(A1508 , ""tr"" , ""en"")"),"With the reason of the mutation, the UK had a decision of temporary stopping on flights from Denmark and South Africa to our country. Brazil was also added due to increasing mutated virus cases as of today.")</f>
        <v>With the reason of the mutation, the UK had a decision of temporary stopping on flights from Denmark and South Africa to our country. Brazil was also added due to increasing mutated virus cases as of today.</v>
      </c>
    </row>
    <row r="1509" spans="1:5" ht="15.75" customHeight="1" x14ac:dyDescent="0.25">
      <c r="A1509" s="1" t="s">
        <v>3017</v>
      </c>
      <c r="B1509" s="1">
        <v>13030</v>
      </c>
      <c r="C1509" s="3">
        <v>44218.651365740741</v>
      </c>
      <c r="D1509" s="1" t="s">
        <v>3018</v>
      </c>
      <c r="E1509" s="4" t="str">
        <f ca="1">IFERROR(__xludf.DUMMYFUNCTION("GOOGLETRANSLATE(A1509 , ""tr"" , ""en"")"),"In order to stop the disruptive effect of the epidemic, our fillion team continues to fulfill their duties and responsibilities in the winter conditions of the gang. Health gives faith and persever of our armies. https://t.co/uwbmodjgqf")</f>
        <v>In order to stop the disruptive effect of the epidemic, our fillion team continues to fulfill their duties and responsibilities in the winter conditions of the gang. Health gives faith and persever of our armies. https://t.co/uwbmodjgqf</v>
      </c>
    </row>
    <row r="1510" spans="1:5" ht="15.75" customHeight="1" x14ac:dyDescent="0.25">
      <c r="A1510" s="1" t="s">
        <v>3019</v>
      </c>
      <c r="B1510" s="1">
        <v>22656</v>
      </c>
      <c r="C1510" s="3">
        <v>44218.454027777778</v>
      </c>
      <c r="D1510" s="1" t="s">
        <v>3020</v>
      </c>
      <c r="E1510" s="4" t="str">
        <f ca="1">IFERROR(__xludf.DUMMYFUNCTION("GOOGLETRANSLATE(A1510 , ""tr"" , ""en"")"),"With the works he wrote, we felt the history to young people who love the historic and leaving trail. I wish the Niyazi First (Yavuz Bahadıoğlu) from Allah to the mercy, his family and lovers.")</f>
        <v>With the works he wrote, we felt the history to young people who love the historic and leaving trail. I wish the Niyazi First (Yavuz Bahadıoğlu) from Allah to the mercy, his family and lovers.</v>
      </c>
    </row>
    <row r="1511" spans="1:5" ht="15.75" customHeight="1" x14ac:dyDescent="0.25">
      <c r="A1511" s="1" t="s">
        <v>3021</v>
      </c>
      <c r="B1511" s="1">
        <v>15970</v>
      </c>
      <c r="C1511" s="3">
        <v>44217.739756944444</v>
      </c>
      <c r="D1511" s="1" t="s">
        <v>3022</v>
      </c>
      <c r="E1511" s="4" t="str">
        <f ca="1">IFERROR(__xludf.DUMMYFUNCTION("GOOGLETRANSLATE(A1511 , ""tr"" , ""en"")"),"The vaccines of our 85 years are made at home. Our responsibility to protect them by knowing the value of our elders. https://t.co/jhwkkcyuz")</f>
        <v>The vaccines of our 85 years are made at home. Our responsibility to protect them by knowing the value of our elders. https://t.co/jhwkkcyuz</v>
      </c>
    </row>
    <row r="1512" spans="1:5" ht="15.75" customHeight="1" x14ac:dyDescent="0.25">
      <c r="A1512" s="1" t="s">
        <v>3023</v>
      </c>
      <c r="B1512" s="1">
        <v>11166</v>
      </c>
      <c r="C1512" s="3">
        <v>44216.893113425926</v>
      </c>
      <c r="D1512" s="1" t="s">
        <v>3024</v>
      </c>
      <c r="E1512" s="4" t="str">
        <f ca="1">IFERROR(__xludf.DUMMYFUNCTION("GOOGLETRANSLATE(A1512 , ""tr"" , ""en"")"),"Precious friend Mehmet Muş, our brother's Mushem Uhşam Bakup Muş Geyefendi, I wish the relatives of Allah.")</f>
        <v>Precious friend Mehmet Muş, our brother's Mushem Uhşam Bakup Muş Geyefendi, I wish the relatives of Allah.</v>
      </c>
    </row>
    <row r="1513" spans="1:5" ht="15.75" customHeight="1" x14ac:dyDescent="0.25">
      <c r="A1513" s="1" t="s">
        <v>3025</v>
      </c>
      <c r="B1513" s="1">
        <v>24081</v>
      </c>
      <c r="C1513" s="3">
        <v>44216.84888888889</v>
      </c>
      <c r="D1513" s="1" t="s">
        <v>3026</v>
      </c>
      <c r="E1513" s="4" t="str">
        <f ca="1">IFERROR(__xludf.DUMMYFUNCTION("GOOGLETRANSLATE(A1513 , ""tr"" , ""en"")"),"With the assessment of our science board, our citizens over the age of 85 will be introduced. Our citizens over the age of 85 will be vaccinated in their homes.")</f>
        <v>With the assessment of our science board, our citizens over the age of 85 will be introduced. Our citizens over the age of 85 will be vaccinated in their homes.</v>
      </c>
    </row>
    <row r="1514" spans="1:5" ht="15.75" customHeight="1" x14ac:dyDescent="0.25">
      <c r="A1514" s="1" t="s">
        <v>3027</v>
      </c>
      <c r="B1514" s="1">
        <v>9148</v>
      </c>
      <c r="C1514" s="3">
        <v>44216.847881944443</v>
      </c>
      <c r="D1514" s="1" t="s">
        <v>3028</v>
      </c>
      <c r="E1514" s="4" t="str">
        <f ca="1">IFERROR(__xludf.DUMMYFUNCTION("GOOGLETRANSLATE(A1514 , ""tr"" , ""en"")"),"Our more than 1 million citizens are vaccinated so far. As you know the step 1 of the vaccine program, the health workers started with our health workers and there was more than 980 thousand health workers. https://t.co/uvtui7spby")</f>
        <v>Our more than 1 million citizens are vaccinated so far. As you know the step 1 of the vaccine program, the health workers started with our health workers and there was more than 980 thousand health workers. https://t.co/uvtui7spby</v>
      </c>
    </row>
    <row r="1515" spans="1:5" ht="15.75" customHeight="1" x14ac:dyDescent="0.25">
      <c r="A1515" s="1" t="s">
        <v>3029</v>
      </c>
      <c r="B1515" s="1">
        <v>13319</v>
      </c>
      <c r="C1515" s="3">
        <v>44215.761759259258</v>
      </c>
      <c r="D1515" s="1" t="s">
        <v>3030</v>
      </c>
      <c r="E1515" s="4" t="str">
        <f ca="1">IFERROR(__xludf.DUMMYFUNCTION("GOOGLETRANSLATE(A1515 , ""tr"" , ""en"")"),"One other group of step 2 of the step 2 of the Vaccine Program are over 90 years of age; He started to be vaccinated in their homes with the competent health team and equipment. Nursing homes began in the vaccine program in the elderly maintenance and reh"&amp;"abilitation centers. https://t.co/a1u212ur5c")</f>
        <v>One other group of step 2 of the step 2 of the Vaccine Program are over 90 years of age; He started to be vaccinated in their homes with the competent health team and equipment. Nursing homes began in the vaccine program in the elderly maintenance and rehabilitation centers. https://t.co/a1u212ur5c</v>
      </c>
    </row>
    <row r="1516" spans="1:5" ht="15.75" customHeight="1" x14ac:dyDescent="0.25">
      <c r="A1516" s="1" t="s">
        <v>3031</v>
      </c>
      <c r="B1516" s="1">
        <v>9921</v>
      </c>
      <c r="C1516" s="3">
        <v>44215.674618055556</v>
      </c>
      <c r="D1516" s="1" t="s">
        <v>3032</v>
      </c>
      <c r="E1516" s="4" t="str">
        <f ca="1">IFERROR(__xludf.DUMMYFUNCTION("GOOGLETRANSLATE(A1516 , ""tr"" , ""en"")"),"China People's Republic Ankara Ambassador Mr. Liu Shaobin in our Ministry. I would like to thank them with the support and the friendly role they undertake in our vaccine program. We will continue to work together for the common benefit of humanity. https"&amp;"://t.co/qc62fuwf0v")</f>
        <v>China People's Republic Ankara Ambassador Mr. Liu Shaobin in our Ministry. I would like to thank them with the support and the friendly role they undertake in our vaccine program. We will continue to work together for the common benefit of humanity. https://t.co/qc62fuwf0v</v>
      </c>
    </row>
    <row r="1517" spans="1:5" ht="15.75" customHeight="1" x14ac:dyDescent="0.25">
      <c r="A1517" s="1" t="s">
        <v>3033</v>
      </c>
      <c r="B1517" s="1">
        <v>6657</v>
      </c>
      <c r="C1517" s="3">
        <v>44215.655659722222</v>
      </c>
      <c r="D1517" s="1" t="s">
        <v>3034</v>
      </c>
      <c r="E1517" s="4" t="str">
        <f ca="1">IFERROR(__xludf.DUMMYFUNCTION("GOOGLETRANSLATE(A1517 , ""tr"" , ""en"")"),"Today, I've guests in our Ministry of Mr. Aleksey Yerhov in the Russian Federation Ankara Ambassador. We have evaluated our business troops in the field of health, especially the sputnik v vaccine. Thank you to the tenderness they show about the binary co"&amp;"operation. https://t.co/1cqpbgl2fc")</f>
        <v>Today, I've guests in our Ministry of Mr. Aleksey Yerhov in the Russian Federation Ankara Ambassador. We have evaluated our business troops in the field of health, especially the sputnik v vaccine. Thank you to the tenderness they show about the binary cooperation. https://t.co/1cqpbgl2fc</v>
      </c>
    </row>
    <row r="1518" spans="1:5" ht="15.75" customHeight="1" x14ac:dyDescent="0.25">
      <c r="A1518" s="1" t="s">
        <v>3035</v>
      </c>
      <c r="B1518" s="1">
        <v>12785</v>
      </c>
      <c r="C1518" s="3">
        <v>44214.956342592595</v>
      </c>
      <c r="D1518" s="1" t="s">
        <v>3036</v>
      </c>
      <c r="E1518" s="4" t="str">
        <f ca="1">IFERROR(__xludf.DUMMYFUNCTION("GOOGLETRANSLATE(A1518 , ""tr"" , ""en"")"),"One of the important values ​​of these lands, Prof. Dr. We lost our nur vergin teacher. It was a person who owns science and virtue. We could not benefit from the right to the right. With the wish to benefit from the works of the new generations, I wish o"&amp;"ur teacher mercy from Allah.")</f>
        <v>One of the important values ​​of these lands, Prof. Dr. We lost our nur vergin teacher. It was a person who owns science and virtue. We could not benefit from the right to the right. With the wish to benefit from the works of the new generations, I wish our teacher mercy from Allah.</v>
      </c>
    </row>
    <row r="1519" spans="1:5" ht="15.75" customHeight="1" x14ac:dyDescent="0.25">
      <c r="A1519" s="1" t="s">
        <v>3037</v>
      </c>
      <c r="B1519" s="1">
        <v>9366</v>
      </c>
      <c r="C1519" s="3">
        <v>44214.815787037034</v>
      </c>
      <c r="D1519" s="1" t="s">
        <v>3038</v>
      </c>
      <c r="E1519" s="4" t="str">
        <f ca="1">IFERROR(__xludf.DUMMYFUNCTION("GOOGLETRANSLATE(A1519 , ""tr"" , ""en"")"),"We go to step 2 of the step 1 of the vaccination program. From the tomorrow, the persons responsible for our citizens and those who are in the care of these citizens will be inoculated. At the same time, for our 90 years of age, the program starts tomorro"&amp;"w. https://t.co/a9nl22pebl")</f>
        <v>We go to step 2 of the step 1 of the vaccination program. From the tomorrow, the persons responsible for our citizens and those who are in the care of these citizens will be inoculated. At the same time, for our 90 years of age, the program starts tomorrow. https://t.co/a9nl22pebl</v>
      </c>
    </row>
    <row r="1520" spans="1:5" ht="15.75" customHeight="1" x14ac:dyDescent="0.25">
      <c r="A1520" s="1" t="s">
        <v>3039</v>
      </c>
      <c r="B1520" s="1">
        <v>11041</v>
      </c>
      <c r="C1520" s="3">
        <v>44214.80127314815</v>
      </c>
      <c r="D1520" s="1" t="s">
        <v>3040</v>
      </c>
      <c r="E1520" s="4" t="str">
        <f ca="1">IFERROR(__xludf.DUMMYFUNCTION("GOOGLETRANSLATE(A1520 , ""tr"" , ""en"")"),"We have evaluated our vaccine program with the health managers of our 81 provinces. 830 thousand people from our health workers were the first dose of vaccine. We performed one of the fastest practices in the world. According to the program calendar, heal"&amp;"th workers will be inoculated until Wednesday. https://t.co/o6qonqoeky")</f>
        <v>We have evaluated our vaccine program with the health managers of our 81 provinces. 830 thousand people from our health workers were the first dose of vaccine. We performed one of the fastest practices in the world. According to the program calendar, health workers will be inoculated until Wednesday. https://t.co/o6qonqoeky</v>
      </c>
    </row>
    <row r="1521" spans="1:5" ht="15.75" customHeight="1" x14ac:dyDescent="0.25">
      <c r="A1521" s="1" t="s">
        <v>3041</v>
      </c>
      <c r="B1521" s="1">
        <v>12760</v>
      </c>
      <c r="C1521" s="3">
        <v>44214.633287037039</v>
      </c>
      <c r="D1521" s="1" t="s">
        <v>3042</v>
      </c>
      <c r="E1521" s="4" t="str">
        <f ca="1">IFERROR(__xludf.DUMMYFUNCTION("GOOGLETRANSLATE(A1521 , ""tr"" , ""en"")"),"Democratic Party General President Mr. Gültekin Uysal Gentleman, today was COVID-19 vaccine in our city hospital in Ankara City. I appreciate the support they give our vaccine program. We will win the outbreak fight together.")</f>
        <v>Democratic Party General President Mr. Gültekin Uysal Gentleman, today was COVID-19 vaccine in our city hospital in Ankara City. I appreciate the support they give our vaccine program. We will win the outbreak fight together.</v>
      </c>
    </row>
    <row r="1522" spans="1:5" ht="15.75" customHeight="1" x14ac:dyDescent="0.25">
      <c r="A1522" s="1" t="s">
        <v>3043</v>
      </c>
      <c r="B1522" s="1">
        <v>42293</v>
      </c>
      <c r="C1522" s="3">
        <v>44213.569918981484</v>
      </c>
      <c r="D1522" s="1" t="s">
        <v>3044</v>
      </c>
      <c r="E1522" s="4" t="str">
        <f ca="1">IFERROR(__xludf.DUMMYFUNCTION("GOOGLETRANSLATE(A1522 , ""tr"" , ""en"")"),"We are grateful to our health workers who work from their family, who worked without saying the night and night since the global epidemic is the first in the world. It is not possible to pay the right to our health workers. We owe them a big thanks. 2021 "&amp;"Health Workers Year.")</f>
        <v>We are grateful to our health workers who work from their family, who worked without saying the night and night since the global epidemic is the first in the world. It is not possible to pay the right to our health workers. We owe them a big thanks. 2021 Health Workers Year.</v>
      </c>
    </row>
    <row r="1523" spans="1:5" ht="15.75" customHeight="1" x14ac:dyDescent="0.25">
      <c r="A1523" s="1" t="s">
        <v>3045</v>
      </c>
      <c r="B1523" s="1">
        <v>12320</v>
      </c>
      <c r="C1523" s="3">
        <v>44212.810393518521</v>
      </c>
      <c r="D1523" s="1" t="s">
        <v>3046</v>
      </c>
      <c r="E1523" s="4" t="str">
        <f ca="1">IFERROR(__xludf.DUMMYFUNCTION("GOOGLETRANSLATE(A1523 , ""tr"" , ""en"")"),"Practical information about the vaccine app you can reach the following video. We will win the outbreak fight together. https://T.CO/OSI4YY9HYR https://t.co/eviklbtrjd")</f>
        <v>Practical information about the vaccine app you can reach the following video. We will win the outbreak fight together. https://T.CO/OSI4YY9HYR https://t.co/eviklbtrjd</v>
      </c>
    </row>
    <row r="1524" spans="1:5" ht="15.75" customHeight="1" x14ac:dyDescent="0.25">
      <c r="A1524" s="1" t="s">
        <v>3047</v>
      </c>
      <c r="B1524" s="1">
        <v>7775</v>
      </c>
      <c r="C1524" s="3">
        <v>44211.791712962964</v>
      </c>
      <c r="D1524" s="1" t="s">
        <v>3048</v>
      </c>
      <c r="E1524" s="4" t="str">
        <f ca="1">IFERROR(__xludf.DUMMYFUNCTION("GOOGLETRANSLATE(A1524 , ""tr"" , ""en"")"),"I would like to thank Basic Karamollaoğlu for the Saadet Party General President, the support and courtesies they give to our vaccine program. The responsibility they have shown is extremely valuable. We will win the outbreak fight together. https://t.co/"&amp;"8jtq6dn1de")</f>
        <v>I would like to thank Basic Karamollaoğlu for the Saadet Party General President, the support and courtesies they give to our vaccine program. The responsibility they have shown is extremely valuable. We will win the outbreak fight together. https://t.co/8jtq6dn1de</v>
      </c>
    </row>
    <row r="1525" spans="1:5" ht="15.75" customHeight="1" x14ac:dyDescent="0.25">
      <c r="A1525" s="1" t="s">
        <v>3049</v>
      </c>
      <c r="B1525" s="1">
        <v>12746</v>
      </c>
      <c r="C1525" s="3">
        <v>44211.564849537041</v>
      </c>
      <c r="D1525" s="1" t="s">
        <v>3050</v>
      </c>
      <c r="E1525" s="4" t="str">
        <f ca="1">IFERROR(__xludf.DUMMYFUNCTION("GOOGLETRANSLATE(A1525 , ""tr"" , ""en"")"),"Turkey Labor Party General President I had invited to be vaccinated to be an example in the vaccine program by calling the Erokan Head Geyefendi. He preferred to be an example by waiting for his turn. I appreciate your support. We will win the outbreak fi"&amp;"ght together.")</f>
        <v>Turkey Labor Party General President I had invited to be vaccinated to be an example in the vaccine program by calling the Erokan Head Geyefendi. He preferred to be an example by waiting for his turn. I appreciate your support. We will win the outbreak fight together.</v>
      </c>
    </row>
    <row r="1526" spans="1:5" ht="15.75" customHeight="1" x14ac:dyDescent="0.25">
      <c r="A1526" s="1" t="s">
        <v>3051</v>
      </c>
      <c r="B1526" s="1">
        <v>25586</v>
      </c>
      <c r="C1526" s="3">
        <v>44211.548483796294</v>
      </c>
      <c r="D1526" s="1" t="s">
        <v>3052</v>
      </c>
      <c r="E1526" s="4" t="str">
        <f ca="1">IFERROR(__xludf.DUMMYFUNCTION("GOOGLETRANSLATE(A1526 , ""tr"" , ""en"")"),"HDP General President Mithat Sancar Invited to be an example as vaccines by calling Beyefendi. They chose to be an example by waiting the order with the description they do as a party. I appreciate your support. We will win the outbreak fight together.")</f>
        <v>HDP General President Mithat Sancar Invited to be an example as vaccines by calling Beyefendi. They chose to be an example by waiting the order with the description they do as a party. I appreciate your support. We will win the outbreak fight together.</v>
      </c>
    </row>
    <row r="1527" spans="1:5" ht="15.75" customHeight="1" x14ac:dyDescent="0.25">
      <c r="A1527" s="1" t="s">
        <v>3053</v>
      </c>
      <c r="B1527" s="1">
        <v>11281</v>
      </c>
      <c r="C1527" s="3">
        <v>44211.509606481479</v>
      </c>
      <c r="D1527" s="1" t="s">
        <v>3054</v>
      </c>
      <c r="E1527" s="4" t="str">
        <f ca="1">IFERROR(__xludf.DUMMYFUNCTION("GOOGLETRANSLATE(A1527 , ""tr"" , ""en"")"),"Mr. Our President of the Grand National Assembly of Turkey Prof. Dr. I thank Mustafa Şentop very much for the support they give to our program. We will win the outbreak fight together.")</f>
        <v>Mr. Our President of the Grand National Assembly of Turkey Prof. Dr. I thank Mustafa Şentop very much for the support they give to our program. We will win the outbreak fight together.</v>
      </c>
    </row>
    <row r="1528" spans="1:5" ht="15.75" customHeight="1" x14ac:dyDescent="0.25">
      <c r="A1528" s="1" t="s">
        <v>3055</v>
      </c>
      <c r="B1528" s="1">
        <v>12788</v>
      </c>
      <c r="C1528" s="3">
        <v>44211.485046296293</v>
      </c>
      <c r="D1528" s="1" t="s">
        <v>3056</v>
      </c>
      <c r="E1528" s="4" t="str">
        <f ca="1">IFERROR(__xludf.DUMMYFUNCTION("GOOGLETRANSLATE(A1528 , ""tr"" , ""en"")"),"On the 2nd day of our vaccination program, more than 500,000 health workers were vaccines. We are an experienced country in applying the vaccine program in the country. Our sub-structure is more than enough to carry out this program in controlled manner. "&amp;"We will win the outbreak fight together. https://t.co/a3b04aq4h2")</f>
        <v>On the 2nd day of our vaccination program, more than 500,000 health workers were vaccines. We are an experienced country in applying the vaccine program in the country. Our sub-structure is more than enough to carry out this program in controlled manner. We will win the outbreak fight together. https://t.co/a3b04aq4h2</v>
      </c>
    </row>
    <row r="1529" spans="1:5" ht="15.75" customHeight="1" x14ac:dyDescent="0.25">
      <c r="A1529" s="1" t="s">
        <v>3057</v>
      </c>
      <c r="B1529" s="1">
        <v>33026</v>
      </c>
      <c r="C1529" s="3">
        <v>44211.464108796295</v>
      </c>
      <c r="D1529" s="1" t="s">
        <v>3058</v>
      </c>
      <c r="E1529" s="4" t="str">
        <f ca="1">IFERROR(__xludf.DUMMYFUNCTION("GOOGLETRANSLATE(A1529 , ""tr"" , ""en"")"),"Thank Kemal Kılıçdaroğlu Thank you very much because they declare the explanation and vaccine to support the vaccine program. We will win the outbreak fight together.")</f>
        <v>Thank Kemal Kılıçdaroğlu Thank you very much because they declare the explanation and vaccine to support the vaccine program. We will win the outbreak fight together.</v>
      </c>
    </row>
    <row r="1530" spans="1:5" ht="15.75" customHeight="1" x14ac:dyDescent="0.25">
      <c r="A1530" s="1" t="s">
        <v>3059</v>
      </c>
      <c r="B1530" s="1">
        <v>10905</v>
      </c>
      <c r="C1530" s="3">
        <v>44211.43273148148</v>
      </c>
      <c r="D1530" s="1" t="s">
        <v>3060</v>
      </c>
      <c r="E1530" s="4" t="str">
        <f ca="1">IFERROR(__xludf.DUMMYFUNCTION("GOOGLETRANSLATE(A1530 , ""tr"" , ""en"")"),"Mr. Meral Akşener Hanımendi Accepting our vaccination invitation I thank you very much with their vaccination. We will win the outbreak fight together. https://t.co/uvagjjtctb")</f>
        <v>Mr. Meral Akşener Hanımendi Accepting our vaccination invitation I thank you very much with their vaccination. We will win the outbreak fight together. https://t.co/uvagjjtctb</v>
      </c>
    </row>
    <row r="1531" spans="1:5" ht="15.75" customHeight="1" x14ac:dyDescent="0.25">
      <c r="A1531" s="1" t="s">
        <v>3061</v>
      </c>
      <c r="B1531" s="1">
        <v>14791</v>
      </c>
      <c r="C1531" s="3">
        <v>44211.414803240739</v>
      </c>
      <c r="D1531" s="1" t="s">
        <v>3062</v>
      </c>
      <c r="E1531" s="4" t="str">
        <f ca="1">IFERROR(__xludf.DUMMYFUNCTION("GOOGLETRANSLATE(A1531 , ""tr"" , ""en"")"),"Thank you very much with support and contributions to the vaccine program as part of the sensitivity in which Dear State Bahceli is in the case of state policies. We will win the outbreak fight together. https://t.co/oucrpmfxdi")</f>
        <v>Thank you very much with support and contributions to the vaccine program as part of the sensitivity in which Dear State Bahceli is in the case of state policies. We will win the outbreak fight together. https://t.co/oucrpmfxdi</v>
      </c>
    </row>
    <row r="1532" spans="1:5" ht="15.75" customHeight="1" x14ac:dyDescent="0.25">
      <c r="A1532" s="1" t="s">
        <v>3063</v>
      </c>
      <c r="B1532" s="1">
        <v>31163</v>
      </c>
      <c r="C1532" s="3">
        <v>44210.852222222224</v>
      </c>
      <c r="D1532" s="1" t="s">
        <v>3064</v>
      </c>
      <c r="E1532" s="4" t="str">
        <f ca="1">IFERROR(__xludf.DUMMYFUNCTION("GOOGLETRANSLATE(A1532 , ""tr"" , ""en"")"),"In the scope of becoming the vaccination that our President has initiated the vaccine program, I invited all the political party general heads represented in the parliament to be vaccine by calling our Constitutional Court President and the Assembly Presi"&amp;"dent. I thank you for the kindness they show themselves.")</f>
        <v>In the scope of becoming the vaccination that our President has initiated the vaccine program, I invited all the political party general heads represented in the parliament to be vaccine by calling our Constitutional Court President and the Assembly President. I thank you for the kindness they show themselves.</v>
      </c>
    </row>
    <row r="1533" spans="1:5" ht="15.75" customHeight="1" x14ac:dyDescent="0.25">
      <c r="A1533" s="1" t="s">
        <v>3065</v>
      </c>
      <c r="B1533" s="1">
        <v>27649</v>
      </c>
      <c r="C1533" s="3">
        <v>44210.764976851853</v>
      </c>
      <c r="D1533" s="1" t="s">
        <v>3066</v>
      </c>
      <c r="E1533" s="4" t="str">
        <f ca="1">IFERROR(__xludf.DUMMYFUNCTION("GOOGLETRANSLATE(A1533 , ""tr"" , ""en"")"),"With the proposal of our Members of the Science Members, Mr. The President of the President of the Government Grand Campaign launched itself as the first vaccine. May our nation be auspicious. https://t.co/lnrj709s1r")</f>
        <v>With the proposal of our Members of the Science Members, Mr. The President of the President of the Government Grand Campaign launched itself as the first vaccine. May our nation be auspicious. https://t.co/lnrj709s1r</v>
      </c>
    </row>
    <row r="1534" spans="1:5" ht="15.75" customHeight="1" x14ac:dyDescent="0.25">
      <c r="A1534" s="1" t="s">
        <v>3067</v>
      </c>
      <c r="B1534" s="1">
        <v>0</v>
      </c>
      <c r="C1534" s="3">
        <v>44210.659502314818</v>
      </c>
      <c r="D1534" s="1" t="s">
        <v>3068</v>
      </c>
      <c r="E1534" s="4" t="str">
        <f ca="1">IFERROR(__xludf.DUMMYFUNCTION("GOOGLETRANSLATE(A1534 , ""tr"" , ""en"")"),"RT @rterdogan: Press release https://t.co/jysgssxnrs")</f>
        <v>RT @rterdogan: Press release https://t.co/jysgssxnrs</v>
      </c>
    </row>
    <row r="1535" spans="1:5" ht="15.75" customHeight="1" x14ac:dyDescent="0.25">
      <c r="A1535" s="1" t="s">
        <v>3069</v>
      </c>
      <c r="B1535" s="1">
        <v>0</v>
      </c>
      <c r="C1535" s="3">
        <v>44210.659479166665</v>
      </c>
      <c r="D1535" s="1" t="s">
        <v>3070</v>
      </c>
      <c r="E1535" s="4" t="str">
        <f ca="1">IFERROR(__xludf.DUMMYFUNCTION("GOOGLETRANSLATE(A1535 , ""tr"" , ""en"")"),"RT @rterdogan: Successfully within our continued vaccine program, our 254 thousand health workers were the first dose vaccines. Me too ...")</f>
        <v>RT @rterdogan: Successfully within our continued vaccine program, our 254 thousand health workers were the first dose vaccines. Me too ...</v>
      </c>
    </row>
    <row r="1536" spans="1:5" ht="15.75" customHeight="1" x14ac:dyDescent="0.25">
      <c r="A1536" s="1" t="s">
        <v>3071</v>
      </c>
      <c r="B1536" s="1">
        <v>30428</v>
      </c>
      <c r="C1536" s="3">
        <v>44210.444513888891</v>
      </c>
      <c r="D1536" s="1" t="s">
        <v>3072</v>
      </c>
      <c r="E1536" s="4" t="str">
        <f ca="1">IFERROR(__xludf.DUMMYFUNCTION("GOOGLETRANSLATE(A1536 , ""tr"" , ""en"")"),"As of now, the number of health workers with overdose has passed 100,000. Turkey has a strong infrastructure in applying the vaccine program. I would like to thank everyone who believes in this power. https://t.co/OSI4YY9HYR https://t.co/sljpazynjd")</f>
        <v>As of now, the number of health workers with overdose has passed 100,000. Turkey has a strong infrastructure in applying the vaccine program. I would like to thank everyone who believes in this power. https://t.co/OSI4YY9HYR https://t.co/sljpazynjd</v>
      </c>
    </row>
    <row r="1537" spans="1:5" ht="15.75" customHeight="1" x14ac:dyDescent="0.25">
      <c r="A1537" s="1" t="s">
        <v>3073</v>
      </c>
      <c r="B1537" s="1">
        <v>9500</v>
      </c>
      <c r="C1537" s="3">
        <v>44209.784490740742</v>
      </c>
      <c r="D1537" s="1" t="s">
        <v>3074</v>
      </c>
      <c r="E1537" s="4" t="str">
        <f ca="1">IFERROR(__xludf.DUMMYFUNCTION("GOOGLETRANSLATE(A1537 , ""tr"" , ""en"")"),"The vaccine program will be carried out by justice and the way of science. https://t.co/6vvlqgsuit")</f>
        <v>The vaccine program will be carried out by justice and the way of science. https://t.co/6vvlqgsuit</v>
      </c>
    </row>
    <row r="1538" spans="1:5" ht="15.75" customHeight="1" x14ac:dyDescent="0.25">
      <c r="A1538" s="1" t="s">
        <v>3075</v>
      </c>
      <c r="B1538" s="1">
        <v>9493</v>
      </c>
      <c r="C1538" s="3">
        <v>44209.771203703705</v>
      </c>
      <c r="D1538" s="1" t="s">
        <v>3076</v>
      </c>
      <c r="E1538" s="4" t="str">
        <f ca="1">IFERROR(__xludf.DUMMYFUNCTION("GOOGLETRANSLATE(A1538 , ""tr"" , ""en"")"),"Our vaccine program will be monitored instantly by all of our citizens. https://t.co/wtgabymdmq")</f>
        <v>Our vaccine program will be monitored instantly by all of our citizens. https://t.co/wtgabymdmq</v>
      </c>
    </row>
    <row r="1539" spans="1:5" ht="15.75" customHeight="1" x14ac:dyDescent="0.25">
      <c r="A1539" s="1" t="s">
        <v>3077</v>
      </c>
      <c r="B1539" s="1">
        <v>34768</v>
      </c>
      <c r="C1539" s="3">
        <v>44209.728773148148</v>
      </c>
      <c r="D1539" s="1" t="s">
        <v>3078</v>
      </c>
      <c r="E1539" s="4" t="str">
        <f ca="1">IFERROR(__xludf.DUMMYFUNCTION("GOOGLETRANSLATE(A1539 , ""tr"" , ""en"")"),"Today, with our Members of the Science, we were the first applied health workers after the coronavirus vaccine after the emergency approval. The process has begun for all our health workers. Get auspicious auspicious. https://t.co/k1cpxmt3se")</f>
        <v>Today, with our Members of the Science, we were the first applied health workers after the coronavirus vaccine after the emergency approval. The process has begun for all our health workers. Get auspicious auspicious. https://t.co/k1cpxmt3se</v>
      </c>
    </row>
    <row r="1540" spans="1:5" ht="15.75" customHeight="1" x14ac:dyDescent="0.25">
      <c r="A1540" s="1" t="s">
        <v>3079</v>
      </c>
      <c r="B1540" s="1">
        <v>99033</v>
      </c>
      <c r="C1540" s="3">
        <v>44209.710370370369</v>
      </c>
      <c r="D1540" s="1" t="s">
        <v>3080</v>
      </c>
      <c r="E1540" s="4" t="str">
        <f ca="1">IFERROR(__xludf.DUMMYFUNCTION("GOOGLETRANSLATE(A1540 , ""tr"" , ""en"")"),"I received a message from our Ministry of Health. https://t.co/evgvj00pa2")</f>
        <v>I received a message from our Ministry of Health. https://t.co/evgvj00pa2</v>
      </c>
    </row>
    <row r="1541" spans="1:5" ht="15.75" customHeight="1" x14ac:dyDescent="0.25">
      <c r="A1541" s="1" t="s">
        <v>3081</v>
      </c>
      <c r="B1541" s="1">
        <v>10066</v>
      </c>
      <c r="C1541" s="3">
        <v>44209.674293981479</v>
      </c>
      <c r="D1541" s="1" t="s">
        <v>3082</v>
      </c>
      <c r="E1541" s="4" t="str">
        <f ca="1">IFERROR(__xludf.DUMMYFUNCTION("GOOGLETRANSLATE(A1541 , ""tr"" , ""en"")"),"After our Science Board meeting, our press statement on the latest developments on the coronavirus.
📍 The Ministry of Health
https://t.co/m5voabdjjz")</f>
        <v>After our Science Board meeting, our press statement on the latest developments on the coronavirus.
📍 The Ministry of Health
https://t.co/m5voabdjjz</v>
      </c>
    </row>
    <row r="1542" spans="1:5" ht="15.75" customHeight="1" x14ac:dyDescent="0.25">
      <c r="A1542" s="1" t="s">
        <v>3083</v>
      </c>
      <c r="B1542" s="1">
        <v>9039</v>
      </c>
      <c r="C1542" s="3">
        <v>44209.564143518517</v>
      </c>
      <c r="D1542" s="1" t="s">
        <v>3084</v>
      </c>
      <c r="E1542" s="4" t="str">
        <f ca="1">IFERROR(__xludf.DUMMYFUNCTION("GOOGLETRANSLATE(A1542 , ""tr"" , ""en"")"),"""Know you to stand upright in front of those who want to separate your own self from the glorious past. Have your self and history that you can have tomorrows."" Rauf Denktas, which had appealed to the young people. I remember with mercy and love. https:"&amp;"//t.co/vtn108dbss")</f>
        <v>"Know you to stand upright in front of those who want to separate your own self from the glorious past. Have your self and history that you can have tomorrows." Rauf Denktas, which had appealed to the young people. I remember with mercy and love. https://t.co/vtn108dbss</v>
      </c>
    </row>
    <row r="1543" spans="1:5" ht="15.75" customHeight="1" x14ac:dyDescent="0.25">
      <c r="A1543" s="1" t="s">
        <v>3085</v>
      </c>
      <c r="B1543" s="1">
        <v>21580</v>
      </c>
      <c r="C1543" s="3">
        <v>44208.670717592591</v>
      </c>
      <c r="D1543" s="1" t="s">
        <v>3086</v>
      </c>
      <c r="E1543" s="4" t="str">
        <f ca="1">IFERROR(__xludf.DUMMYFUNCTION("GOOGLETRANSLATE(A1543 , ""tr"" , ""en"")"),"We have 983 new patients identified today. After a long break, our daily patient has landed below 1,000. Our severe patient count continues to decrease. We will proceed to the vaccine application by continuing to comply with restraint and measures. We wil"&amp;"l achieve together. https://t.co/rvlhe7786o")</f>
        <v>We have 983 new patients identified today. After a long break, our daily patient has landed below 1,000. Our severe patient count continues to decrease. We will proceed to the vaccine application by continuing to comply with restraint and measures. We will achieve together. https://t.co/rvlhe7786o</v>
      </c>
    </row>
    <row r="1544" spans="1:5" ht="15.75" customHeight="1" x14ac:dyDescent="0.25">
      <c r="A1544" s="1" t="s">
        <v>3087</v>
      </c>
      <c r="B1544" s="1">
        <v>14692</v>
      </c>
      <c r="C1544" s="3">
        <v>44207.717847222222</v>
      </c>
      <c r="D1544" s="1" t="s">
        <v>3088</v>
      </c>
      <c r="E1544" s="4" t="str">
        <f ca="1">IFERROR(__xludf.DUMMYFUNCTION("GOOGLETRANSLATE(A1544 , ""tr"" , ""en"")"),"We have 1,003 new patients identified today. The decline in the number of severe patients is prominently continuing. Measure is our greatest weapon. The full compliance of the vaccine program is completed successfully and the full compliance with the meas"&amp;"ures is extremely important. We will win together. https://t.co/rvlhe7786o")</f>
        <v>We have 1,003 new patients identified today. The decline in the number of severe patients is prominently continuing. Measure is our greatest weapon. The full compliance of the vaccine program is completed successfully and the full compliance with the measures is extremely important. We will win together. https://t.co/rvlhe7786o</v>
      </c>
    </row>
    <row r="1545" spans="1:5" ht="15.75" customHeight="1" x14ac:dyDescent="0.25">
      <c r="A1545" s="1" t="s">
        <v>3089</v>
      </c>
      <c r="B1545" s="1">
        <v>0</v>
      </c>
      <c r="C1545" s="3">
        <v>44207.696203703701</v>
      </c>
      <c r="D1545" s="1" t="s">
        <v>3090</v>
      </c>
      <c r="E1545" s="4" t="str">
        <f ca="1">IFERROR(__xludf.DUMMYFUNCTION("GOOGLETRANSLATE(A1545 , ""tr"" , ""en"")"),"RT @rterdogan: Shouting the Nation after Cabinet Meeting https://t.co/cbzxkc5i0j")</f>
        <v>RT @rterdogan: Shouting the Nation after Cabinet Meeting https://t.co/cbzxkc5i0j</v>
      </c>
    </row>
    <row r="1546" spans="1:5" ht="15.75" customHeight="1" x14ac:dyDescent="0.25">
      <c r="A1546" s="1" t="s">
        <v>3091</v>
      </c>
      <c r="B1546" s="1">
        <v>21227</v>
      </c>
      <c r="C1546" s="3">
        <v>44206.878136574072</v>
      </c>
      <c r="D1546" s="1" t="s">
        <v>3092</v>
      </c>
      <c r="E1546" s="4" t="str">
        <f ca="1">IFERROR(__xludf.DUMMYFUNCTION("GOOGLETRANSLATE(A1546 , ""tr"" , ""en"")"),"This evening did not have any life or goods due to the 4.5-size earthquake in the Kalecik district of Ankara. Get past Ankara.")</f>
        <v>This evening did not have any life or goods due to the 4.5-size earthquake in the Kalecik district of Ankara. Get past Ankara.</v>
      </c>
    </row>
    <row r="1547" spans="1:5" ht="15.75" customHeight="1" x14ac:dyDescent="0.25">
      <c r="A1547" s="1" t="s">
        <v>3093</v>
      </c>
      <c r="B1547" s="1">
        <v>36028</v>
      </c>
      <c r="C1547" s="3">
        <v>44206.853379629632</v>
      </c>
      <c r="D1547" s="1" t="s">
        <v>3094</v>
      </c>
      <c r="E1547" s="4" t="str">
        <f ca="1">IFERROR(__xludf.DUMMYFUNCTION("GOOGLETRANSLATE(A1547 , ""tr"" , ""en"")"),"Unable to accept folks will be accepted with opposition. As the experienc of the Nation's will, the President of the President of the President of the President of the President of the President of the President ""is to ignore the National Will.")</f>
        <v>Unable to accept folks will be accepted with opposition. As the experienc of the Nation's will, the President of the President of the President of the President of the President of the President of the President "is to ignore the National Will.</v>
      </c>
    </row>
    <row r="1548" spans="1:5" ht="15.75" customHeight="1" x14ac:dyDescent="0.25">
      <c r="A1548" s="1" t="s">
        <v>3095</v>
      </c>
      <c r="B1548" s="1">
        <v>13684</v>
      </c>
      <c r="C1548" s="3">
        <v>44206.666990740741</v>
      </c>
      <c r="D1548" s="1" t="s">
        <v>3096</v>
      </c>
      <c r="E1548" s="4" t="str">
        <f ca="1">IFERROR(__xludf.DUMMYFUNCTION("GOOGLETRANSLATE(A1548 , ""tr"" , ""en"")"),"There are 1.017 new patients identified today. As the number of cases decreases, the need for the test request also decreases gradually. The decline in severe patients will reduce the number of losses. Let's continue to comply with the restriction and mea"&amp;"sures we take. https://t.co/rvlhe7786o")</f>
        <v>There are 1.017 new patients identified today. As the number of cases decreases, the need for the test request also decreases gradually. The decline in severe patients will reduce the number of losses. Let's continue to comply with the restriction and measures we take. https://t.co/rvlhe7786o</v>
      </c>
    </row>
    <row r="1549" spans="1:5" ht="15.75" customHeight="1" x14ac:dyDescent="0.25">
      <c r="A1549" s="1" t="s">
        <v>3097</v>
      </c>
      <c r="B1549" s="1">
        <v>7701</v>
      </c>
      <c r="C1549" s="3">
        <v>44206.368622685186</v>
      </c>
      <c r="D1549" s="1" t="s">
        <v>3098</v>
      </c>
      <c r="E1549" s="4" t="str">
        <f ca="1">IFERROR(__xludf.DUMMYFUNCTION("GOOGLETRANSLATE(A1549 , ""tr"" , ""en"")"),"In the course of the pandemic process we live, he thanks to our journalists for the effort that the decisions received in the rapid and accurate measures of the received decisions and accurately 10 thank our journalists, 10 January working Journalists Day"&amp;" with my emotions. https://t.co/e7fsydz8zp")</f>
        <v>In the course of the pandemic process we live, he thanks to our journalists for the effort that the decisions received in the rapid and accurate measures of the received decisions and accurately 10 thank our journalists, 10 January working Journalists Day with my emotions. https://t.co/e7fsydz8zp</v>
      </c>
    </row>
    <row r="1550" spans="1:5" ht="15.75" customHeight="1" x14ac:dyDescent="0.25">
      <c r="A1550" s="1" t="s">
        <v>3099</v>
      </c>
      <c r="B1550" s="1">
        <v>9969</v>
      </c>
      <c r="C1550" s="3">
        <v>44205.757789351854</v>
      </c>
      <c r="D1550" s="1" t="s">
        <v>3100</v>
      </c>
      <c r="E1550" s="4" t="str">
        <f ca="1">IFERROR(__xludf.DUMMYFUNCTION("GOOGLETRANSLATE(A1550 , ""tr"" , ""en"")"),"We are next to our citizens in every condition. All we expect is firmly complied with the measures. We are strong together. https://t.co/kwdfvhtmo7")</f>
        <v>We are next to our citizens in every condition. All we expect is firmly complied with the measures. We are strong together. https://t.co/kwdfvhtmo7</v>
      </c>
    </row>
    <row r="1551" spans="1:5" ht="15.75" customHeight="1" x14ac:dyDescent="0.25">
      <c r="A1551" s="1" t="s">
        <v>3101</v>
      </c>
      <c r="B1551" s="1">
        <v>12058</v>
      </c>
      <c r="C1551" s="3">
        <v>44205.667604166665</v>
      </c>
      <c r="D1551" s="1" t="s">
        <v>3102</v>
      </c>
      <c r="E1551" s="4" t="str">
        <f ca="1">IFERROR(__xludf.DUMMYFUNCTION("GOOGLETRANSLATE(A1551 , ""tr"" , ""en"")"),"There are 1,103 new patients identified today. Case numbers continue to fall. Number of severe patients declined below 3,000. Restraint and measures give a result. We are determined to combat and save our country from the global epidemic. https://t.co/rvl"&amp;"he7786o")</f>
        <v>There are 1,103 new patients identified today. Case numbers continue to fall. Number of severe patients declined below 3,000. Restraint and measures give a result. We are determined to combat and save our country from the global epidemic. https://t.co/rvlhe7786o</v>
      </c>
    </row>
    <row r="1552" spans="1:5" ht="15.75" customHeight="1" x14ac:dyDescent="0.25">
      <c r="A1552" s="1" t="s">
        <v>3103</v>
      </c>
      <c r="B1552" s="1">
        <v>15304</v>
      </c>
      <c r="C1552" s="3">
        <v>44205.663657407407</v>
      </c>
      <c r="D1552" s="1" t="s">
        <v>3104</v>
      </c>
      <c r="E1552" s="4" t="str">
        <f ca="1">IFERROR(__xludf.DUMMYFUNCTION("GOOGLETRANSLATE(A1552 , ""tr"" , ""en"")"),"We close all the developments on gene treatment. In case of scientific effect of treatment, it will be commissioned in appropriate patients. We will also increase the number of centers where the nusinersen treatment used in the treatment of SMA disease is"&amp;" applied.")</f>
        <v>We close all the developments on gene treatment. In case of scientific effect of treatment, it will be commissioned in appropriate patients. We will also increase the number of centers where the nusinersen treatment used in the treatment of SMA disease is applied.</v>
      </c>
    </row>
    <row r="1553" spans="1:5" ht="15.75" customHeight="1" x14ac:dyDescent="0.25">
      <c r="A1553" s="1" t="s">
        <v>3105</v>
      </c>
      <c r="B1553" s="1">
        <v>7937</v>
      </c>
      <c r="C1553" s="3">
        <v>44205.659398148149</v>
      </c>
      <c r="D1553" s="1" t="s">
        <v>3106</v>
      </c>
      <c r="E1553" s="4" t="str">
        <f ca="1">IFERROR(__xludf.DUMMYFUNCTION("GOOGLETRANSLATE(A1553 , ""tr"" , ""en"")"),"The SMA patient has a significant meeting on the SMA science board of our children. Be sure to evaluate every way of the science to treat our children. The appropriate treatment in the appropriate patient will definitely be commissioned. https://t.co/fn9e"&amp;"eInmz0c")</f>
        <v>The SMA patient has a significant meeting on the SMA science board of our children. Be sure to evaluate every way of the science to treat our children. The appropriate treatment in the appropriate patient will definitely be commissioned. https://t.co/fn9eeInmz0c</v>
      </c>
    </row>
    <row r="1554" spans="1:5" ht="15.75" customHeight="1" x14ac:dyDescent="0.25">
      <c r="A1554" s="1" t="s">
        <v>3107</v>
      </c>
      <c r="B1554" s="1">
        <v>12316</v>
      </c>
      <c r="C1554" s="3">
        <v>44204.668842592589</v>
      </c>
      <c r="D1554" s="1" t="s">
        <v>3108</v>
      </c>
      <c r="E1554" s="4" t="str">
        <f ca="1">IFERROR(__xludf.DUMMYFUNCTION("GOOGLETRANSLATE(A1554 , ""tr"" , ""en"")"),"We have 1,291 new patients identified today. Our heavy patient count continues to decrease. Our hospital load is prominently diminishing. We have the decline in the number of cases permanently. Let's exactly obey the restraint and measures. We will be uni"&amp;"on. https://t.co/rvlhe7786o")</f>
        <v>We have 1,291 new patients identified today. Our heavy patient count continues to decrease. Our hospital load is prominently diminishing. We have the decline in the number of cases permanently. Let's exactly obey the restraint and measures. We will be union. https://t.co/rvlhe7786o</v>
      </c>
    </row>
    <row r="1555" spans="1:5" ht="15.75" customHeight="1" x14ac:dyDescent="0.25">
      <c r="A1555" s="1" t="s">
        <v>3109</v>
      </c>
      <c r="B1555" s="1">
        <v>3711</v>
      </c>
      <c r="C1555" s="3">
        <v>44204.619143518517</v>
      </c>
      <c r="D1555" s="1" t="s">
        <v>3110</v>
      </c>
      <c r="E1555" s="4" t="str">
        <f ca="1">IFERROR(__xludf.DUMMYFUNCTION("GOOGLETRANSLATE(A1555 , ""tr"" , ""en"")"),"By addressing the details on vaccine logistics planning, we reviewed our preparations to quickly implement all steps following the emergency use approval. We have to convert this period to an opportunity for a strong vaccination program. The most importan"&amp;"t agenda after that.")</f>
        <v>By addressing the details on vaccine logistics planning, we reviewed our preparations to quickly implement all steps following the emergency use approval. We have to convert this period to an opportunity for a strong vaccination program. The most important agenda after that.</v>
      </c>
    </row>
    <row r="1556" spans="1:5" ht="15.75" customHeight="1" x14ac:dyDescent="0.25">
      <c r="A1556" s="1" t="s">
        <v>3111</v>
      </c>
      <c r="B1556" s="1">
        <v>8205</v>
      </c>
      <c r="C1556" s="3">
        <v>44204.619143518517</v>
      </c>
      <c r="D1556" s="1" t="s">
        <v>3112</v>
      </c>
      <c r="E1556" s="4" t="str">
        <f ca="1">IFERROR(__xludf.DUMMYFUNCTION("GOOGLETRANSLATE(A1556 , ""tr"" , ""en"")"),"In Istanbul, Ankara, Izmir, and Bursa, we have discussed the situation and vaccine preparations with our Governors and provincial health managers. In the last two weeks in Istanbul and Izmir, 40% in Izmir had 40% decrease in Ankara and Bursa. https://t.co"&amp;"/ffnfsrrewn")</f>
        <v>In Istanbul, Ankara, Izmir, and Bursa, we have discussed the situation and vaccine preparations with our Governors and provincial health managers. In the last two weeks in Istanbul and Izmir, 40% in Izmir had 40% decrease in Ankara and Bursa. https://t.co/ffnfsrrewn</v>
      </c>
    </row>
    <row r="1557" spans="1:5" ht="15.75" customHeight="1" x14ac:dyDescent="0.25">
      <c r="A1557" s="1" t="s">
        <v>3113</v>
      </c>
      <c r="B1557" s="1">
        <v>3731</v>
      </c>
      <c r="C1557" s="3">
        <v>44203.88553240741</v>
      </c>
      <c r="D1557" s="1" t="s">
        <v>3114</v>
      </c>
      <c r="E1557" s="4" t="str">
        <f ca="1">IFERROR(__xludf.DUMMYFUNCTION("GOOGLETRANSLATE(A1557 , ""tr"" , ""en"")"),"A significant portion of the countries, which are parties, is trying to agree with one-to-one vaccine companies to reach the vaccine early. Our old treasure and fiscal ministers of not to be included in this program have nothing to do with Mr. Berat Albay"&amp;"rak.")</f>
        <v>A significant portion of the countries, which are parties, is trying to agree with one-to-one vaccine companies to reach the vaccine early. Our old treasure and fiscal ministers of not to be included in this program have nothing to do with Mr. Berat Albayrak.</v>
      </c>
    </row>
    <row r="1558" spans="1:5" ht="15.75" customHeight="1" x14ac:dyDescent="0.25">
      <c r="A1558" s="1" t="s">
        <v>3115</v>
      </c>
      <c r="B1558" s="1">
        <v>7477</v>
      </c>
      <c r="C1558" s="3">
        <v>44203.88553240741</v>
      </c>
      <c r="D1558" s="1" t="s">
        <v>3116</v>
      </c>
      <c r="E1558" s="4" t="str">
        <f ca="1">IFERROR(__xludf.DUMMYFUNCTION("GOOGLETRANSLATE(A1558 , ""tr"" , ""en"")"),"COVAX formation is primarily planned for countries without access to vaccine. It is still not clear in which it will deliver the vaccine. The party is planned to give up to at least 10% of the population of countries.")</f>
        <v>COVAX formation is primarily planned for countries without access to vaccine. It is still not clear in which it will deliver the vaccine. The party is planned to give up to at least 10% of the population of countries.</v>
      </c>
    </row>
    <row r="1559" spans="1:5" ht="15.75" customHeight="1" x14ac:dyDescent="0.25">
      <c r="A1559" s="1" t="s">
        <v>3117</v>
      </c>
      <c r="B1559" s="1">
        <v>14687</v>
      </c>
      <c r="C1559" s="3">
        <v>44203.874178240738</v>
      </c>
      <c r="D1559" s="1" t="s">
        <v>3118</v>
      </c>
      <c r="E1559" s="4" t="str">
        <f ca="1">IFERROR(__xludf.DUMMYFUNCTION("GOOGLETRANSLATE(A1559 , ""tr"" , ""en"")"),"Following the approval of the emergency use, we aim to vaccinate all our citizens over the 18 years of age and starting from the critical tasks. The logistics planning was organized to cover all our hospitals, especially family health centers.")</f>
        <v>Following the approval of the emergency use, we aim to vaccinate all our citizens over the 18 years of age and starting from the critical tasks. The logistics planning was organized to cover all our hospitals, especially family health centers.</v>
      </c>
    </row>
    <row r="1560" spans="1:5" ht="15.75" customHeight="1" x14ac:dyDescent="0.25">
      <c r="A1560" s="1" t="s">
        <v>3119</v>
      </c>
      <c r="B1560" s="1">
        <v>10416</v>
      </c>
      <c r="C1560" s="3">
        <v>44203.873854166668</v>
      </c>
      <c r="D1560" s="1" t="s">
        <v>3120</v>
      </c>
      <c r="E1560" s="4" t="str">
        <f ca="1">IFERROR(__xludf.DUMMYFUNCTION("GOOGLETRANSLATE(A1560 , ""tr"" , ""en"")"),"Security tests are ongoing for the vaccines we received. If the tests are completed, the emergency use approval will be given if the results are suitable. Up to now, over 10,000 volunteers have been applied 17,700 dose vaccines and the results are continu"&amp;"ed to follow.")</f>
        <v>Security tests are ongoing for the vaccines we received. If the tests are completed, the emergency use approval will be given if the results are suitable. Up to now, over 10,000 volunteers have been applied 17,700 dose vaccines and the results are continued to follow.</v>
      </c>
    </row>
    <row r="1561" spans="1:5" ht="15.75" customHeight="1" x14ac:dyDescent="0.25">
      <c r="A1561" s="1" t="s">
        <v>3121</v>
      </c>
      <c r="B1561" s="1">
        <v>6138</v>
      </c>
      <c r="C1561" s="3">
        <v>44203.869016203702</v>
      </c>
      <c r="D1561" s="1" t="s">
        <v>3122</v>
      </c>
      <c r="E1561" s="4" t="str">
        <f ca="1">IFERROR(__xludf.DUMMYFUNCTION("GOOGLETRANSLATE(A1561 , ""tr"" , ""en"")"),"We addressed the vaccination planning at the first science committee of 2021. Our plans are ready. Be sure to use our strength for the vaccination we hope to end the global release. https://t.co/YIKU4CSUSV")</f>
        <v>We addressed the vaccination planning at the first science committee of 2021. Our plans are ready. Be sure to use our strength for the vaccination we hope to end the global release. https://t.co/YIKU4CSUSV</v>
      </c>
    </row>
    <row r="1562" spans="1:5" ht="15.75" customHeight="1" x14ac:dyDescent="0.25">
      <c r="A1562" s="1" t="s">
        <v>3123</v>
      </c>
      <c r="B1562" s="1">
        <v>5201</v>
      </c>
      <c r="C1562" s="3">
        <v>44203.767511574071</v>
      </c>
      <c r="D1562" s="1" t="s">
        <v>3124</v>
      </c>
      <c r="E1562" s="4" t="str">
        <f ca="1">IFERROR(__xludf.DUMMYFUNCTION("GOOGLETRANSLATE(A1562 , ""tr"" , ""en"")"),"World Health Organization (WHO) European Regional Director We have made a call through the video conference with Hans Kluge. Case increases in the European area in the interview, coronavirus Mutation in Turkey, the current situation and vaccine studies in"&amp;" Turkey. https://t.co/ksbjmdpl4v")</f>
        <v>World Health Organization (WHO) European Regional Director We have made a call through the video conference with Hans Kluge. Case increases in the European area in the interview, coronavirus Mutation in Turkey, the current situation and vaccine studies in Turkey. https://t.co/ksbjmdpl4v</v>
      </c>
    </row>
    <row r="1563" spans="1:5" ht="15.75" customHeight="1" x14ac:dyDescent="0.25">
      <c r="A1563" s="1" t="s">
        <v>3125</v>
      </c>
      <c r="B1563" s="1">
        <v>6996</v>
      </c>
      <c r="C1563" s="3">
        <v>44203.75236111111</v>
      </c>
      <c r="D1563" s="1" t="s">
        <v>3126</v>
      </c>
      <c r="E1563" s="4" t="str">
        <f ca="1">IFERROR(__xludf.DUMMYFUNCTION("GOOGLETRANSLATE(A1563 , ""tr"" , ""en"")"),"Today, our Minister of Industry and Technology is met with Mr. Mustafa Varank and evaluated our vaccine candidates to the human experiments phase in our domestic vaccine projects. All the possibilities of our institutions have the best vaccinations to gai"&amp;"n our country. https://t.co/dujshovpyz")</f>
        <v>Today, our Minister of Industry and Technology is met with Mr. Mustafa Varank and evaluated our vaccine candidates to the human experiments phase in our domestic vaccine projects. All the possibilities of our institutions have the best vaccinations to gain our country. https://t.co/dujshovpyz</v>
      </c>
    </row>
    <row r="1564" spans="1:5" ht="15.75" customHeight="1" x14ac:dyDescent="0.25">
      <c r="A1564" s="1" t="s">
        <v>3127</v>
      </c>
      <c r="B1564" s="1">
        <v>15285</v>
      </c>
      <c r="C1564" s="3">
        <v>44203.701886574076</v>
      </c>
      <c r="D1564" s="1" t="s">
        <v>3128</v>
      </c>
      <c r="E1564" s="4" t="str">
        <f ca="1">IFERROR(__xludf.DUMMYFUNCTION("GOOGLETRANSLATE(A1564 , ""tr"" , ""en"")"),"Professor Dr. We addressed the latest planning of BionTech vaccine with Uğur Sahin and his team. We also interpret how we can increase the number of vaccine doses allotted in our meeting. New production opportunities will increase in Turkey as it is commi"&amp;"ssioned. https://t.co/dzzttous0e")</f>
        <v>Professor Dr. We addressed the latest planning of BionTech vaccine with Uğur Sahin and his team. We also interpret how we can increase the number of vaccine doses allotted in our meeting. New production opportunities will increase in Turkey as it is commissioned. https://t.co/dzzttous0e</v>
      </c>
    </row>
    <row r="1565" spans="1:5" ht="15.75" customHeight="1" x14ac:dyDescent="0.25">
      <c r="A1565" s="1" t="s">
        <v>3129</v>
      </c>
      <c r="B1565" s="1">
        <v>10098</v>
      </c>
      <c r="C1565" s="3">
        <v>44203.682395833333</v>
      </c>
      <c r="D1565" s="1" t="s">
        <v>3130</v>
      </c>
      <c r="E1565" s="4" t="str">
        <f ca="1">IFERROR(__xludf.DUMMYFUNCTION("GOOGLETRANSLATE(A1565 , ""tr"" , ""en"")"),"We have 1,370 new patients identified today. Our severe patient number is running out every day. The limited increase in our active case is observed. Restraint and measures continue to give a result. We will win if we struggle by complying with restraint "&amp;"and measures. https://t.co/rvlhe7786o")</f>
        <v>We have 1,370 new patients identified today. Our severe patient number is running out every day. The limited increase in our active case is observed. Restraint and measures continue to give a result. We will win if we struggle by complying with restraint and measures. https://t.co/rvlhe7786o</v>
      </c>
    </row>
    <row r="1566" spans="1:5" ht="15.75" customHeight="1" x14ac:dyDescent="0.25">
      <c r="A1566" s="1" t="s">
        <v>3131</v>
      </c>
      <c r="B1566" s="1">
        <v>8967</v>
      </c>
      <c r="C1566" s="3">
        <v>44202.950671296298</v>
      </c>
      <c r="D1566" s="1" t="s">
        <v>3132</v>
      </c>
      <c r="E1566" s="4" t="str">
        <f ca="1">IFERROR(__xludf.DUMMYFUNCTION("GOOGLETRANSLATE(A1566 , ""tr"" , ""en"")"),"Our President of the Recep Tayyip Erdogan and Albania Prime Minister Rama prime; We have signed the cooperation agreement between the two countries in the field of health and signed in conjunction with the Minister of Health and Social Protection Ogerta. "&amp;"Congratulations. https://t.co/aIzhdjd6lv")</f>
        <v>Our President of the Recep Tayyip Erdogan and Albania Prime Minister Rama prime; We have signed the cooperation agreement between the two countries in the field of health and signed in conjunction with the Minister of Health and Social Protection Ogerta. Congratulations. https://t.co/aIzhdjd6lv</v>
      </c>
    </row>
    <row r="1567" spans="1:5" ht="15.75" customHeight="1" x14ac:dyDescent="0.25">
      <c r="A1567" s="1" t="s">
        <v>3133</v>
      </c>
      <c r="B1567" s="1">
        <v>12780</v>
      </c>
      <c r="C1567" s="3">
        <v>44202.68545138889</v>
      </c>
      <c r="D1567" s="1" t="s">
        <v>3134</v>
      </c>
      <c r="E1567" s="4" t="str">
        <f ca="1">IFERROR(__xludf.DUMMYFUNCTION("GOOGLETRANSLATE(A1567 , ""tr"" , ""en"")"),"We have 1,458 new patients identified today. Our active case count is still static. Our severe patient count is rejoicing to a decrease. The number of losses has a tendency to decrease. Together measure and we will win with combat. https://t.co/rvlhe7786o")</f>
        <v>We have 1,458 new patients identified today. Our active case count is still static. Our severe patient count is rejoicing to a decrease. The number of losses has a tendency to decrease. Together measure and we will win with combat. https://t.co/rvlhe7786o</v>
      </c>
    </row>
    <row r="1568" spans="1:5" ht="15.75" customHeight="1" x14ac:dyDescent="0.25">
      <c r="A1568" s="1" t="s">
        <v>3135</v>
      </c>
      <c r="B1568" s="1">
        <v>0</v>
      </c>
      <c r="C1568" s="3">
        <v>44202.67454861111</v>
      </c>
      <c r="D1568" s="1" t="s">
        <v>3136</v>
      </c>
      <c r="E1568" s="4" t="str">
        <f ca="1">IFERROR(__xludf.DUMMYFUNCTION("GOOGLETRANSLATE(A1568 , ""tr"" , ""en"")"),"RT @rterdogan: Common press conference with Albanian Prime Minister Edi Rama
Declarate Per Mediating SE Bashku Me Kryeministrin e Shqiperise Z. Ed ...")</f>
        <v>RT @rterdogan: Common press conference with Albanian Prime Minister Edi Rama
Declarate Per Mediating SE Bashku Me Kryeministrin e Shqiperise Z. Ed ...</v>
      </c>
    </row>
    <row r="1569" spans="1:5" ht="15.75" customHeight="1" x14ac:dyDescent="0.25">
      <c r="A1569" s="1" t="s">
        <v>3137</v>
      </c>
      <c r="B1569" s="1">
        <v>21428</v>
      </c>
      <c r="C1569" s="3">
        <v>44202.293530092589</v>
      </c>
      <c r="D1569" s="1" t="s">
        <v>3138</v>
      </c>
      <c r="E1569" s="4" t="str">
        <f ca="1">IFERROR(__xludf.DUMMYFUNCTION("GOOGLETRANSLATE(A1569 , ""tr"" , ""en"")"),"The 'Dirty' direction of the SMA campaign is that some global companies abuse our man's good intentions. All the efforts of acting with sincere feelings are innocent. Each treatment that our SMA science assembly is appropriate, is applied to each suitable"&amp;" patient. The subject is not fiscal, human.")</f>
        <v>The 'Dirty' direction of the SMA campaign is that some global companies abuse our man's good intentions. All the efforts of acting with sincere feelings are innocent. Each treatment that our SMA science assembly is appropriate, is applied to each suitable patient. The subject is not fiscal, human.</v>
      </c>
    </row>
    <row r="1570" spans="1:5" ht="15.75" customHeight="1" x14ac:dyDescent="0.25">
      <c r="A1570" s="1" t="s">
        <v>3139</v>
      </c>
      <c r="B1570" s="1">
        <v>24233</v>
      </c>
      <c r="C1570" s="3">
        <v>44201.891423611109</v>
      </c>
      <c r="D1570" s="1" t="s">
        <v>3140</v>
      </c>
      <c r="E1570" s="4" t="str">
        <f ca="1">IFERROR(__xludf.DUMMYFUNCTION("GOOGLETRANSLATE(A1570 , ""tr"" , ""en"")"),"A vaccine candidate is in the phase II stage, our 6-vaccine candidates came to the phase I study. All of our facilities were mobilized to give us the best vaccination. We will achieve the effort of our people from science and our scientists.")</f>
        <v>A vaccine candidate is in the phase II stage, our 6-vaccine candidates came to the phase I study. All of our facilities were mobilized to give us the best vaccination. We will achieve the effort of our people from science and our scientists.</v>
      </c>
    </row>
    <row r="1571" spans="1:5" ht="15.75" customHeight="1" x14ac:dyDescent="0.25">
      <c r="A1571" s="1" t="s">
        <v>3141</v>
      </c>
      <c r="B1571" s="1">
        <v>8288</v>
      </c>
      <c r="C1571" s="3">
        <v>44201.873043981483</v>
      </c>
      <c r="D1571" s="1" t="s">
        <v>3142</v>
      </c>
      <c r="E1571" s="4" t="str">
        <f ca="1">IFERROR(__xludf.DUMMYFUNCTION("GOOGLETRANSLATE(A1571 , ""tr"" , ""en"")"),"We made a meeting on the continuing vaccination studies in our country. The scientific and technical infrastructure of our country, believe that our scientists and efforts will give us the best vaccinations to us. https://t.co/fobzeevnpq")</f>
        <v>We made a meeting on the continuing vaccination studies in our country. The scientific and technical infrastructure of our country, believe that our scientists and efforts will give us the best vaccinations to us. https://t.co/fobzeevnpq</v>
      </c>
    </row>
    <row r="1572" spans="1:5" ht="15.75" customHeight="1" x14ac:dyDescent="0.25">
      <c r="A1572" s="1" t="s">
        <v>3143</v>
      </c>
      <c r="B1572" s="1">
        <v>24221</v>
      </c>
      <c r="C1572" s="3">
        <v>44201.813969907409</v>
      </c>
      <c r="D1572" s="1" t="s">
        <v>3144</v>
      </c>
      <c r="E1572" s="4" t="str">
        <f ca="1">IFERROR(__xludf.DUMMYFUNCTION("GOOGLETRANSLATE(A1572 , ""tr"" , ""en"")"),"The sacrificing the heart of the homeland is awarded the supreme hearts that hit the heart for the homeland. Our sacrificing health workers are also the kind of values ​​we lost in the fight against terrorism. I'm giving up the Fethi Sekin, who gave up ou"&amp;"r own to protect us, and gratefully.")</f>
        <v>The sacrificing the heart of the homeland is awarded the supreme hearts that hit the heart for the homeland. Our sacrificing health workers are also the kind of values ​​we lost in the fight against terrorism. I'm giving up the Fethi Sekin, who gave up our own to protect us, and gratefully.</v>
      </c>
    </row>
    <row r="1573" spans="1:5" ht="15.75" customHeight="1" x14ac:dyDescent="0.25">
      <c r="A1573" s="1" t="s">
        <v>3145</v>
      </c>
      <c r="B1573" s="1">
        <v>12986</v>
      </c>
      <c r="C1573" s="3">
        <v>44201.680972222224</v>
      </c>
      <c r="D1573" s="1" t="s">
        <v>3146</v>
      </c>
      <c r="E1573" s="4" t="str">
        <f ca="1">IFERROR(__xludf.DUMMYFUNCTION("GOOGLETRANSLATE(A1573 , ""tr"" , ""en"")"),"We have 1,477 new patients identified today. Our heavy patient count continues to decrease. Our losses tend to decrease due to the reduction in the number of severe patients. We have to struggle together and continuously to get results. https://t.co/rvlhe"&amp;"7786o")</f>
        <v>We have 1,477 new patients identified today. Our heavy patient count continues to decrease. Our losses tend to decrease due to the reduction in the number of severe patients. We have to struggle together and continuously to get results. https://t.co/rvlhe7786o</v>
      </c>
    </row>
    <row r="1574" spans="1:5" ht="15.75" customHeight="1" x14ac:dyDescent="0.25">
      <c r="A1574" s="1" t="s">
        <v>3147</v>
      </c>
      <c r="B1574" s="1">
        <v>15006</v>
      </c>
      <c r="C1574" s="3">
        <v>44200.684861111113</v>
      </c>
      <c r="D1574" s="1" t="s">
        <v>3148</v>
      </c>
      <c r="E1574" s="4" t="str">
        <f ca="1">IFERROR(__xludf.DUMMYFUNCTION("GOOGLETRANSLATE(A1574 , ""tr"" , ""en"")"),"We have 1,508 new patients identified today. Our severe patient count continues to fall. We have to make the gains we obtained with restraint and measures. We are strong if we move together. https://t.co/rvlhe7786o")</f>
        <v>We have 1,508 new patients identified today. Our severe patient count continues to fall. We have to make the gains we obtained with restraint and measures. We are strong if we move together. https://t.co/rvlhe7786o</v>
      </c>
    </row>
    <row r="1575" spans="1:5" ht="15.75" customHeight="1" x14ac:dyDescent="0.25">
      <c r="A1575" s="1" t="s">
        <v>3149</v>
      </c>
      <c r="B1575" s="1">
        <v>52138</v>
      </c>
      <c r="C1575" s="3">
        <v>44199.806608796294</v>
      </c>
      <c r="D1575" s="1" t="s">
        <v>3150</v>
      </c>
      <c r="E1575" s="4" t="str">
        <f ca="1">IFERROR(__xludf.DUMMYFUNCTION("GOOGLETRANSLATE(A1575 , ""tr"" , ""en"")"),"With the pressure of drug companies, we will not allow our children as guinea pigs. In our country, SMA disease is not visible, all of our patients are treated until we are treated. https://t.co/qao1xc6ghm")</f>
        <v>With the pressure of drug companies, we will not allow our children as guinea pigs. In our country, SMA disease is not visible, all of our patients are treated until we are treated. https://t.co/qao1xc6ghm</v>
      </c>
    </row>
    <row r="1576" spans="1:5" ht="15.75" customHeight="1" x14ac:dyDescent="0.25">
      <c r="A1576" s="1" t="s">
        <v>3151</v>
      </c>
      <c r="B1576" s="1">
        <v>18634</v>
      </c>
      <c r="C1576" s="3">
        <v>44199.672766203701</v>
      </c>
      <c r="D1576" s="1" t="s">
        <v>3152</v>
      </c>
      <c r="E1576" s="4" t="str">
        <f ca="1">IFERROR(__xludf.DUMMYFUNCTION("GOOGLETRANSLATE(A1576 , ""tr"" , ""en"")"),"We have 1,515 new patients identified today. After a long break, the number of cases landed below 10,000. Depending on the decline in restrictions and test demand, the case numbers are more than expected to make it permanent. We are strong together. https"&amp;"://t.co/rvlhe7786o")</f>
        <v>We have 1,515 new patients identified today. After a long break, the number of cases landed below 10,000. Depending on the decline in restrictions and test demand, the case numbers are more than expected to make it permanent. We are strong together. https://t.co/rvlhe7786o</v>
      </c>
    </row>
    <row r="1577" spans="1:5" ht="15.75" customHeight="1" x14ac:dyDescent="0.25">
      <c r="A1577" s="1" t="s">
        <v>3153</v>
      </c>
      <c r="B1577" s="1">
        <v>14865</v>
      </c>
      <c r="C1577" s="3">
        <v>44199.578240740739</v>
      </c>
      <c r="D1577" s="1" t="s">
        <v>3154</v>
      </c>
      <c r="E1577" s="4" t="str">
        <f ca="1">IFERROR(__xludf.DUMMYFUNCTION("GOOGLETRANSLATE(A1577 , ""tr"" , ""en"")"),"We cannot stop the flow of time. We can slow down and stop the propagation of the disease. Thank you to all our citizens that fits patiently to restraint and measures. https://t.co/lqbno8uxhr")</f>
        <v>We cannot stop the flow of time. We can slow down and stop the propagation of the disease. Thank you to all our citizens that fits patiently to restraint and measures. https://t.co/lqbno8uxhr</v>
      </c>
    </row>
    <row r="1578" spans="1:5" ht="15.75" customHeight="1" x14ac:dyDescent="0.25">
      <c r="A1578" s="1" t="s">
        <v>3155</v>
      </c>
      <c r="B1578" s="1">
        <v>9804</v>
      </c>
      <c r="C1578" s="3">
        <v>44198.754814814813</v>
      </c>
      <c r="D1578" s="1" t="s">
        <v>3156</v>
      </c>
      <c r="E1578" s="4" t="str">
        <f ca="1">IFERROR(__xludf.DUMMYFUNCTION("GOOGLETRANSLATE(A1578 , ""tr"" , ""en"")"),"Every breath we received is very precious. Let's put your distance from old normals today to protect our breath. Let's compromise from measures. https://t.co/Iaefzencd7")</f>
        <v>Every breath we received is very precious. Let's put your distance from old normals today to protect our breath. Let's compromise from measures. https://t.co/Iaefzencd7</v>
      </c>
    </row>
    <row r="1579" spans="1:5" ht="15.75" customHeight="1" x14ac:dyDescent="0.25">
      <c r="A1579" s="1" t="s">
        <v>3157</v>
      </c>
      <c r="B1579" s="1">
        <v>13616</v>
      </c>
      <c r="C1579" s="3">
        <v>44198.69971064815</v>
      </c>
      <c r="D1579" s="1" t="s">
        <v>3158</v>
      </c>
      <c r="E1579" s="4" t="str">
        <f ca="1">IFERROR(__xludf.DUMMYFUNCTION("GOOGLETRANSLATE(A1579 , ""tr"" , ""en"")"),"Let's take our measure of sadness without stealing our door. https://t.co/7rtxzvsvch")</f>
        <v>Let's take our measure of sadness without stealing our door. https://t.co/7rtxzvsvch</v>
      </c>
    </row>
    <row r="1580" spans="1:5" ht="15.75" customHeight="1" x14ac:dyDescent="0.25">
      <c r="A1580" s="1" t="s">
        <v>3159</v>
      </c>
      <c r="B1580" s="1">
        <v>13495</v>
      </c>
      <c r="C1580" s="3">
        <v>44198.667534722219</v>
      </c>
      <c r="D1580" s="1" t="s">
        <v>3160</v>
      </c>
      <c r="E1580" s="4" t="str">
        <f ca="1">IFERROR(__xludf.DUMMYFUNCTION("GOOGLETRANSLATE(A1580 , ""tr"" , ""en"")"),"We have 1,713 new patients identified today. The severe patient is the decline in our number. Our greatest expectation for further reduction of our losses. We have to obey the measures until you succeed in the vaccination program successfully. We are stro"&amp;"ng if we move together. https://t.co/rvlhe7786o")</f>
        <v>We have 1,713 new patients identified today. The severe patient is the decline in our number. Our greatest expectation for further reduction of our losses. We have to obey the measures until you succeed in the vaccination program successfully. We are strong if we move together. https://t.co/rvlhe7786o</v>
      </c>
    </row>
    <row r="1581" spans="1:5" ht="15.75" customHeight="1" x14ac:dyDescent="0.25">
      <c r="A1581" s="1" t="s">
        <v>3161</v>
      </c>
      <c r="B1581" s="1">
        <v>10912</v>
      </c>
      <c r="C1581" s="3">
        <v>44198.522777777776</v>
      </c>
      <c r="D1581" s="1" t="s">
        <v>3162</v>
      </c>
      <c r="E1581" s="4" t="str">
        <f ca="1">IFERROR(__xludf.DUMMYFUNCTION("GOOGLETRANSLATE(A1581 , ""tr"" , ""en"")"),"The number of citizens who lost their life in the terrorist attack in Somalia rose to 2. We continue in our hospital of Mogadishu Recep Tayyip Erdoğan to the treatment of the Turkish 14 people. Our wounded citizens have no vital danger. I strongly condemn"&amp;" the attack.")</f>
        <v>The number of citizens who lost their life in the terrorist attack in Somalia rose to 2. We continue in our hospital of Mogadishu Recep Tayyip Erdoğan to the treatment of the Turkish 14 people. Our wounded citizens have no vital danger. I strongly condemn the attack.</v>
      </c>
    </row>
    <row r="1582" spans="1:5" ht="15.75" customHeight="1" x14ac:dyDescent="0.25">
      <c r="A1582" s="1" t="s">
        <v>3163</v>
      </c>
      <c r="B1582" s="1">
        <v>16855</v>
      </c>
      <c r="C1582" s="3">
        <v>44198.380196759259</v>
      </c>
      <c r="D1582" s="1" t="s">
        <v>3164</v>
      </c>
      <c r="E1582" s="4" t="str">
        <f ca="1">IFERROR(__xludf.DUMMYFUNCTION("GOOGLETRANSLATE(A1582 , ""tr"" , ""en"")"),"Professor Dr. Murat Dilmener and Professor Dr. Feriha Self Emergency We received each of our hospitals as 1008 rooms and a single bed. To date, he has served 235 thousand patients. We also have the answer to give to bed. We are in the service of our natio"&amp;"n. https://t.co/9qzadpjwpj")</f>
        <v>Professor Dr. Murat Dilmener and Professor Dr. Feriha Self Emergency We received each of our hospitals as 1008 rooms and a single bed. To date, he has served 235 thousand patients. We also have the answer to give to bed. We are in the service of our nation. https://t.co/9qzadpjwpj</v>
      </c>
    </row>
    <row r="1583" spans="1:5" ht="15.75" customHeight="1" x14ac:dyDescent="0.25">
      <c r="A1583" s="1" t="s">
        <v>3165</v>
      </c>
      <c r="B1583" s="1">
        <v>11354</v>
      </c>
      <c r="C1583" s="3">
        <v>44197.928599537037</v>
      </c>
      <c r="D1583" s="1" t="s">
        <v>3166</v>
      </c>
      <c r="E1583" s="4" t="str">
        <f ca="1">IFERROR(__xludf.DUMMYFUNCTION("GOOGLETRANSLATE(A1583 , ""tr"" , ""en"")"),"State Old Minister TEOMAN RIZA GÜNERİ GÜNERİ LEARNING OUR SHIPPING MEHEREMY DAY, I have learned that the National Opinion movement has received the Symbol names of Ali Genterian gentlemen Rank-i Rahman. The case was human, withaw.")</f>
        <v>State Old Minister TEOMAN RIZA GÜNERİ GÜNERİ LEARNING OUR SHIPPING MEHEREMY DAY, I have learned that the National Opinion movement has received the Symbol names of Ali Genterian gentlemen Rank-i Rahman. The case was human, withaw.</v>
      </c>
    </row>
    <row r="1584" spans="1:5" ht="15.75" customHeight="1" x14ac:dyDescent="0.25">
      <c r="A1584" s="1" t="s">
        <v>3167</v>
      </c>
      <c r="B1584" s="1">
        <v>25659</v>
      </c>
      <c r="C1584" s="3">
        <v>44197.709837962961</v>
      </c>
      <c r="D1584" s="1" t="s">
        <v>3168</v>
      </c>
      <c r="E1584" s="4" t="str">
        <f ca="1">IFERROR(__xludf.DUMMYFUNCTION("GOOGLETRANSLATE(A1584 , ""tr"" , ""en"")"),"In the reviews of the UK-welded mutation, 15 mutated viruses were detected and controlled in 15 people who are introduced from this country. Introductions from the UK are temporarily completely stopped. https://t.co/vljxs784bg")</f>
        <v>In the reviews of the UK-welded mutation, 15 mutated viruses were detected and controlled in 15 people who are introduced from this country. Introductions from the UK are temporarily completely stopped. https://t.co/vljxs784bg</v>
      </c>
    </row>
    <row r="1585" spans="1:5" ht="15.75" customHeight="1" x14ac:dyDescent="0.25">
      <c r="A1585" s="1" t="s">
        <v>3169</v>
      </c>
      <c r="B1585" s="1">
        <v>12717</v>
      </c>
      <c r="C1585" s="3">
        <v>44197.687210648146</v>
      </c>
      <c r="D1585" s="1" t="s">
        <v>3170</v>
      </c>
      <c r="E1585" s="4" t="str">
        <f ca="1">IFERROR(__xludf.DUMMYFUNCTION("GOOGLETRANSLATE(A1585 , ""tr"" , ""en"")"),"We have 1,908 patients identified today. The number of active cases, the number of severe patients continues to fall. The tendency to fall in our losses began. Our losses will be reduced depending on the decrease in the number of severe patients. I believ"&amp;"e the disruptive effect of the epidemic will decrease. https://t.co/rvlhe7786o")</f>
        <v>We have 1,908 patients identified today. The number of active cases, the number of severe patients continues to fall. The tendency to fall in our losses began. Our losses will be reduced depending on the decrease in the number of severe patients. I believe the disruptive effect of the epidemic will decrease. https://t.co/rvlhe7786o</v>
      </c>
    </row>
    <row r="1586" spans="1:5" ht="15.75" customHeight="1" x14ac:dyDescent="0.25">
      <c r="A1586" s="1" t="s">
        <v>3171</v>
      </c>
      <c r="B1586" s="1">
        <v>8432</v>
      </c>
      <c r="C1586" s="3">
        <v>44196.996157407404</v>
      </c>
      <c r="D1586" s="1" t="s">
        <v>3172</v>
      </c>
      <c r="E1586" s="4" t="str">
        <f ca="1">IFERROR(__xludf.DUMMYFUNCTION("GOOGLETRANSLATE(A1586 , ""tr"" , ""en"")"),"The name is Islands. In the new year, Pine and Sakura city came to the world in our hospital. The mother is also very healthy. We have partnered with the video call method to the joy of the family. I'm married and wish her family a healthy life. https://t"&amp;".co/rk7dpfq55h")</f>
        <v>The name is Islands. In the new year, Pine and Sakura city came to the world in our hospital. The mother is also very healthy. We have partnered with the video call method to the joy of the family. I'm married and wish her family a healthy life. https://t.co/rk7dpfq55h</v>
      </c>
    </row>
    <row r="1587" spans="1:5" ht="15.75" customHeight="1" x14ac:dyDescent="0.25">
      <c r="A1587" s="1" t="s">
        <v>3173</v>
      </c>
      <c r="B1587" s="1">
        <v>12086</v>
      </c>
      <c r="C1587" s="3">
        <v>44196.940324074072</v>
      </c>
      <c r="D1587" s="1" t="s">
        <v>3174</v>
      </c>
      <c r="E1587" s="4" t="str">
        <f ca="1">IFERROR(__xludf.DUMMYFUNCTION("GOOGLETRANSLATE(A1587 , ""tr"" , ""en"")"),"In the New Year Istanbul European Side Command Control Center, we have met our tasks with our working friends. The effort of our health workers will be the year that finished 2021 epidemics with our nation's support. ""Health Workers' Year"" will pass on "&amp;"history as their success. https://t.co/nb0ermswps")</f>
        <v>In the New Year Istanbul European Side Command Control Center, we have met our tasks with our working friends. The effort of our health workers will be the year that finished 2021 epidemics with our nation's support. "Health Workers' Year" will pass on history as their success. https://t.co/nb0ermswps</v>
      </c>
    </row>
    <row r="1588" spans="1:5" ht="15.75" customHeight="1" x14ac:dyDescent="0.25">
      <c r="A1588" s="1" t="s">
        <v>3175</v>
      </c>
      <c r="B1588" s="1">
        <v>17599</v>
      </c>
      <c r="C1588" s="3">
        <v>44196.762407407405</v>
      </c>
      <c r="D1588" s="1" t="s">
        <v>3176</v>
      </c>
      <c r="E1588" s="4" t="str">
        <f ca="1">IFERROR(__xludf.DUMMYFUNCTION("GOOGLETRANSLATE(A1588 , ""tr"" , ""en"")"),"The coronavirus disease gave its name 2019. But he pluck 2020 years of social and economic life. 2021 was agreed to ""Health Workers Year"" with our offer all over the world.
Don't forget! After every night one morning, there is a width after every stenos"&amp;"is. https://t.co/r5paenjsnv")</f>
        <v>The coronavirus disease gave its name 2019. But he pluck 2020 years of social and economic life. 2021 was agreed to "Health Workers Year" with our offer all over the world.
Don't forget! After every night one morning, there is a width after every stenosis. https://t.co/r5paenjsnv</v>
      </c>
    </row>
    <row r="1589" spans="1:5" ht="15.75" customHeight="1" x14ac:dyDescent="0.25">
      <c r="A1589" s="1" t="s">
        <v>3177</v>
      </c>
      <c r="B1589" s="1">
        <v>11032</v>
      </c>
      <c r="C1589" s="3">
        <v>44196.684444444443</v>
      </c>
      <c r="D1589" s="1" t="s">
        <v>3178</v>
      </c>
      <c r="E1589" s="4" t="str">
        <f ca="1">IFERROR(__xludf.DUMMYFUNCTION("GOOGLETRANSLATE(A1589 , ""tr"" , ""en"")"),"We have 2,219 new patients identified today. We expect the decline in the number of our losses to be permanent and continuous. Our severe patient numbers landed at the bottom of 4,000. By moving planned and cautious, we will be successful in accord with t"&amp;"he restrictions. https://t.co/rvlhe7786o")</f>
        <v>We have 2,219 new patients identified today. We expect the decline in the number of our losses to be permanent and continuous. Our severe patient numbers landed at the bottom of 4,000. By moving planned and cautious, we will be successful in accord with the restrictions. https://t.co/rvlhe7786o</v>
      </c>
    </row>
    <row r="1590" spans="1:5" ht="15.75" customHeight="1" x14ac:dyDescent="0.25">
      <c r="A1590" s="1" t="s">
        <v>3179</v>
      </c>
      <c r="B1590" s="1">
        <v>9871</v>
      </c>
      <c r="C1590" s="3">
        <v>44195.760763888888</v>
      </c>
      <c r="D1590" s="1" t="s">
        <v>3180</v>
      </c>
      <c r="E1590" s="4" t="str">
        <f ca="1">IFERROR(__xludf.DUMMYFUNCTION("GOOGLETRANSLATE(A1590 , ""tr"" , ""en"")"),"The vaccine will be distributed in accordance with the risk management strategy and the results will be shared instant and alive. In accordance with the strategy determined by our Science Board, it will be applied in two doses of 28 days. https://t.co/usi"&amp;"5lqqelh")</f>
        <v>The vaccine will be distributed in accordance with the risk management strategy and the results will be shared instant and alive. In accordance with the strategy determined by our Science Board, it will be applied in two doses of 28 days. https://t.co/usi5lqqelh</v>
      </c>
    </row>
    <row r="1591" spans="1:5" ht="15.75" customHeight="1" x14ac:dyDescent="0.25">
      <c r="A1591" s="1" t="s">
        <v>3181</v>
      </c>
      <c r="B1591" s="1">
        <v>11848</v>
      </c>
      <c r="C1591" s="3">
        <v>44195.687094907407</v>
      </c>
      <c r="D1591" s="1" t="s">
        <v>3182</v>
      </c>
      <c r="E1591" s="4" t="str">
        <f ca="1">IFERROR(__xludf.DUMMYFUNCTION("GOOGLETRANSLATE(A1591 , ""tr"" , ""en"")"),"We have 2,612 new patients identified today. Our patient numbers in severe patients and intensive care continues to fall. I hope to see the reflection of this situation in the near future. Beats the fighting virus together. https://t.co/rvlhe7786o")</f>
        <v>We have 2,612 new patients identified today. Our patient numbers in severe patients and intensive care continues to fall. I hope to see the reflection of this situation in the near future. Beats the fighting virus together. https://t.co/rvlhe7786o</v>
      </c>
    </row>
    <row r="1592" spans="1:5" ht="15.75" customHeight="1" x14ac:dyDescent="0.25">
      <c r="A1592" s="1" t="s">
        <v>3183</v>
      </c>
      <c r="B1592" s="1">
        <v>24517</v>
      </c>
      <c r="C1592" s="3">
        <v>44195.114571759259</v>
      </c>
      <c r="D1592" s="1" t="s">
        <v>3184</v>
      </c>
      <c r="E1592" s="4" t="str">
        <f ca="1">IFERROR(__xludf.DUMMYFUNCTION("GOOGLETRANSLATE(A1592 , ""tr"" , ""en"")"),"The plane bringing our vaccines reached our airport. 14 days will take tests immediately Turkey's medicine and medical device will start in our institution. If the tests do not end, our vaccination program will take place in public health GM coordination."&amp;" We will achieve together.")</f>
        <v>The plane bringing our vaccines reached our airport. 14 days will take tests immediately Turkey's medicine and medical device will start in our institution. If the tests do not end, our vaccination program will take place in public health GM coordination. We will achieve together.</v>
      </c>
    </row>
    <row r="1593" spans="1:5" ht="15.75" customHeight="1" x14ac:dyDescent="0.25">
      <c r="A1593" s="1" t="s">
        <v>3185</v>
      </c>
      <c r="B1593" s="1">
        <v>41947</v>
      </c>
      <c r="C1593" s="3">
        <v>44194.964583333334</v>
      </c>
      <c r="D1593" s="1" t="s">
        <v>3186</v>
      </c>
      <c r="E1593" s="4" t="str">
        <f ca="1">IFERROR(__xludf.DUMMYFUNCTION("GOOGLETRANSLATE(A1593 , ""tr"" , ""en"")"),"Hope it is today as the widths that stenosis ends. The aircraft belonging to the Turkish Airlines carrying our vaccines is expected to reach our Esenboğa Airport in 05.30 this morning.")</f>
        <v>Hope it is today as the widths that stenosis ends. The aircraft belonging to the Turkish Airlines carrying our vaccines is expected to reach our Esenboğa Airport in 05.30 this morning.</v>
      </c>
    </row>
    <row r="1594" spans="1:5" ht="15.75" customHeight="1" x14ac:dyDescent="0.25">
      <c r="A1594" s="1" t="s">
        <v>3187</v>
      </c>
      <c r="B1594" s="1">
        <v>10183</v>
      </c>
      <c r="C1594" s="3">
        <v>44194.937094907407</v>
      </c>
      <c r="D1594" s="1" t="s">
        <v>3188</v>
      </c>
      <c r="E1594" s="4" t="str">
        <f ca="1">IFERROR(__xludf.DUMMYFUNCTION("GOOGLETRANSLATE(A1594 , ""tr"" , ""en"")"),"Our disclosure on allegations that are used in the vaccine supply, our disclosure is added. Our nation is the owner of the irfan. He sees truth and have it. https://t.co/ocz0erdgqc")</f>
        <v>Our disclosure on allegations that are used in the vaccine supply, our disclosure is added. Our nation is the owner of the irfan. He sees truth and have it. https://t.co/ocz0erdgqc</v>
      </c>
    </row>
    <row r="1595" spans="1:5" ht="15.75" customHeight="1" x14ac:dyDescent="0.25">
      <c r="A1595" s="1" t="s">
        <v>3189</v>
      </c>
      <c r="B1595" s="1">
        <v>25885</v>
      </c>
      <c r="C1595" s="3">
        <v>44194.712905092594</v>
      </c>
      <c r="D1595" s="1" t="s">
        <v>3190</v>
      </c>
      <c r="E1595" s="4" t="str">
        <f ca="1">IFERROR(__xludf.DUMMYFUNCTION("GOOGLETRANSLATE(A1595 , ""tr"" , ""en"")"),"The airplane that brings the first part of our inactive vaccines in 19.50 in 19.50 were aired from Beijing airport. We expect to be here tomorrow morning. We will continue to report the developments.")</f>
        <v>The airplane that brings the first part of our inactive vaccines in 19.50 in 19.50 were aired from Beijing airport. We expect to be here tomorrow morning. We will continue to report the developments.</v>
      </c>
    </row>
    <row r="1596" spans="1:5" ht="15.75" customHeight="1" x14ac:dyDescent="0.25">
      <c r="A1596" s="1" t="s">
        <v>3191</v>
      </c>
      <c r="B1596" s="1">
        <v>11098</v>
      </c>
      <c r="C1596" s="3">
        <v>44194.673402777778</v>
      </c>
      <c r="D1596" s="1" t="s">
        <v>3192</v>
      </c>
      <c r="E1596" s="4" t="str">
        <f ca="1">IFERROR(__xludf.DUMMYFUNCTION("GOOGLETRANSLATE(A1596 , ""tr"" , ""en"")"),"We have 2,783 new patients identified today. The decline in the number of active cases continues. While slowing down in the speed of decline, our severe patient count continues to fall. Restrictions give results. We must obey the measures patiently until "&amp;"the result is as well as the result. https://t.co/rvlhe7786o")</f>
        <v>We have 2,783 new patients identified today. The decline in the number of active cases continues. While slowing down in the speed of decline, our severe patient count continues to fall. Restrictions give results. We must obey the measures patiently until the result is as well as the result. https://t.co/rvlhe7786o</v>
      </c>
    </row>
    <row r="1597" spans="1:5" ht="15.75" customHeight="1" x14ac:dyDescent="0.25">
      <c r="A1597" s="1" t="s">
        <v>3193</v>
      </c>
      <c r="B1597" s="1">
        <v>8541</v>
      </c>
      <c r="C1597" s="3">
        <v>44193.775625000002</v>
      </c>
      <c r="D1597" s="1" t="s">
        <v>3194</v>
      </c>
      <c r="E1597" s="4" t="str">
        <f ca="1">IFERROR(__xludf.DUMMYFUNCTION("GOOGLETRANSLATE(A1597 , ""tr"" , ""en"")"),"Let us support measures to the struggle of our health workers. Let's not forget that the measures are also the security of our social life. https://t.co/rsqxIziwre")</f>
        <v>Let us support measures to the struggle of our health workers. Let's not forget that the measures are also the security of our social life. https://t.co/rsqxIziwre</v>
      </c>
    </row>
    <row r="1598" spans="1:5" ht="15.75" customHeight="1" x14ac:dyDescent="0.25">
      <c r="A1598" s="1" t="s">
        <v>3195</v>
      </c>
      <c r="B1598" s="1">
        <v>12217</v>
      </c>
      <c r="C1598" s="3">
        <v>44193.67864583333</v>
      </c>
      <c r="D1598" s="1" t="s">
        <v>3196</v>
      </c>
      <c r="E1598" s="4" t="str">
        <f ca="1">IFERROR(__xludf.DUMMYFUNCTION("GOOGLETRANSLATE(A1598 , ""tr"" , ""en"")"),"We have 2,816 new patients identified today. The number of active cases continues to fall. Conditions of full compliance with measures and restrictions to be able to maintain their achievements and fight outbreaks. We will overcome together. https://t.co/"&amp;"rvlhe7786o")</f>
        <v>We have 2,816 new patients identified today. The number of active cases continues to fall. Conditions of full compliance with measures and restrictions to be able to maintain their achievements and fight outbreaks. We will overcome together. https://t.co/rvlhe7786o</v>
      </c>
    </row>
    <row r="1599" spans="1:5" ht="15.75" customHeight="1" x14ac:dyDescent="0.25">
      <c r="A1599" s="1" t="s">
        <v>3197</v>
      </c>
      <c r="B1599" s="1">
        <v>0</v>
      </c>
      <c r="C1599" s="3">
        <v>44193.639409722222</v>
      </c>
      <c r="D1599" s="1" t="s">
        <v>3198</v>
      </c>
      <c r="E1599" s="4" t="str">
        <f ca="1">IFERROR(__xludf.DUMMYFUNCTION("GOOGLETRANSLATE(A1599 , ""tr"" , ""en"")"),"RT @rterdogan: Shouting Nation After Cabinet Meeting https://t.co/trvvvby82at")</f>
        <v>RT @rterdogan: Shouting Nation After Cabinet Meeting https://t.co/trvvvby82at</v>
      </c>
    </row>
    <row r="1600" spans="1:5" ht="15.75" customHeight="1" x14ac:dyDescent="0.25">
      <c r="A1600" s="1" t="s">
        <v>3199</v>
      </c>
      <c r="B1600" s="1">
        <v>12953</v>
      </c>
      <c r="C1600" s="3">
        <v>44192.870243055557</v>
      </c>
      <c r="D1600" s="1" t="s">
        <v>3200</v>
      </c>
      <c r="E1600" s="4" t="str">
        <f ca="1">IFERROR(__xludf.DUMMYFUNCTION("GOOGLETRANSLATE(A1600 , ""tr"" , ""en"")"),"I told you that before the vaccine would not be mandatory. Our vaccination program is ready. We will not have a compelling application of our citizens. We will be in an effort to persuade the necessity of vaccine by explaining our scientists to our societ"&amp;"y. An application would not be in the question. https://t.co/ie3f8wz5qb")</f>
        <v>I told you that before the vaccine would not be mandatory. Our vaccination program is ready. We will not have a compelling application of our citizens. We will be in an effort to persuade the necessity of vaccine by explaining our scientists to our society. An application would not be in the question. https://t.co/ie3f8wz5qb</v>
      </c>
    </row>
    <row r="1601" spans="1:5" ht="15.75" customHeight="1" x14ac:dyDescent="0.25">
      <c r="A1601" s="1" t="s">
        <v>3201</v>
      </c>
      <c r="B1601" s="1">
        <v>13930</v>
      </c>
      <c r="C1601" s="3">
        <v>44192.832650462966</v>
      </c>
      <c r="D1601" s="1" t="s">
        <v>3202</v>
      </c>
      <c r="E1601" s="4" t="str">
        <f ca="1">IFERROR(__xludf.DUMMYFUNCTION("GOOGLETRANSLATE(A1601 , ""tr"" , ""en"")"),"Large Turkish poet, the fact that the case is MEHMET Akif Ersoy in the 84th miniyeti, İnnik. https://t.co/avhve06vhl")</f>
        <v>Large Turkish poet, the fact that the case is MEHMET Akif Ersoy in the 84th miniyeti, İnnik. https://t.co/avhve06vhl</v>
      </c>
    </row>
    <row r="1602" spans="1:5" ht="15.75" customHeight="1" x14ac:dyDescent="0.25">
      <c r="A1602" s="1" t="s">
        <v>3203</v>
      </c>
      <c r="B1602" s="1">
        <v>16042</v>
      </c>
      <c r="C1602" s="3">
        <v>44192.736759259256</v>
      </c>
      <c r="D1602" s="1" t="s">
        <v>3204</v>
      </c>
      <c r="E1602" s="4" t="str">
        <f ca="1">IFERROR(__xludf.DUMMYFUNCTION("GOOGLETRANSLATE(A1602 , ""tr"" , ""en"")"),"COVID-19 alarms in Beijing and COVID-19 cases seen in Beijing customs are temporarily interrupted to customs mobility. For this reason, the arrival of our vaccines expected after customs are delayed for two days. We will continue to transfer developments."&amp;" https://t.co/g2gfex1mxo")</f>
        <v>COVID-19 alarms in Beijing and COVID-19 cases seen in Beijing customs are temporarily interrupted to customs mobility. For this reason, the arrival of our vaccines expected after customs are delayed for two days. We will continue to transfer developments. https://t.co/g2gfex1mxo</v>
      </c>
    </row>
    <row r="1603" spans="1:5" ht="15.75" customHeight="1" x14ac:dyDescent="0.25">
      <c r="A1603" s="1" t="s">
        <v>3205</v>
      </c>
      <c r="B1603" s="1">
        <v>14072</v>
      </c>
      <c r="C1603" s="3">
        <v>44192.670405092591</v>
      </c>
      <c r="D1603" s="1" t="s">
        <v>3206</v>
      </c>
      <c r="E1603" s="4" t="str">
        <f ca="1">IFERROR(__xludf.DUMMYFUNCTION("GOOGLETRANSLATE(A1603 , ""tr"" , ""en"")"),"We have 2,806 patients identified today. The case and patient count continue to fall. The contact number and test request also decreases. We hope to see the impact of measures and restrictions soon in our losses. Struggle continuity will make success perm"&amp;"anent. https://t.co/rvlhe7786o")</f>
        <v>We have 2,806 patients identified today. The case and patient count continue to fall. The contact number and test request also decreases. We hope to see the impact of measures and restrictions soon in our losses. Struggle continuity will make success permanent. https://t.co/rvlhe7786o</v>
      </c>
    </row>
    <row r="1604" spans="1:5" ht="15.75" customHeight="1" x14ac:dyDescent="0.25">
      <c r="A1604" s="1" t="s">
        <v>3207</v>
      </c>
      <c r="B1604" s="1">
        <v>15728</v>
      </c>
      <c r="C1604" s="3">
        <v>44192.467534722222</v>
      </c>
      <c r="D1604" s="1" t="s">
        <v>3208</v>
      </c>
      <c r="E1604" s="4" t="str">
        <f ca="1">IFERROR(__xludf.DUMMYFUNCTION("GOOGLETRANSLATE(A1604 , ""tr"" , ""en"")"),"It is delighted to not experience life loss in the 5.3-size earthquake in Elazig Center. The situation is not a serious citizen. This year gets back to our intelligent nurses that breasts great challenges.")</f>
        <v>It is delighted to not experience life loss in the 5.3-size earthquake in Elazig Center. The situation is not a serious citizen. This year gets back to our intelligent nurses that breasts great challenges.</v>
      </c>
    </row>
    <row r="1605" spans="1:5" ht="15.75" customHeight="1" x14ac:dyDescent="0.25">
      <c r="A1605" s="1" t="s">
        <v>3209</v>
      </c>
      <c r="B1605" s="1">
        <v>5368</v>
      </c>
      <c r="C1605" s="3">
        <v>44191.71534722222</v>
      </c>
      <c r="D1605" s="1" t="s">
        <v>3210</v>
      </c>
      <c r="E1605" s="4" t="str">
        <f ca="1">IFERROR(__xludf.DUMMYFUNCTION("GOOGLETRANSLATE(A1605 , ""tr"" , ""en"")"),"In the samples taken from PCR positive cases in the recent period nor in the samples received from the PCR positive cases, the gene mutation reported in the samples collected from various regions of the dormitory. Our regular examinations will continue.")</f>
        <v>In the samples taken from PCR positive cases in the recent period nor in the samples received from the PCR positive cases, the gene mutation reported in the samples collected from various regions of the dormitory. Our regular examinations will continue.</v>
      </c>
    </row>
    <row r="1606" spans="1:5" ht="15.75" customHeight="1" x14ac:dyDescent="0.25">
      <c r="A1606" s="1" t="s">
        <v>3211</v>
      </c>
      <c r="B1606" s="1">
        <v>4873</v>
      </c>
      <c r="C1606" s="3">
        <v>44191.71533564815</v>
      </c>
      <c r="D1606" s="1" t="s">
        <v>3212</v>
      </c>
      <c r="E1606" s="4" t="str">
        <f ca="1">IFERROR(__xludf.DUMMYFUNCTION("GOOGLETRANSLATE(A1606 , ""tr"" , ""en"")"),"Within the scope of Mutation Measure Applications, examples of the PCR samples of the PCR samples of our country with the PCR samples of our country and the test result in the test result in our country in the last period were examined by the full gene se"&amp;"quencing method in our reference laboratory.")</f>
        <v>Within the scope of Mutation Measure Applications, examples of the PCR samples of the PCR samples of our country with the PCR samples of our country and the test result in the test result in our country in the last period were examined by the full gene sequencing method in our reference laboratory.</v>
      </c>
    </row>
    <row r="1607" spans="1:5" ht="15.75" customHeight="1" x14ac:dyDescent="0.25">
      <c r="A1607" s="1" t="s">
        <v>3213</v>
      </c>
      <c r="B1607" s="1">
        <v>10121</v>
      </c>
      <c r="C1607" s="3">
        <v>44191.71533564815</v>
      </c>
      <c r="D1607" s="1" t="s">
        <v>3214</v>
      </c>
      <c r="E1607" s="4" t="str">
        <f ca="1">IFERROR(__xludf.DUMMYFUNCTION("GOOGLETRANSLATE(A1607 , ""tr"" , ""en"")"),"Our public health reference laboratories are regularly examining examples of our country's various regions. The variations and mutations set within the scope of these examinations are shared with the World Health Organization.")</f>
        <v>Our public health reference laboratories are regularly examining examples of our country's various regions. The variations and mutations set within the scope of these examinations are shared with the World Health Organization.</v>
      </c>
    </row>
    <row r="1608" spans="1:5" ht="15.75" customHeight="1" x14ac:dyDescent="0.25">
      <c r="A1608" s="1" t="s">
        <v>3215</v>
      </c>
      <c r="B1608" s="1">
        <v>12566</v>
      </c>
      <c r="C1608" s="3">
        <v>44191.673206018517</v>
      </c>
      <c r="D1608" s="1" t="s">
        <v>3216</v>
      </c>
      <c r="E1608" s="4" t="str">
        <f ca="1">IFERROR(__xludf.DUMMYFUNCTION("GOOGLETRANSLATE(A1608 , ""tr"" , ""en"")"),"There are 3,002 new patients identified today. The number of cases, the number of active cases and the number of patients continues to fall. The decline in our severe patients is continuing. Struggle until this is the effect of vaccination program that wi"&amp;"ll make these beautiful news constantly. https://t.co/rvlhe7786o")</f>
        <v>There are 3,002 new patients identified today. The number of cases, the number of active cases and the number of patients continues to fall. The decline in our severe patients is continuing. Struggle until this is the effect of vaccination program that will make these beautiful news constantly. https://t.co/rvlhe7786o</v>
      </c>
    </row>
    <row r="1609" spans="1:5" ht="15.75" customHeight="1" x14ac:dyDescent="0.25">
      <c r="A1609" s="1" t="s">
        <v>3217</v>
      </c>
      <c r="B1609" s="1">
        <v>3097</v>
      </c>
      <c r="C1609" s="3">
        <v>44190.870949074073</v>
      </c>
      <c r="D1609" s="1" t="s">
        <v>3218</v>
      </c>
      <c r="E1609" s="4" t="str">
        <f ca="1">IFERROR(__xludf.DUMMYFUNCTION("GOOGLETRANSLATE(A1609 , ""tr"" , ""en"")"),"HATAY: Intensive care occupancy rate is currently 86% despite the maturity of the bed occupancy falls to 54%.
Adana: Intensive care filling is currently 78%, although the bed occupancy rate decreased to 62%.")</f>
        <v>HATAY: Intensive care occupancy rate is currently 86% despite the maturity of the bed occupancy falls to 54%.
Adana: Intensive care filling is currently 78%, although the bed occupancy rate decreased to 62%.</v>
      </c>
    </row>
    <row r="1610" spans="1:5" ht="15.75" customHeight="1" x14ac:dyDescent="0.25">
      <c r="A1610" s="1" t="s">
        <v>3219</v>
      </c>
      <c r="B1610" s="1">
        <v>3455</v>
      </c>
      <c r="C1610" s="3">
        <v>44190.870949074073</v>
      </c>
      <c r="D1610" s="1" t="s">
        <v>3220</v>
      </c>
      <c r="E1610" s="4" t="str">
        <f ca="1">IFERROR(__xludf.DUMMYFUNCTION("GOOGLETRANSLATE(A1610 , ""tr"" , ""en"")"),"Bursa: Bed occupancy rate to 52%, the intensive care occupancy rate dropped to 70%.
Ankara: The bed occupancy rate has fallen to 52%, the intensive care occupancy rate was 65%.")</f>
        <v>Bursa: Bed occupancy rate to 52%, the intensive care occupancy rate dropped to 70%.
Ankara: The bed occupancy rate has fallen to 52%, the intensive care occupancy rate was 65%.</v>
      </c>
    </row>
    <row r="1611" spans="1:5" ht="15.75" customHeight="1" x14ac:dyDescent="0.25">
      <c r="A1611" s="1" t="s">
        <v>3221</v>
      </c>
      <c r="B1611" s="1">
        <v>6635</v>
      </c>
      <c r="C1611" s="3">
        <v>44190.870937500003</v>
      </c>
      <c r="D1611" s="1" t="s">
        <v>3222</v>
      </c>
      <c r="E1611" s="4" t="str">
        <f ca="1">IFERROR(__xludf.DUMMYFUNCTION("GOOGLETRANSLATE(A1611 , ""tr"" , ""en"")"),"Bursa, Ankara, Hatay, Adana Governors, Provincial Health Managers and Public Health Presidents have evaluated the course of the outbreak of the epidemic of our provinces. The case numbers are also glad to have a decrease in hospital loads. We get the resu"&amp;"lts of the restrictions. https://t.co/zzwgy3bph4")</f>
        <v>Bursa, Ankara, Hatay, Adana Governors, Provincial Health Managers and Public Health Presidents have evaluated the course of the outbreak of the epidemic of our provinces. The case numbers are also glad to have a decrease in hospital loads. We get the results of the restrictions. https://t.co/zzwgy3bph4</v>
      </c>
    </row>
    <row r="1612" spans="1:5" ht="15.75" customHeight="1" x14ac:dyDescent="0.25">
      <c r="A1612" s="1" t="s">
        <v>3223</v>
      </c>
      <c r="B1612" s="1">
        <v>12141</v>
      </c>
      <c r="C1612" s="3">
        <v>44190.851979166669</v>
      </c>
      <c r="D1612" s="1" t="s">
        <v>3224</v>
      </c>
      <c r="E1612" s="4" t="str">
        <f ca="1">IFERROR(__xludf.DUMMYFUNCTION("GOOGLETRANSLATE(A1612 , ""tr"" , ""en"")"),"Vaccine will not be compulsory. We want to instill our citizens by persuading our vaccine effect and reliability. One of the first vaccination I will be with our health workers. https://t.co/rghypqdgfq")</f>
        <v>Vaccine will not be compulsory. We want to instill our citizens by persuading our vaccine effect and reliability. One of the first vaccination I will be with our health workers. https://t.co/rghypqdgfq</v>
      </c>
    </row>
    <row r="1613" spans="1:5" ht="15.75" customHeight="1" x14ac:dyDescent="0.25">
      <c r="A1613" s="1" t="s">
        <v>3225</v>
      </c>
      <c r="B1613" s="1">
        <v>10678</v>
      </c>
      <c r="C1613" s="3">
        <v>44190.791365740741</v>
      </c>
      <c r="D1613" s="1" t="s">
        <v>3226</v>
      </c>
      <c r="E1613" s="4" t="str">
        <f ca="1">IFERROR(__xludf.DUMMYFUNCTION("GOOGLETRANSLATE(A1613 , ""tr"" , ""en"")"),"Each health staff is the work of a good education. My friend who looked due to gentle messages Prof. Dr. Ziya Selçuk Thank you for all the training in the cosmia. #Ind of our health https://t.co/uerc7e9bk1")</f>
        <v>Each health staff is the work of a good education. My friend who looked due to gentle messages Prof. Dr. Ziya Selçuk Thank you for all the training in the cosmia. #Ind of our health https://t.co/uerc7e9bk1</v>
      </c>
    </row>
    <row r="1614" spans="1:5" ht="15.75" customHeight="1" x14ac:dyDescent="0.25">
      <c r="A1614" s="1" t="s">
        <v>3227</v>
      </c>
      <c r="B1614" s="1">
        <v>17087</v>
      </c>
      <c r="C1614" s="3">
        <v>44190.758784722224</v>
      </c>
      <c r="D1614" s="1" t="s">
        <v>3228</v>
      </c>
      <c r="E1614" s="4" t="str">
        <f ca="1">IFERROR(__xludf.DUMMYFUNCTION("GOOGLETRANSLATE(A1614 , ""tr"" , ""en"")"),"Prof. Dr. Prof. Dr. Uğur Hawk's teacher has great labor. The privilege for Turkey will not be forgotten. Thank you once again on behalf of our nation.")</f>
        <v>Prof. Dr. Prof. Dr. Uğur Hawk's teacher has great labor. The privilege for Turkey will not be forgotten. Thank you once again on behalf of our nation.</v>
      </c>
    </row>
    <row r="1615" spans="1:5" ht="15.75" customHeight="1" x14ac:dyDescent="0.25">
      <c r="A1615" s="1" t="s">
        <v>3229</v>
      </c>
      <c r="B1615" s="1">
        <v>8964</v>
      </c>
      <c r="C1615" s="3">
        <v>44190.758784722224</v>
      </c>
      <c r="D1615" s="1" t="s">
        <v>3230</v>
      </c>
      <c r="E1615" s="4" t="str">
        <f ca="1">IFERROR(__xludf.DUMMYFUNCTION("GOOGLETRANSLATE(A1615 , ""tr"" , ""en"")"),"The cause of the delay was that the manufacturer was not to be asked to accept responsibility for the problems that may result from the production of the vaccine. The responsibility of the manufacturer has been understood to be limited to the financial si"&amp;"ze of the Convention. Consent will be taken from our citizens to use this vaccine.")</f>
        <v>The cause of the delay was that the manufacturer was not to be asked to accept responsibility for the problems that may result from the production of the vaccine. The responsibility of the manufacturer has been understood to be limited to the financial size of the Convention. Consent will be taken from our citizens to use this vaccine.</v>
      </c>
    </row>
    <row r="1616" spans="1:5" ht="15.75" customHeight="1" x14ac:dyDescent="0.25">
      <c r="A1616" s="1" t="s">
        <v>3231</v>
      </c>
      <c r="B1616" s="1">
        <v>4349</v>
      </c>
      <c r="C1616" s="3">
        <v>44190.758784722224</v>
      </c>
      <c r="D1616" s="1" t="s">
        <v>3232</v>
      </c>
      <c r="E1616" s="4" t="str">
        <f ca="1">IFERROR(__xludf.DUMMYFUNCTION("GOOGLETRANSLATE(A1616 , ""tr"" , ""en"")"),"This amount is expected to come to Turkey by the end of the year or early Jan. However, by the end of March 4.5 million dose of overdose will be delivered to our country. According to our agreement, the vaccine can be provided in the same conditions until"&amp;" 30 million dose of the parties.")</f>
        <v>This amount is expected to come to Turkey by the end of the year or early Jan. However, by the end of March 4.5 million dose of overdose will be delivered to our country. According to our agreement, the vaccine can be provided in the same conditions until 30 million dose of the parties.</v>
      </c>
    </row>
    <row r="1617" spans="1:5" ht="15.75" customHeight="1" x14ac:dyDescent="0.25">
      <c r="A1617" s="1" t="s">
        <v>3233</v>
      </c>
      <c r="B1617" s="1">
        <v>25749</v>
      </c>
      <c r="C1617" s="3">
        <v>44190.758773148147</v>
      </c>
      <c r="D1617" s="1" t="s">
        <v>3234</v>
      </c>
      <c r="E1617" s="4" t="str">
        <f ca="1">IFERROR(__xludf.DUMMYFUNCTION("GOOGLETRANSLATE(A1617 , ""tr"" , ""en"")"),"I was yesterday with you to be signed with the BIONTECH vaccination. The deal was signed at 04.30 tonight. According to the agreement, the departed for this year, we are ready for warehouses. Dr. Uğur Hawk is the amount of dosage that our teacher explaine"&amp;"d 550,000.")</f>
        <v>I was yesterday with you to be signed with the BIONTECH vaccination. The deal was signed at 04.30 tonight. According to the agreement, the departed for this year, we are ready for warehouses. Dr. Uğur Hawk is the amount of dosage that our teacher explained 550,000.</v>
      </c>
    </row>
    <row r="1618" spans="1:5" ht="15.75" customHeight="1" x14ac:dyDescent="0.25">
      <c r="A1618" s="1" t="s">
        <v>3235</v>
      </c>
      <c r="B1618" s="1">
        <v>9759</v>
      </c>
      <c r="C1618" s="3">
        <v>44190.724548611113</v>
      </c>
      <c r="D1618" s="1" t="s">
        <v>3236</v>
      </c>
      <c r="E1618" s="4" t="str">
        <f ca="1">IFERROR(__xludf.DUMMYFUNCTION("GOOGLETRANSLATE(A1618 , ""tr"" , ""en"")"),"We are increasing overseas measures. From the 30th of December, each passenger from overseas to our country will be obliged to submit each passenger of each passenger in the last 72 hours in the last 72 hours. Otherwise the entrance to the country will no"&amp;"t be allowed. https://t.co/nzgbnk7awa")</f>
        <v>We are increasing overseas measures. From the 30th of December, each passenger from overseas to our country will be obliged to submit each passenger of each passenger in the last 72 hours in the last 72 hours. Otherwise the entrance to the country will not be allowed. https://t.co/nzgbnk7awa</v>
      </c>
    </row>
    <row r="1619" spans="1:5" ht="15.75" customHeight="1" x14ac:dyDescent="0.25">
      <c r="A1619" s="1" t="s">
        <v>3237</v>
      </c>
      <c r="B1619" s="1">
        <v>9334</v>
      </c>
      <c r="C1619" s="3">
        <v>44190.679050925923</v>
      </c>
      <c r="D1619" s="1" t="s">
        <v>3238</v>
      </c>
      <c r="E1619" s="4" t="str">
        <f ca="1">IFERROR(__xludf.DUMMYFUNCTION("GOOGLETRANSLATE(A1619 , ""tr"" , ""en"")"),"We have 3,199 new patients identified today. The patient and the decline in the number of cases began to show the impact of the hospital. Our hope is the recent reflection of our recent losses. Let's insist in the measure until the end of the vaccine camp"&amp;"aign. https://t.co/rvlhe7786o")</f>
        <v>We have 3,199 new patients identified today. The patient and the decline in the number of cases began to show the impact of the hospital. Our hope is the recent reflection of our recent losses. Let's insist in the measure until the end of the vaccine campaign. https://t.co/rvlhe7786o</v>
      </c>
    </row>
    <row r="1620" spans="1:5" ht="15.75" customHeight="1" x14ac:dyDescent="0.25">
      <c r="A1620" s="1" t="s">
        <v>3239</v>
      </c>
      <c r="B1620" s="1">
        <v>3619</v>
      </c>
      <c r="C1620" s="3">
        <v>44190.625567129631</v>
      </c>
      <c r="D1620" s="1" t="s">
        <v>3240</v>
      </c>
      <c r="E1620" s="4" t="str">
        <f ca="1">IFERROR(__xludf.DUMMYFUNCTION("GOOGLETRANSLATE(A1620 , ""tr"" , ""en"")"),"Our 1963 Filliation team on the field continues to contact contact. Our health institutions are conducting his duty without disrupting. Our efforts give results. No hesitation, hesitating, no relaxation. We will win all together.")</f>
        <v>Our 1963 Filliation team on the field continues to contact contact. Our health institutions are conducting his duty without disrupting. Our efforts give results. No hesitation, hesitating, no relaxation. We will win all together.</v>
      </c>
    </row>
    <row r="1621" spans="1:5" ht="15.75" customHeight="1" x14ac:dyDescent="0.25">
      <c r="A1621" s="1" t="s">
        <v>3241</v>
      </c>
      <c r="B1621" s="1">
        <v>5879</v>
      </c>
      <c r="C1621" s="3">
        <v>44190.625555555554</v>
      </c>
      <c r="D1621" s="1" t="s">
        <v>3242</v>
      </c>
      <c r="E1621" s="4" t="str">
        <f ca="1">IFERROR(__xludf.DUMMYFUNCTION("GOOGLETRANSLATE(A1621 , ""tr"" , ""en"")"),"We have made our weekly evaluation with our Istanbul Provincial Health Administrators and the Vocuns.
In the last week, the number of cases in Istanbul has been significantly decreased. Was up to 50% reduction in polyclinics; This situation reflected in h"&amp;"ospitalization 35% and 30% to intensive care. https://t.co/JQHTIFV2ZM")</f>
        <v>We have made our weekly evaluation with our Istanbul Provincial Health Administrators and the Vocuns.
In the last week, the number of cases in Istanbul has been significantly decreased. Was up to 50% reduction in polyclinics; This situation reflected in hospitalization 35% and 30% to intensive care. https://t.co/JQHTIFV2ZM</v>
      </c>
    </row>
    <row r="1622" spans="1:5" ht="15.75" customHeight="1" x14ac:dyDescent="0.25">
      <c r="A1622" s="1" t="s">
        <v>3243</v>
      </c>
      <c r="B1622" s="1">
        <v>7993</v>
      </c>
      <c r="C1622" s="3">
        <v>44189.799733796295</v>
      </c>
      <c r="D1622" s="1" t="s">
        <v>3244</v>
      </c>
      <c r="E1622" s="4" t="str">
        <f ca="1">IFERROR(__xludf.DUMMYFUNCTION("GOOGLETRANSLATE(A1622 , ""tr"" , ""en"")"),"Our faith tells us a width after every stenosis. I believe that today, as the folks, it will be a messenger of our transition from time to the width of time. https://t.co/w3ahkxftph")</f>
        <v>Our faith tells us a width after every stenosis. I believe that today, as the folks, it will be a messenger of our transition from time to the width of time. https://t.co/w3ahkxftph</v>
      </c>
    </row>
    <row r="1623" spans="1:5" ht="15.75" customHeight="1" x14ac:dyDescent="0.25">
      <c r="A1623" s="1" t="s">
        <v>3245</v>
      </c>
      <c r="B1623" s="1">
        <v>4657</v>
      </c>
      <c r="C1623" s="3">
        <v>44189.790798611109</v>
      </c>
      <c r="D1623" s="1" t="s">
        <v>3246</v>
      </c>
      <c r="E1623" s="4" t="str">
        <f ca="1">IFERROR(__xludf.DUMMYFUNCTION("GOOGLETRANSLATE(A1623 , ""tr"" , ""en"")"),"The data will be the basis to the approval of the emergency use, evaluated by the Independent Evaluation Committee and Turkey is transmitted to the Pharmaceutical and Medical Device Authority. https://t.co/9JLE2BI2AH")</f>
        <v>The data will be the basis to the approval of the emergency use, evaluated by the Independent Evaluation Committee and Turkey is transmitted to the Pharmaceutical and Medical Device Authority. https://t.co/9JLE2BI2AH</v>
      </c>
    </row>
    <row r="1624" spans="1:5" ht="15.75" customHeight="1" x14ac:dyDescent="0.25">
      <c r="A1624" s="1" t="s">
        <v>3247</v>
      </c>
      <c r="B1624" s="1">
        <v>6586</v>
      </c>
      <c r="C1624" s="3">
        <v>44189.78261574074</v>
      </c>
      <c r="D1624" s="1" t="s">
        <v>3248</v>
      </c>
      <c r="E1624" s="4" t="str">
        <f ca="1">IFERROR(__xludf.DUMMYFUNCTION("GOOGLETRANSLATE(A1624 , ""tr"" , ""en"")"),"The inactive vaccine is the most ancient vaccine method known. https://t.co/f9xtgg4psd")</f>
        <v>The inactive vaccine is the most ancient vaccine method known. https://t.co/f9xtgg4psd</v>
      </c>
    </row>
    <row r="1625" spans="1:5" ht="15.75" customHeight="1" x14ac:dyDescent="0.25">
      <c r="A1625" s="1" t="s">
        <v>3249</v>
      </c>
      <c r="B1625" s="1">
        <v>5878</v>
      </c>
      <c r="C1625" s="3">
        <v>44189.773125</v>
      </c>
      <c r="D1625" s="1" t="s">
        <v>3250</v>
      </c>
      <c r="E1625" s="4" t="str">
        <f ca="1">IFERROR(__xludf.DUMMYFUNCTION("GOOGLETRANSLATE(A1625 , ""tr"" , ""en"")"),"The epidemic affected us in all areas. Re-regulated the moral of the world. https://t.co/u4suj5mfbw")</f>
        <v>The epidemic affected us in all areas. Re-regulated the moral of the world. https://t.co/u4suj5mfbw</v>
      </c>
    </row>
    <row r="1626" spans="1:5" ht="15.75" customHeight="1" x14ac:dyDescent="0.25">
      <c r="A1626" s="1" t="s">
        <v>3251</v>
      </c>
      <c r="B1626" s="1">
        <v>13483</v>
      </c>
      <c r="C1626" s="3">
        <v>44189.742962962962</v>
      </c>
      <c r="D1626" s="1" t="s">
        <v>3252</v>
      </c>
      <c r="E1626" s="4" t="str">
        <f ca="1">IFERROR(__xludf.DUMMYFUNCTION("GOOGLETRANSLATE(A1626 , ""tr"" , ""en"")"),"Throughout the epidemic, although there is a very heavy responsibility on me, I tried to put all the developments on time and most clearly to you. https://t.co/h3jsdl2oct")</f>
        <v>Throughout the epidemic, although there is a very heavy responsibility on me, I tried to put all the developments on time and most clearly to you. https://t.co/h3jsdl2oct</v>
      </c>
    </row>
    <row r="1627" spans="1:5" ht="15.75" customHeight="1" x14ac:dyDescent="0.25">
      <c r="A1627" s="1" t="s">
        <v>3253</v>
      </c>
      <c r="B1627" s="1">
        <v>13855</v>
      </c>
      <c r="C1627" s="3">
        <v>44189.719837962963</v>
      </c>
      <c r="D1627" s="1" t="s">
        <v>3254</v>
      </c>
      <c r="E1627" s="4" t="str">
        <f ca="1">IFERROR(__xludf.DUMMYFUNCTION("GOOGLETRANSLATE(A1627 , ""tr"" , ""en"")"),"We have 3,218 new patients identified today. The decline in the number of active cases continues. We have received the gospel of the vaccine to be effective. It's time to protect ourselves better until it is now vaccinated and effect. Let's get ready for "&amp;"good days. https://t.co/rvlhe7786o")</f>
        <v>We have 3,218 new patients identified today. The decline in the number of active cases continues. We have received the gospel of the vaccine to be effective. It's time to protect ourselves better until it is now vaccinated and effect. Let's get ready for good days. https://t.co/rvlhe7786o</v>
      </c>
    </row>
    <row r="1628" spans="1:5" ht="15.75" customHeight="1" x14ac:dyDescent="0.25">
      <c r="A1628" s="1" t="s">
        <v>3255</v>
      </c>
      <c r="B1628" s="1">
        <v>7686</v>
      </c>
      <c r="C1628" s="3">
        <v>44189.682256944441</v>
      </c>
      <c r="D1628" s="1" t="s">
        <v>3256</v>
      </c>
      <c r="E1628" s="4" t="str">
        <f ca="1">IFERROR(__xludf.DUMMYFUNCTION("GOOGLETRANSLATE(A1628 , ""tr"" , ""en"")"),"After our Science Board Meeting, our press statement on the latest developments on COVID-19.
📍 The Ministry of Health
https://t.co/kpjn7sndfg")</f>
        <v>After our Science Board Meeting, our press statement on the latest developments on COVID-19.
📍 The Ministry of Health
https://t.co/kpjn7sndfg</v>
      </c>
    </row>
    <row r="1629" spans="1:5" ht="15.75" customHeight="1" x14ac:dyDescent="0.25">
      <c r="A1629" s="1" t="s">
        <v>3257</v>
      </c>
      <c r="B1629" s="1">
        <v>6901</v>
      </c>
      <c r="C1629" s="3">
        <v>44188.729525462964</v>
      </c>
      <c r="D1629" s="1" t="s">
        <v>3258</v>
      </c>
      <c r="E1629" s="4" t="str">
        <f ca="1">IFERROR(__xludf.DUMMYFUNCTION("GOOGLETRANSLATE(A1629 , ""tr"" , ""en"")"),"Let's support the measures to our preliminary struggling health care employees in the forefront. Let's not forget that the measures are also the security of our social life. https://t.co/gwlbzjn9uq")</f>
        <v>Let's support the measures to our preliminary struggling health care employees in the forefront. Let's not forget that the measures are also the security of our social life. https://t.co/gwlbzjn9uq</v>
      </c>
    </row>
    <row r="1630" spans="1:5" ht="15.75" customHeight="1" x14ac:dyDescent="0.25">
      <c r="A1630" s="1" t="s">
        <v>3259</v>
      </c>
      <c r="B1630" s="1">
        <v>12305</v>
      </c>
      <c r="C1630" s="3">
        <v>44188.709953703707</v>
      </c>
      <c r="D1630" s="1" t="s">
        <v>3260</v>
      </c>
      <c r="E1630" s="4" t="str">
        <f ca="1">IFERROR(__xludf.DUMMYFUNCTION("GOOGLETRANSLATE(A1630 , ""tr"" , ""en"")"),"We know the environmental sensitivity and the fight against public health. Dr. We live the deep sorrow of losing our Orhan rule teacher. In our teacher, I wish the mercy from Allah, my condolences.")</f>
        <v>We know the environmental sensitivity and the fight against public health. Dr. We live the deep sorrow of losing our Orhan rule teacher. In our teacher, I wish the mercy from Allah, my condolences.</v>
      </c>
    </row>
    <row r="1631" spans="1:5" ht="15.75" customHeight="1" x14ac:dyDescent="0.25">
      <c r="A1631" s="1" t="s">
        <v>3261</v>
      </c>
      <c r="B1631" s="1">
        <v>10639</v>
      </c>
      <c r="C1631" s="3">
        <v>44188.690636574072</v>
      </c>
      <c r="D1631" s="1" t="s">
        <v>3262</v>
      </c>
      <c r="E1631" s="4" t="str">
        <f ca="1">IFERROR(__xludf.DUMMYFUNCTION("GOOGLETRANSLATE(A1631 , ""tr"" , ""en"")"),"We have 3,192 patients identified today. The decrease rejoicing in the number of active cases. We will also reduce the number of new cases with restrictions and measures. It is extremely important to prevent domestic transmissions during this period. The "&amp;"threat to almost measure should focus on there. https://t.co/rvlhe7786o")</f>
        <v>We have 3,192 patients identified today. The decrease rejoicing in the number of active cases. We will also reduce the number of new cases with restrictions and measures. It is extremely important to prevent domestic transmissions during this period. The threat to almost measure should focus on there. https://t.co/rvlhe7786o</v>
      </c>
    </row>
    <row r="1632" spans="1:5" ht="15.75" customHeight="1" x14ac:dyDescent="0.25">
      <c r="A1632" s="1" t="s">
        <v>3263</v>
      </c>
      <c r="B1632" s="1">
        <v>3457</v>
      </c>
      <c r="C1632" s="3">
        <v>44187.896793981483</v>
      </c>
      <c r="D1632" s="1" t="s">
        <v>3264</v>
      </c>
      <c r="E1632" s="4" t="str">
        <f ca="1">IFERROR(__xludf.DUMMYFUNCTION("GOOGLETRANSLATE(A1632 , ""tr"" , ""en"")"),"Rubella virus is Eliminated in Turkey. I would like to Thank My Friend @hans_kluge for congratulating US with this great news. Vaccines are the Most Important Power in hand for prevention from infections. https://t.co/qevezvvyva")</f>
        <v>Rubella virus is Eliminated in Turkey. I would like to Thank My Friend @hans_kluge for congratulating US with this great news. Vaccines are the Most Important Power in hand for prevention from infections. https://t.co/qevezvvyva</v>
      </c>
    </row>
    <row r="1633" spans="1:5" ht="15.75" customHeight="1" x14ac:dyDescent="0.25">
      <c r="A1633" s="1" t="s">
        <v>3265</v>
      </c>
      <c r="B1633" s="1">
        <v>5073</v>
      </c>
      <c r="C1633" s="3">
        <v>44187.896620370368</v>
      </c>
      <c r="D1633" s="1" t="s">
        <v>3266</v>
      </c>
      <c r="E1633" s="4" t="str">
        <f ca="1">IFERROR(__xludf.DUMMYFUNCTION("GOOGLETRANSLATE(A1633 , ""tr"" , ""en"")"),"Rubella virus (rubella) is out of the problem in Turkey. I thank @ Hans_Kluge that congratulate us with this beautiful news. Vaccines are the most important force we have to block infections. https://t.co/qevezvvyva")</f>
        <v>Rubella virus (rubella) is out of the problem in Turkey. I thank @ Hans_Kluge that congratulate us with this beautiful news. Vaccines are the most important force we have to block infections. https://t.co/qevezvvyva</v>
      </c>
    </row>
    <row r="1634" spans="1:5" ht="15.75" customHeight="1" x14ac:dyDescent="0.25">
      <c r="A1634" s="1" t="s">
        <v>3267</v>
      </c>
      <c r="B1634" s="1">
        <v>3530</v>
      </c>
      <c r="C1634" s="3">
        <v>44187.866388888891</v>
      </c>
      <c r="D1634" s="1" t="s">
        <v>3268</v>
      </c>
      <c r="E1634" s="4" t="str">
        <f ca="1">IFERROR(__xludf.DUMMYFUNCTION("GOOGLETRANSLATE(A1634 , ""tr"" , ""en"")"),"The number of cases in Samsun was 35% decline. The bed filling is 62%, the intensive care filling 80%. 40% decline in the number of cases in Hatay. The bed filling is 85%, the intensive care filling 77%. Heavy patient load on Samsun and Hatay is high. Let"&amp;"'s obey the measures.")</f>
        <v>The number of cases in Samsun was 35% decline. The bed filling is 62%, the intensive care filling 80%. 40% decline in the number of cases in Hatay. The bed filling is 85%, the intensive care filling 77%. Heavy patient load on Samsun and Hatay is high. Let's obey the measures.</v>
      </c>
    </row>
    <row r="1635" spans="1:5" ht="15.75" customHeight="1" x14ac:dyDescent="0.25">
      <c r="A1635" s="1" t="s">
        <v>3269</v>
      </c>
      <c r="B1635" s="1">
        <v>3806</v>
      </c>
      <c r="C1635" s="3">
        <v>44187.866377314815</v>
      </c>
      <c r="D1635" s="1" t="s">
        <v>3270</v>
      </c>
      <c r="E1635" s="4" t="str">
        <f ca="1">IFERROR(__xludf.DUMMYFUNCTION("GOOGLETRANSLATE(A1635 , ""tr"" , ""en"")"),"In Izmir, the number of daily cases decreased by 30% in the last week. The bed occupancy rate is 57%, 77% of the intensive care occupancy rate. In Trabzon, the number of cases has dropped 25%, the mattress 52%, the intensive care filling 72%. We must cont"&amp;"inue measures in Izmir and Trabzon.")</f>
        <v>In Izmir, the number of daily cases decreased by 30% in the last week. The bed occupancy rate is 57%, 77% of the intensive care occupancy rate. In Trabzon, the number of cases has dropped 25%, the mattress 52%, the intensive care filling 72%. We must continue measures in Izmir and Trabzon.</v>
      </c>
    </row>
    <row r="1636" spans="1:5" ht="15.75" customHeight="1" x14ac:dyDescent="0.25">
      <c r="A1636" s="1" t="s">
        <v>3271</v>
      </c>
      <c r="B1636" s="1">
        <v>6774</v>
      </c>
      <c r="C1636" s="3">
        <v>44187.866377314815</v>
      </c>
      <c r="D1636" s="1" t="s">
        <v>3272</v>
      </c>
      <c r="E1636" s="4" t="str">
        <f ca="1">IFERROR(__xludf.DUMMYFUNCTION("GOOGLETRANSLATE(A1636 , ""tr"" , ""en"")"),"We have addressed the current status of our provinces with our Izmir, Trabzon, Samsun, Hatay Governors, Provincial Health Presidents and Public Health Presidents. In these provinces, the decline in the number of new cases daily began. However, the load of"&amp;" hospitals and intensive care services is still high. https://t.co/dxcı43wlvd")</f>
        <v>We have addressed the current status of our provinces with our Izmir, Trabzon, Samsun, Hatay Governors, Provincial Health Presidents and Public Health Presidents. In these provinces, the decline in the number of new cases daily began. However, the load of hospitals and intensive care services is still high. https://t.co/dxcı43wlvd</v>
      </c>
    </row>
    <row r="1637" spans="1:5" ht="15.75" customHeight="1" x14ac:dyDescent="0.25">
      <c r="A1637" s="1" t="s">
        <v>3273</v>
      </c>
      <c r="B1637" s="1">
        <v>21500</v>
      </c>
      <c r="C1637" s="3">
        <v>44187.770787037036</v>
      </c>
      <c r="D1637" s="1" t="s">
        <v>3274</v>
      </c>
      <c r="E1637" s="4" t="str">
        <f ca="1">IFERROR(__xludf.DUMMYFUNCTION("GOOGLETRANSLATE(A1637 , ""tr"" , ""en"")"),"Thanks to the compliance with restrictions and measures, our case numbers are falling. Although the transmission pathways of the virus began to change. In-house contamination rates rose up to 85%. Measure, the threat should almost focus on there. Let's be"&amp;" cautious to in-domestic contamination.")</f>
        <v>Thanks to the compliance with restrictions and measures, our case numbers are falling. Although the transmission pathways of the virus began to change. In-house contamination rates rose up to 85%. Measure, the threat should almost focus on there. Let's be cautious to in-domestic contamination.</v>
      </c>
    </row>
    <row r="1638" spans="1:5" ht="15.75" customHeight="1" x14ac:dyDescent="0.25">
      <c r="A1638" s="1" t="s">
        <v>3275</v>
      </c>
      <c r="B1638" s="1">
        <v>10483</v>
      </c>
      <c r="C1638" s="3">
        <v>44187.74690972222</v>
      </c>
      <c r="D1638" s="1" t="s">
        <v>3276</v>
      </c>
      <c r="E1638" s="4" t="str">
        <f ca="1">IFERROR(__xludf.DUMMYFUNCTION("GOOGLETRANSLATE(A1638 , ""tr"" , ""en"")"),"They are the blessing suns for the sake of crescent, divergent to homeland. I'm at the Sarıkamis Martyrship with late and gratefully. https://t.co/lvt6cedfjy")</f>
        <v>They are the blessing suns for the sake of crescent, divergent to homeland. I'm at the Sarıkamis Martyrship with late and gratefully. https://t.co/lvt6cedfjy</v>
      </c>
    </row>
    <row r="1639" spans="1:5" ht="15.75" customHeight="1" x14ac:dyDescent="0.25">
      <c r="A1639" s="1" t="s">
        <v>3277</v>
      </c>
      <c r="B1639" s="1">
        <v>9571</v>
      </c>
      <c r="C1639" s="3">
        <v>44187.696018518516</v>
      </c>
      <c r="D1639" s="1" t="s">
        <v>3278</v>
      </c>
      <c r="E1639" s="4" t="str">
        <f ca="1">IFERROR(__xludf.DUMMYFUNCTION("GOOGLETRANSLATE(A1639 , ""tr"" , ""en"")"),"We have 3,309 new patients identified today. The number of severe patients and the number of active cases continues to fall. In this period in which cases decreased, domestic transmission increases. We should obey the measures everywhere. Together to stru"&amp;"ggle together will give you strong sense. https://t.co/rvlhe7786o")</f>
        <v>We have 3,309 new patients identified today. The number of severe patients and the number of active cases continues to fall. In this period in which cases decreased, domestic transmission increases. We should obey the measures everywhere. Together to struggle together will give you strong sense. https://t.co/rvlhe7786o</v>
      </c>
    </row>
    <row r="1640" spans="1:5" ht="15.75" customHeight="1" x14ac:dyDescent="0.25">
      <c r="A1640" s="1" t="s">
        <v>3279</v>
      </c>
      <c r="B1640" s="1">
        <v>15516</v>
      </c>
      <c r="C1640" s="3">
        <v>44187.661493055559</v>
      </c>
      <c r="D1640" s="1" t="s">
        <v>3280</v>
      </c>
      <c r="E1640" s="4" t="str">
        <f ca="1">IFERROR(__xludf.DUMMYFUNCTION("GOOGLETRANSLATE(A1640 , ""tr"" , ""en"")"),"Without the expectation of life, all kinds of life is the heroes of all of us carrying the burden on their back. 22 December #my paramedic. https://t.co/bca8id5epo")</f>
        <v>Without the expectation of life, all kinds of life is the heroes of all of us carrying the burden on their back. 22 December #my paramedic. https://t.co/bca8id5epo</v>
      </c>
    </row>
    <row r="1641" spans="1:5" ht="15.75" customHeight="1" x14ac:dyDescent="0.25">
      <c r="A1641" s="1" t="s">
        <v>3281</v>
      </c>
      <c r="B1641" s="1">
        <v>0</v>
      </c>
      <c r="C1641" s="3">
        <v>44187.62940972222</v>
      </c>
      <c r="D1641" s="1" t="s">
        <v>3282</v>
      </c>
      <c r="E1641" s="4" t="str">
        <f ca="1">IFERROR(__xludf.DUMMYFUNCTION("GOOGLETRANSLATE(A1641 , ""tr"" , ""en"")"),"Rt @emineerdogan: On the occasion of Paramedicians, we met with our paramedics on the presidential healthcare team. Their night, the night ...")</f>
        <v>Rt @emineerdogan: On the occasion of Paramedicians, we met with our paramedics on the presidential healthcare team. Their night, the night ...</v>
      </c>
    </row>
    <row r="1642" spans="1:5" ht="15.75" customHeight="1" x14ac:dyDescent="0.25">
      <c r="A1642" s="1" t="s">
        <v>3283</v>
      </c>
      <c r="B1642" s="1">
        <v>10780</v>
      </c>
      <c r="C1642" s="3">
        <v>44187.428796296299</v>
      </c>
      <c r="D1642" s="1" t="s">
        <v>3284</v>
      </c>
      <c r="E1642" s="4" t="str">
        <f ca="1">IFERROR(__xludf.DUMMYFUNCTION("GOOGLETRANSLATE(A1642 , ""tr"" , ""en"")"),"Mutation in RNA viruses is an expected situation. Our General Directorate of Public Health has regularly scan gene mutation in all virus strains in our country since the beginning of our country. Since September, the examination of the strains seen in our"&amp;" country will be compared in a short time.")</f>
        <v>Mutation in RNA viruses is an expected situation. Our General Directorate of Public Health has regularly scan gene mutation in all virus strains in our country since the beginning of our country. Since September, the examination of the strains seen in our country will be compared in a short time.</v>
      </c>
    </row>
    <row r="1643" spans="1:5" ht="15.75" customHeight="1" x14ac:dyDescent="0.25">
      <c r="A1643" s="1" t="s">
        <v>3285</v>
      </c>
      <c r="B1643" s="1">
        <v>6083</v>
      </c>
      <c r="C1643" s="3">
        <v>44187.227500000001</v>
      </c>
      <c r="D1643" s="1" t="s">
        <v>3286</v>
      </c>
      <c r="E1643" s="4" t="str">
        <f ca="1">IFERROR(__xludf.DUMMYFUNCTION("GOOGLETRANSLATE(A1643 , ""tr"" , ""en"")"),"All passengers from the UK were made from 14 December. 4.603 passenger's information is being transferred to the site by transferring their residences and their stays. PCR tests are carried out in the coordination of our General Health General Directorate"&amp;" of our passengers.")</f>
        <v>All passengers from the UK were made from 14 December. 4.603 passenger's information is being transferred to the site by transferring their residences and their stays. PCR tests are carried out in the coordination of our General Health General Directorate of our passengers.</v>
      </c>
    </row>
    <row r="1644" spans="1:5" ht="15.75" customHeight="1" x14ac:dyDescent="0.25">
      <c r="A1644" s="1" t="s">
        <v>3287</v>
      </c>
      <c r="B1644" s="1">
        <v>6363</v>
      </c>
      <c r="C1644" s="3">
        <v>44187.227488425924</v>
      </c>
      <c r="D1644" s="1" t="s">
        <v>3288</v>
      </c>
      <c r="E1644" s="4" t="str">
        <f ca="1">IFERROR(__xludf.DUMMYFUNCTION("GOOGLETRANSLATE(A1644 , ""tr"" , ""en"")"),"The 335 passenger health controls that are logged in to our country before these countries and PCR test were performed. PCR samples are taken on the 1st and 7th day of the passengers. Even if the tests are negative, all passengers were obtained to isolati"&amp;"on.")</f>
        <v>The 335 passenger health controls that are logged in to our country before these countries and PCR test were performed. PCR samples are taken on the 1st and 7th day of the passengers. Even if the tests are negative, all passengers were obtained to isolation.</v>
      </c>
    </row>
    <row r="1645" spans="1:5" ht="15.75" customHeight="1" x14ac:dyDescent="0.25">
      <c r="A1645" s="1" t="s">
        <v>3289</v>
      </c>
      <c r="B1645" s="1">
        <v>11713</v>
      </c>
      <c r="C1645" s="3">
        <v>44187.227488425924</v>
      </c>
      <c r="D1645" s="1" t="s">
        <v>3290</v>
      </c>
      <c r="E1645" s="4" t="str">
        <f ca="1">IFERROR(__xludf.DUMMYFUNCTION("GOOGLETRANSLATE(A1645 , ""tr"" , ""en"")"),"On the 20th of the Koronavirus mutation, the United Koronavirus mutation was detected in the UK, the United Kingdom, the Netherlands, Denmark and South Africa has been suspended to our country to our country and has announced our measures for passengers i"&amp;"n the air as of that moment.")</f>
        <v>On the 20th of the Koronavirus mutation, the United Koronavirus mutation was detected in the UK, the United Kingdom, the Netherlands, Denmark and South Africa has been suspended to our country to our country and has announced our measures for passengers in the air as of that moment.</v>
      </c>
    </row>
    <row r="1646" spans="1:5" ht="15.75" customHeight="1" x14ac:dyDescent="0.25">
      <c r="A1646" s="1" t="s">
        <v>3291</v>
      </c>
      <c r="B1646" s="1">
        <v>3479</v>
      </c>
      <c r="C1646" s="3">
        <v>44186.919652777775</v>
      </c>
      <c r="D1646" s="1" t="s">
        <v>3292</v>
      </c>
      <c r="E1646" s="4" t="str">
        <f ca="1">IFERROR(__xludf.DUMMYFUNCTION("GOOGLETRANSLATE(A1646 , ""tr"" , ""en"")"),"Kayseri: Case decline is 35%, the mattress 58%, the intensive care filling 67%.
Tekirdag: Case decline 60%, bedding 43%, intensive care filling 59%.")</f>
        <v>Kayseri: Case decline is 35%, the mattress 58%, the intensive care filling 67%.
Tekirdag: Case decline 60%, bedding 43%, intensive care filling 59%.</v>
      </c>
    </row>
    <row r="1647" spans="1:5" ht="15.75" customHeight="1" x14ac:dyDescent="0.25">
      <c r="A1647" s="1" t="s">
        <v>3293</v>
      </c>
      <c r="B1647" s="1">
        <v>3909</v>
      </c>
      <c r="C1647" s="3">
        <v>44186.919641203705</v>
      </c>
      <c r="D1647" s="1" t="s">
        <v>3294</v>
      </c>
      <c r="E1647" s="4" t="str">
        <f ca="1">IFERROR(__xludf.DUMMYFUNCTION("GOOGLETRANSLATE(A1647 , ""tr"" , ""en"")"),"BURSA: The number of daily cases was 50% in the last week. The bed occupancy rate is 55%, the intensive care occupancy rate is 73%.
Konya: Case Fall is 50%, the bedding 52%, the intensive care filling 66%.")</f>
        <v>BURSA: The number of daily cases was 50% in the last week. The bed occupancy rate is 55%, the intensive care occupancy rate is 73%.
Konya: Case Fall is 50%, the bedding 52%, the intensive care filling 66%.</v>
      </c>
    </row>
    <row r="1648" spans="1:5" ht="15.75" customHeight="1" x14ac:dyDescent="0.25">
      <c r="A1648" s="1" t="s">
        <v>3295</v>
      </c>
      <c r="B1648" s="1">
        <v>8611</v>
      </c>
      <c r="C1648" s="3">
        <v>44186.833831018521</v>
      </c>
      <c r="D1648" s="1" t="s">
        <v>3296</v>
      </c>
      <c r="E1648" s="4" t="str">
        <f ca="1">IFERROR(__xludf.DUMMYFUNCTION("GOOGLETRANSLATE(A1648 , ""tr"" , ""en"")"),"In Bursa, Konya, Kayseri, we addressed the measures to the course of the outbreak of the secretion of Tekirdag. Daily case numbers continue to fall. Gives constraints and measures as a result of adaptation. Let's persist in the struggle. https://t.co/yf3k"&amp;"6e2utk")</f>
        <v>In Bursa, Konya, Kayseri, we addressed the measures to the course of the outbreak of the secretion of Tekirdag. Daily case numbers continue to fall. Gives constraints and measures as a result of adaptation. Let's persist in the struggle. https://t.co/yf3k6e2utk</v>
      </c>
    </row>
    <row r="1649" spans="1:5" ht="15.75" customHeight="1" x14ac:dyDescent="0.25">
      <c r="A1649" s="1" t="s">
        <v>3297</v>
      </c>
      <c r="B1649" s="1">
        <v>15066</v>
      </c>
      <c r="C1649" s="3">
        <v>44186.672962962963</v>
      </c>
      <c r="D1649" s="1" t="s">
        <v>3298</v>
      </c>
      <c r="E1649" s="4" t="str">
        <f ca="1">IFERROR(__xludf.DUMMYFUNCTION("GOOGLETRANSLATE(A1649 , ""tr"" , ""en"")"),"We have 3,412 new patients identified today. Our active case and severe patient numbers are reduced. Bed occupancy, intensive care occupancy rate and respiratory occupancy rates continue to fall. We started to get the rules together as a result of complyi"&amp;"ng. https://t.co/rvlhe7786o")</f>
        <v>We have 3,412 new patients identified today. Our active case and severe patient numbers are reduced. Bed occupancy, intensive care occupancy rate and respiratory occupancy rates continue to fall. We started to get the rules together as a result of complying. https://t.co/rvlhe7786o</v>
      </c>
    </row>
    <row r="1650" spans="1:5" ht="15.75" customHeight="1" x14ac:dyDescent="0.25">
      <c r="A1650" s="1" t="s">
        <v>3299</v>
      </c>
      <c r="B1650" s="1">
        <v>54484</v>
      </c>
      <c r="C1650" s="3">
        <v>44185.870833333334</v>
      </c>
      <c r="D1650" s="1" t="s">
        <v>3300</v>
      </c>
      <c r="E1650" s="4" t="str">
        <f ca="1">IFERROR(__xludf.DUMMYFUNCTION("GOOGLETRANSLATE(A1650 , ""tr"" , ""en"")"),"In the scope of the measures taken on UK-welded mutation risk, all passengers will be tested and the quarantine rules will be applied for flights on the road. Measures are carried out with full coordination.")</f>
        <v>In the scope of the measures taken on UK-welded mutation risk, all passengers will be tested and the quarantine rules will be applied for flights on the road. Measures are carried out with full coordination.</v>
      </c>
    </row>
    <row r="1651" spans="1:5" ht="15.75" customHeight="1" x14ac:dyDescent="0.25">
      <c r="A1651" s="1" t="s">
        <v>3301</v>
      </c>
      <c r="B1651" s="1">
        <v>74268</v>
      </c>
      <c r="C1651" s="3">
        <v>44185.8434375</v>
      </c>
      <c r="D1651" s="1" t="s">
        <v>3302</v>
      </c>
      <c r="E1651" s="4" t="str">
        <f ca="1">IFERROR(__xludf.DUMMYFUNCTION("GOOGLETRANSLATE(A1651 , ""tr"" , ""en"")"),"In the UK with the mutation of the coronavirus, the transition speed has been reported. The instruction of our President is the coordination of our Ministry of Transport and Infrastructure; The British, Denmark, the Netherlands and South Africa have been "&amp;"decided to stop temporarily on our country flights.")</f>
        <v>In the UK with the mutation of the coronavirus, the transition speed has been reported. The instruction of our President is the coordination of our Ministry of Transport and Infrastructure; The British, Denmark, the Netherlands and South Africa have been decided to stop temporarily on our country flights.</v>
      </c>
    </row>
    <row r="1652" spans="1:5" ht="15.75" customHeight="1" x14ac:dyDescent="0.25">
      <c r="A1652" s="1" t="s">
        <v>3303</v>
      </c>
      <c r="B1652" s="1">
        <v>6990</v>
      </c>
      <c r="C1652" s="3">
        <v>44185.841747685183</v>
      </c>
      <c r="D1652" s="1" t="s">
        <v>3304</v>
      </c>
      <c r="E1652" s="4" t="str">
        <f ca="1">IFERROR(__xludf.DUMMYFUNCTION("GOOGLETRANSLATE(A1652 , ""tr"" , ""en"")"),"The world's best physicians are Turkish physicians. The patient is not one of the Turkish physicians, the Turkish physicians, the nurses, patient caregivers.")</f>
        <v>The world's best physicians are Turkish physicians. The patient is not one of the Turkish physicians, the Turkish physicians, the nurses, patient caregivers.</v>
      </c>
    </row>
    <row r="1653" spans="1:5" ht="15.75" customHeight="1" x14ac:dyDescent="0.25">
      <c r="A1653" s="1" t="s">
        <v>3305</v>
      </c>
      <c r="B1653" s="1">
        <v>5176</v>
      </c>
      <c r="C1653" s="3">
        <v>44185.841736111113</v>
      </c>
      <c r="D1653" s="1" t="s">
        <v>3306</v>
      </c>
      <c r="E1653" s="4" t="str">
        <f ca="1">IFERROR(__xludf.DUMMYFUNCTION("GOOGLETRANSLATE(A1653 , ""tr"" , ""en"")"),"Our health infrastructure is better than many European countries.")</f>
        <v>Our health infrastructure is better than many European countries.</v>
      </c>
    </row>
    <row r="1654" spans="1:5" ht="15.75" customHeight="1" x14ac:dyDescent="0.25">
      <c r="A1654" s="1" t="s">
        <v>3307</v>
      </c>
      <c r="B1654" s="1">
        <v>388</v>
      </c>
      <c r="C1654" s="3">
        <v>44185.841736111113</v>
      </c>
      <c r="D1654" s="1" t="s">
        <v>3308</v>
      </c>
      <c r="E1654" s="4" t="str">
        <f ca="1">IFERROR(__xludf.DUMMYFUNCTION("GOOGLETRANSLATE(A1654 , ""tr"" , ""en"")"),"In detecting our cases, in detecting contacts, I would like to ask this question again by looking into the eyes of our health workers in the follow-up and treatment of patients.")</f>
        <v>In detecting our cases, in detecting contacts, I would like to ask this question again by looking into the eyes of our health workers in the follow-up and treatment of patients.</v>
      </c>
    </row>
    <row r="1655" spans="1:5" ht="15.75" customHeight="1" x14ac:dyDescent="0.25">
      <c r="A1655" s="1" t="s">
        <v>3309</v>
      </c>
      <c r="B1655" s="1">
        <v>461</v>
      </c>
      <c r="C1655" s="3">
        <v>44185.841736111113</v>
      </c>
      <c r="D1655" s="1" t="s">
        <v>3310</v>
      </c>
      <c r="E1655" s="4" t="str">
        <f ca="1">IFERROR(__xludf.DUMMYFUNCTION("GOOGLETRANSLATE(A1655 , ""tr"" , ""en"")"),"By sad, we see some of our politicians, our journalists, our friends who are served in non-governmental organizations are evaluated by the name of the criticism.")</f>
        <v>By sad, we see some of our politicians, our journalists, our friends who are served in non-governmental organizations are evaluated by the name of the criticism.</v>
      </c>
    </row>
    <row r="1656" spans="1:5" ht="15.75" customHeight="1" x14ac:dyDescent="0.25">
      <c r="A1656" s="1" t="s">
        <v>3311</v>
      </c>
      <c r="B1656" s="1">
        <v>507</v>
      </c>
      <c r="C1656" s="3">
        <v>44185.841724537036</v>
      </c>
      <c r="D1656" s="1" t="s">
        <v>3312</v>
      </c>
      <c r="E1656" s="4" t="str">
        <f ca="1">IFERROR(__xludf.DUMMYFUNCTION("GOOGLETRANSLATE(A1656 , ""tr"" , ""en"")"),"No one has the right to consume the hopes of society and to make comments to push pessimism. We explain the number of patients regardless of the number of cases. Whereas many countries do not explain. Therefore, we do not know more of the country's patien"&amp;"t.")</f>
        <v>No one has the right to consume the hopes of society and to make comments to push pessimism. We explain the number of patients regardless of the number of cases. Whereas many countries do not explain. Therefore, we do not know more of the country's patient.</v>
      </c>
    </row>
    <row r="1657" spans="1:5" ht="15.75" customHeight="1" x14ac:dyDescent="0.25">
      <c r="A1657" s="1" t="s">
        <v>3313</v>
      </c>
      <c r="B1657" s="1">
        <v>474</v>
      </c>
      <c r="C1657" s="3">
        <v>44185.841724537036</v>
      </c>
      <c r="D1657" s="1" t="s">
        <v>3314</v>
      </c>
      <c r="E1657" s="4" t="str">
        <f ca="1">IFERROR(__xludf.DUMMYFUNCTION("GOOGLETRANSLATE(A1657 , ""tr"" , ""en"")"),"Since the first day, we must be struggled with the epidemic disease, and we stated that the ferd of society should not keep itself out of this struggle.")</f>
        <v>Since the first day, we must be struggled with the epidemic disease, and we stated that the ferd of society should not keep itself out of this struggle.</v>
      </c>
    </row>
    <row r="1658" spans="1:5" ht="15.75" customHeight="1" x14ac:dyDescent="0.25">
      <c r="A1658" s="1" t="s">
        <v>3315</v>
      </c>
      <c r="B1658" s="1">
        <v>9909</v>
      </c>
      <c r="C1658" s="3">
        <v>44185.764293981483</v>
      </c>
      <c r="D1658" s="1" t="s">
        <v>3316</v>
      </c>
      <c r="E1658" s="4" t="str">
        <f ca="1">IFERROR(__xludf.DUMMYFUNCTION("GOOGLETRANSLATE(A1658 , ""tr"" , ""en"")"),"The epidemic is your partner in common. The trust of our health system should be kept away from the insemble impacts to shake. Let's stop seeing ourselves and proud of our nation and his son. https://t.co/k3ouro8vv0")</f>
        <v>The epidemic is your partner in common. The trust of our health system should be kept away from the insemble impacts to shake. Let's stop seeing ourselves and proud of our nation and his son. https://t.co/k3ouro8vv0</v>
      </c>
    </row>
    <row r="1659" spans="1:5" ht="15.75" customHeight="1" x14ac:dyDescent="0.25">
      <c r="A1659" s="1" t="s">
        <v>3317</v>
      </c>
      <c r="B1659" s="1">
        <v>14768</v>
      </c>
      <c r="C1659" s="3">
        <v>44185.67564814815</v>
      </c>
      <c r="D1659" s="1" t="s">
        <v>3318</v>
      </c>
      <c r="E1659" s="4" t="str">
        <f ca="1">IFERROR(__xludf.DUMMYFUNCTION("GOOGLETRANSLATE(A1659 , ""tr"" , ""en"")"),"We have 3,546 new patients identified today. Our severe patient and active case count continues to fall. Measures and restrictions give a result. We believe that we will get more pronounced results. We can achieve this together. Struggling together is str"&amp;"onger than the virus https://t.co/rvlhe7786o")</f>
        <v>We have 3,546 new patients identified today. Our severe patient and active case count continues to fall. Measures and restrictions give a result. We believe that we will get more pronounced results. We can achieve this together. Struggling together is stronger than the virus https://t.co/rvlhe7786o</v>
      </c>
    </row>
    <row r="1660" spans="1:5" ht="15.75" customHeight="1" x14ac:dyDescent="0.25">
      <c r="A1660" s="1" t="s">
        <v>3319</v>
      </c>
      <c r="B1660" s="1">
        <v>6038</v>
      </c>
      <c r="C1660" s="3">
        <v>44185.581516203703</v>
      </c>
      <c r="D1660" s="1" t="s">
        <v>3320</v>
      </c>
      <c r="E1660" s="4" t="str">
        <f ca="1">IFERROR(__xludf.DUMMYFUNCTION("GOOGLETRANSLATE(A1660 , ""tr"" , ""en"")"),"In Gaziantep, the elimental experienced in our private hospital is examined as an administrative and judicial. This Hadise is not useful to establish unreal relationships between the authorities and responsibilities of our Ministry. https://t.co/xznekkrta"&amp;"k")</f>
        <v>In Gaziantep, the elimental experienced in our private hospital is examined as an administrative and judicial. This Hadise is not useful to establish unreal relationships between the authorities and responsibilities of our Ministry. https://t.co/xznekkrtak</v>
      </c>
    </row>
    <row r="1661" spans="1:5" ht="15.75" customHeight="1" x14ac:dyDescent="0.25">
      <c r="A1661" s="1" t="s">
        <v>3321</v>
      </c>
      <c r="B1661" s="1">
        <v>0</v>
      </c>
      <c r="C1661" s="3">
        <v>44184.913935185185</v>
      </c>
      <c r="D1661" s="1" t="s">
        <v>3322</v>
      </c>
      <c r="E1661" s="4" t="str">
        <f ca="1">IFERROR(__xludf.DUMMYFUNCTION("GOOGLETRANSLATE(A1661 , ""tr"" , ""en"")"),"RT @hans_kluge: We wish the hidden health, wounded to those who lost their life as a result of the sad accident in Gaziantep.
We extend our ...")</f>
        <v>RT @hans_kluge: We wish the hidden health, wounded to those who lost their life as a result of the sad accident in Gaziantep.
We extend our ...</v>
      </c>
    </row>
    <row r="1662" spans="1:5" ht="15.75" customHeight="1" x14ac:dyDescent="0.25">
      <c r="A1662" s="1" t="s">
        <v>3323</v>
      </c>
      <c r="B1662" s="1">
        <v>13493</v>
      </c>
      <c r="C1662" s="3">
        <v>44184.792569444442</v>
      </c>
      <c r="D1662" s="1" t="s">
        <v>3324</v>
      </c>
      <c r="E1662" s="4" t="str">
        <f ca="1">IFERROR(__xludf.DUMMYFUNCTION("GOOGLETRANSLATE(A1662 , ""tr"" , ""en"")"),"Due to the sad event that occurs in Gaziantep, our patient has lost its life in the hospital. Our life loss increased to 10. I wish more than Allah in As Allah, I wish their condolences.")</f>
        <v>Due to the sad event that occurs in Gaziantep, our patient has lost its life in the hospital. Our life loss increased to 10. I wish more than Allah in As Allah, I wish their condolences.</v>
      </c>
    </row>
    <row r="1663" spans="1:5" ht="15.75" customHeight="1" x14ac:dyDescent="0.25">
      <c r="A1663" s="1" t="s">
        <v>3325</v>
      </c>
      <c r="B1663" s="1">
        <v>6541</v>
      </c>
      <c r="C1663" s="3">
        <v>44184.708958333336</v>
      </c>
      <c r="D1663" s="1" t="s">
        <v>3326</v>
      </c>
      <c r="E1663" s="4" t="str">
        <f ca="1">IFERROR(__xludf.DUMMYFUNCTION("GOOGLETRANSLATE(A1663 , ""tr"" , ""en"")"),"Our Minister of Justice, Minister, Deputies, MPs, Gaziantep Validia, Metropolitan Mayor, Provincial Health Manager and the participation of our vacancies; We evaluated the epidemic course of our province and the measures taken. https://t.co/ppc55uh9bl")</f>
        <v>Our Minister of Justice, Minister, Deputies, MPs, Gaziantep Validia, Metropolitan Mayor, Provincial Health Manager and the participation of our vacancies; We evaluated the epidemic course of our province and the measures taken. https://t.co/ppc55uh9bl</v>
      </c>
    </row>
    <row r="1664" spans="1:5" ht="15.75" customHeight="1" x14ac:dyDescent="0.25">
      <c r="A1664" s="1" t="s">
        <v>3327</v>
      </c>
      <c r="B1664" s="1">
        <v>10734</v>
      </c>
      <c r="C1664" s="3">
        <v>44184.685046296298</v>
      </c>
      <c r="D1664" s="1" t="s">
        <v>3328</v>
      </c>
      <c r="E1664" s="4" t="str">
        <f ca="1">IFERROR(__xludf.DUMMYFUNCTION("GOOGLETRANSLATE(A1664 , ""tr"" , ""en"")"),"We have 4,002 new patients identified today. Our severe patient and active case count continues to fall. We see the effect of measures and restrictions. We expect more pronounced results in the days ahead. Outbreaks can only be struggled together. https:/"&amp;"/t.co/rvlhe7786o")</f>
        <v>We have 4,002 new patients identified today. Our severe patient and active case count continues to fall. We see the effect of measures and restrictions. We expect more pronounced results in the days ahead. Outbreaks can only be struggled together. https://t.co/rvlhe7786o</v>
      </c>
    </row>
    <row r="1665" spans="1:5" ht="15.75" customHeight="1" x14ac:dyDescent="0.25">
      <c r="A1665" s="1" t="s">
        <v>3329</v>
      </c>
      <c r="B1665" s="1">
        <v>8337</v>
      </c>
      <c r="C1665" s="3">
        <v>44184.644780092596</v>
      </c>
      <c r="D1665" s="1" t="s">
        <v>3330</v>
      </c>
      <c r="E1665" s="4" t="str">
        <f ca="1">IFERROR(__xludf.DUMMYFUNCTION("GOOGLETRANSLATE(A1665 , ""tr"" , ""en"")"),"In Gaziantep, we have received information in the hospital investigations in the hospital in which it is experienced by the win. We have visited our friends who are affected by the incident during intervention and we have visited our friends. https://t.co"&amp;"/ezqxedluh8")</f>
        <v>In Gaziantep, we have received information in the hospital investigations in the hospital in which it is experienced by the win. We have visited our friends who are affected by the incident during intervention and we have visited our friends. https://t.co/ezqxedluh8</v>
      </c>
    </row>
    <row r="1666" spans="1:5" ht="15.75" customHeight="1" x14ac:dyDescent="0.25">
      <c r="A1666" s="1" t="s">
        <v>3331</v>
      </c>
      <c r="B1666" s="1">
        <v>15585</v>
      </c>
      <c r="C1666" s="3">
        <v>44184.591782407406</v>
      </c>
      <c r="D1666" s="1" t="s">
        <v>3332</v>
      </c>
      <c r="E1666" s="4" t="str">
        <f ca="1">IFERROR(__xludf.DUMMYFUNCTION("GOOGLETRANSLATE(A1666 , ""tr"" , ""en"")"),"We are in Gaziantep to review the sad event in place and to follow the process closely. https://t.co/5wbrhugevj")</f>
        <v>We are in Gaziantep to review the sad event in place and to follow the process closely. https://t.co/5wbrhugevj</v>
      </c>
    </row>
    <row r="1667" spans="1:5" ht="15.75" customHeight="1" x14ac:dyDescent="0.25">
      <c r="A1667" s="1" t="s">
        <v>3333</v>
      </c>
      <c r="B1667" s="1">
        <v>17218</v>
      </c>
      <c r="C1667" s="3">
        <v>44184.377152777779</v>
      </c>
      <c r="D1667" s="1" t="s">
        <v>3334</v>
      </c>
      <c r="E1667" s="4" t="str">
        <f ca="1">IFERROR(__xludf.DUMMYFUNCTION("GOOGLETRANSLATE(A1667 , ""tr"" , ""en"")"),"The event of the intensive care unit in Gaziantep has made us all upset. The passage of the passage was 9. Other patients affected by fire 112 were transported to hospitals by our emergency teams. I wish the passers mercy from Allah. We follow the event c"&amp;"losely.")</f>
        <v>The event of the intensive care unit in Gaziantep has made us all upset. The passage of the passage was 9. Other patients affected by fire 112 were transported to hospitals by our emergency teams. I wish the passers mercy from Allah. We follow the event closely.</v>
      </c>
    </row>
    <row r="1668" spans="1:5" ht="15.75" customHeight="1" x14ac:dyDescent="0.25">
      <c r="A1668" s="1" t="s">
        <v>3335</v>
      </c>
      <c r="B1668" s="1">
        <v>5295</v>
      </c>
      <c r="C1668" s="3">
        <v>44183.833483796298</v>
      </c>
      <c r="D1668" s="1" t="s">
        <v>3336</v>
      </c>
      <c r="E1668" s="4" t="str">
        <f ca="1">IFERROR(__xludf.DUMMYFUNCTION("GOOGLETRANSLATE(A1668 , ""tr"" , ""en"")"),"Today, we evaluated the status of our provinces in close-plan Mersin, Diyarbakır, Trabzon, Antalya and Kocaeli. The early results of our struggle were taken to be taken. Continue to fight without breaks. https://t.co/rnfnzp0t9f")</f>
        <v>Today, we evaluated the status of our provinces in close-plan Mersin, Diyarbakır, Trabzon, Antalya and Kocaeli. The early results of our struggle were taken to be taken. Continue to fight without breaks. https://t.co/rnfnzp0t9f</v>
      </c>
    </row>
    <row r="1669" spans="1:5" ht="15.75" customHeight="1" x14ac:dyDescent="0.25">
      <c r="A1669" s="1" t="s">
        <v>3337</v>
      </c>
      <c r="B1669" s="1">
        <v>4470</v>
      </c>
      <c r="C1669" s="3">
        <v>44183.796122685184</v>
      </c>
      <c r="D1669" s="1" t="s">
        <v>3338</v>
      </c>
      <c r="E1669" s="4" t="str">
        <f ca="1">IFERROR(__xludf.DUMMYFUNCTION("GOOGLETRANSLATE(A1669 , ""tr"" , ""en"")"),"Today, ""Human Medical Products published in the Official Gazette has been seen to spread insufficient information about the regulation on the regulation on the licensing regulation. This is an arrangement, especially for our native vaccine candidates and"&amp;" all vaccines to be used in our country. https://t.co/cvn837jvfb")</f>
        <v>Today, "Human Medical Products published in the Official Gazette has been seen to spread insufficient information about the regulation on the regulation on the licensing regulation. This is an arrangement, especially for our native vaccine candidates and all vaccines to be used in our country. https://t.co/cvn837jvfb</v>
      </c>
    </row>
    <row r="1670" spans="1:5" ht="15.75" customHeight="1" x14ac:dyDescent="0.25">
      <c r="A1670" s="1" t="s">
        <v>3339</v>
      </c>
      <c r="B1670" s="1">
        <v>10168</v>
      </c>
      <c r="C1670" s="3">
        <v>44183.726261574076</v>
      </c>
      <c r="D1670" s="1" t="s">
        <v>3340</v>
      </c>
      <c r="E1670" s="4" t="str">
        <f ca="1">IFERROR(__xludf.DUMMYFUNCTION("GOOGLETRANSLATE(A1670 , ""tr"" , ""en"")"),"We have 4,103 new patients identified today. Our severe patient count continues to fall. Our active case count has begun to decrease. We expect measures to show more of the effect from this weekend. Let's continue without a break to the challenge. https:/"&amp;"/t.co/rvlhe7786o")</f>
        <v>We have 4,103 new patients identified today. Our severe patient count continues to fall. Our active case count has begun to decrease. We expect measures to show more of the effect from this weekend. Let's continue without a break to the challenge. https://t.co/rvlhe7786o</v>
      </c>
    </row>
    <row r="1671" spans="1:5" ht="15.75" customHeight="1" x14ac:dyDescent="0.25">
      <c r="A1671" s="1" t="s">
        <v>3341</v>
      </c>
      <c r="B1671" s="1">
        <v>3858</v>
      </c>
      <c r="C1671" s="3">
        <v>44183.689884259256</v>
      </c>
      <c r="D1671" s="1" t="s">
        <v>3342</v>
      </c>
      <c r="E1671" s="4" t="str">
        <f ca="1">IFERROR(__xludf.DUMMYFUNCTION("GOOGLETRANSLATE(A1671 , ""tr"" , ""en"")"),"Compliance with the measures and the struggle began to give the results. However, despite the total daily decline in the last days, the contamination rate in the last days rose. Let's not leave the measures while staying at home. Let's move on with the st"&amp;"ruggle together and without a break.")</f>
        <v>Compliance with the measures and the struggle began to give the results. However, despite the total daily decline in the last days, the contamination rate in the last days rose. Let's not leave the measures while staying at home. Let's move on with the struggle together and without a break.</v>
      </c>
    </row>
    <row r="1672" spans="1:5" ht="15.75" customHeight="1" x14ac:dyDescent="0.25">
      <c r="A1672" s="1" t="s">
        <v>3343</v>
      </c>
      <c r="B1672" s="1">
        <v>3936</v>
      </c>
      <c r="C1672" s="3">
        <v>44183.689884259256</v>
      </c>
      <c r="D1672" s="1" t="s">
        <v>3344</v>
      </c>
      <c r="E1672" s="4" t="str">
        <f ca="1">IFERROR(__xludf.DUMMYFUNCTION("GOOGLETRANSLATE(A1672 , ""tr"" , ""en"")"),"About 30% in the polyclinics and 15% in hospitalization was 10% in intensive care and 10 percent decrease. The bed occupancy rate is 55%, the intensive care occupancy rate is 65%. Our fillion teams removed from 658 to 1934 are the common contact scan.")</f>
        <v>About 30% in the polyclinics and 15% in hospitalization was 10% in intensive care and 10 percent decrease. The bed occupancy rate is 55%, the intensive care occupancy rate is 65%. Our fillion teams removed from 658 to 1934 are the common contact scan.</v>
      </c>
    </row>
    <row r="1673" spans="1:5" ht="15.75" customHeight="1" x14ac:dyDescent="0.25">
      <c r="A1673" s="1" t="s">
        <v>3345</v>
      </c>
      <c r="B1673" s="1">
        <v>6437</v>
      </c>
      <c r="C1673" s="3">
        <v>44183.689872685187</v>
      </c>
      <c r="D1673" s="1" t="s">
        <v>3346</v>
      </c>
      <c r="E1673" s="4" t="str">
        <f ca="1">IFERROR(__xludf.DUMMYFUNCTION("GOOGLETRANSLATE(A1673 , ""tr"" , ""en"")"),"We have made our assessment of routine in Istanbul with our provincial health managers and hospital heads. The effect of measures was to be seen. The reduction in the number of positive cases in the last week has found 20%. We have seen the reflection of "&amp;"this in our hospitals. https://t.co/lml3nebugq")</f>
        <v>We have made our assessment of routine in Istanbul with our provincial health managers and hospital heads. The effect of measures was to be seen. The reduction in the number of positive cases in the last week has found 20%. We have seen the reflection of this in our hospitals. https://t.co/lml3nebugq</v>
      </c>
    </row>
    <row r="1674" spans="1:5" ht="15.75" customHeight="1" x14ac:dyDescent="0.25">
      <c r="A1674" s="1" t="s">
        <v>3347</v>
      </c>
      <c r="B1674" s="1">
        <v>19911</v>
      </c>
      <c r="C1674" s="3">
        <v>44182.890034722222</v>
      </c>
      <c r="D1674" s="1" t="s">
        <v>3348</v>
      </c>
      <c r="E1674" s="4" t="str">
        <f ca="1">IFERROR(__xludf.DUMMYFUNCTION("GOOGLETRANSLATE(A1674 , ""tr"" , ""en"")"),"In Samsun Bafra State Hospital, an attacker was arrested with the knife at the beginning of a doctor's task. It cannot be explained to attack our health workers who counted their dear. We will continue to struggle violently.")</f>
        <v>In Samsun Bafra State Hospital, an attacker was arrested with the knife at the beginning of a doctor's task. It cannot be explained to attack our health workers who counted their dear. We will continue to struggle violently.</v>
      </c>
    </row>
    <row r="1675" spans="1:5" ht="15.75" customHeight="1" x14ac:dyDescent="0.25">
      <c r="A1675" s="1" t="s">
        <v>3349</v>
      </c>
      <c r="B1675" s="1">
        <v>9662</v>
      </c>
      <c r="C1675" s="3">
        <v>44182.849074074074</v>
      </c>
      <c r="D1675" s="1" t="s">
        <v>3350</v>
      </c>
      <c r="E1675" s="4" t="str">
        <f ca="1">IFERROR(__xludf.DUMMYFUNCTION("GOOGLETRANSLATE(A1675 , ""tr"" , ""en"")"),"The call of love is in the 747th in the 747th in the 747th year of the Vuslam as a rental fellowship to the world from Konya. https://t.co/dma6a1ruqb")</f>
        <v>The call of love is in the 747th in the 747th in the 747th year of the Vuslam as a rental fellowship to the world from Konya. https://t.co/dma6a1ruqb</v>
      </c>
    </row>
    <row r="1676" spans="1:5" ht="15.75" customHeight="1" x14ac:dyDescent="0.25">
      <c r="A1676" s="1" t="s">
        <v>3351</v>
      </c>
      <c r="B1676" s="1">
        <v>6104</v>
      </c>
      <c r="C1676" s="3">
        <v>44182.752650462964</v>
      </c>
      <c r="D1676" s="1" t="s">
        <v>3352</v>
      </c>
      <c r="E1676" s="4" t="str">
        <f ca="1">IFERROR(__xludf.DUMMYFUNCTION("GOOGLETRANSLATE(A1676 , ""tr"" , ""en"")"),"Sportsmen is young
The virus does not separate the young old, even the smallest carelessness is able to infect. Let's keep our health and social lives by complying with the measures. https://t.co/xr4vtdxo3g")</f>
        <v>Sportsmen is young
The virus does not separate the young old, even the smallest carelessness is able to infect. Let's keep our health and social lives by complying with the measures. https://t.co/xr4vtdxo3g</v>
      </c>
    </row>
    <row r="1677" spans="1:5" ht="15.75" customHeight="1" x14ac:dyDescent="0.25">
      <c r="A1677" s="1" t="s">
        <v>3353</v>
      </c>
      <c r="B1677" s="1">
        <v>6542</v>
      </c>
      <c r="C1677" s="3">
        <v>44182.681168981479</v>
      </c>
      <c r="D1677" s="1" t="s">
        <v>3354</v>
      </c>
      <c r="E1677" s="4" t="str">
        <f ca="1">IFERROR(__xludf.DUMMYFUNCTION("GOOGLETRANSLATE(A1677 , ""tr"" , ""en"")"),"Hatay, Adana, Samsun and Izmir are close to our pursuit. Efforts give the result. The days we will win together are not far away. https://t.co/Izi7gz9vbb")</f>
        <v>Hatay, Adana, Samsun and Izmir are close to our pursuit. Efforts give the result. The days we will win together are not far away. https://t.co/Izi7gz9vbb</v>
      </c>
    </row>
    <row r="1678" spans="1:5" ht="15.75" customHeight="1" x14ac:dyDescent="0.25">
      <c r="A1678" s="1" t="s">
        <v>3355</v>
      </c>
      <c r="B1678" s="1">
        <v>11645</v>
      </c>
      <c r="C1678" s="3">
        <v>44182.670671296299</v>
      </c>
      <c r="D1678" s="1" t="s">
        <v>3356</v>
      </c>
      <c r="E1678" s="4" t="str">
        <f ca="1">IFERROR(__xludf.DUMMYFUNCTION("GOOGLETRANSLATE(A1678 , ""tr"" , ""en"")"),"We have 4,209 patients identified today. Our severe patient count fell after a long break. The active number of patients continues to decrease. Measures and restrictions began to give a result. We are ours to make this constantly. Let's struggle until the"&amp;" result https://t.co/rvlhe7oIYM")</f>
        <v>We have 4,209 patients identified today. Our severe patient count fell after a long break. The active number of patients continues to decrease. Measures and restrictions began to give a result. We are ours to make this constantly. Let's struggle until the result https://t.co/rvlhe7oIYM</v>
      </c>
    </row>
    <row r="1679" spans="1:5" ht="15.75" customHeight="1" x14ac:dyDescent="0.25">
      <c r="A1679" s="1" t="s">
        <v>3357</v>
      </c>
      <c r="B1679" s="1">
        <v>29288</v>
      </c>
      <c r="C1679" s="3">
        <v>44182.561400462961</v>
      </c>
      <c r="D1679" s="1" t="s">
        <v>3358</v>
      </c>
      <c r="E1679" s="4" t="str">
        <f ca="1">IFERROR(__xludf.DUMMYFUNCTION("GOOGLETRANSLATE(A1679 , ""tr"" , ""en"")"),"Antalya was removed from the official position of the Kumluca State Hospital. About Discipline Investigation The Convention on the Convention of the Property is terminated to terminate the duty. It is impossible to accept such behavior. https://t.co/q28jf"&amp;"wq3q3")</f>
        <v>Antalya was removed from the official position of the Kumluca State Hospital. About Discipline Investigation The Convention on the Convention of the Property is terminated to terminate the duty. It is impossible to accept such behavior. https://t.co/q28jfwq3q3</v>
      </c>
    </row>
    <row r="1680" spans="1:5" ht="15.75" customHeight="1" x14ac:dyDescent="0.25">
      <c r="A1680" s="1" t="s">
        <v>3359</v>
      </c>
      <c r="B1680" s="1">
        <v>5013</v>
      </c>
      <c r="C1680" s="3">
        <v>44182.538854166669</v>
      </c>
      <c r="D1680" s="1" t="s">
        <v>3360</v>
      </c>
      <c r="E1680" s="4" t="str">
        <f ca="1">IFERROR(__xludf.DUMMYFUNCTION("GOOGLETRANSLATE(A1680 , ""tr"" , ""en"")"),"Our public and private health sector gave a successful examination in the struggle of pandemia. Patient preferring statements in developed countries have not been experienced in our country. I am sure that all of our public and private health institutions"&amp;" that do not refrain from sacrifice to date are also required on the vaccination. https://t.co/onklxn6mog")</f>
        <v>Our public and private health sector gave a successful examination in the struggle of pandemia. Patient preferring statements in developed countries have not been experienced in our country. I am sure that all of our public and private health institutions that do not refrain from sacrifice to date are also required on the vaccination. https://t.co/onklxn6mog</v>
      </c>
    </row>
    <row r="1681" spans="1:5" ht="15.75" customHeight="1" x14ac:dyDescent="0.25">
      <c r="A1681" s="1" t="s">
        <v>3361</v>
      </c>
      <c r="B1681" s="1">
        <v>9387</v>
      </c>
      <c r="C1681" s="3">
        <v>44181.923055555555</v>
      </c>
      <c r="D1681" s="1" t="s">
        <v>3362</v>
      </c>
      <c r="E1681" s="4" t="str">
        <f ca="1">IFERROR(__xludf.DUMMYFUNCTION("GOOGLETRANSLATE(A1681 , ""tr"" , ""en"")"),"In a period where COVID-19 vaccine preparations are the most intense, we have received the country of being the country in which the disease was eliminated by the diseases that are prevented by vaccine by the WHO. We are determined to show the same succes"&amp;"s in COVID-19 struggle. https://t.co/37k5aoqcb7")</f>
        <v>In a period where COVID-19 vaccine preparations are the most intense, we have received the country of being the country in which the disease was eliminated by the diseases that are prevented by vaccine by the WHO. We are determined to show the same success in COVID-19 struggle. https://t.co/37k5aoqcb7</v>
      </c>
    </row>
    <row r="1682" spans="1:5" ht="15.75" customHeight="1" x14ac:dyDescent="0.25">
      <c r="A1682" s="1" t="s">
        <v>3363</v>
      </c>
      <c r="B1682" s="1">
        <v>16538</v>
      </c>
      <c r="C1682" s="3">
        <v>44181.691562499997</v>
      </c>
      <c r="D1682" s="1" t="s">
        <v>3364</v>
      </c>
      <c r="E1682" s="4" t="str">
        <f ca="1">IFERROR(__xludf.DUMMYFUNCTION("GOOGLETRANSLATE(A1682 , ""tr"" , ""en"")"),"We have 4,893 patients identified today. Our daily patient has been falling in a while. Today, after a long break, the number of daily recovery has passed the number of new cases. Our active patient count has fallen after a long break. Let's protect our l"&amp;"oved ones by https://t.co/rvlhe7786o")</f>
        <v>We have 4,893 patients identified today. Our daily patient has been falling in a while. Today, after a long break, the number of daily recovery has passed the number of new cases. Our active patient count has fallen after a long break. Let's protect our loved ones by https://t.co/rvlhe7786o</v>
      </c>
    </row>
    <row r="1683" spans="1:5" ht="15.75" customHeight="1" x14ac:dyDescent="0.25">
      <c r="A1683" s="1" t="s">
        <v>3365</v>
      </c>
      <c r="B1683" s="1">
        <v>18749</v>
      </c>
      <c r="C1683" s="3">
        <v>44180.914097222223</v>
      </c>
      <c r="D1683" s="1" t="s">
        <v>3366</v>
      </c>
      <c r="E1683" s="4" t="str">
        <f ca="1">IFERROR(__xludf.DUMMYFUNCTION("GOOGLETRANSLATE(A1683 , ""tr"" , ""en"")"),"In our Ministry, 12 thousand contracted medical staff were disclosed. Results have been released from ÖSYM's site. New assignments will add us to us. Congratulations.")</f>
        <v>In our Ministry, 12 thousand contracted medical staff were disclosed. Results have been released from ÖSYM's site. New assignments will add us to us. Congratulations.</v>
      </c>
    </row>
    <row r="1684" spans="1:5" ht="15.75" customHeight="1" x14ac:dyDescent="0.25">
      <c r="A1684" s="1" t="s">
        <v>3367</v>
      </c>
      <c r="B1684" s="1">
        <v>7605</v>
      </c>
      <c r="C1684" s="3">
        <v>44180.833912037036</v>
      </c>
      <c r="D1684" s="1" t="s">
        <v>3368</v>
      </c>
      <c r="E1684" s="4" t="str">
        <f ca="1">IFERROR(__xludf.DUMMYFUNCTION("GOOGLETRANSLATE(A1684 , ""tr"" , ""en"")"),"The large crowds such as condolences are a great threat to everyone's health involved. Conform to the measures is the security of our health and social life. https://t.co/b1n4rghwlh")</f>
        <v>The large crowds such as condolences are a great threat to everyone's health involved. Conform to the measures is the security of our health and social life. https://t.co/b1n4rghwlh</v>
      </c>
    </row>
    <row r="1685" spans="1:5" ht="15.75" customHeight="1" x14ac:dyDescent="0.25">
      <c r="A1685" s="1" t="s">
        <v>3369</v>
      </c>
      <c r="B1685" s="1">
        <v>12838</v>
      </c>
      <c r="C1685" s="3">
        <v>44180.712569444448</v>
      </c>
      <c r="D1685" s="1" t="s">
        <v>3370</v>
      </c>
      <c r="E1685" s="4" t="str">
        <f ca="1">IFERROR(__xludf.DUMMYFUNCTION("GOOGLETRANSLATE(A1685 , ""tr"" , ""en"")"),"We have 5,105 new patients identified today. Our severe patient count is still static. We have to reduce our losses. Let's keep our loved ones by standing off and off the crowded environments. https://t.co/rvlhe7786o")</f>
        <v>We have 5,105 new patients identified today. Our severe patient count is still static. We have to reduce our losses. Let's keep our loved ones by standing off and off the crowded environments. https://t.co/rvlhe7786o</v>
      </c>
    </row>
    <row r="1686" spans="1:5" ht="15.75" customHeight="1" x14ac:dyDescent="0.25">
      <c r="A1686" s="1" t="s">
        <v>3371</v>
      </c>
      <c r="B1686" s="1">
        <v>7636</v>
      </c>
      <c r="C1686" s="3">
        <v>44179.858310185184</v>
      </c>
      <c r="D1686" s="1" t="s">
        <v>3372</v>
      </c>
      <c r="E1686" s="4" t="str">
        <f ca="1">IFERROR(__xludf.DUMMYFUNCTION("GOOGLETRANSLATE(A1686 , ""tr"" , ""en"")"),"Let's not take measures in our relations with our close environment. The epidemic continues to separate us from our relatives. https://t.co/kapuzkr25p")</f>
        <v>Let's not take measures in our relations with our close environment. The epidemic continues to separate us from our relatives. https://t.co/kapuzkr25p</v>
      </c>
    </row>
    <row r="1687" spans="1:5" ht="15.75" customHeight="1" x14ac:dyDescent="0.25">
      <c r="A1687" s="1" t="s">
        <v>3373</v>
      </c>
      <c r="B1687" s="1">
        <v>12013</v>
      </c>
      <c r="C1687" s="3">
        <v>44179.72824074074</v>
      </c>
      <c r="D1687" s="1" t="s">
        <v>3374</v>
      </c>
      <c r="E1687" s="4" t="str">
        <f ca="1">IFERROR(__xludf.DUMMYFUNCTION("GOOGLETRANSLATE(A1687 , ""tr"" , ""en"")"),"We have 5,064 new patients identified today. Number of severe patients approached 6,000. Our hospital load is still too high. Let's keep our loved ones by staying away from crowds and enclosed environments. We will see the impact of restrictions soon more"&amp;" clearly. https://t.co/rvlhe7786o")</f>
        <v>We have 5,064 new patients identified today. Number of severe patients approached 6,000. Our hospital load is still too high. Let's keep our loved ones by staying away from crowds and enclosed environments. We will see the impact of restrictions soon more clearly. https://t.co/rvlhe7786o</v>
      </c>
    </row>
    <row r="1688" spans="1:5" ht="15.75" customHeight="1" x14ac:dyDescent="0.25">
      <c r="A1688" s="1" t="s">
        <v>3375</v>
      </c>
      <c r="B1688" s="1">
        <v>0</v>
      </c>
      <c r="C1688" s="3">
        <v>44179.699166666665</v>
      </c>
      <c r="D1688" s="1" t="s">
        <v>3376</v>
      </c>
      <c r="E1688" s="4" t="str">
        <f ca="1">IFERROR(__xludf.DUMMYFUNCTION("GOOGLETRANSLATE(A1688 , ""tr"" , ""en"")"),"RT @rterdogan: Shouting Nation After Cabinet Meeting https://t.co/DRC2CBBBL5")</f>
        <v>RT @rterdogan: Shouting Nation After Cabinet Meeting https://t.co/DRC2CBBBL5</v>
      </c>
    </row>
    <row r="1689" spans="1:5" ht="15.75" customHeight="1" x14ac:dyDescent="0.25">
      <c r="A1689" s="1" t="s">
        <v>3377</v>
      </c>
      <c r="B1689" s="1">
        <v>15043</v>
      </c>
      <c r="C1689" s="3">
        <v>44178.917407407411</v>
      </c>
      <c r="D1689" s="1" t="s">
        <v>3378</v>
      </c>
      <c r="E1689" s="4" t="str">
        <f ca="1">IFERROR(__xludf.DUMMYFUNCTION("GOOGLETRANSLATE(A1689 , ""tr"" , ""en"")"),"We have found the opportunity to explore the services of our nation to our nation. We will surpass these difficult days. We hope. https://t.co/zkydvc1sdd")</f>
        <v>We have found the opportunity to explore the services of our nation to our nation. We will surpass these difficult days. We hope. https://t.co/zkydvc1sdd</v>
      </c>
    </row>
    <row r="1690" spans="1:5" ht="15.75" customHeight="1" x14ac:dyDescent="0.25">
      <c r="A1690" s="1" t="s">
        <v>3379</v>
      </c>
      <c r="B1690" s="1">
        <v>34001</v>
      </c>
      <c r="C1690" s="3">
        <v>44178.802175925928</v>
      </c>
      <c r="D1690" s="1" t="s">
        <v>3380</v>
      </c>
      <c r="E1690" s="4" t="str">
        <f ca="1">IFERROR(__xludf.DUMMYFUNCTION("GOOGLETRANSLATE(A1690 , ""tr"" , ""en"")"),"We are in the world in the world (40.3%) in the 100 thousand people (40.3%) in the world. Be proud of Turkey! https://t.co/0anissvlpu")</f>
        <v>We are in the world in the world (40.3%) in the 100 thousand people (40.3%) in the world. Be proud of Turkey! https://t.co/0anissvlpu</v>
      </c>
    </row>
    <row r="1691" spans="1:5" ht="15.75" customHeight="1" x14ac:dyDescent="0.25">
      <c r="A1691" s="1" t="s">
        <v>3381</v>
      </c>
      <c r="B1691" s="1">
        <v>7633</v>
      </c>
      <c r="C1691" s="3">
        <v>44178.780277777776</v>
      </c>
      <c r="D1691" s="1" t="s">
        <v>3382</v>
      </c>
      <c r="E1691" s="4" t="str">
        <f ca="1">IFERROR(__xludf.DUMMYFUNCTION("GOOGLETRANSLATE(A1691 , ""tr"" , ""en"")"),"In our Eastern and Southeastern Anatolia region, Diyarbakır, Şanlıurfa and Mardin outside the city hospitals; With the nature of the city hospitals, Batman, Bingöl, Kars, Mus, Siirt and Sirnak Our hospitals with 500 beds are completed to 2023 and will be "&amp;"offered to the service of our regionals. https://t.co/ldibojkau1")</f>
        <v>In our Eastern and Southeastern Anatolia region, Diyarbakır, Şanlıurfa and Mardin outside the city hospitals; With the nature of the city hospitals, Batman, Bingöl, Kars, Mus, Siirt and Sirnak Our hospitals with 500 beds are completed to 2023 and will be offered to the service of our regionals. https://t.co/ldibojkau1</v>
      </c>
    </row>
    <row r="1692" spans="1:5" ht="15.75" customHeight="1" x14ac:dyDescent="0.25">
      <c r="A1692" s="1" t="s">
        <v>3383</v>
      </c>
      <c r="B1692" s="1">
        <v>8085</v>
      </c>
      <c r="C1692" s="3">
        <v>44178.770092592589</v>
      </c>
      <c r="D1692" s="1" t="s">
        <v>3384</v>
      </c>
      <c r="E1692" s="4" t="str">
        <f ca="1">IFERROR(__xludf.DUMMYFUNCTION("GOOGLETRANSLATE(A1692 , ""tr"" , ""en"")"),"✔samsun, Aydın, Trabzon City Hospitals Tender Processes are completed.
.1.750 Sanliurfa, each of the 1000 beds, Denizli, Sakarya, Diyarbakir, Antalya,
We will also open the service of Rize and the 750-bearing Mardin City Hospitals before 2023. https://t.c"&amp;"o/t7azzm4izs")</f>
        <v>✔samsun, Aydın, Trabzon City Hospitals Tender Processes are completed.
.1.750 Sanliurfa, each of the 1000 beds, Denizli, Sakarya, Diyarbakir, Antalya,
We will also open the service of Rize and the 750-bearing Mardin City Hospitals before 2023. https://t.co/t7azzm4izs</v>
      </c>
    </row>
    <row r="1693" spans="1:5" ht="15.75" customHeight="1" x14ac:dyDescent="0.25">
      <c r="A1693" s="1" t="s">
        <v>3385</v>
      </c>
      <c r="B1693" s="1">
        <v>8926</v>
      </c>
      <c r="C1693" s="3">
        <v>44178.69127314815</v>
      </c>
      <c r="D1693" s="1" t="s">
        <v>3386</v>
      </c>
      <c r="E1693" s="4" t="str">
        <f ca="1">IFERROR(__xludf.DUMMYFUNCTION("GOOGLETRANSLATE(A1693 , ""tr"" , ""en"")"),"The phase II phase of our native vaccine begins. We have also made our agreement on ready vaccine supply. https://t.co/xlouqacpy2")</f>
        <v>The phase II phase of our native vaccine begins. We have also made our agreement on ready vaccine supply. https://t.co/xlouqacpy2</v>
      </c>
    </row>
    <row r="1694" spans="1:5" ht="15.75" customHeight="1" x14ac:dyDescent="0.25">
      <c r="A1694" s="1" t="s">
        <v>3387</v>
      </c>
      <c r="B1694" s="1">
        <v>12640</v>
      </c>
      <c r="C1694" s="3">
        <v>44178.677314814813</v>
      </c>
      <c r="D1694" s="1" t="s">
        <v>3388</v>
      </c>
      <c r="E1694" s="4" t="str">
        <f ca="1">IFERROR(__xludf.DUMMYFUNCTION("GOOGLETRANSLATE(A1694 , ""tr"" , ""en"")"),"We have 5,103 patients identified today. The rate of increase in severe patients continues to decrease. The rate of increase in our patients is also decreasing. Let's stay away from the enclosed and crowded environments until they benefit the vaccine effe"&amp;"ctively. https://t.co/rvlhe7786o")</f>
        <v>We have 5,103 patients identified today. The rate of increase in severe patients continues to decrease. The rate of increase in our patients is also decreasing. Let's stay away from the enclosed and crowded environments until they benefit the vaccine effectively. https://t.co/rvlhe7786o</v>
      </c>
    </row>
    <row r="1695" spans="1:5" ht="15.75" customHeight="1" x14ac:dyDescent="0.25">
      <c r="A1695" s="1" t="s">
        <v>3389</v>
      </c>
      <c r="B1695" s="1">
        <v>9564</v>
      </c>
      <c r="C1695" s="3">
        <v>44178.656967592593</v>
      </c>
      <c r="D1695" s="1" t="s">
        <v>3390</v>
      </c>
      <c r="E1695" s="4" t="str">
        <f ca="1">IFERROR(__xludf.DUMMYFUNCTION("GOOGLETRANSLATE(A1695 , ""tr"" , ""en"")"),"WHO has only reported success in Turkey's pandemic period, there is no other instance in the world. Also regardless of the Social Security in the European Progress Report, Turkey has been emphasized in accordance with free tests and treatment opportunitie"&amp;"s of Turkey. https://t.co/rfmejofeyy")</f>
        <v>WHO has only reported success in Turkey's pandemic period, there is no other instance in the world. Also regardless of the Social Security in the European Progress Report, Turkey has been emphasized in accordance with free tests and treatment opportunities of Turkey. https://t.co/rfmejofeyy</v>
      </c>
    </row>
    <row r="1696" spans="1:5" ht="15.75" customHeight="1" x14ac:dyDescent="0.25">
      <c r="A1696" s="1" t="s">
        <v>3391</v>
      </c>
      <c r="B1696" s="1">
        <v>13221</v>
      </c>
      <c r="C1696" s="3">
        <v>44178.632094907407</v>
      </c>
      <c r="D1696" s="1" t="s">
        <v>3392</v>
      </c>
      <c r="E1696" s="4" t="str">
        <f ca="1">IFERROR(__xludf.DUMMYFUNCTION("GOOGLETRANSLATE(A1696 , ""tr"" , ""en"")"),"We will not forget the heroic your showing the sacrifice that you make. #The grateful https://t.co/m1utkjjgps")</f>
        <v>We will not forget the heroic your showing the sacrifice that you make. #The grateful https://t.co/m1utkjjgps</v>
      </c>
    </row>
    <row r="1697" spans="1:5" ht="15.75" customHeight="1" x14ac:dyDescent="0.25">
      <c r="A1697" s="1" t="s">
        <v>3393</v>
      </c>
      <c r="B1697" s="1">
        <v>38029</v>
      </c>
      <c r="C1697" s="3">
        <v>44177.856886574074</v>
      </c>
      <c r="D1697" s="1" t="s">
        <v>3394</v>
      </c>
      <c r="E1697" s="4" t="str">
        <f ca="1">IFERROR(__xludf.DUMMYFUNCTION("GOOGLETRANSLATE(A1697 , ""tr"" , ""en"")"),"In the epidemic period, we bury our hearts sacrificing health martyrs for our citizens' health. # we are grateful")</f>
        <v>In the epidemic period, we bury our hearts sacrificing health martyrs for our citizens' health. # we are grateful</v>
      </c>
    </row>
    <row r="1698" spans="1:5" ht="15.75" customHeight="1" x14ac:dyDescent="0.25">
      <c r="A1698" s="1" t="s">
        <v>3395</v>
      </c>
      <c r="B1698" s="1">
        <v>7884</v>
      </c>
      <c r="C1698" s="3">
        <v>44177.776539351849</v>
      </c>
      <c r="D1698" s="1" t="s">
        <v>3396</v>
      </c>
      <c r="E1698" s="4" t="str">
        <f ca="1">IFERROR(__xludf.DUMMYFUNCTION("GOOGLETRANSLATE(A1698 , ""tr"" , ""en"")"),"The General Assembly of the TBMM is driving 2021 budget calls. We are in the Supreme Assembly for the budget of our Ministry. https://t.co/xv3tqzdlns")</f>
        <v>The General Assembly of the TBMM is driving 2021 budget calls. We are in the Supreme Assembly for the budget of our Ministry. https://t.co/xv3tqzdlns</v>
      </c>
    </row>
    <row r="1699" spans="1:5" ht="15.75" customHeight="1" x14ac:dyDescent="0.25">
      <c r="A1699" s="1" t="s">
        <v>3397</v>
      </c>
      <c r="B1699" s="1">
        <v>11541</v>
      </c>
      <c r="C1699" s="3">
        <v>44177.66909722222</v>
      </c>
      <c r="D1699" s="1" t="s">
        <v>3398</v>
      </c>
      <c r="E1699" s="4" t="str">
        <f ca="1">IFERROR(__xludf.DUMMYFUNCTION("GOOGLETRANSLATE(A1699 , ""tr"" , ""en"")"),"We have 5,203 patients identified today. The rate of increase in the number of severe patients is glad to be stable. Let's keep our struggle on full compliance and measures to restrictions. Https://t.co/rvlhe7786o, https://t.co/rvlhe7786o")</f>
        <v>We have 5,203 patients identified today. The rate of increase in the number of severe patients is glad to be stable. Let's keep our struggle on full compliance and measures to restrictions. Https://t.co/rvlhe7786o, https://t.co/rvlhe7786o</v>
      </c>
    </row>
    <row r="1700" spans="1:5" ht="15.75" customHeight="1" x14ac:dyDescent="0.25">
      <c r="A1700" s="1" t="s">
        <v>3399</v>
      </c>
      <c r="B1700" s="1">
        <v>13133</v>
      </c>
      <c r="C1700" s="3">
        <v>44177.600891203707</v>
      </c>
      <c r="D1700" s="1" t="s">
        <v>3400</v>
      </c>
      <c r="E1700" s="4" t="str">
        <f ca="1">IFERROR(__xludf.DUMMYFUNCTION("GOOGLETRANSLATE(A1700 , ""tr"" , ""en"")"),"With my friends facing friends, we are in the Almighty Assembly for the 2021 budget interviews. https://t.co/ma6av93la4")</f>
        <v>With my friends facing friends, we are in the Almighty Assembly for the 2021 budget interviews. https://t.co/ma6av93la4</v>
      </c>
    </row>
    <row r="1701" spans="1:5" ht="15.75" customHeight="1" x14ac:dyDescent="0.25">
      <c r="A1701" s="1" t="s">
        <v>3401</v>
      </c>
      <c r="B1701" s="1">
        <v>11994</v>
      </c>
      <c r="C1701" s="3">
        <v>44176.878252314818</v>
      </c>
      <c r="D1701" s="1" t="s">
        <v>3402</v>
      </c>
      <c r="E1701" s="4" t="str">
        <f ca="1">IFERROR(__xludf.DUMMYFUNCTION("GOOGLETRANSLATE(A1701 , ""tr"" , ""en"")"),"Our Nobel Award-winning Science is today. Dr. I have met with Saint Sancar. We have passed my thanks for the explanations that support our master's strategy on the vaccination of our Ministry in the press today. I am grateful to the encouraging words of o"&amp;"ur teacher. https://t.co/fgg28ce4xw")</f>
        <v>Our Nobel Award-winning Science is today. Dr. I have met with Saint Sancar. We have passed my thanks for the explanations that support our master's strategy on the vaccination of our Ministry in the press today. I am grateful to the encouraging words of our teacher. https://t.co/fgg28ce4xw</v>
      </c>
    </row>
    <row r="1702" spans="1:5" ht="15.75" customHeight="1" x14ac:dyDescent="0.25">
      <c r="A1702" s="1" t="s">
        <v>3403</v>
      </c>
      <c r="B1702" s="1">
        <v>4788</v>
      </c>
      <c r="C1702" s="3">
        <v>44176.874212962961</v>
      </c>
      <c r="D1702" s="1" t="s">
        <v>3404</v>
      </c>
      <c r="E1702" s="4" t="str">
        <f ca="1">IFERROR(__xludf.DUMMYFUNCTION("GOOGLETRANSLATE(A1702 , ""tr"" , ""en"")"),"It is easier to take conclusions when you strive to the measures tightly. Let's all be aware of our responsibility. Continue to fight without break; We will win together.")</f>
        <v>It is easier to take conclusions when you strive to the measures tightly. Let's all be aware of our responsibility. Continue to fight without break; We will win together.</v>
      </c>
    </row>
    <row r="1703" spans="1:5" ht="15.75" customHeight="1" x14ac:dyDescent="0.25">
      <c r="A1703" s="1" t="s">
        <v>3405</v>
      </c>
      <c r="B1703" s="1">
        <v>5052</v>
      </c>
      <c r="C1703" s="3">
        <v>44176.874085648145</v>
      </c>
      <c r="D1703" s="1" t="s">
        <v>3406</v>
      </c>
      <c r="E1703" s="4" t="str">
        <f ca="1">IFERROR(__xludf.DUMMYFUNCTION("GOOGLETRANSLATE(A1703 , ""tr"" , ""en"")"),"In Istanbul, Izmir and Kocaeli, 30% in Ankara and the decline in 40 days of cases. However, in hospital and intensive care, the patient load continues. Intensive care occupancy rate 67% in Istanbul, 78% in Izmir, 78% in Kocaeli and Ankara.")</f>
        <v>In Istanbul, Izmir and Kocaeli, 30% in Ankara and the decline in 40 days of cases. However, in hospital and intensive care, the patient load continues. Intensive care occupancy rate 67% in Istanbul, 78% in Izmir, 78% in Kocaeli and Ankara.</v>
      </c>
    </row>
    <row r="1704" spans="1:5" ht="15.75" customHeight="1" x14ac:dyDescent="0.25">
      <c r="A1704" s="1" t="s">
        <v>3407</v>
      </c>
      <c r="B1704" s="1">
        <v>8014</v>
      </c>
      <c r="C1704" s="3">
        <v>44176.873807870368</v>
      </c>
      <c r="D1704" s="1" t="s">
        <v>3408</v>
      </c>
      <c r="E1704" s="4" t="str">
        <f ca="1">IFERROR(__xludf.DUMMYFUNCTION("GOOGLETRANSLATE(A1704 , ""tr"" , ""en"")"),"Istanbul, Ankara, Izmir, our Kocaeli Governors, Provincial Health Managers and public health have evaluated the latest situation with our presidents. https://t.co/weyzc346hi")</f>
        <v>Istanbul, Ankara, Izmir, our Kocaeli Governors, Provincial Health Managers and public health have evaluated the latest situation with our presidents. https://t.co/weyzc346hi</v>
      </c>
    </row>
    <row r="1705" spans="1:5" ht="15.75" customHeight="1" x14ac:dyDescent="0.25">
      <c r="A1705" s="1" t="s">
        <v>3409</v>
      </c>
      <c r="B1705" s="1">
        <v>11639</v>
      </c>
      <c r="C1705" s="3">
        <v>44176.693923611114</v>
      </c>
      <c r="D1705" s="1" t="s">
        <v>3410</v>
      </c>
      <c r="E1705" s="4" t="str">
        <f ca="1">IFERROR(__xludf.DUMMYFUNCTION("GOOGLETRANSLATE(A1705 , ""tr"" , ""en"")"),"We have new patients with 5.607 identified today. The rate of increase in severe patients approached the stop. We have to comply with determination to measures. Let's protect ourselves and our loved ones until the vaccine is implemented and effect. This i"&amp;"s all of us common responsibility. https://t.co/rvlhe7786o")</f>
        <v>We have new patients with 5.607 identified today. The rate of increase in severe patients approached the stop. We have to comply with determination to measures. Let's protect ourselves and our loved ones until the vaccine is implemented and effect. This is all of us common responsibility. https://t.co/rvlhe7786o</v>
      </c>
    </row>
    <row r="1706" spans="1:5" ht="15.75" customHeight="1" x14ac:dyDescent="0.25">
      <c r="A1706" s="1" t="s">
        <v>3411</v>
      </c>
      <c r="B1706" s="1">
        <v>5955</v>
      </c>
      <c r="C1706" s="3">
        <v>44176.679803240739</v>
      </c>
      <c r="D1706" s="1" t="s">
        <v>3412</v>
      </c>
      <c r="E1706" s="4" t="str">
        <f ca="1">IFERROR(__xludf.DUMMYFUNCTION("GOOGLETRANSLATE(A1706 , ""tr"" , ""en"")"),"In the International Participation General Vaccine Symposium held by Hacettepe University; We have shared our developments and studies with the participants. Turkey has taken the early in the need to develop their own vaccine in the need of vaccination. h"&amp;"ttps://t.co/ly3wucbcs3")</f>
        <v>In the International Participation General Vaccine Symposium held by Hacettepe University; We have shared our developments and studies with the participants. Turkey has taken the early in the need to develop their own vaccine in the need of vaccination. https://t.co/ly3wucbcs3</v>
      </c>
    </row>
    <row r="1707" spans="1:5" ht="15.75" customHeight="1" x14ac:dyDescent="0.25">
      <c r="A1707" s="1" t="s">
        <v>3413</v>
      </c>
      <c r="B1707" s="1">
        <v>3971</v>
      </c>
      <c r="C1707" s="3">
        <v>44175.884270833332</v>
      </c>
      <c r="D1707" s="1" t="s">
        <v>3414</v>
      </c>
      <c r="E1707" s="4" t="str">
        <f ca="1">IFERROR(__xludf.DUMMYFUNCTION("GOOGLETRANSLATE(A1707 , ""tr"" , ""en"")"),"As the local additional measures are faster and more stable, it is not possible to receive more positive results. Let's continue to fight without break; We will win together.")</f>
        <v>As the local additional measures are faster and more stable, it is not possible to receive more positive results. Let's continue to fight without break; We will win together.</v>
      </c>
    </row>
    <row r="1708" spans="1:5" ht="15.75" customHeight="1" x14ac:dyDescent="0.25">
      <c r="A1708" s="1" t="s">
        <v>3415</v>
      </c>
      <c r="B1708" s="1">
        <v>4608</v>
      </c>
      <c r="C1708" s="3">
        <v>44175.884270833332</v>
      </c>
      <c r="D1708" s="1" t="s">
        <v>3416</v>
      </c>
      <c r="E1708" s="4" t="str">
        <f ca="1">IFERROR(__xludf.DUMMYFUNCTION("GOOGLETRANSLATE(A1708 , ""tr"" , ""en"")"),"In Gaziantep, the number of daily cases is 35%, 30% in Şanlıurfa, 20% in Tekirdağ and 20% in Denizli. Our filion teams are doing intense follow on the field. Our burden in hospital and intensive care is yet going on.")</f>
        <v>In Gaziantep, the number of daily cases is 35%, 30% in Şanlıurfa, 20% in Tekirdağ and 20% in Denizli. Our filion teams are doing intense follow on the field. Our burden in hospital and intensive care is yet going on.</v>
      </c>
    </row>
    <row r="1709" spans="1:5" ht="15.75" customHeight="1" x14ac:dyDescent="0.25">
      <c r="A1709" s="1" t="s">
        <v>3417</v>
      </c>
      <c r="B1709" s="1">
        <v>7682</v>
      </c>
      <c r="C1709" s="3">
        <v>44175.884259259263</v>
      </c>
      <c r="D1709" s="1" t="s">
        <v>3418</v>
      </c>
      <c r="E1709" s="4" t="str">
        <f ca="1">IFERROR(__xludf.DUMMYFUNCTION("GOOGLETRANSLATE(A1709 , ""tr"" , ""en"")"),"Gaziantep, Sanliurfa, Tekirdag, Denizli Governors, Provincial Health Managers and Public Health Consultants by our presidents, we have made a status evaluation. https://t.co/bxpkop3y31")</f>
        <v>Gaziantep, Sanliurfa, Tekirdag, Denizli Governors, Provincial Health Managers and Public Health Consultants by our presidents, we have made a status evaluation. https://t.co/bxpkop3y31</v>
      </c>
    </row>
    <row r="1710" spans="1:5" ht="15.75" customHeight="1" x14ac:dyDescent="0.25">
      <c r="A1710" s="1" t="s">
        <v>3419</v>
      </c>
      <c r="B1710" s="1">
        <v>13693</v>
      </c>
      <c r="C1710" s="3">
        <v>44175.818993055553</v>
      </c>
      <c r="D1710" s="1" t="s">
        <v>3420</v>
      </c>
      <c r="E1710" s="4" t="str">
        <f ca="1">IFERROR(__xludf.DUMMYFUNCTION("GOOGLETRANSLATE(A1710 , ""tr"" , ""en"")"),"I wish our heroes that are marty with the attack as a result of the attack in Resulay, I wish the mercy from Allah. May the head of our nation be right. https://t.co/pdvtxx81qm")</f>
        <v>I wish our heroes that are marty with the attack as a result of the attack in Resulay, I wish the mercy from Allah. May the head of our nation be right. https://t.co/pdvtxx81qm</v>
      </c>
    </row>
    <row r="1711" spans="1:5" ht="15.75" customHeight="1" x14ac:dyDescent="0.25">
      <c r="A1711" s="1" t="s">
        <v>3421</v>
      </c>
      <c r="B1711" s="1">
        <v>11297</v>
      </c>
      <c r="C1711" s="3">
        <v>44175.701307870368</v>
      </c>
      <c r="D1711" s="1" t="s">
        <v>3422</v>
      </c>
      <c r="E1711" s="4" t="str">
        <f ca="1">IFERROR(__xludf.DUMMYFUNCTION("GOOGLETRANSLATE(A1711 , ""tr"" , ""en"")"),"There are 5918 patients identified today. We started to feel the impact of the measures taken. The number of severe patients in the increase in increase is continuing. We will be successful by supporting the gains obtained with restrictions with personal "&amp;"measures. Let's struggle together. https://t.co/rvlhe7786o")</f>
        <v>There are 5918 patients identified today. We started to feel the impact of the measures taken. The number of severe patients in the increase in increase is continuing. We will be successful by supporting the gains obtained with restrictions with personal measures. Let's struggle together. https://t.co/rvlhe7786o</v>
      </c>
    </row>
    <row r="1712" spans="1:5" ht="15.75" customHeight="1" x14ac:dyDescent="0.25">
      <c r="A1712" s="1" t="s">
        <v>3423</v>
      </c>
      <c r="B1712" s="1">
        <v>5477</v>
      </c>
      <c r="C1712" s="3">
        <v>44175.466493055559</v>
      </c>
      <c r="D1712" s="1" t="s">
        <v>3424</v>
      </c>
      <c r="E1712" s="4" t="str">
        <f ca="1">IFERROR(__xludf.DUMMYFUNCTION("GOOGLETRANSLATE(A1712 , ""tr"" , ""en"")"),"We have to move together to change the course of the outbreak. https://t.co/hafopfzpci")</f>
        <v>We have to move together to change the course of the outbreak. https://t.co/hafopfzpci</v>
      </c>
    </row>
    <row r="1713" spans="1:5" ht="15.75" customHeight="1" x14ac:dyDescent="0.25">
      <c r="A1713" s="1" t="s">
        <v>3425</v>
      </c>
      <c r="B1713" s="1">
        <v>6396</v>
      </c>
      <c r="C1713" s="3">
        <v>44175.447604166664</v>
      </c>
      <c r="D1713" s="1" t="s">
        <v>3426</v>
      </c>
      <c r="E1713" s="4" t="str">
        <f ca="1">IFERROR(__xludf.DUMMYFUNCTION("GOOGLETRANSLATE(A1713 , ""tr"" , ""en"")"),"We shouldn't forget that all of us are on the same side in the struggle of the epidemic. https://t.co/akcbq1txix")</f>
        <v>We shouldn't forget that all of us are on the same side in the struggle of the epidemic. https://t.co/akcbq1txix</v>
      </c>
    </row>
    <row r="1714" spans="1:5" ht="15.75" customHeight="1" x14ac:dyDescent="0.25">
      <c r="A1714" s="1" t="s">
        <v>3427</v>
      </c>
      <c r="B1714" s="1">
        <v>6561</v>
      </c>
      <c r="C1714" s="3">
        <v>44174.891215277778</v>
      </c>
      <c r="D1714" s="1" t="s">
        <v>3428</v>
      </c>
      <c r="E1714" s="4" t="str">
        <f ca="1">IFERROR(__xludf.DUMMYFUNCTION("GOOGLETRANSLATE(A1714 , ""tr"" , ""en"")"),"Our only priority in vaccine is that it is reliable and effective. We know that the traditionalized inactive vaccine we have made for other diseases for years. https://t.co/G6MXYTSIIJ")</f>
        <v>Our only priority in vaccine is that it is reliable and effective. We know that the traditionalized inactive vaccine we have made for other diseases for years. https://t.co/G6MXYTSIIJ</v>
      </c>
    </row>
    <row r="1715" spans="1:5" ht="15.75" customHeight="1" x14ac:dyDescent="0.25">
      <c r="A1715" s="1" t="s">
        <v>3429</v>
      </c>
      <c r="B1715" s="1">
        <v>10979</v>
      </c>
      <c r="C1715" s="3">
        <v>44174.876979166664</v>
      </c>
      <c r="D1715" s="1" t="s">
        <v>3430</v>
      </c>
      <c r="E1715" s="4" t="str">
        <f ca="1">IFERROR(__xludf.DUMMYFUNCTION("GOOGLETRANSLATE(A1715 , ""tr"" , ""en"")"),"This is a mobilization memory. In the Union and Draw we all have to do all over us. https://t.co/1ilakxezhy")</f>
        <v>This is a mobilization memory. In the Union and Draw we all have to do all over us. https://t.co/1ilakxezhy</v>
      </c>
    </row>
    <row r="1716" spans="1:5" ht="15.75" customHeight="1" x14ac:dyDescent="0.25">
      <c r="A1716" s="1" t="s">
        <v>3431</v>
      </c>
      <c r="B1716" s="1">
        <v>10641</v>
      </c>
      <c r="C1716" s="3">
        <v>44174.686689814815</v>
      </c>
      <c r="D1716" s="1" t="s">
        <v>3432</v>
      </c>
      <c r="E1716" s="4" t="str">
        <f ca="1">IFERROR(__xludf.DUMMYFUNCTION("GOOGLETRANSLATE(A1716 , ""tr"" , ""en"")"),"After our Science Board meeting, our press statement on the latest developments on the coronavirus.
📍 The Ministry of Health
https://t.co/lfouajafv3")</f>
        <v>After our Science Board meeting, our press statement on the latest developments on the coronavirus.
📍 The Ministry of Health
https://t.co/lfouajafv3</v>
      </c>
    </row>
    <row r="1717" spans="1:5" ht="15.75" customHeight="1" x14ac:dyDescent="0.25">
      <c r="A1717" s="1" t="s">
        <v>3433</v>
      </c>
      <c r="B1717" s="1">
        <v>6583</v>
      </c>
      <c r="C1717" s="3">
        <v>44174.296724537038</v>
      </c>
      <c r="D1717" s="1" t="s">
        <v>3434</v>
      </c>
      <c r="E1717" s="4" t="str">
        <f ca="1">IFERROR(__xludf.DUMMYFUNCTION("GOOGLETRANSLATE(A1717 , ""tr"" , ""en"")"),"Let's put distance to our search with our old normal to avoid being far from our loved ones.
Let's maintain both ourselves and our loved ones by complying with the measures. https://t.co/lmdglzx3rv")</f>
        <v>Let's put distance to our search with our old normal to avoid being far from our loved ones.
Let's maintain both ourselves and our loved ones by complying with the measures. https://t.co/lmdglzx3rv</v>
      </c>
    </row>
    <row r="1718" spans="1:5" ht="15.75" customHeight="1" x14ac:dyDescent="0.25">
      <c r="A1718" s="1" t="s">
        <v>3435</v>
      </c>
      <c r="B1718" s="1">
        <v>50530</v>
      </c>
      <c r="C1718" s="3">
        <v>44173.901238425926</v>
      </c>
      <c r="D1718" s="1" t="s">
        <v>3436</v>
      </c>
      <c r="E1718" s="4" t="str">
        <f ca="1">IFERROR(__xludf.DUMMYFUNCTION("GOOGLETRANSLATE(A1718 , ""tr"" , ""en"")"),"It is necessary to exhibit this honorable posture regardless of the result. Congratulations Basaksehir with noble stance. #notoracism https://t.co/3s2bxyji3o")</f>
        <v>It is necessary to exhibit this honorable posture regardless of the result. Congratulations Basaksehir with noble stance. #notoracism https://t.co/3s2bxyji3o</v>
      </c>
    </row>
    <row r="1719" spans="1:5" ht="15.75" customHeight="1" x14ac:dyDescent="0.25">
      <c r="A1719" s="1" t="s">
        <v>3437</v>
      </c>
      <c r="B1719" s="1">
        <v>25245</v>
      </c>
      <c r="C1719" s="3">
        <v>44173.897106481483</v>
      </c>
      <c r="D1719" s="1" t="s">
        <v>3438</v>
      </c>
      <c r="E1719" s="4" t="str">
        <f ca="1">IFERROR(__xludf.DUMMYFUNCTION("GOOGLETRANSLATE(A1719 , ""tr"" , ""en"")"),"Disturbed in live broadcasting Prof. Dr. Mehmet Ceyhan I met with our teacher. The general situation is good. We follow closely. Get to our teacher.")</f>
        <v>Disturbed in live broadcasting Prof. Dr. Mehmet Ceyhan I met with our teacher. The general situation is good. We follow closely. Get to our teacher.</v>
      </c>
    </row>
    <row r="1720" spans="1:5" ht="15.75" customHeight="1" x14ac:dyDescent="0.25">
      <c r="A1720" s="1" t="s">
        <v>3439</v>
      </c>
      <c r="B1720" s="1">
        <v>3624</v>
      </c>
      <c r="C1720" s="3">
        <v>44173.718611111108</v>
      </c>
      <c r="D1720" s="1" t="s">
        <v>3440</v>
      </c>
      <c r="E1720" s="4" t="str">
        <f ca="1">IFERROR(__xludf.DUMMYFUNCTION("GOOGLETRANSLATE(A1720 , ""tr"" , ""en"")"),"Local additional measures are easier to get results quickly and on time. The responsibility is all of us. Let's continue to fight without break; We will win together.")</f>
        <v>Local additional measures are easier to get results quickly and on time. The responsibility is all of us. Let's continue to fight without break; We will win together.</v>
      </c>
    </row>
    <row r="1721" spans="1:5" ht="15.75" customHeight="1" x14ac:dyDescent="0.25">
      <c r="A1721" s="1" t="s">
        <v>3441</v>
      </c>
      <c r="B1721" s="1">
        <v>3891</v>
      </c>
      <c r="C1721" s="3">
        <v>44173.718611111108</v>
      </c>
      <c r="D1721" s="1" t="s">
        <v>3442</v>
      </c>
      <c r="E1721" s="4" t="str">
        <f ca="1">IFERROR(__xludf.DUMMYFUNCTION("GOOGLETRANSLATE(A1721 , ""tr"" , ""en"")"),"59% in Izmir, 59%, intensive care occupancy rate is 83%. 62% of the bed occupancy rate in Adana, 81% of the intensive care occupancy rate. In Mersin, the bed occupancy rate is 58%, the intensive care occupancy rate is 84%. 64% of the bed occupancy rate in"&amp;" Hatay, the intensive care occupancy rate is 89%.")</f>
        <v>59% in Izmir, 59%, intensive care occupancy rate is 83%. 62% of the bed occupancy rate in Adana, 81% of the intensive care occupancy rate. In Mersin, the bed occupancy rate is 58%, the intensive care occupancy rate is 84%. 64% of the bed occupancy rate in Hatay, the intensive care occupancy rate is 89%.</v>
      </c>
    </row>
    <row r="1722" spans="1:5" ht="15.75" customHeight="1" x14ac:dyDescent="0.25">
      <c r="A1722" s="1" t="s">
        <v>3443</v>
      </c>
      <c r="B1722" s="1">
        <v>8020</v>
      </c>
      <c r="C1722" s="3">
        <v>44173.718599537038</v>
      </c>
      <c r="D1722" s="1" t="s">
        <v>3444</v>
      </c>
      <c r="E1722" s="4" t="str">
        <f ca="1">IFERROR(__xludf.DUMMYFUNCTION("GOOGLETRANSLATE(A1722 , ""tr"" , ""en"")"),"Izmir, Adana, Mersin, Hatay Governments, we have reviewed the situation by discussing our provincial health managers and public health. These provinces have a fixed case increase, heavy patient load is increasing. Hatay, Mersin, Adana and Izmir, respectiv"&amp;"ely. https://t.co/ahkb4xje5u")</f>
        <v>Izmir, Adana, Mersin, Hatay Governments, we have reviewed the situation by discussing our provincial health managers and public health. These provinces have a fixed case increase, heavy patient load is increasing. Hatay, Mersin, Adana and Izmir, respectively. https://t.co/ahkb4xje5u</v>
      </c>
    </row>
    <row r="1723" spans="1:5" ht="15.75" customHeight="1" x14ac:dyDescent="0.25">
      <c r="A1723" s="1" t="s">
        <v>3445</v>
      </c>
      <c r="B1723" s="1">
        <v>11320</v>
      </c>
      <c r="C1723" s="3">
        <v>44173.679212962961</v>
      </c>
      <c r="D1723" s="1" t="s">
        <v>3446</v>
      </c>
      <c r="E1723" s="4" t="str">
        <f ca="1">IFERROR(__xludf.DUMMYFUNCTION("GOOGLETRANSLATE(A1723 , ""tr"" , ""en"")"),"We have 6,593 new patients identified today. In the number of daily tests, we reached 200,000 in total 20,000,000. Although the rate of increase in severe patients increased, he approached 6,000. We must stand out of crowds and implement our own restricti"&amp;"ons. https://t.co/rvlhe7786o")</f>
        <v>We have 6,593 new patients identified today. In the number of daily tests, we reached 200,000 in total 20,000,000. Although the rate of increase in severe patients increased, he approached 6,000. We must stand out of crowds and implement our own restrictions. https://t.co/rvlhe7786o</v>
      </c>
    </row>
    <row r="1724" spans="1:5" ht="15.75" customHeight="1" x14ac:dyDescent="0.25">
      <c r="A1724" s="1" t="s">
        <v>3447</v>
      </c>
      <c r="B1724" s="1">
        <v>4933</v>
      </c>
      <c r="C1724" s="3">
        <v>44172.807569444441</v>
      </c>
      <c r="D1724" s="1" t="s">
        <v>3448</v>
      </c>
      <c r="E1724" s="4" t="str">
        <f ca="1">IFERROR(__xludf.DUMMYFUNCTION("GOOGLETRANSLATE(A1724 , ""tr"" , ""en"")"),"High risk continues in Samsun, Antalya and Ordu. The increase in Konya and Trabzon is partially under control. Our health workers are doing their best. With our public and private institutions, the sensitivity of all our nurses increases our strength. Let"&amp;"'s continue to fight without a break.")</f>
        <v>High risk continues in Samsun, Antalya and Ordu. The increase in Konya and Trabzon is partially under control. Our health workers are doing their best. With our public and private institutions, the sensitivity of all our nurses increases our strength. Let's continue to fight without a break.</v>
      </c>
    </row>
    <row r="1725" spans="1:5" ht="15.75" customHeight="1" x14ac:dyDescent="0.25">
      <c r="A1725" s="1" t="s">
        <v>3449</v>
      </c>
      <c r="B1725" s="1">
        <v>10068</v>
      </c>
      <c r="C1725" s="3">
        <v>44172.807569444441</v>
      </c>
      <c r="D1725" s="1" t="s">
        <v>3450</v>
      </c>
      <c r="E1725" s="4" t="str">
        <f ca="1">IFERROR(__xludf.DUMMYFUNCTION("GOOGLETRANSLATE(A1725 , ""tr"" , ""en"")"),"Konya, Samsun, Antalya, Trabzon, Army Governors, Provincial Health Directors and Public Health are continuing to meet with our high case numbers. These provinces are under our close tracking. We have increased our testing capacity and our filion teams. ht"&amp;"tps://t.co/acuyk3guuq")</f>
        <v>Konya, Samsun, Antalya, Trabzon, Army Governors, Provincial Health Directors and Public Health are continuing to meet with our high case numbers. These provinces are under our close tracking. We have increased our testing capacity and our filion teams. https://t.co/acuyk3guuq</v>
      </c>
    </row>
    <row r="1726" spans="1:5" ht="15.75" customHeight="1" x14ac:dyDescent="0.25">
      <c r="A1726" s="1" t="s">
        <v>3451</v>
      </c>
      <c r="B1726" s="1">
        <v>14495</v>
      </c>
      <c r="C1726" s="3">
        <v>44172.691122685188</v>
      </c>
      <c r="D1726" s="1" t="s">
        <v>3452</v>
      </c>
      <c r="E1726" s="4" t="str">
        <f ca="1">IFERROR(__xludf.DUMMYFUNCTION("GOOGLETRANSLATE(A1726 , ""tr"" , ""en"")"),"We have 6,420 patients identified today. The rate of increase in severe patients is running out. The effect of restrictions has been seen. We hope we will feel more soon. We all keep our task away from the crowds by applying our own restrictions. https://"&amp;"t.co/rvlhe7786o")</f>
        <v>We have 6,420 patients identified today. The rate of increase in severe patients is running out. The effect of restrictions has been seen. We hope we will feel more soon. We all keep our task away from the crowds by applying our own restrictions. https://t.co/rvlhe7786o</v>
      </c>
    </row>
    <row r="1727" spans="1:5" ht="15.75" customHeight="1" x14ac:dyDescent="0.25">
      <c r="A1727" s="1" t="s">
        <v>3453</v>
      </c>
      <c r="B1727" s="1">
        <v>9663</v>
      </c>
      <c r="C1727" s="3">
        <v>44171.757025462961</v>
      </c>
      <c r="D1727" s="1" t="s">
        <v>3454</v>
      </c>
      <c r="E1727" s="4" t="str">
        <f ca="1">IFERROR(__xludf.DUMMYFUNCTION("GOOGLETRANSLATE(A1727 , ""tr"" , ""en"")"),"Let's focus on protecting ourselves not socializing.
Let's stay in crowd, off and ventilation from insufficient environments. https://t.co/pwk799ftdr")</f>
        <v>Let's focus on protecting ourselves not socializing.
Let's stay in crowd, off and ventilation from insufficient environments. https://t.co/pwk799ftdr</v>
      </c>
    </row>
    <row r="1728" spans="1:5" ht="15.75" customHeight="1" x14ac:dyDescent="0.25">
      <c r="A1728" s="1" t="s">
        <v>3455</v>
      </c>
      <c r="B1728" s="1">
        <v>13565</v>
      </c>
      <c r="C1728" s="3">
        <v>44171.667048611111</v>
      </c>
      <c r="D1728" s="1" t="s">
        <v>3456</v>
      </c>
      <c r="E1728" s="4" t="str">
        <f ca="1">IFERROR(__xludf.DUMMYFUNCTION("GOOGLETRANSLATE(A1728 , ""tr"" , ""en"")"),"We have 6,093 new patients identified today. The rate of increase in severe patients tends to decrease. We hope to see the impact of measures and restrictions. Compliance with measures is a humanitarian task for all of us. Stay away from crowds without re"&amp;"striction https://t.co/rvlhe7786o")</f>
        <v>We have 6,093 new patients identified today. The rate of increase in severe patients tends to decrease. We hope to see the impact of measures and restrictions. Compliance with measures is a humanitarian task for all of us. Stay away from crowds without restriction https://t.co/rvlhe7786o</v>
      </c>
    </row>
    <row r="1729" spans="1:5" ht="15.75" customHeight="1" x14ac:dyDescent="0.25">
      <c r="A1729" s="1" t="s">
        <v>3457</v>
      </c>
      <c r="B1729" s="1">
        <v>4645</v>
      </c>
      <c r="C1729" s="3">
        <v>44170.750138888892</v>
      </c>
      <c r="D1729" s="1" t="s">
        <v>3458</v>
      </c>
      <c r="E1729" s="4" t="str">
        <f ca="1">IFERROR(__xludf.DUMMYFUNCTION("GOOGLETRANSLATE(A1729 , ""tr"" , ""en"")"),"At our risk of risk. Let's not surrender to our habits. Let's turn restrictions into an opportunity. Let us support our health care workers by following the measures. The struggle is earned together.")</f>
        <v>At our risk of risk. Let's not surrender to our habits. Let's turn restrictions into an opportunity. Let us support our health care workers by following the measures. The struggle is earned together.</v>
      </c>
    </row>
    <row r="1730" spans="1:5" ht="15.75" customHeight="1" x14ac:dyDescent="0.25">
      <c r="A1730" s="1" t="s">
        <v>3459</v>
      </c>
      <c r="B1730" s="1">
        <v>5642</v>
      </c>
      <c r="C1730" s="3">
        <v>44170.750138888892</v>
      </c>
      <c r="D1730" s="1" t="s">
        <v>3460</v>
      </c>
      <c r="E1730" s="4" t="str">
        <f ca="1">IFERROR(__xludf.DUMMYFUNCTION("GOOGLETRANSLATE(A1730 , ""tr"" , ""en"")"),"In the last week, the case increase in Adana 50%, the intensive care occupancy rate is 79%. The increase in Hatay is 125%, intensive care occupancy rate 86%. The increase in Mersin is 50%, intensive care occupancy rate 74%. The increase in Samsun is 35%, "&amp;"intensive care occupancy rate 81%. The increase in Kastamonu is 50%, intensive care occupancy rate 74%.")</f>
        <v>In the last week, the case increase in Adana 50%, the intensive care occupancy rate is 79%. The increase in Hatay is 125%, intensive care occupancy rate 86%. The increase in Mersin is 50%, intensive care occupancy rate 74%. The increase in Samsun is 35%, intensive care occupancy rate 81%. The increase in Kastamonu is 50%, intensive care occupancy rate 74%.</v>
      </c>
    </row>
    <row r="1731" spans="1:5" ht="15.75" customHeight="1" x14ac:dyDescent="0.25">
      <c r="A1731" s="1" t="s">
        <v>3461</v>
      </c>
      <c r="B1731" s="1">
        <v>10341</v>
      </c>
      <c r="C1731" s="3">
        <v>44170.750127314815</v>
      </c>
      <c r="D1731" s="1" t="s">
        <v>3462</v>
      </c>
      <c r="E1731" s="4" t="str">
        <f ca="1">IFERROR(__xludf.DUMMYFUNCTION("GOOGLETRANSLATE(A1731 , ""tr"" , ""en"")"),"Adana, Hatay, Mersin, Samsun and Kastamonu Governors, we have repeated our provincial meetings with our health managers and public health presidents. Adana, Hatay, Mersin and Samsun is at high risk. https://t.co/hjfp5b4uz0")</f>
        <v>Adana, Hatay, Mersin, Samsun and Kastamonu Governors, we have repeated our provincial meetings with our health managers and public health presidents. Adana, Hatay, Mersin and Samsun is at high risk. https://t.co/hjfp5b4uz0</v>
      </c>
    </row>
    <row r="1732" spans="1:5" ht="15.75" customHeight="1" x14ac:dyDescent="0.25">
      <c r="A1732" s="1" t="s">
        <v>3463</v>
      </c>
      <c r="B1732" s="1">
        <v>7255</v>
      </c>
      <c r="C1732" s="3">
        <v>44170.694884259261</v>
      </c>
      <c r="D1732" s="1" t="s">
        <v>3464</v>
      </c>
      <c r="E1732" s="4" t="str">
        <f ca="1">IFERROR(__xludf.DUMMYFUNCTION("GOOGLETRANSLATE(A1732 , ""tr"" , ""en"")"),"As with each week, we have evaluated Istanbul with our provincial health managers and the physicians. With the efforts and measures in the last month, 25% decrease in the number of cases this week began. However the hospital and intensive care load contin"&amp;"ues. Let's continue to fight without a break. https://t.co/hmbdqhvpps")</f>
        <v>As with each week, we have evaluated Istanbul with our provincial health managers and the physicians. With the efforts and measures in the last month, 25% decrease in the number of cases this week began. However the hospital and intensive care load continues. Let's continue to fight without a break. https://t.co/hmbdqhvpps</v>
      </c>
    </row>
    <row r="1733" spans="1:5" ht="15.75" customHeight="1" x14ac:dyDescent="0.25">
      <c r="A1733" s="1" t="s">
        <v>3465</v>
      </c>
      <c r="B1733" s="1">
        <v>13028</v>
      </c>
      <c r="C1733" s="3">
        <v>44170.672997685186</v>
      </c>
      <c r="D1733" s="1" t="s">
        <v>3466</v>
      </c>
      <c r="E1733" s="4" t="str">
        <f ca="1">IFERROR(__xludf.DUMMYFUNCTION("GOOGLETRANSLATE(A1733 , ""tr"" , ""en"")"),"We have 6,128 patients identified today. The only reason for the curlewing restriction is to protect the community health. We all have to do all over us and implement our own restrictions. Our house is the safest place. Let's break to the enclosed and cro"&amp;"wded environments. https://t.co/rvlhe7786o")</f>
        <v>We have 6,128 patients identified today. The only reason for the curlewing restriction is to protect the community health. We all have to do all over us and implement our own restrictions. Our house is the safest place. Let's break to the enclosed and crowded environments. https://t.co/rvlhe7786o</v>
      </c>
    </row>
    <row r="1734" spans="1:5" ht="15.75" customHeight="1" x14ac:dyDescent="0.25">
      <c r="A1734" s="1" t="s">
        <v>3467</v>
      </c>
      <c r="B1734" s="1">
        <v>9116</v>
      </c>
      <c r="C1734" s="3">
        <v>44169.781909722224</v>
      </c>
      <c r="D1734" s="1" t="s">
        <v>3468</v>
      </c>
      <c r="E1734" s="4" t="str">
        <f ca="1">IFERROR(__xludf.DUMMYFUNCTION("GOOGLETRANSLATE(A1734 , ""tr"" , ""en"")"),"Our President Mr. Recep Tayyip Erdogan: ""I have any squeezing on being vaccinated. Because here is health. "" https://t.co/vvey6fpvfx")</f>
        <v>Our President Mr. Recep Tayyip Erdogan: "I have any squeezing on being vaccinated. Because here is health. " https://t.co/vvey6fpvfx</v>
      </c>
    </row>
    <row r="1735" spans="1:5" ht="15.75" customHeight="1" x14ac:dyDescent="0.25">
      <c r="A1735" s="1" t="s">
        <v>3469</v>
      </c>
      <c r="B1735" s="1">
        <v>4155</v>
      </c>
      <c r="C1735" s="3">
        <v>44169.757592592592</v>
      </c>
      <c r="D1735" s="1" t="s">
        <v>3470</v>
      </c>
      <c r="E1735" s="4" t="str">
        <f ca="1">IFERROR(__xludf.DUMMYFUNCTION("GOOGLETRANSLATE(A1735 , ""tr"" , ""en"")"),"We have to continue the struggle without breaking. Let us support our health care workers by following the measures. Let's reduce the burden on health workers.")</f>
        <v>We have to continue the struggle without breaking. Let us support our health care workers by following the measures. Let's reduce the burden on health workers.</v>
      </c>
    </row>
    <row r="1736" spans="1:5" ht="15.75" customHeight="1" x14ac:dyDescent="0.25">
      <c r="A1736" s="1" t="s">
        <v>3471</v>
      </c>
      <c r="B1736" s="1">
        <v>4157</v>
      </c>
      <c r="C1736" s="3">
        <v>44169.757592592592</v>
      </c>
      <c r="D1736" s="1" t="s">
        <v>3472</v>
      </c>
      <c r="E1736" s="4" t="str">
        <f ca="1">IFERROR(__xludf.DUMMYFUNCTION("GOOGLETRANSLATE(A1736 , ""tr"" , ""en"")"),"In the last week, the case increase in Zonguldak is 50%, the intensive care occupancy rate is 77%, but the intensive care occupancy rate is 74% in Ankara, 74%, increase in Sivas, 66%, increase in Malatya 35% intensive care occupancy rate is 61%.")</f>
        <v>In the last week, the case increase in Zonguldak is 50%, the intensive care occupancy rate is 77%, but the intensive care occupancy rate is 74% in Ankara, 74%, increase in Sivas, 66%, increase in Malatya 35% intensive care occupancy rate is 61%.</v>
      </c>
    </row>
    <row r="1737" spans="1:5" ht="15.75" customHeight="1" x14ac:dyDescent="0.25">
      <c r="A1737" s="1" t="s">
        <v>3473</v>
      </c>
      <c r="B1737" s="1">
        <v>7698</v>
      </c>
      <c r="C1737" s="3">
        <v>44169.757581018515</v>
      </c>
      <c r="D1737" s="1" t="s">
        <v>3474</v>
      </c>
      <c r="E1737" s="4" t="str">
        <f ca="1">IFERROR(__xludf.DUMMYFUNCTION("GOOGLETRANSLATE(A1737 , ""tr"" , ""en"")"),"Zonguldak, Ankara, Sivas, Malatya Governors, Provincial Health Directors and Public Health Health Presidents have made provincial evaluation meetings.
Risk in Zonguldak, Ankara, Sivas and Malatya, respectively. https://t.co/w2jacob6tr")</f>
        <v>Zonguldak, Ankara, Sivas, Malatya Governors, Provincial Health Directors and Public Health Health Presidents have made provincial evaluation meetings.
Risk in Zonguldak, Ankara, Sivas and Malatya, respectively. https://t.co/w2jacob6tr</v>
      </c>
    </row>
    <row r="1738" spans="1:5" ht="15.75" customHeight="1" x14ac:dyDescent="0.25">
      <c r="A1738" s="1" t="s">
        <v>3475</v>
      </c>
      <c r="B1738" s="1">
        <v>11652</v>
      </c>
      <c r="C1738" s="3">
        <v>44169.687893518516</v>
      </c>
      <c r="D1738" s="1" t="s">
        <v>3476</v>
      </c>
      <c r="E1738" s="4" t="str">
        <f ca="1">IFERROR(__xludf.DUMMYFUNCTION("GOOGLETRANSLATE(A1738 , ""tr"" , ""en"")"),"There are 6,903 new patients identified today. The number of severe patients also continues to increase the number of active patients. The greatest contamination at these days is closed and crowded. Do not be in the crowd in enclosed environments. Protect"&amp;" yourself and your loved ones. https://t.co/rvlhe7786o")</f>
        <v>There are 6,903 new patients identified today. The number of severe patients also continues to increase the number of active patients. The greatest contamination at these days is closed and crowded. Do not be in the crowd in enclosed environments. Protect yourself and your loved ones. https://t.co/rvlhe7786o</v>
      </c>
    </row>
    <row r="1739" spans="1:5" ht="15.75" customHeight="1" x14ac:dyDescent="0.25">
      <c r="A1739" s="1" t="s">
        <v>3477</v>
      </c>
      <c r="B1739" s="1">
        <v>7412</v>
      </c>
      <c r="C1739" s="3">
        <v>44169.680312500001</v>
      </c>
      <c r="D1739" s="1" t="s">
        <v>3478</v>
      </c>
      <c r="E1739" s="4" t="str">
        <f ca="1">IFERROR(__xludf.DUMMYFUNCTION("GOOGLETRANSLATE(A1739 , ""tr"" , ""en"")"),"We restrict our public transport services to do the coronavirus to more people. https://t.co/ep12zp8xp1")</f>
        <v>We restrict our public transport services to do the coronavirus to more people. https://t.co/ep12zp8xp1</v>
      </c>
    </row>
    <row r="1740" spans="1:5" ht="15.75" customHeight="1" x14ac:dyDescent="0.25">
      <c r="A1740" s="1" t="s">
        <v>3479</v>
      </c>
      <c r="B1740" s="1">
        <v>5041</v>
      </c>
      <c r="C1740" s="3">
        <v>44168.894444444442</v>
      </c>
      <c r="D1740" s="1" t="s">
        <v>3480</v>
      </c>
      <c r="E1740" s="4" t="str">
        <f ca="1">IFERROR(__xludf.DUMMYFUNCTION("GOOGLETRANSLATE(A1740 , ""tr"" , ""en"")"),"Mobilization time with all our institutions. Let's reduce the burden on health workers. Is earned by the fighting power association.")</f>
        <v>Mobilization time with all our institutions. Let's reduce the burden on health workers. Is earned by the fighting power association.</v>
      </c>
    </row>
    <row r="1741" spans="1:5" ht="15.75" customHeight="1" x14ac:dyDescent="0.25">
      <c r="A1741" s="1" t="s">
        <v>3481</v>
      </c>
      <c r="B1741" s="1">
        <v>6392</v>
      </c>
      <c r="C1741" s="3">
        <v>44168.894432870373</v>
      </c>
      <c r="D1741" s="1" t="s">
        <v>3482</v>
      </c>
      <c r="E1741" s="4" t="str">
        <f ca="1">IFERROR(__xludf.DUMMYFUNCTION("GOOGLETRANSLATE(A1741 , ""tr"" , ""en"")"),"The case increase in Hatay in the last week is 100%, intensive care occupancy rate 70%, Case increase in Antalya 100%, Intensive care occupancy rate 71%, Case increase in Trabzon, 75% in Trabzon, 75%, Diyarbakır ' There is also a fixed increase; Intensive"&amp;" care occupancy rate is 70%.")</f>
        <v>The case increase in Hatay in the last week is 100%, intensive care occupancy rate 70%, Case increase in Antalya 100%, Intensive care occupancy rate 71%, Case increase in Trabzon, 75% in Trabzon, 75%, Diyarbakır ' There is also a fixed increase; Intensive care occupancy rate is 70%.</v>
      </c>
    </row>
    <row r="1742" spans="1:5" ht="15.75" customHeight="1" x14ac:dyDescent="0.25">
      <c r="A1742" s="1" t="s">
        <v>3483</v>
      </c>
      <c r="B1742" s="1">
        <v>8452</v>
      </c>
      <c r="C1742" s="3">
        <v>44168.894432870373</v>
      </c>
      <c r="D1742" s="1" t="s">
        <v>3484</v>
      </c>
      <c r="E1742" s="4" t="str">
        <f ca="1">IFERROR(__xludf.DUMMYFUNCTION("GOOGLETRANSLATE(A1742 , ""tr"" , ""en"")"),"Hatay, Antalya, Trabzon and Diyarbakir Provincial Health Directors were separately, we have evaluated the situations of these provinces. High risk continues. https://t.co/ku8aly")</f>
        <v>Hatay, Antalya, Trabzon and Diyarbakir Provincial Health Directors were separately, we have evaluated the situations of these provinces. High risk continues. https://t.co/ku8aly</v>
      </c>
    </row>
    <row r="1743" spans="1:5" ht="15.75" customHeight="1" x14ac:dyDescent="0.25">
      <c r="A1743" s="1" t="s">
        <v>3485</v>
      </c>
      <c r="B1743" s="1">
        <v>5814</v>
      </c>
      <c r="C1743" s="3">
        <v>44168.864791666667</v>
      </c>
      <c r="D1743" s="1" t="s">
        <v>3486</v>
      </c>
      <c r="E1743" s="4" t="str">
        <f ca="1">IFERROR(__xludf.DUMMYFUNCTION("GOOGLETRANSLATE(A1743 , ""tr"" , ""en"")"),"With our loved ones, you are not entering the distances in the street and the squares reduces our number, we increase the distance. https://t.co/yfvabojlwm")</f>
        <v>With our loved ones, you are not entering the distances in the street and the squares reduces our number, we increase the distance. https://t.co/yfvabojlwm</v>
      </c>
    </row>
    <row r="1744" spans="1:5" ht="15.75" customHeight="1" x14ac:dyDescent="0.25">
      <c r="A1744" s="1" t="s">
        <v>3487</v>
      </c>
      <c r="B1744" s="1">
        <v>7905</v>
      </c>
      <c r="C1744" s="3">
        <v>44168.861446759256</v>
      </c>
      <c r="D1744" s="1" t="s">
        <v>3488</v>
      </c>
      <c r="E1744" s="4" t="str">
        <f ca="1">IFERROR(__xludf.DUMMYFUNCTION("GOOGLETRANSLATE(A1744 , ""tr"" , ""en"")"),"In order to reduce the influence of the episode as soon as we can take a break to meet in homes. https://t.co/qppy79splp")</f>
        <v>In order to reduce the influence of the episode as soon as we can take a break to meet in homes. https://t.co/qppy79splp</v>
      </c>
    </row>
    <row r="1745" spans="1:5" ht="15.75" customHeight="1" x14ac:dyDescent="0.25">
      <c r="A1745" s="1" t="s">
        <v>3489</v>
      </c>
      <c r="B1745" s="1">
        <v>6905</v>
      </c>
      <c r="C1745" s="3">
        <v>44168.707465277781</v>
      </c>
      <c r="D1745" s="1" t="s">
        <v>3490</v>
      </c>
      <c r="E1745" s="4" t="str">
        <f ca="1">IFERROR(__xludf.DUMMYFUNCTION("GOOGLETRANSLATE(A1745 , ""tr"" , ""en"")"),"That makes us human, our senses are our feelings. Patience, faith, the most noble feelings such as stability, we respect our citizens who live without disabled people with disabilities. https://t.co/v3jqsjkrto")</f>
        <v>That makes us human, our senses are our feelings. Patience, faith, the most noble feelings such as stability, we respect our citizens who live without disabled people with disabilities. https://t.co/v3jqsjkrto</v>
      </c>
    </row>
    <row r="1746" spans="1:5" ht="15.75" customHeight="1" x14ac:dyDescent="0.25">
      <c r="A1746" s="1" t="s">
        <v>3491</v>
      </c>
      <c r="B1746" s="1">
        <v>12706</v>
      </c>
      <c r="C1746" s="3">
        <v>44168.688773148147</v>
      </c>
      <c r="D1746" s="1" t="s">
        <v>3492</v>
      </c>
      <c r="E1746" s="4" t="str">
        <f ca="1">IFERROR(__xludf.DUMMYFUNCTION("GOOGLETRANSLATE(A1746 , ""tr"" , ""en"")"),"We have 6,511 new patients identified today. We have to reduce our patient count. Off and crowded environments are the environments that the virus is the easiest contamed. We have to spend the winter months in crowded and closed. The fight is also possibl"&amp;"e to stay at home. https://t.co/rvlhe7786o")</f>
        <v>We have 6,511 new patients identified today. We have to reduce our patient count. Off and crowded environments are the environments that the virus is the easiest contamed. We have to spend the winter months in crowded and closed. The fight is also possible to stay at home. https://t.co/rvlhe7786o</v>
      </c>
    </row>
    <row r="1747" spans="1:5" ht="15.75" customHeight="1" x14ac:dyDescent="0.25">
      <c r="A1747" s="1" t="s">
        <v>3493</v>
      </c>
      <c r="B1747" s="1">
        <v>0</v>
      </c>
      <c r="C1747" s="3">
        <v>44168.608831018515</v>
      </c>
      <c r="D1747" s="1" t="s">
        <v>3494</v>
      </c>
      <c r="E1747" s="4" t="str">
        <f ca="1">IFERROR(__xludf.DUMMYFUNCTION("GOOGLETRANSLATE(A1747 , ""tr"" , ""en"")"),"RT @rterdogan: UN General Assembly Kovid-19 Tackle Special Session https://t.co/9u2hmmoytk")</f>
        <v>RT @rterdogan: UN General Assembly Kovid-19 Tackle Special Session https://t.co/9u2hmmoytk</v>
      </c>
    </row>
    <row r="1748" spans="1:5" ht="15.75" customHeight="1" x14ac:dyDescent="0.25">
      <c r="A1748" s="1" t="s">
        <v>3495</v>
      </c>
      <c r="B1748" s="1">
        <v>27609</v>
      </c>
      <c r="C1748" s="3">
        <v>44168.506655092591</v>
      </c>
      <c r="D1748" s="1" t="s">
        <v>3496</v>
      </c>
      <c r="E1748" s="4" t="str">
        <f ca="1">IFERROR(__xludf.DUMMYFUNCTION("GOOGLETRANSLATE(A1748 , ""tr"" , ""en"")"),"Although you cannot see your faces because of your white jumpsuits he sees your huge hearts and we know. We are grateful ... https://t.co/M1VIB252SY")</f>
        <v>Although you cannot see your faces because of your white jumpsuits he sees your huge hearts and we know. We are grateful ... https://t.co/M1VIB252SY</v>
      </c>
    </row>
    <row r="1749" spans="1:5" ht="15.75" customHeight="1" x14ac:dyDescent="0.25">
      <c r="A1749" s="1" t="s">
        <v>3497</v>
      </c>
      <c r="B1749" s="1">
        <v>6579</v>
      </c>
      <c r="C1749" s="3">
        <v>44167.947094907409</v>
      </c>
      <c r="D1749" s="1" t="s">
        <v>3498</v>
      </c>
      <c r="E1749" s="4" t="str">
        <f ca="1">IFERROR(__xludf.DUMMYFUNCTION("GOOGLETRANSLATE(A1749 , ""tr"" , ""en"")"),"In the last two weeks Izmir and Konya have 50% case boosts, Adana, Samsun and the Ordu have a 100% case increase. In these provinces, İzmir, Adana and Samsun, our hospitals and health personnel are under a great burden. Our sacrifice examination continues"&amp;" in the fight against outbreak.")</f>
        <v>In the last two weeks Izmir and Konya have 50% case boosts, Adana, Samsun and the Ordu have a 100% case increase. In these provinces, İzmir, Adana and Samsun, our hospitals and health personnel are under a great burden. Our sacrifice examination continues in the fight against outbreak.</v>
      </c>
    </row>
    <row r="1750" spans="1:5" ht="15.75" customHeight="1" x14ac:dyDescent="0.25">
      <c r="A1750" s="1" t="s">
        <v>3499</v>
      </c>
      <c r="B1750" s="1">
        <v>8675</v>
      </c>
      <c r="C1750" s="3">
        <v>44167.947083333333</v>
      </c>
      <c r="D1750" s="1" t="s">
        <v>3500</v>
      </c>
      <c r="E1750" s="4" t="str">
        <f ca="1">IFERROR(__xludf.DUMMYFUNCTION("GOOGLETRANSLATE(A1750 , ""tr"" , ""en"")"),"Izmir, Adana, Samsun, Bursa, Ordu, Gaziantep and Konya We have repeated our online conversation with our health managers. We closely follow the course of the outbreak in our provinces. https://t.co/t6wn2JDI")</f>
        <v>Izmir, Adana, Samsun, Bursa, Ordu, Gaziantep and Konya We have repeated our online conversation with our health managers. We closely follow the course of the outbreak in our provinces. https://t.co/t6wn2JDI</v>
      </c>
    </row>
    <row r="1751" spans="1:5" ht="15.75" customHeight="1" x14ac:dyDescent="0.25">
      <c r="A1751" s="1" t="s">
        <v>3501</v>
      </c>
      <c r="B1751" s="1">
        <v>10998</v>
      </c>
      <c r="C1751" s="3">
        <v>44167.845671296294</v>
      </c>
      <c r="D1751" s="1" t="s">
        <v>3502</v>
      </c>
      <c r="E1751" s="4" t="str">
        <f ca="1">IFERROR(__xludf.DUMMYFUNCTION("GOOGLETRANSLATE(A1751 , ""tr"" , ""en"")"),"We strive to prepare in vaccination as country. Our Science Board conducts his work on the vaccination strategy. We have made our planning. https://t.co/k5fufhdfqI")</f>
        <v>We strive to prepare in vaccination as country. Our Science Board conducts his work on the vaccination strategy. We have made our planning. https://t.co/k5fufhdfqI</v>
      </c>
    </row>
    <row r="1752" spans="1:5" ht="15.75" customHeight="1" x14ac:dyDescent="0.25">
      <c r="A1752" s="1" t="s">
        <v>3503</v>
      </c>
      <c r="B1752" s="1">
        <v>8712</v>
      </c>
      <c r="C1752" s="3">
        <v>44167.767418981479</v>
      </c>
      <c r="D1752" s="1" t="s">
        <v>3504</v>
      </c>
      <c r="E1752" s="4" t="str">
        <f ca="1">IFERROR(__xludf.DUMMYFUNCTION("GOOGLETRANSLATE(A1752 , ""tr"" , ""en"")"),"We do not interfere with the crowd in the Sunday and AVM to put the distance out of the outbreak. https://t.co/fxgrvqarpv")</f>
        <v>We do not interfere with the crowd in the Sunday and AVM to put the distance out of the outbreak. https://t.co/fxgrvqarpv</v>
      </c>
    </row>
    <row r="1753" spans="1:5" ht="15.75" customHeight="1" x14ac:dyDescent="0.25">
      <c r="A1753" s="1" t="s">
        <v>3505</v>
      </c>
      <c r="B1753" s="1">
        <v>15640</v>
      </c>
      <c r="C1753" s="3">
        <v>44167.680590277778</v>
      </c>
      <c r="D1753" s="1" t="s">
        <v>3506</v>
      </c>
      <c r="E1753" s="4" t="str">
        <f ca="1">IFERROR(__xludf.DUMMYFUNCTION("GOOGLETRANSLATE(A1753 , ""tr"" , ""en"")"),"We have 6,690 new patients identified today. The use of closed environments increased due to seasonal conditions. To reduce the increasing number of active patients, we must stand out of crowds, off and adequately non-ventilated environments. https://t.co"&amp;"/rvlhe7786o")</f>
        <v>We have 6,690 new patients identified today. The use of closed environments increased due to seasonal conditions. To reduce the increasing number of active patients, we must stand out of crowds, off and adequately non-ventilated environments. https://t.co/rvlhe7786o</v>
      </c>
    </row>
    <row r="1754" spans="1:5" ht="15.75" customHeight="1" x14ac:dyDescent="0.25">
      <c r="A1754" s="1" t="s">
        <v>3507</v>
      </c>
      <c r="B1754" s="1">
        <v>9783</v>
      </c>
      <c r="C1754" s="3">
        <v>44167.615995370368</v>
      </c>
      <c r="D1754" s="1" t="s">
        <v>3508</v>
      </c>
      <c r="E1754" s="4" t="str">
        <f ca="1">IFERROR(__xludf.DUMMYFUNCTION("GOOGLETRANSLATE(A1754 , ""tr"" , ""en"")"),"We do not exceed 30 people in funerals and wedding for the days we can share our feelings comfortably. https://t.co/rme4nw6deb")</f>
        <v>We do not exceed 30 people in funerals and wedding for the days we can share our feelings comfortably. https://t.co/rme4nw6deb</v>
      </c>
    </row>
    <row r="1755" spans="1:5" ht="15.75" customHeight="1" x14ac:dyDescent="0.25">
      <c r="A1755" s="1" t="s">
        <v>3509</v>
      </c>
      <c r="B1755" s="1">
        <v>10982</v>
      </c>
      <c r="C1755" s="3">
        <v>44166.906458333331</v>
      </c>
      <c r="D1755" s="1" t="s">
        <v>3510</v>
      </c>
      <c r="E1755" s="4" t="str">
        <f ca="1">IFERROR(__xludf.DUMMYFUNCTION("GOOGLETRANSLATE(A1755 , ""tr"" , ""en"")"),"The contract was signed for the vaccine we hope to change the course of the outbreak. Our goal is to start vaccination rapidly in December. First of our health workers will be vaccinated. https://t.co/zdızz78xyd")</f>
        <v>The contract was signed for the vaccine we hope to change the course of the outbreak. Our goal is to start vaccination rapidly in December. First of our health workers will be vaccinated. https://t.co/zdızz78xyd</v>
      </c>
    </row>
    <row r="1756" spans="1:5" ht="15.75" customHeight="1" x14ac:dyDescent="0.25">
      <c r="A1756" s="1" t="s">
        <v>3511</v>
      </c>
      <c r="B1756" s="1">
        <v>8047</v>
      </c>
      <c r="C1756" s="3">
        <v>44166.893796296295</v>
      </c>
      <c r="D1756" s="1" t="s">
        <v>3512</v>
      </c>
      <c r="E1756" s="4" t="str">
        <f ca="1">IFERROR(__xludf.DUMMYFUNCTION("GOOGLETRANSLATE(A1756 , ""tr"" , ""en"")"),"Our goal is not life, but to restrict the outbreak. https://t.co/uqvkqddybe")</f>
        <v>Our goal is not life, but to restrict the outbreak. https://t.co/uqvkqddybe</v>
      </c>
    </row>
    <row r="1757" spans="1:5" ht="15.75" customHeight="1" x14ac:dyDescent="0.25">
      <c r="A1757" s="1" t="s">
        <v>3513</v>
      </c>
      <c r="B1757" s="1">
        <v>8692</v>
      </c>
      <c r="C1757" s="3">
        <v>44166.886921296296</v>
      </c>
      <c r="D1757" s="1" t="s">
        <v>3514</v>
      </c>
      <c r="E1757" s="4" t="str">
        <f ca="1">IFERROR(__xludf.DUMMYFUNCTION("GOOGLETRANSLATE(A1757 , ""tr"" , ""en"")"),"We have to reduce the spread of the epidemic. So we don't go out unless they are mandatory. https://t.co/c6ykqbtion")</f>
        <v>We have to reduce the spread of the epidemic. So we don't go out unless they are mandatory. https://t.co/c6ykqbtion</v>
      </c>
    </row>
    <row r="1758" spans="1:5" ht="15.75" customHeight="1" x14ac:dyDescent="0.25">
      <c r="A1758" s="1" t="s">
        <v>3515</v>
      </c>
      <c r="B1758" s="1">
        <v>5574</v>
      </c>
      <c r="C1758" s="3">
        <v>44166.82640046296</v>
      </c>
      <c r="D1758" s="1" t="s">
        <v>3516</v>
      </c>
      <c r="E1758" s="4" t="str">
        <f ca="1">IFERROR(__xludf.DUMMYFUNCTION("GOOGLETRANSLATE(A1758 , ""tr"" , ""en"")"),"We met our deputies in the TBMM today. We have been in consultations on our hometown's health policies and investments. We have evaluated the demands of our citizens through our proxies. https://t.co/cfxk3ff8he")</f>
        <v>We met our deputies in the TBMM today. We have been in consultations on our hometown's health policies and investments. We have evaluated the demands of our citizens through our proxies. https://t.co/cfxk3ff8he</v>
      </c>
    </row>
    <row r="1759" spans="1:5" ht="15.75" customHeight="1" x14ac:dyDescent="0.25">
      <c r="A1759" s="1" t="s">
        <v>3517</v>
      </c>
      <c r="B1759" s="1">
        <v>16256</v>
      </c>
      <c r="C1759" s="3">
        <v>44166.666296296295</v>
      </c>
      <c r="D1759" s="1" t="s">
        <v>3518</v>
      </c>
      <c r="E1759" s="4" t="str">
        <f ca="1">IFERROR(__xludf.DUMMYFUNCTION("GOOGLETRANSLATE(A1759 , ""tr"" , ""en"")"),"We have 6,101 new patients identified today. As our recovering patient number does not pass our new patient number, the load of the health system continues to increase. If it is necessary, let's not forget that voluntary measures save life. Let's obey the"&amp;" measures. https://t.co/rvlhe7oIYM")</f>
        <v>We have 6,101 new patients identified today. As our recovering patient number does not pass our new patient number, the load of the health system continues to increase. If it is necessary, let's not forget that voluntary measures save life. Let's obey the measures. https://t.co/rvlhe7oIYM</v>
      </c>
    </row>
    <row r="1760" spans="1:5" ht="15.75" customHeight="1" x14ac:dyDescent="0.25">
      <c r="A1760" s="1" t="s">
        <v>3519</v>
      </c>
      <c r="B1760" s="1">
        <v>9796</v>
      </c>
      <c r="C1760" s="3">
        <v>44165.886273148149</v>
      </c>
      <c r="D1760" s="1" t="s">
        <v>3520</v>
      </c>
      <c r="E1760" s="4" t="str">
        <f ca="1">IFERROR(__xludf.DUMMYFUNCTION("GOOGLETRANSLATE(A1760 , ""tr"" , ""en"")"),"Following the Cabinet Meeting, where the recommendations of the science is assessed, our President has announced new measures in the fight against Koronavirus. These measures are both complying and responsibility to comply with the nation. We can only win"&amp;" the struggle together. https://t.co/gvgllywmjn")</f>
        <v>Following the Cabinet Meeting, where the recommendations of the science is assessed, our President has announced new measures in the fight against Koronavirus. These measures are both complying and responsibility to comply with the nation. We can only win the struggle together. https://t.co/gvgllywmjn</v>
      </c>
    </row>
    <row r="1761" spans="1:5" ht="15.75" customHeight="1" x14ac:dyDescent="0.25">
      <c r="A1761" s="1" t="s">
        <v>3521</v>
      </c>
      <c r="B1761" s="1">
        <v>9966</v>
      </c>
      <c r="C1761" s="3">
        <v>44165.810150462959</v>
      </c>
      <c r="D1761" s="1" t="s">
        <v>3522</v>
      </c>
      <c r="E1761" s="4" t="str">
        <f ca="1">IFERROR(__xludf.DUMMYFUNCTION("GOOGLETRANSLATE(A1761 , ""tr"" , ""en"")"),"The thesis behaves live, we can go on a trip to our business if we ride the bus without crowding in the hustle of getting to our work. Let's see what a momentary negligence leads to. Measure Our social responsibility as well as the security of our persona"&amp;"l health. https://t.co/kso5fqbm")</f>
        <v>The thesis behaves live, we can go on a trip to our business if we ride the bus without crowding in the hustle of getting to our work. Let's see what a momentary negligence leads to. Measure Our social responsibility as well as the security of our personal health. https://t.co/kso5fqbm</v>
      </c>
    </row>
    <row r="1762" spans="1:5" ht="15.75" customHeight="1" x14ac:dyDescent="0.25">
      <c r="A1762" s="1" t="s">
        <v>3523</v>
      </c>
      <c r="B1762" s="1">
        <v>18307</v>
      </c>
      <c r="C1762" s="3">
        <v>44165.778067129628</v>
      </c>
      <c r="D1762" s="1" t="s">
        <v>3524</v>
      </c>
      <c r="E1762" s="4" t="str">
        <f ca="1">IFERROR(__xludf.DUMMYFUNCTION("GOOGLETRANSLATE(A1762 , ""tr"" , ""en"")"),"Our struggling guns are obvious: cleaning, mask and distance. We have to take some measures to protect the health of society. With the measures, we will survive in less than compulsory restrictions. Let's show full compliance with restrictions.")</f>
        <v>Our struggling guns are obvious: cleaning, mask and distance. We have to take some measures to protect the health of society. With the measures, we will survive in less than compulsory restrictions. Let's show full compliance with restrictions.</v>
      </c>
    </row>
    <row r="1763" spans="1:5" ht="15.75" customHeight="1" x14ac:dyDescent="0.25">
      <c r="A1763" s="1" t="s">
        <v>3525</v>
      </c>
      <c r="B1763" s="1">
        <v>13115</v>
      </c>
      <c r="C1763" s="3">
        <v>44165.736157407409</v>
      </c>
      <c r="D1763" s="1" t="s">
        <v>3526</v>
      </c>
      <c r="E1763" s="4" t="str">
        <f ca="1">IFERROR(__xludf.DUMMYFUNCTION("GOOGLETRANSLATE(A1763 , ""tr"" , ""en"")"),"We have 6,514 new patients identified today. We need more stringent protection and tighter measure. We have to sustain the challenge together. Support the fight against the measures. https://t.co/rvlhe7786o")</f>
        <v>We have 6,514 new patients identified today. We need more stringent protection and tighter measure. We have to sustain the challenge together. Support the fight against the measures. https://t.co/rvlhe7786o</v>
      </c>
    </row>
    <row r="1764" spans="1:5" ht="15.75" customHeight="1" x14ac:dyDescent="0.25">
      <c r="A1764" s="1" t="s">
        <v>3527</v>
      </c>
      <c r="B1764" s="1">
        <v>0</v>
      </c>
      <c r="C1764" s="3">
        <v>44165.706886574073</v>
      </c>
      <c r="D1764" s="1" t="s">
        <v>3528</v>
      </c>
      <c r="E1764" s="4" t="str">
        <f ca="1">IFERROR(__xludf.DUMMYFUNCTION("GOOGLETRANSLATE(A1764 , ""tr"" , ""en"")"),"RT @rterdogan: Shouting to Nation After Cabinet Meeting https://t.co/jlujptiz64")</f>
        <v>RT @rterdogan: Shouting to Nation After Cabinet Meeting https://t.co/jlujptiz64</v>
      </c>
    </row>
    <row r="1765" spans="1:5" ht="15.75" customHeight="1" x14ac:dyDescent="0.25">
      <c r="A1765" s="1" t="s">
        <v>3529</v>
      </c>
      <c r="B1765" s="1">
        <v>11927</v>
      </c>
      <c r="C1765" s="3">
        <v>44165.245798611111</v>
      </c>
      <c r="D1765" s="1" t="s">
        <v>3530</v>
      </c>
      <c r="E1765" s="4" t="str">
        <f ca="1">IFERROR(__xludf.DUMMYFUNCTION("GOOGLETRANSLATE(A1765 , ""tr"" , ""en"")"),"Underestimate.
Today it underestimates the virus and we can regret tomorrow if we don't give up our old normal. The measure is the assurance of both our health and social lives. https://t.co/fkvmpjt45a")</f>
        <v>Underestimate.
Today it underestimates the virus and we can regret tomorrow if we don't give up our old normal. The measure is the assurance of both our health and social lives. https://t.co/fkvmpjt45a</v>
      </c>
    </row>
    <row r="1766" spans="1:5" ht="15.75" customHeight="1" x14ac:dyDescent="0.25">
      <c r="A1766" s="1" t="s">
        <v>3531</v>
      </c>
      <c r="B1766" s="1">
        <v>18078</v>
      </c>
      <c r="C1766" s="3">
        <v>44164.704097222224</v>
      </c>
      <c r="D1766" s="1" t="s">
        <v>3532</v>
      </c>
      <c r="E1766" s="4" t="str">
        <f ca="1">IFERROR(__xludf.DUMMYFUNCTION("GOOGLETRANSLATE(A1766 , ""tr"" , ""en"")"),"We have 6,439 new patients today. The severe number of patients continues to increase. Support this load to our health workers successfully breasts. Add strength to the struggle by complying with the measures. https://t.co/rvlhe7786o")</f>
        <v>We have 6,439 new patients today. The severe number of patients continues to increase. Support this load to our health workers successfully breasts. Add strength to the struggle by complying with the measures. https://t.co/rvlhe7786o</v>
      </c>
    </row>
    <row r="1767" spans="1:5" ht="15.75" customHeight="1" x14ac:dyDescent="0.25">
      <c r="A1767" s="1" t="s">
        <v>3533</v>
      </c>
      <c r="B1767" s="1">
        <v>19018</v>
      </c>
      <c r="C1767" s="3">
        <v>44163.834351851852</v>
      </c>
      <c r="D1767" s="1" t="s">
        <v>3534</v>
      </c>
      <c r="E1767" s="4" t="str">
        <f ca="1">IFERROR(__xludf.DUMMYFUNCTION("GOOGLETRANSLATE(A1767 , ""tr"" , ""en"")"),"We have made the first deals on COVID-19 vaccination. Our negotiations continue with alternative manufacturers. As I explained before, we plan to make a gradual vaccination by starting our health workers. Our state is next to the citizen. https://t.co/mj5"&amp;"ftssptu")</f>
        <v>We have made the first deals on COVID-19 vaccination. Our negotiations continue with alternative manufacturers. As I explained before, we plan to make a gradual vaccination by starting our health workers. Our state is next to the citizen. https://t.co/mj5ftssptu</v>
      </c>
    </row>
    <row r="1768" spans="1:5" ht="15.75" customHeight="1" x14ac:dyDescent="0.25">
      <c r="A1768" s="1" t="s">
        <v>3535</v>
      </c>
      <c r="B1768" s="1">
        <v>7754</v>
      </c>
      <c r="C1768" s="3">
        <v>44163.791875000003</v>
      </c>
      <c r="D1768" s="1" t="s">
        <v>3536</v>
      </c>
      <c r="E1768" s="4" t="str">
        <f ca="1">IFERROR(__xludf.DUMMYFUNCTION("GOOGLETRANSLATE(A1768 , ""tr"" , ""en"")"),"Today, if we do not put the distance from the former normals, it can enter the distances we don't want to call with our favorite ones tomorrow. Mask, distance and cleaning measures are the greatest assurance of our health and social life. https://t.co/pkm"&amp;"etqnv1s")</f>
        <v>Today, if we do not put the distance from the former normals, it can enter the distances we don't want to call with our favorite ones tomorrow. Mask, distance and cleaning measures are the greatest assurance of our health and social life. https://t.co/pkmetqnv1s</v>
      </c>
    </row>
    <row r="1769" spans="1:5" ht="15.75" customHeight="1" x14ac:dyDescent="0.25">
      <c r="A1769" s="1" t="s">
        <v>3537</v>
      </c>
      <c r="B1769" s="1">
        <v>7689</v>
      </c>
      <c r="C1769" s="3">
        <v>44163.767407407409</v>
      </c>
      <c r="D1769" s="1" t="s">
        <v>3538</v>
      </c>
      <c r="E1769" s="4" t="str">
        <f ca="1">IFERROR(__xludf.DUMMYFUNCTION("GOOGLETRANSLATE(A1769 , ""tr"" , ""en"")"),"We have realized our weekly assessment meeting with our health managers in Istanbul. We reviewed the status of our pandemia management and health services. Istanbul has severe patient growth; The risk continues. Times that are not restrictions, let's spen"&amp;"d at home unless they are obliged. https://t.co/7wlvxednns")</f>
        <v>We have realized our weekly assessment meeting with our health managers in Istanbul. We reviewed the status of our pandemia management and health services. Istanbul has severe patient growth; The risk continues. Times that are not restrictions, let's spend at home unless they are obliged. https://t.co/7wlvxednns</v>
      </c>
    </row>
    <row r="1770" spans="1:5" ht="15.75" customHeight="1" x14ac:dyDescent="0.25">
      <c r="A1770" s="1" t="s">
        <v>3539</v>
      </c>
      <c r="B1770" s="1">
        <v>5523</v>
      </c>
      <c r="C1770" s="3">
        <v>44163.749189814815</v>
      </c>
      <c r="D1770" s="1" t="s">
        <v>3540</v>
      </c>
      <c r="E1770" s="4" t="str">
        <f ca="1">IFERROR(__xludf.DUMMYFUNCTION("GOOGLETRANSLATE(A1770 , ""tr"" , ""en"")"),"PROF. Dr. Feriha Self and Prof. Dr. Murat Dilmener Emergency Emergency We have assessed the status of our hospitals and the status of our lying patients in place. The responsibility of which they undertake in the follow-up of severe patients is the great "&amp;"place in the pandem control in Istanbul. https://t.co/mdsjuzwtnk")</f>
        <v>PROF. Dr. Feriha Self and Prof. Dr. Murat Dilmener Emergency Emergency We have assessed the status of our hospitals and the status of our lying patients in place. The responsibility of which they undertake in the follow-up of severe patients is the great place in the pandem control in Istanbul. https://t.co/mdsjuzwtnk</v>
      </c>
    </row>
    <row r="1771" spans="1:5" ht="15.75" customHeight="1" x14ac:dyDescent="0.25">
      <c r="A1771" s="1" t="s">
        <v>3541</v>
      </c>
      <c r="B1771" s="1">
        <v>18803</v>
      </c>
      <c r="C1771" s="3">
        <v>44163.679537037038</v>
      </c>
      <c r="D1771" s="1" t="s">
        <v>3542</v>
      </c>
      <c r="E1771" s="4" t="str">
        <f ca="1">IFERROR(__xludf.DUMMYFUNCTION("GOOGLETRANSLATE(A1771 , ""tr"" , ""en"")"),"We have 4,903 heavy patients identified today. Our health military is under heavy load. Each of us is in the marshable to comply with the measures. This is not a personal choice but a social obligation. https://t.co/rvlhe7786o")</f>
        <v>We have 4,903 heavy patients identified today. Our health military is under heavy load. Each of us is in the marshable to comply with the measures. This is not a personal choice but a social obligation. https://t.co/rvlhe7786o</v>
      </c>
    </row>
    <row r="1772" spans="1:5" ht="15.75" customHeight="1" x14ac:dyDescent="0.25">
      <c r="A1772" s="1" t="s">
        <v>3543</v>
      </c>
      <c r="B1772" s="1">
        <v>12646</v>
      </c>
      <c r="C1772" s="3">
        <v>44163.64466435185</v>
      </c>
      <c r="D1772" s="1" t="s">
        <v>3544</v>
      </c>
      <c r="E1772" s="4" t="str">
        <f ca="1">IFERROR(__xludf.DUMMYFUNCTION("GOOGLETRANSLATE(A1772 , ""tr"" , ""en"")"),"It can be replaced by remembered coffee. You can enter invisible guests from the door you open to your friends. The most reliable place is your home. Don't invite your risk to your house and keep your family. https://t.co/nvwgeir3wx")</f>
        <v>It can be replaced by remembered coffee. You can enter invisible guests from the door you open to your friends. The most reliable place is your home. Don't invite your risk to your house and keep your family. https://t.co/nvwgeir3wx</v>
      </c>
    </row>
    <row r="1773" spans="1:5" ht="15.75" customHeight="1" x14ac:dyDescent="0.25">
      <c r="A1773" s="1" t="s">
        <v>3545</v>
      </c>
      <c r="B1773" s="1">
        <v>3372</v>
      </c>
      <c r="C1773" s="3">
        <v>44163.526608796295</v>
      </c>
      <c r="D1773" s="1" t="s">
        <v>3546</v>
      </c>
      <c r="E1773" s="4" t="str">
        <f ca="1">IFERROR(__xludf.DUMMYFUNCTION("GOOGLETRANSLATE(A1773 , ""tr"" , ""en"")"),"Gene Treatment As part of the application procedure, the immune system must be suppressed for at least 1 month, and in some patients with high weight, this process can uplay up to 1 year. The SMA Science Board is collected every month, NGOs and families a"&amp;"re informed.")</f>
        <v>Gene Treatment As part of the application procedure, the immune system must be suppressed for at least 1 month, and in some patients with high weight, this process can uplay up to 1 year. The SMA Science Board is collected every month, NGOs and families are informed.</v>
      </c>
    </row>
    <row r="1774" spans="1:5" ht="15.75" customHeight="1" x14ac:dyDescent="0.25">
      <c r="A1774" s="1" t="s">
        <v>3547</v>
      </c>
      <c r="B1774" s="1">
        <v>3714</v>
      </c>
      <c r="C1774" s="3">
        <v>44163.526608796295</v>
      </c>
      <c r="D1774" s="1" t="s">
        <v>3548</v>
      </c>
      <c r="E1774" s="4" t="str">
        <f ca="1">IFERROR(__xludf.DUMMYFUNCTION("GOOGLETRANSLATE(A1774 , ""tr"" , ""en"")"),"The SMA Science Board stated that the allegations of allegations on whether the disease is not the treatment of the disease, unless the gene treatment of the jen. The application process completed the efficacy and side effects of the completed SMA patient"&amp;"s are currently benefiting from treatment in our country.")</f>
        <v>The SMA Science Board stated that the allegations of allegations on whether the disease is not the treatment of the disease, unless the gene treatment of the jen. The application process completed the efficacy and side effects of the completed SMA patients are currently benefiting from treatment in our country.</v>
      </c>
    </row>
    <row r="1775" spans="1:5" ht="15.75" customHeight="1" x14ac:dyDescent="0.25">
      <c r="A1775" s="1" t="s">
        <v>3549</v>
      </c>
      <c r="B1775" s="1">
        <v>8925</v>
      </c>
      <c r="C1775" s="3">
        <v>44163.526608796295</v>
      </c>
      <c r="D1775" s="1" t="s">
        <v>3550</v>
      </c>
      <c r="E1775" s="4" t="str">
        <f ca="1">IFERROR(__xludf.DUMMYFUNCTION("GOOGLETRANSLATE(A1775 , ""tr"" , ""en"")"),"In the SMA disease held by our Ministry, the Members of the Current Treatments in SMA disease participated in MMA Science Board, Ministry officials, SMA associations. The SMA Science Board, SMA medications and the recent scientific studies on the possible"&amp;" scientific studies related to the prospective gene treatment.")</f>
        <v>In the SMA disease held by our Ministry, the Members of the Current Treatments in SMA disease participated in MMA Science Board, Ministry officials, SMA associations. The SMA Science Board, SMA medications and the recent scientific studies on the possible scientific studies related to the prospective gene treatment.</v>
      </c>
    </row>
    <row r="1776" spans="1:5" ht="15.75" customHeight="1" x14ac:dyDescent="0.25">
      <c r="A1776" s="1" t="s">
        <v>3551</v>
      </c>
      <c r="B1776" s="1">
        <v>10253</v>
      </c>
      <c r="C1776" s="3">
        <v>44162.890115740738</v>
      </c>
      <c r="D1776" s="1" t="s">
        <v>3552</v>
      </c>
      <c r="E1776" s="4" t="str">
        <f ca="1">IFERROR(__xludf.DUMMYFUNCTION("GOOGLETRANSLATE(A1776 , ""tr"" , ""en"")"),"The purpose of controlled Social Life is to continue the normal flow of life within the rules. However, increasing case numbers have obliged the constraint application of 20.00-10.00 this weekend. If we are not obliged, let's spend the time when there are"&amp;" no restrictions. https://t.co/ainb1fosd")</f>
        <v>The purpose of controlled Social Life is to continue the normal flow of life within the rules. However, increasing case numbers have obliged the constraint application of 20.00-10.00 this weekend. If we are not obliged, let's spend the time when there are no restrictions. https://t.co/ainb1fosd</v>
      </c>
    </row>
    <row r="1777" spans="1:5" ht="15.75" customHeight="1" x14ac:dyDescent="0.25">
      <c r="A1777" s="1" t="s">
        <v>3553</v>
      </c>
      <c r="B1777" s="1">
        <v>9238</v>
      </c>
      <c r="C1777" s="3">
        <v>44162.758287037039</v>
      </c>
      <c r="D1777" s="1" t="s">
        <v>3554</v>
      </c>
      <c r="E1777" s="4" t="str">
        <f ca="1">IFERROR(__xludf.DUMMYFUNCTION("GOOGLETRANSLATE(A1777 , ""tr"" , ""en"")"),"Great crowds like weddings are a great threat to everyone who participates in. Each neglect is to take an invitation to the virus. https://t.co/sbxrl9paan")</f>
        <v>Great crowds like weddings are a great threat to everyone who participates in. Each neglect is to take an invitation to the virus. https://t.co/sbxrl9paan</v>
      </c>
    </row>
    <row r="1778" spans="1:5" ht="15.75" customHeight="1" x14ac:dyDescent="0.25">
      <c r="A1778" s="1" t="s">
        <v>3555</v>
      </c>
      <c r="B1778" s="1">
        <v>17599</v>
      </c>
      <c r="C1778" s="3">
        <v>44162.694224537037</v>
      </c>
      <c r="D1778" s="1" t="s">
        <v>3556</v>
      </c>
      <c r="E1778" s="4" t="str">
        <f ca="1">IFERROR(__xludf.DUMMYFUNCTION("GOOGLETRANSLATE(A1778 , ""tr"" , ""en"")"),"We have 6,592 new patients identified today. Our severe patient count approached 5,000. Our losses are increasing. We can also struggle without the restraint of the measures. Or restraints become inevitable. The safest place is our house. https://t.co/rvl"&amp;"he7786o")</f>
        <v>We have 6,592 new patients identified today. Our severe patient count approached 5,000. Our losses are increasing. We can also struggle without the restraint of the measures. Or restraints become inevitable. The safest place is our house. https://t.co/rvlhe7786o</v>
      </c>
    </row>
    <row r="1779" spans="1:5" ht="15.75" customHeight="1" x14ac:dyDescent="0.25">
      <c r="A1779" s="1" t="s">
        <v>3557</v>
      </c>
      <c r="B1779" s="1">
        <v>6116</v>
      </c>
      <c r="C1779" s="3">
        <v>44162.639490740738</v>
      </c>
      <c r="D1779" s="1" t="s">
        <v>3558</v>
      </c>
      <c r="E1779" s="4" t="str">
        <f ca="1">IFERROR(__xludf.DUMMYFUNCTION("GOOGLETRANSLATE(A1779 , ""tr"" , ""en"")"),"The cases increased by Tokat, Tekirdağ, Adana, Mersin and Sakarya 100% in Erzurum, 50% in Erzurum. Every compromise we give from the measures makes the epidemic struggle. Threat continues where there is no measure.")</f>
        <v>The cases increased by Tokat, Tekirdağ, Adana, Mersin and Sakarya 100% in Erzurum, 50% in Erzurum. Every compromise we give from the measures makes the epidemic struggle. Threat continues where there is no measure.</v>
      </c>
    </row>
    <row r="1780" spans="1:5" ht="15.75" customHeight="1" x14ac:dyDescent="0.25">
      <c r="A1780" s="1" t="s">
        <v>3559</v>
      </c>
      <c r="B1780" s="1">
        <v>9744</v>
      </c>
      <c r="C1780" s="3">
        <v>44162.639479166668</v>
      </c>
      <c r="D1780" s="1" t="s">
        <v>3560</v>
      </c>
      <c r="E1780" s="4" t="str">
        <f ca="1">IFERROR(__xludf.DUMMYFUNCTION("GOOGLETRANSLATE(A1780 , ""tr"" , ""en"")"),"In our online meeting with Adana, Mersin, Sakarya, Tokat, Tekirdağ and Erzurum Health Directors, we have stood on the course of this provinces in these provinces, patient load and case increases. https://t.co/t1c3wrgn1i")</f>
        <v>In our online meeting with Adana, Mersin, Sakarya, Tokat, Tekirdağ and Erzurum Health Directors, we have stood on the course of this provinces in these provinces, patient load and case increases. https://t.co/t1c3wrgn1i</v>
      </c>
    </row>
    <row r="1781" spans="1:5" ht="15.75" customHeight="1" x14ac:dyDescent="0.25">
      <c r="A1781" s="1" t="s">
        <v>3561</v>
      </c>
      <c r="B1781" s="1">
        <v>8940</v>
      </c>
      <c r="C1781" s="3">
        <v>44161.857835648145</v>
      </c>
      <c r="D1781" s="1" t="s">
        <v>3562</v>
      </c>
      <c r="E1781" s="4" t="str">
        <f ca="1">IFERROR(__xludf.DUMMYFUNCTION("GOOGLETRANSLATE(A1781 , ""tr"" , ""en"")"),"We have addressed outbreak of samsun, İzmir, Denizli, Balikesir and Corum Provincial Health Directors at the online meeting. Case is increasing in Samsun. The use of drugs in Samsun, Corum and Izmir is low. According to the number of cases, hospitalizatio"&amp;"n is increasing. Our sacrifice exam is in progress. https://t.co/3ophgywr52")</f>
        <v>We have addressed outbreak of samsun, İzmir, Denizli, Balikesir and Corum Provincial Health Directors at the online meeting. Case is increasing in Samsun. The use of drugs in Samsun, Corum and Izmir is low. According to the number of cases, hospitalization is increasing. Our sacrifice exam is in progress. https://t.co/3ophgywr52</v>
      </c>
    </row>
    <row r="1782" spans="1:5" ht="15.75" customHeight="1" x14ac:dyDescent="0.25">
      <c r="A1782" s="1" t="s">
        <v>3563</v>
      </c>
      <c r="B1782" s="1">
        <v>7715</v>
      </c>
      <c r="C1782" s="3">
        <v>44161.779293981483</v>
      </c>
      <c r="D1782" s="1" t="s">
        <v>3564</v>
      </c>
      <c r="E1782" s="4" t="str">
        <f ca="1">IFERROR(__xludf.DUMMYFUNCTION("GOOGLETRANSLATE(A1782 , ""tr"" , ""en"")"),"Failure to comply with compulsory quarantine measures means to risk everyone we contact. To comply with the measures, ourselves are our conscientiousness against ourselves and our country. https://t.co/pkvullcıfOf")</f>
        <v>Failure to comply with compulsory quarantine measures means to risk everyone we contact. To comply with the measures, ourselves are our conscientiousness against ourselves and our country. https://t.co/pkvullcıfOf</v>
      </c>
    </row>
    <row r="1783" spans="1:5" ht="15.75" customHeight="1" x14ac:dyDescent="0.25">
      <c r="A1783" s="1" t="s">
        <v>3565</v>
      </c>
      <c r="B1783" s="1">
        <v>19769</v>
      </c>
      <c r="C1783" s="3">
        <v>44161.732638888891</v>
      </c>
      <c r="D1783" s="1" t="s">
        <v>3566</v>
      </c>
      <c r="E1783" s="4" t="str">
        <f ca="1">IFERROR(__xludf.DUMMYFUNCTION("GOOGLETRANSLATE(A1783 , ""tr"" , ""en"")"),"We are also in the race of vaccination development studies against COVID-19.
COVID-19 vaccine studies developed at Erciyes University with TÜSEB support continues in accordance with the scheduled schedule. The second dose of the national vaccine candidate"&amp;" started the second dose practice today. We are hopeful.")</f>
        <v>We are also in the race of vaccination development studies against COVID-19.
COVID-19 vaccine studies developed at Erciyes University with TÜSEB support continues in accordance with the scheduled schedule. The second dose of the national vaccine candidate started the second dose practice today. We are hopeful.</v>
      </c>
    </row>
    <row r="1784" spans="1:5" ht="15.75" customHeight="1" x14ac:dyDescent="0.25">
      <c r="A1784" s="1" t="s">
        <v>3567</v>
      </c>
      <c r="B1784" s="1">
        <v>7880</v>
      </c>
      <c r="C1784" s="3">
        <v>44161.697152777779</v>
      </c>
      <c r="D1784" s="1" t="s">
        <v>3568</v>
      </c>
      <c r="E1784" s="4" t="str">
        <f ca="1">IFERROR(__xludf.DUMMYFUNCTION("GOOGLETRANSLATE(A1784 , ""tr"" , ""en"")"),"The significant part of the patients who are in the event that the hospitalized, intensive care is the transition to the device and lose in the early period, let's know that the important part of the patients we remain in the early period. https://t.co/89"&amp;"tstovqtl")</f>
        <v>The significant part of the patients who are in the event that the hospitalized, intensive care is the transition to the device and lose in the early period, let's know that the important part of the patients we remain in the early period. https://t.co/89tstovqtl</v>
      </c>
    </row>
    <row r="1785" spans="1:5" ht="15.75" customHeight="1" x14ac:dyDescent="0.25">
      <c r="A1785" s="1" t="s">
        <v>3569</v>
      </c>
      <c r="B1785" s="1">
        <v>16733</v>
      </c>
      <c r="C1785" s="3">
        <v>44161.675393518519</v>
      </c>
      <c r="D1785" s="1" t="s">
        <v>3570</v>
      </c>
      <c r="E1785" s="4" t="str">
        <f ca="1">IFERROR(__xludf.DUMMYFUNCTION("GOOGLETRANSLATE(A1785 , ""tr"" , ""en"")"),"We have 6,876 new patients identified today. Our active patient count is increasing. It will be decisive on our measures to our measures as well as the course of the outbreak. Access to the measures do not require restrictions. We can achieve if we strugg"&amp;"le together. https://t.co/rvlhe7786o")</f>
        <v>We have 6,876 new patients identified today. Our active patient count is increasing. It will be decisive on our measures to our measures as well as the course of the outbreak. Access to the measures do not require restrictions. We can achieve if we struggle together. https://t.co/rvlhe7786o</v>
      </c>
    </row>
    <row r="1786" spans="1:5" ht="15.75" customHeight="1" x14ac:dyDescent="0.25">
      <c r="A1786" s="1" t="s">
        <v>3571</v>
      </c>
      <c r="B1786" s="1">
        <v>7039</v>
      </c>
      <c r="C1786" s="3">
        <v>44161.544849537036</v>
      </c>
      <c r="D1786" s="1" t="s">
        <v>3572</v>
      </c>
      <c r="E1786" s="4" t="str">
        <f ca="1">IFERROR(__xludf.DUMMYFUNCTION("GOOGLETRANSLATE(A1786 , ""tr"" , ""en"")"),"We are one of the rare countries that try to develop vaccines in all vaccine platforms in the world. We support all our scientists who receive the approval of the Vaccine Assessment Commission without discriminate. We hope to achieve our first domestic CO"&amp;"VID-19. https://t.co/2IPVQCIOLX")</f>
        <v>We are one of the rare countries that try to develop vaccines in all vaccine platforms in the world. We support all our scientists who receive the approval of the Vaccine Assessment Commission without discriminate. We hope to achieve our first domestic COVID-19. https://t.co/2IPVQCIOLX</v>
      </c>
    </row>
    <row r="1787" spans="1:5" ht="15.75" customHeight="1" x14ac:dyDescent="0.25">
      <c r="A1787" s="1" t="s">
        <v>3573</v>
      </c>
      <c r="B1787" s="1">
        <v>5941</v>
      </c>
      <c r="C1787" s="3">
        <v>44161.534375000003</v>
      </c>
      <c r="D1787" s="1" t="s">
        <v>3574</v>
      </c>
      <c r="E1787" s="4" t="str">
        <f ca="1">IFERROR(__xludf.DUMMYFUNCTION("GOOGLETRANSLATE(A1787 , ""tr"" , ""en"")"),"All kinds of information about cases and contacts are registered in our system. With a hes code query, all our institutions with a collective population are able to access this system. https://t.co/8ss7vgtmo9")</f>
        <v>All kinds of information about cases and contacts are registered in our system. With a hes code query, all our institutions with a collective population are able to access this system. https://t.co/8ss7vgtmo9</v>
      </c>
    </row>
    <row r="1788" spans="1:5" ht="15.75" customHeight="1" x14ac:dyDescent="0.25">
      <c r="A1788" s="1" t="s">
        <v>3575</v>
      </c>
      <c r="B1788" s="1">
        <v>8246</v>
      </c>
      <c r="C1788" s="3">
        <v>44160.904074074075</v>
      </c>
      <c r="D1788" s="1" t="s">
        <v>3576</v>
      </c>
      <c r="E1788" s="4" t="str">
        <f ca="1">IFERROR(__xludf.DUMMYFUNCTION("GOOGLETRANSLATE(A1788 , ""tr"" , ""en"")"),"There is a lot of work in the epidemic period, especially our managers. In the fight against the epidemic should make it fall on everyone, it should focus on icraate. https://t.co/jrdgd1ptmk")</f>
        <v>There is a lot of work in the epidemic period, especially our managers. In the fight against the epidemic should make it fall on everyone, it should focus on icraate. https://t.co/jrdgd1ptmk</v>
      </c>
    </row>
    <row r="1789" spans="1:5" ht="15.75" customHeight="1" x14ac:dyDescent="0.25">
      <c r="A1789" s="1" t="s">
        <v>3577</v>
      </c>
      <c r="B1789" s="1">
        <v>15311</v>
      </c>
      <c r="C1789" s="3">
        <v>44160.875023148146</v>
      </c>
      <c r="D1789" s="1" t="s">
        <v>3578</v>
      </c>
      <c r="E1789" s="4" t="str">
        <f ca="1">IFERROR(__xludf.DUMMYFUNCTION("GOOGLETRANSLATE(A1789 , ""tr"" , ""en"")"),"Violence: The Human is to reject theirs. Violence to the woman is the most prominent indicator of this imposure. We have to struggle with all sorts. https://t.co/7r1vdılafj")</f>
        <v>Violence: The Human is to reject theirs. Violence to the woman is the most prominent indicator of this imposure. We have to struggle with all sorts. https://t.co/7r1vdılafj</v>
      </c>
    </row>
    <row r="1790" spans="1:5" ht="15.75" customHeight="1" x14ac:dyDescent="0.25">
      <c r="A1790" s="1" t="s">
        <v>3579</v>
      </c>
      <c r="B1790" s="1">
        <v>7110</v>
      </c>
      <c r="C1790" s="3">
        <v>44160.87232638889</v>
      </c>
      <c r="D1790" s="1" t="s">
        <v>3580</v>
      </c>
      <c r="E1790" s="4" t="str">
        <f ca="1">IFERROR(__xludf.DUMMYFUNCTION("GOOGLETRANSLATE(A1790 , ""tr"" , ""en"")"),"No one can see itself away from carrying the responsibility of the struggle. https://t.co/7cgczzok0k")</f>
        <v>No one can see itself away from carrying the responsibility of the struggle. https://t.co/7cgczzok0k</v>
      </c>
    </row>
    <row r="1791" spans="1:5" ht="15.75" customHeight="1" x14ac:dyDescent="0.25">
      <c r="A1791" s="1" t="s">
        <v>3581</v>
      </c>
      <c r="B1791" s="1">
        <v>12017</v>
      </c>
      <c r="C1791" s="3">
        <v>44160.851631944446</v>
      </c>
      <c r="D1791" s="1" t="s">
        <v>3582</v>
      </c>
      <c r="E1791" s="4" t="str">
        <f ca="1">IFERROR(__xludf.DUMMYFUNCTION("GOOGLETRANSLATE(A1791 , ""tr"" , ""en"")"),"Period is the period of struggling together. While there is such a serious situation, it is the time to know our responsibility for the excuse without producing, taking measures, to make their tasks falling on us. https://t.co/kpay36u00h")</f>
        <v>Period is the period of struggling together. While there is such a serious situation, it is the time to know our responsibility for the excuse without producing, taking measures, to make their tasks falling on us. https://t.co/kpay36u00h</v>
      </c>
    </row>
    <row r="1792" spans="1:5" ht="15.75" customHeight="1" x14ac:dyDescent="0.25">
      <c r="A1792" s="1" t="s">
        <v>3583</v>
      </c>
      <c r="B1792" s="1">
        <v>14638</v>
      </c>
      <c r="C1792" s="3">
        <v>44160.700555555559</v>
      </c>
      <c r="D1792" s="1" t="s">
        <v>3584</v>
      </c>
      <c r="E1792" s="4" t="str">
        <f ca="1">IFERROR(__xludf.DUMMYFUNCTION("GOOGLETRANSLATE(A1792 , ""tr"" , ""en"")"),"After our Science Board meeting, our press statement on the latest developments on the coronavirus.
📍 The Ministry of Health
https://t.co/m3qlg4desh")</f>
        <v>After our Science Board meeting, our press statement on the latest developments on the coronavirus.
📍 The Ministry of Health
https://t.co/m3qlg4desh</v>
      </c>
    </row>
    <row r="1793" spans="1:5" ht="15.75" customHeight="1" x14ac:dyDescent="0.25">
      <c r="A1793" s="1" t="s">
        <v>3585</v>
      </c>
      <c r="B1793" s="1">
        <v>20857</v>
      </c>
      <c r="C1793" s="3">
        <v>44160.368287037039</v>
      </c>
      <c r="D1793" s="1" t="s">
        <v>3586</v>
      </c>
      <c r="E1793" s="4" t="str">
        <f ca="1">IFERROR(__xludf.DUMMYFUNCTION("GOOGLETRANSLATE(A1793 , ""tr"" , ""en"")"),"In July 2020, the first portion of the completely domestic Tetanos-diphtheric vaccine, including antigen production, was used by our Ministry. The process of domestic vaccine production in the framework of the localization policy will continue with new go"&amp;"spades. https://t.co/tuahwprzqw")</f>
        <v>In July 2020, the first portion of the completely domestic Tetanos-diphtheric vaccine, including antigen production, was used by our Ministry. The process of domestic vaccine production in the framework of the localization policy will continue with new gospades. https://t.co/tuahwprzqw</v>
      </c>
    </row>
    <row r="1794" spans="1:5" ht="15.75" customHeight="1" x14ac:dyDescent="0.25">
      <c r="A1794" s="1" t="s">
        <v>3587</v>
      </c>
      <c r="B1794" s="1">
        <v>6377</v>
      </c>
      <c r="C1794" s="3">
        <v>44159.963333333333</v>
      </c>
      <c r="D1794" s="1" t="s">
        <v>3588</v>
      </c>
      <c r="E1794" s="4" t="str">
        <f ca="1">IFERROR(__xludf.DUMMYFUNCTION("GOOGLETRANSLATE(A1794 , ""tr"" , ""en"")"),"Bursa has a marked increase in Kocaeli and Gaziantep. These provinces need a more diligent, more rigorous study. The importance of your support has increased. Give strength with your support to our struggle.")</f>
        <v>Bursa has a marked increase in Kocaeli and Gaziantep. These provinces need a more diligent, more rigorous study. The importance of your support has increased. Give strength with your support to our struggle.</v>
      </c>
    </row>
    <row r="1795" spans="1:5" ht="15.75" customHeight="1" x14ac:dyDescent="0.25">
      <c r="A1795" s="1" t="s">
        <v>3589</v>
      </c>
      <c r="B1795" s="1">
        <v>8890</v>
      </c>
      <c r="C1795" s="3">
        <v>44159.963333333333</v>
      </c>
      <c r="D1795" s="1" t="s">
        <v>3590</v>
      </c>
      <c r="E1795" s="4" t="str">
        <f ca="1">IFERROR(__xludf.DUMMYFUNCTION("GOOGLETRANSLATE(A1795 , ""tr"" , ""en"")"),"Bursa, Gaziantep, Kocaeli, Tekirdag, Malatya and Ordu Provincial Health Managers are in the online meeting; We reviewed the performance of our epidemic course, service capacity and the performance of the filion teams. We addressed additional measures. htt"&amp;"ps://t.co/li6j2ehd8t")</f>
        <v>Bursa, Gaziantep, Kocaeli, Tekirdag, Malatya and Ordu Provincial Health Managers are in the online meeting; We reviewed the performance of our epidemic course, service capacity and the performance of the filion teams. We addressed additional measures. https://t.co/li6j2ehd8t</v>
      </c>
    </row>
    <row r="1796" spans="1:5" ht="15.75" customHeight="1" x14ac:dyDescent="0.25">
      <c r="A1796" s="1" t="s">
        <v>3591</v>
      </c>
      <c r="B1796" s="1">
        <v>7588</v>
      </c>
      <c r="C1796" s="3">
        <v>44159.747037037036</v>
      </c>
      <c r="D1796" s="1" t="s">
        <v>3592</v>
      </c>
      <c r="E1796" s="4" t="str">
        <f ca="1">IFERROR(__xludf.DUMMYFUNCTION("GOOGLETRANSLATE(A1796 , ""tr"" , ""en"")"),"Today, if we do not put the distance to our old normal, you can enter the distances that will never turn off with our loved ones tomorrow. To comply with the rules of the mask, distance and cleaning, ourselves is our conscientious responsibility against o"&amp;"ur loved ones and our country. This is the assurance of our health and social life. https://t.co/fqx9wqekd3")</f>
        <v>Today, if we do not put the distance to our old normal, you can enter the distances that will never turn off with our loved ones tomorrow. To comply with the rules of the mask, distance and cleaning, ourselves is our conscientious responsibility against our loved ones and our country. This is the assurance of our health and social life. https://t.co/fqx9wqekd3</v>
      </c>
    </row>
    <row r="1797" spans="1:5" ht="15.75" customHeight="1" x14ac:dyDescent="0.25">
      <c r="A1797" s="1" t="s">
        <v>3593</v>
      </c>
      <c r="B1797" s="1">
        <v>24461</v>
      </c>
      <c r="C1797" s="3">
        <v>44159.69636574074</v>
      </c>
      <c r="D1797" s="1" t="s">
        <v>3594</v>
      </c>
      <c r="E1797" s="4" t="str">
        <f ca="1">IFERROR(__xludf.DUMMYFUNCTION("GOOGLETRANSLATE(A1797 , ""tr"" , ""en"")"),"We have 7,381 new patients identified today. Our severe patients reached 4.543. We have to change the course of the epidemic. Your support for the measures and restrictions we have received is better and fast to give the support. Stay away from crowds unl"&amp;"ess mandatory. https://t.co/rvlhe7786o")</f>
        <v>We have 7,381 new patients identified today. Our severe patients reached 4.543. We have to change the course of the epidemic. Your support for the measures and restrictions we have received is better and fast to give the support. Stay away from crowds unless mandatory. https://t.co/rvlhe7786o</v>
      </c>
    </row>
    <row r="1798" spans="1:5" ht="15.75" customHeight="1" x14ac:dyDescent="0.25">
      <c r="A1798" s="1" t="s">
        <v>3595</v>
      </c>
      <c r="B1798" s="1">
        <v>16888</v>
      </c>
      <c r="C1798" s="3">
        <v>44159.555636574078</v>
      </c>
      <c r="D1798" s="1" t="s">
        <v>3596</v>
      </c>
      <c r="E1798" s="4" t="str">
        <f ca="1">IFERROR(__xludf.DUMMYFUNCTION("GOOGLETRANSLATE(A1798 , ""tr"" , ""en"")"),"What the difficulty you know what the distance, you proudly carried the torch of science even in the process of challenging pandemia. I'm celebrating Teachers' Day of our valued teachers with all my heart. https://t.co/zweyyxhimr")</f>
        <v>What the difficulty you know what the distance, you proudly carried the torch of science even in the process of challenging pandemia. I'm celebrating Teachers' Day of our valued teachers with all my heart. https://t.co/zweyyxhimr</v>
      </c>
    </row>
    <row r="1799" spans="1:5" ht="15.75" customHeight="1" x14ac:dyDescent="0.25">
      <c r="A1799" s="1" t="s">
        <v>3597</v>
      </c>
      <c r="B1799" s="1">
        <v>18008</v>
      </c>
      <c r="C1799" s="3">
        <v>44159.231377314813</v>
      </c>
      <c r="D1799" s="1" t="s">
        <v>3598</v>
      </c>
      <c r="E1799" s="4" t="str">
        <f ca="1">IFERROR(__xludf.DUMMYFUNCTION("GOOGLETRANSLATE(A1799 , ""tr"" , ""en"")"),"Our Ministry; 7,000 nurses will receive 12 thousand health personnel at 145 of the EB and 2,864 health technicians / technicians. Following the publication of the preferred manual will be made inextraction. In these difficult days of our fighting pandem, "&amp;"the assignments will add the power to us. https://t.co/po5Isu7bbk")</f>
        <v>Our Ministry; 7,000 nurses will receive 12 thousand health personnel at 145 of the EB and 2,864 health technicians / technicians. Following the publication of the preferred manual will be made inextraction. In these difficult days of our fighting pandem, the assignments will add the power to us. https://t.co/po5Isu7bbk</v>
      </c>
    </row>
    <row r="1800" spans="1:5" ht="15.75" customHeight="1" x14ac:dyDescent="0.25">
      <c r="A1800" s="1" t="s">
        <v>3599</v>
      </c>
      <c r="B1800" s="1">
        <v>8196</v>
      </c>
      <c r="C1800" s="3">
        <v>44158.808657407404</v>
      </c>
      <c r="D1800" s="1" t="s">
        <v>3600</v>
      </c>
      <c r="E1800" s="4" t="str">
        <f ca="1">IFERROR(__xludf.DUMMYFUNCTION("GOOGLETRANSLATE(A1800 , ""tr"" , ""en"")"),"In Sanliurfa, Ankara, Adana, Konya, Manisa, Kayseri, Sakarya, Samsun, Antalya, Diyarbakir, we have addressed the needs of our health workers in the video conference meetings we have made with our health managers. The importance of your support has increas"&amp;"ed. https://t.co/yqupvqh6fc")</f>
        <v>In Sanliurfa, Ankara, Adana, Konya, Manisa, Kayseri, Sakarya, Samsun, Antalya, Diyarbakir, we have addressed the needs of our health workers in the video conference meetings we have made with our health managers. The importance of your support has increased. https://t.co/yqupvqh6fc</v>
      </c>
    </row>
    <row r="1801" spans="1:5" ht="15.75" customHeight="1" x14ac:dyDescent="0.25">
      <c r="A1801" s="1" t="s">
        <v>3601</v>
      </c>
      <c r="B1801" s="1">
        <v>6486</v>
      </c>
      <c r="C1801" s="3">
        <v>44158.779560185183</v>
      </c>
      <c r="D1801" s="1" t="s">
        <v>3602</v>
      </c>
      <c r="E1801" s="4" t="str">
        <f ca="1">IFERROR(__xludf.DUMMYFUNCTION("GOOGLETRANSLATE(A1801 , ""tr"" , ""en"")"),"Today, if we do not put the distance to our old normal, you can enter the distances that will never turn off with our loved ones tomorrow. To comply with the rules of the mask, distance and cleaning, ourselves is our conscientious responsibility against o"&amp;"ur loved ones and our country. This is the assurance of our health and social life. https://t.co/ukdu9grknk")</f>
        <v>Today, if we do not put the distance to our old normal, you can enter the distances that will never turn off with our loved ones tomorrow. To comply with the rules of the mask, distance and cleaning, ourselves is our conscientious responsibility against our loved ones and our country. This is the assurance of our health and social life. https://t.co/ukdu9grknk</v>
      </c>
    </row>
    <row r="1802" spans="1:5" ht="15.75" customHeight="1" x14ac:dyDescent="0.25">
      <c r="A1802" s="1" t="s">
        <v>3603</v>
      </c>
      <c r="B1802" s="1">
        <v>13745</v>
      </c>
      <c r="C1802" s="3">
        <v>44158.732812499999</v>
      </c>
      <c r="D1802" s="1" t="s">
        <v>3604</v>
      </c>
      <c r="E1802" s="4" t="str">
        <f ca="1">IFERROR(__xludf.DUMMYFUNCTION("GOOGLETRANSLATE(A1802 , ""tr"" , ""en"")"),"We are in a society as a society in the fight against outbreak. Only today's new patient count 6.713. Stay at home if you don't have to go out. Our struggle strength will increase as you increase your time at home. The best measure to stop the spread is y"&amp;"our home. https://t.co/z5nsu04hmd")</f>
        <v>We are in a society as a society in the fight against outbreak. Only today's new patient count 6.713. Stay at home if you don't have to go out. Our struggle strength will increase as you increase your time at home. The best measure to stop the spread is your home. https://t.co/z5nsu04hmd</v>
      </c>
    </row>
    <row r="1803" spans="1:5" ht="15.75" customHeight="1" x14ac:dyDescent="0.25">
      <c r="A1803" s="1" t="s">
        <v>3605</v>
      </c>
      <c r="B1803" s="1">
        <v>19692</v>
      </c>
      <c r="C1803" s="3">
        <v>44158.708969907406</v>
      </c>
      <c r="D1803" s="1" t="s">
        <v>3606</v>
      </c>
      <c r="E1803" s="4" t="str">
        <f ca="1">IFERROR(__xludf.DUMMYFUNCTION("GOOGLETRANSLATE(A1803 , ""tr"" , ""en"")"),"We have 6,713 new patients identified today. Provide support to continue to keep the spread of the release of the spread until the vaccine is in use. Follow the measures. Install the mask. Note the cleanliness. Do not enter into crowded environments unles"&amp;"s mandatory. https://t.co/rvlhe7786o")</f>
        <v>We have 6,713 new patients identified today. Provide support to continue to keep the spread of the release of the spread until the vaccine is in use. Follow the measures. Install the mask. Note the cleanliness. Do not enter into crowded environments unless mandatory. https://t.co/rvlhe7786o</v>
      </c>
    </row>
    <row r="1804" spans="1:5" ht="15.75" customHeight="1" x14ac:dyDescent="0.25">
      <c r="A1804" s="1" t="s">
        <v>3607</v>
      </c>
      <c r="B1804" s="1">
        <v>20737</v>
      </c>
      <c r="C1804" s="3">
        <v>44158.661817129629</v>
      </c>
      <c r="D1804" s="1" t="s">
        <v>3608</v>
      </c>
      <c r="E1804" s="4" t="str">
        <f ca="1">IFERROR(__xludf.DUMMYFUNCTION("GOOGLETRANSLATE(A1804 , ""tr"" , ""en"")"),"The COVID-19 vaccine developed at Erciyes University was carried out in 44 volunteers in the Phase-I study. No serious side effect was seen so far. The second overdose is to be made between 26 November and December 14. I'll give your beautiful news 15 vac"&amp;"cine is the candidate")</f>
        <v>The COVID-19 vaccine developed at Erciyes University was carried out in 44 volunteers in the Phase-I study. No serious side effect was seen so far. The second overdose is to be made between 26 November and December 14. I'll give your beautiful news 15 vaccine is the candidate</v>
      </c>
    </row>
    <row r="1805" spans="1:5" ht="15.75" customHeight="1" x14ac:dyDescent="0.25">
      <c r="A1805" s="1" t="s">
        <v>3609</v>
      </c>
      <c r="B1805" s="1">
        <v>9238</v>
      </c>
      <c r="C1805" s="3">
        <v>44158.553055555552</v>
      </c>
      <c r="D1805" s="1" t="s">
        <v>3610</v>
      </c>
      <c r="E1805" s="4" t="str">
        <f ca="1">IFERROR(__xludf.DUMMYFUNCTION("GOOGLETRANSLATE(A1805 , ""tr"" , ""en"")"),"We are in a society as a society in the fight against outbreak. Only yesterday's new patient count 6.017. Stay at home if you don't have to go out. Our struggle strength will increase as you increase your time at home. The best measure to stop the spread "&amp;"is your home. https://t.co/lezpje7rtw")</f>
        <v>We are in a society as a society in the fight against outbreak. Only yesterday's new patient count 6.017. Stay at home if you don't have to go out. Our struggle strength will increase as you increase your time at home. The best measure to stop the spread is your home. https://t.co/lezpje7rtw</v>
      </c>
    </row>
    <row r="1806" spans="1:5" ht="15.75" customHeight="1" x14ac:dyDescent="0.25">
      <c r="A1806" s="1" t="s">
        <v>3611</v>
      </c>
      <c r="B1806" s="1">
        <v>46318</v>
      </c>
      <c r="C1806" s="3">
        <v>44158.465115740742</v>
      </c>
      <c r="D1806" s="1" t="s">
        <v>3612</v>
      </c>
      <c r="E1806" s="4" t="str">
        <f ca="1">IFERROR(__xludf.DUMMYFUNCTION("GOOGLETRANSLATE(A1806 , ""tr"" , ""en"")"),"We are in a sacrifice exam. Don't get out of the house if you have no obligation.")</f>
        <v>We are in a sacrifice exam. Don't get out of the house if you have no obligation.</v>
      </c>
    </row>
    <row r="1807" spans="1:5" ht="15.75" customHeight="1" x14ac:dyDescent="0.25">
      <c r="A1807" s="1" t="s">
        <v>3613</v>
      </c>
      <c r="B1807" s="1">
        <v>24183</v>
      </c>
      <c r="C1807" s="3">
        <v>44157.858159722222</v>
      </c>
      <c r="D1807" s="1" t="s">
        <v>3614</v>
      </c>
      <c r="E1807" s="4" t="str">
        <f ca="1">IFERROR(__xludf.DUMMYFUNCTION("GOOGLETRANSLATE(A1807 , ""tr"" , ""en"")"),"I am thankful for Fatih Altaylı and society to join the program by plugging in our valuable scientists, mask and pay attention to the distance. https://t.co/u1ykrwvdqq")</f>
        <v>I am thankful for Fatih Altaylı and society to join the program by plugging in our valuable scientists, mask and pay attention to the distance. https://t.co/u1ykrwvdqq</v>
      </c>
    </row>
    <row r="1808" spans="1:5" ht="15.75" customHeight="1" x14ac:dyDescent="0.25">
      <c r="A1808" s="1" t="s">
        <v>3615</v>
      </c>
      <c r="B1808" s="1">
        <v>8575</v>
      </c>
      <c r="C1808" s="3">
        <v>44157.769479166665</v>
      </c>
      <c r="D1808" s="1" t="s">
        <v>3616</v>
      </c>
      <c r="E1808" s="4" t="str">
        <f ca="1">IFERROR(__xludf.DUMMYFUNCTION("GOOGLETRANSLATE(A1808 , ""tr"" , ""en"")"),"We are in a sacrifice examination in the struggle of outbreak. Only today's new patient count is over 6,000. In times of non-constraints, you are obliged to stay at home. The challenge strength will increase as we increased at home. The best measure is ou"&amp;"r house. #bishell is https://t.co/uyclrvck2r")</f>
        <v>We are in a sacrifice examination in the struggle of outbreak. Only today's new patient count is over 6,000. In times of non-constraints, you are obliged to stay at home. The challenge strength will increase as we increased at home. The best measure is our house. #bishell is https://t.co/uyclrvck2r</v>
      </c>
    </row>
    <row r="1809" spans="1:5" ht="15.75" customHeight="1" x14ac:dyDescent="0.25">
      <c r="A1809" s="1" t="s">
        <v>3617</v>
      </c>
      <c r="B1809" s="1">
        <v>7083</v>
      </c>
      <c r="C1809" s="3">
        <v>44157.751400462963</v>
      </c>
      <c r="D1809" s="1" t="s">
        <v>3618</v>
      </c>
      <c r="E1809" s="4" t="str">
        <f ca="1">IFERROR(__xludf.DUMMYFUNCTION("GOOGLETRANSLATE(A1809 , ""tr"" , ""en"")"),"We are in a sacrifice examination in the struggle of outbreak. Only today's new patient count is over 6,000. In times of non-constraints, you are obliged to stay at home. The challenge strength will increase as we increased at home. The best measure is ou"&amp;"r house. #bishet is https://t.co/pz33019w0k")</f>
        <v>We are in a sacrifice examination in the struggle of outbreak. Only today's new patient count is over 6,000. In times of non-constraints, you are obliged to stay at home. The challenge strength will increase as we increased at home. The best measure is our house. #bishet is https://t.co/pz33019w0k</v>
      </c>
    </row>
    <row r="1810" spans="1:5" ht="15.75" customHeight="1" x14ac:dyDescent="0.25">
      <c r="A1810" s="1" t="s">
        <v>3619</v>
      </c>
      <c r="B1810" s="1">
        <v>20904</v>
      </c>
      <c r="C1810" s="3">
        <v>44157.699745370373</v>
      </c>
      <c r="D1810" s="1" t="s">
        <v>3620</v>
      </c>
      <c r="E1810" s="4" t="str">
        <f ca="1">IFERROR(__xludf.DUMMYFUNCTION("GOOGLETRANSLATE(A1810 , ""tr"" , ""en"")"),"We have 6,017 patients identified today. We should obey the rules to the rules so that measures and restrictions recently give. The method of the epidemic struggle has not changed: hand cleaning, mask and distance. Let's obey the measures for our loved on"&amp;"es. https://t.co/rvlhe7786o")</f>
        <v>We have 6,017 patients identified today. We should obey the rules to the rules so that measures and restrictions recently give. The method of the epidemic struggle has not changed: hand cleaning, mask and distance. Let's obey the measures for our loved ones. https://t.co/rvlhe7786o</v>
      </c>
    </row>
    <row r="1811" spans="1:5" ht="15.75" customHeight="1" x14ac:dyDescent="0.25">
      <c r="A1811" s="1" t="s">
        <v>3621</v>
      </c>
      <c r="B1811" s="1">
        <v>12165</v>
      </c>
      <c r="C1811" s="3">
        <v>44157.59542824074</v>
      </c>
      <c r="D1811" s="1" t="s">
        <v>3622</v>
      </c>
      <c r="E1811" s="4" t="str">
        <f ca="1">IFERROR(__xludf.DUMMYFUNCTION("GOOGLETRANSLATE(A1811 , ""tr"" , ""en"")"),"November 22, World Dentists Day. Mouth dental health week if the week we are in. We are celebrating our dentists who continue to be closely interested in their patients at the expense of risk during the epidemic period. For their sacrifices, we owe gratit"&amp;"ude to them.")</f>
        <v>November 22, World Dentists Day. Mouth dental health week if the week we are in. We are celebrating our dentists who continue to be closely interested in their patients at the expense of risk during the epidemic period. For their sacrifices, we owe gratitude to them.</v>
      </c>
    </row>
    <row r="1812" spans="1:5" ht="15.75" customHeight="1" x14ac:dyDescent="0.25">
      <c r="A1812" s="1" t="s">
        <v>3623</v>
      </c>
      <c r="B1812" s="1">
        <v>6156</v>
      </c>
      <c r="C1812" s="3">
        <v>44157.48636574074</v>
      </c>
      <c r="D1812" s="1" t="s">
        <v>3624</v>
      </c>
      <c r="E1812" s="4" t="str">
        <f ca="1">IFERROR(__xludf.DUMMYFUNCTION("GOOGLETRANSLATE(A1812 , ""tr"" , ""en"")"),"Today is Sunday. With our relatives, we will benefit from technology if possible to meet with our family huge. Instead of visiting our elders, let's talk to video. Let's get together on the screen with our loved ones. Our struggle strength will increase a"&amp;"s you increase your time at home. https://t.co/frtvybbawm")</f>
        <v>Today is Sunday. With our relatives, we will benefit from technology if possible to meet with our family huge. Instead of visiting our elders, let's talk to video. Let's get together on the screen with our loved ones. Our struggle strength will increase as you increase your time at home. https://t.co/frtvybbawm</v>
      </c>
    </row>
    <row r="1813" spans="1:5" ht="15.75" customHeight="1" x14ac:dyDescent="0.25">
      <c r="A1813" s="1" t="s">
        <v>3625</v>
      </c>
      <c r="B1813" s="1">
        <v>26236</v>
      </c>
      <c r="C1813" s="3">
        <v>44157.465312499997</v>
      </c>
      <c r="D1813" s="1" t="s">
        <v>3626</v>
      </c>
      <c r="E1813" s="4" t="str">
        <f ca="1">IFERROR(__xludf.DUMMYFUNCTION("GOOGLETRANSLATE(A1813 , ""tr"" , ""en"")"),"Our struggle strength will increase as you increase your time at home.")</f>
        <v>Our struggle strength will increase as you increase your time at home.</v>
      </c>
    </row>
    <row r="1814" spans="1:5" ht="15.75" customHeight="1" x14ac:dyDescent="0.25">
      <c r="A1814" s="1" t="s">
        <v>3627</v>
      </c>
      <c r="B1814" s="1">
        <v>78259</v>
      </c>
      <c r="C1814" s="3">
        <v>44157.417812500003</v>
      </c>
      <c r="D1814" s="1" t="s">
        <v>3628</v>
      </c>
      <c r="E1814" s="4" t="str">
        <f ca="1">IFERROR(__xludf.DUMMYFUNCTION("GOOGLETRANSLATE(A1814 , ""tr"" , ""en"")"),"The best measure is our house.")</f>
        <v>The best measure is our house.</v>
      </c>
    </row>
    <row r="1815" spans="1:5" ht="15.75" customHeight="1" x14ac:dyDescent="0.25">
      <c r="A1815" s="1" t="s">
        <v>3629</v>
      </c>
      <c r="B1815" s="1">
        <v>6895</v>
      </c>
      <c r="C1815" s="3">
        <v>44156.838692129626</v>
      </c>
      <c r="D1815" s="1" t="s">
        <v>3630</v>
      </c>
      <c r="E1815" s="4" t="str">
        <f ca="1">IFERROR(__xludf.DUMMYFUNCTION("GOOGLETRANSLATE(A1815 , ""tr"" , ""en"")"),"Today, if we do not put the distance to our old normal, you can enter the distances that will never turn off with our loved ones tomorrow. To comply with the rules of the mask, distance and cleaning, ourselves is our conscientious responsibility against o"&amp;"ur loved ones and our country. This is the assurance of our health and social life. https://t.co/chqdrc3bgl")</f>
        <v>Today, if we do not put the distance to our old normal, you can enter the distances that will never turn off with our loved ones tomorrow. To comply with the rules of the mask, distance and cleaning, ourselves is our conscientious responsibility against our loved ones and our country. This is the assurance of our health and social life. https://t.co/chqdrc3bgl</v>
      </c>
    </row>
    <row r="1816" spans="1:5" ht="15.75" customHeight="1" x14ac:dyDescent="0.25">
      <c r="A1816" s="1" t="s">
        <v>3631</v>
      </c>
      <c r="B1816" s="1">
        <v>7471</v>
      </c>
      <c r="C1816" s="3">
        <v>44156.792731481481</v>
      </c>
      <c r="D1816" s="1" t="s">
        <v>3632</v>
      </c>
      <c r="E1816" s="4" t="str">
        <f ca="1">IFERROR(__xludf.DUMMYFUNCTION("GOOGLETRANSLATE(A1816 , ""tr"" , ""en"")"),"We are in a sacrifice examination in the struggle of outbreak. Our new patient number on just one day is over 5,000. In times of non-constraints, you don't have to be obliged to stay at home. Our fighting strength will increase as we increase the time at "&amp;"home. The best measure is our house. https://t.co/m3fq8n9szw")</f>
        <v>We are in a sacrifice examination in the struggle of outbreak. Our new patient number on just one day is over 5,000. In times of non-constraints, you don't have to be obliged to stay at home. Our fighting strength will increase as we increase the time at home. The best measure is our house. https://t.co/m3fq8n9szw</v>
      </c>
    </row>
    <row r="1817" spans="1:5" ht="15.75" customHeight="1" x14ac:dyDescent="0.25">
      <c r="A1817" s="1" t="s">
        <v>3633</v>
      </c>
      <c r="B1817" s="1">
        <v>7838</v>
      </c>
      <c r="C1817" s="3">
        <v>44156.779942129629</v>
      </c>
      <c r="D1817" s="1" t="s">
        <v>3634</v>
      </c>
      <c r="E1817" s="4" t="str">
        <f ca="1">IFERROR(__xludf.DUMMYFUNCTION("GOOGLETRANSLATE(A1817 , ""tr"" , ""en"")"),"We are in a sacrifice examination in the struggle of outbreak. Our new patient number on just one day is over 5,000. In times of non-constraints, you don't have to be obliged to stay at home. Our fighting strength will increase as we increase the time at "&amp;"home. The best measure is our house. https://t.co/onqfohcnjh")</f>
        <v>We are in a sacrifice examination in the struggle of outbreak. Our new patient number on just one day is over 5,000. In times of non-constraints, you don't have to be obliged to stay at home. Our fighting strength will increase as we increase the time at home. The best measure is our house. https://t.co/onqfohcnjh</v>
      </c>
    </row>
    <row r="1818" spans="1:5" ht="15.75" customHeight="1" x14ac:dyDescent="0.25">
      <c r="A1818" s="1" t="s">
        <v>3635</v>
      </c>
      <c r="B1818" s="1">
        <v>6222</v>
      </c>
      <c r="C1818" s="3">
        <v>44156.728761574072</v>
      </c>
      <c r="D1818" s="1" t="s">
        <v>3636</v>
      </c>
      <c r="E1818" s="4" t="str">
        <f ca="1">IFERROR(__xludf.DUMMYFUNCTION("GOOGLETRANSLATE(A1818 , ""tr"" , ""en"")"),"In the evaluation of Istanbul Health Administrators, we have seen our efforts begin to give results. We are in a better point with increased test numbers, filiation speed, intensive labor and measures of health workers. The increase is under control. The "&amp;"process is connected to all of us. https://t.co/niibuegevf")</f>
        <v>In the evaluation of Istanbul Health Administrators, we have seen our efforts begin to give results. We are in a better point with increased test numbers, filiation speed, intensive labor and measures of health workers. The increase is under control. The process is connected to all of us. https://t.co/niibuegevf</v>
      </c>
    </row>
    <row r="1819" spans="1:5" ht="15.75" customHeight="1" x14ac:dyDescent="0.25">
      <c r="A1819" s="1" t="s">
        <v>3637</v>
      </c>
      <c r="B1819" s="1">
        <v>21042</v>
      </c>
      <c r="C1819" s="3">
        <v>44156.707152777781</v>
      </c>
      <c r="D1819" s="1" t="s">
        <v>3638</v>
      </c>
      <c r="E1819" s="4" t="str">
        <f ca="1">IFERROR(__xludf.DUMMYFUNCTION("GOOGLETRANSLATE(A1819 , ""tr"" , ""en"")"),"The best measure is our house. Our fight against epidemics will increase as we increase the time at home. I have to be at the beginning of my work. We are waiting for photos and videos showing you are at home. #bishet is https://t.co/znapmn4r22")</f>
        <v>The best measure is our house. Our fight against epidemics will increase as we increase the time at home. I have to be at the beginning of my work. We are waiting for photos and videos showing you are at home. #bishet is https://t.co/znapmn4r22</v>
      </c>
    </row>
    <row r="1820" spans="1:5" ht="15.75" customHeight="1" x14ac:dyDescent="0.25">
      <c r="A1820" s="1" t="s">
        <v>3639</v>
      </c>
      <c r="B1820" s="1">
        <v>15259</v>
      </c>
      <c r="C1820" s="3">
        <v>44156.687118055554</v>
      </c>
      <c r="D1820" s="1" t="s">
        <v>3640</v>
      </c>
      <c r="E1820" s="4" t="str">
        <f ca="1">IFERROR(__xludf.DUMMYFUNCTION("GOOGLETRANSLATE(A1820 , ""tr"" , ""en"")"),"There are 5,532 new patients identified today. Our severe patient numbers are also lost in our losses. It is to comply with the rules and measures to reduce our losses. The power of the challenge is to be unity. Give strength. https://t.co/rvlhe7786o")</f>
        <v>There are 5,532 new patients identified today. Our severe patient numbers are also lost in our losses. It is to comply with the rules and measures to reduce our losses. The power of the challenge is to be unity. Give strength. https://t.co/rvlhe7786o</v>
      </c>
    </row>
    <row r="1821" spans="1:5" ht="15.75" customHeight="1" x14ac:dyDescent="0.25">
      <c r="A1821" s="1" t="s">
        <v>3641</v>
      </c>
      <c r="B1821" s="1">
        <v>23112</v>
      </c>
      <c r="C1821" s="3">
        <v>44156.647997685184</v>
      </c>
      <c r="D1821" s="1" t="s">
        <v>3642</v>
      </c>
      <c r="E1821" s="4" t="str">
        <f ca="1">IFERROR(__xludf.DUMMYFUNCTION("GOOGLETRANSLATE(A1821 , ""tr"" , ""en"")"),"Let's be at home at the evening 20.00. Restraint begins. Being at home is a responsibility if the opportunity to spend time at the family is against our health workers who struggle outbreaks. Our struggle strength will increase as you increase your time a"&amp;"t home.")</f>
        <v>Let's be at home at the evening 20.00. Restraint begins. Being at home is a responsibility if the opportunity to spend time at the family is against our health workers who struggle outbreaks. Our struggle strength will increase as you increase your time at home.</v>
      </c>
    </row>
    <row r="1822" spans="1:5" ht="15.75" customHeight="1" x14ac:dyDescent="0.25">
      <c r="A1822" s="1" t="s">
        <v>3643</v>
      </c>
      <c r="B1822" s="1">
        <v>20484</v>
      </c>
      <c r="C1822" s="3">
        <v>44156.511458333334</v>
      </c>
      <c r="D1822" s="1" t="s">
        <v>3644</v>
      </c>
      <c r="E1822" s="4" t="str">
        <f ca="1">IFERROR(__xludf.DUMMYFUNCTION("GOOGLETRANSLATE(A1822 , ""tr"" , ""en"")"),"The number of severe patients increased by 8 times in 4 months. Our new patient count on a day is over 5,000. Our loss of yesterday, 141. Less wound less than the struggle, we must add our own preference to compulsory measures to go out with less pain. Th"&amp;"e best measure is our house. Do not go out if you have no obligation.")</f>
        <v>The number of severe patients increased by 8 times in 4 months. Our new patient count on a day is over 5,000. Our loss of yesterday, 141. Less wound less than the struggle, we must add our own preference to compulsory measures to go out with less pain. The best measure is our house. Do not go out if you have no obligation.</v>
      </c>
    </row>
    <row r="1823" spans="1:5" ht="15.75" customHeight="1" x14ac:dyDescent="0.25">
      <c r="A1823" s="1" t="s">
        <v>3645</v>
      </c>
      <c r="B1823" s="1">
        <v>17608</v>
      </c>
      <c r="C1823" s="3">
        <v>44156.487118055556</v>
      </c>
      <c r="D1823" s="1" t="s">
        <v>3646</v>
      </c>
      <c r="E1823" s="4" t="str">
        <f ca="1">IFERROR(__xludf.DUMMYFUNCTION("GOOGLETRANSLATE(A1823 , ""tr"" , ""en"")"),"Dear young people. Instead of staying at home 13.00-16.00, if you have preferred to exit, make the rules too much to be compared to the old one. Instead of 3 hours outside, this is better for all of us if you spend less time. (Teenagers took the message. "&amp;"We will still phone and remind.)")</f>
        <v>Dear young people. Instead of staying at home 13.00-16.00, if you have preferred to exit, make the rules too much to be compared to the old one. Instead of 3 hours outside, this is better for all of us if you spend less time. (Teenagers took the message. We will still phone and remind.)</v>
      </c>
    </row>
    <row r="1824" spans="1:5" ht="15.75" customHeight="1" x14ac:dyDescent="0.25">
      <c r="A1824" s="1" t="s">
        <v>3647</v>
      </c>
      <c r="B1824" s="1">
        <v>13856</v>
      </c>
      <c r="C1824" s="3">
        <v>44156.356574074074</v>
      </c>
      <c r="D1824" s="1" t="s">
        <v>3648</v>
      </c>
      <c r="E1824" s="4" t="str">
        <f ca="1">IFERROR(__xludf.DUMMYFUNCTION("GOOGLETRANSLATE(A1824 , ""tr"" , ""en"")"),"Our valuable greater. Instead of being at home from 10.00-13.00, if you have preferred to be out, pay too much attention to the rules to be compared to the former. Outside instead of 3 hours, this is better for you if you have less time. (Let us call our "&amp;"elders, find the message.)")</f>
        <v>Our valuable greater. Instead of being at home from 10.00-13.00, if you have preferred to be out, pay too much attention to the rules to be compared to the former. Outside instead of 3 hours, this is better for you if you have less time. (Let us call our elders, find the message.)</v>
      </c>
    </row>
    <row r="1825" spans="1:5" ht="15.75" customHeight="1" x14ac:dyDescent="0.25">
      <c r="A1825" s="1" t="s">
        <v>3649</v>
      </c>
      <c r="B1825" s="1">
        <v>11143</v>
      </c>
      <c r="C1825" s="3">
        <v>44155.896354166667</v>
      </c>
      <c r="D1825" s="1" t="s">
        <v>3650</v>
      </c>
      <c r="E1825" s="4" t="str">
        <f ca="1">IFERROR(__xludf.DUMMYFUNCTION("GOOGLETRANSLATE(A1825 , ""tr"" , ""en"")"),"Our health workers give COVID-19 a real battle against. Non-interrupt! We were only 5,103 new patients yesterday. From the doctor to the nurse, the ambulance driver from the laborer, the burden of all of us became more than weighed. Please follow the rest"&amp;"rictions. To stretch out the outbreak, get to know the opportunity to us. https://t.co/f7qm68ddeDa")</f>
        <v>Our health workers give COVID-19 a real battle against. Non-interrupt! We were only 5,103 new patients yesterday. From the doctor to the nurse, the ambulance driver from the laborer, the burden of all of us became more than weighed. Please follow the restrictions. To stretch out the outbreak, get to know the opportunity to us. https://t.co/f7qm68ddeDa</v>
      </c>
    </row>
    <row r="1826" spans="1:5" ht="15.75" customHeight="1" x14ac:dyDescent="0.25">
      <c r="A1826" s="1" t="s">
        <v>3651</v>
      </c>
      <c r="B1826" s="1">
        <v>13840</v>
      </c>
      <c r="C1826" s="3">
        <v>44155.884942129633</v>
      </c>
      <c r="D1826" s="1" t="s">
        <v>3652</v>
      </c>
      <c r="E1826" s="4" t="str">
        <f ca="1">IFERROR(__xludf.DUMMYFUNCTION("GOOGLETRANSLATE(A1826 , ""tr"" , ""en"")"),"Professor Dr. We lost the ASIM cenani. In the Faculty of Cerrahpaşa, I have been in honor of being one of the students during my child diseases expertise. The pioneer was accepted in the field of genetics and medical biology. I wish himself from Allah to "&amp;"the mercy, their condolences.")</f>
        <v>Professor Dr. We lost the ASIM cenani. In the Faculty of Cerrahpaşa, I have been in honor of being one of the students during my child diseases expertise. The pioneer was accepted in the field of genetics and medical biology. I wish himself from Allah to the mercy, their condolences.</v>
      </c>
    </row>
    <row r="1827" spans="1:5" ht="15.75" customHeight="1" x14ac:dyDescent="0.25">
      <c r="A1827" s="1" t="s">
        <v>3653</v>
      </c>
      <c r="B1827" s="1">
        <v>25983</v>
      </c>
      <c r="C1827" s="3">
        <v>44155.836284722223</v>
      </c>
      <c r="D1827" s="1" t="s">
        <v>3654</v>
      </c>
      <c r="E1827" s="4" t="str">
        <f ca="1">IFERROR(__xludf.DUMMYFUNCTION("GOOGLETRANSLATE(A1827 , ""tr"" , ""en"")"),"In our country, Phase-3 studies were started in September 15, developed COVID-19 vaccine in China, was applied to the first voluntary health workers. For the continuation of the studies, we have announced that we were looking for volunteer from you this m"&amp;"orning. We have received 20 thousand applications before the day is over. Thank thousands on behalf of 83 million.")</f>
        <v>In our country, Phase-3 studies were started in September 15, developed COVID-19 vaccine in China, was applied to the first voluntary health workers. For the continuation of the studies, we have announced that we were looking for volunteer from you this morning. We have received 20 thousand applications before the day is over. Thank thousands on behalf of 83 million.</v>
      </c>
    </row>
    <row r="1828" spans="1:5" ht="15.75" customHeight="1" x14ac:dyDescent="0.25">
      <c r="A1828" s="1" t="s">
        <v>3655</v>
      </c>
      <c r="B1828" s="1">
        <v>8486</v>
      </c>
      <c r="C1828" s="3">
        <v>44155.73097222222</v>
      </c>
      <c r="D1828" s="1" t="s">
        <v>3656</v>
      </c>
      <c r="E1828" s="4" t="str">
        <f ca="1">IFERROR(__xludf.DUMMYFUNCTION("GOOGLETRANSLATE(A1828 , ""tr"" , ""en"")"),"Izmir, Bursa, Kocaeli, Gaziantep, Kahramanmaras, Denizli, Sivas Provincial Health managers, we have addressed the final status of the epidemic, the results expected of new restrictions, additional measures. We reviewed our patient burden and filion work. "&amp;"https://t.co/o4tqvxrmbs")</f>
        <v>Izmir, Bursa, Kocaeli, Gaziantep, Kahramanmaras, Denizli, Sivas Provincial Health managers, we have addressed the final status of the epidemic, the results expected of new restrictions, additional measures. We reviewed our patient burden and filion work. https://t.co/o4tqvxrmbs</v>
      </c>
    </row>
    <row r="1829" spans="1:5" ht="15.75" customHeight="1" x14ac:dyDescent="0.25">
      <c r="A1829" s="1" t="s">
        <v>3657</v>
      </c>
      <c r="B1829" s="1">
        <v>6335</v>
      </c>
      <c r="C1829" s="3">
        <v>44155.710057870368</v>
      </c>
      <c r="D1829" s="1" t="s">
        <v>3658</v>
      </c>
      <c r="E1829" s="4" t="str">
        <f ca="1">IFERROR(__xludf.DUMMYFUNCTION("GOOGLETRANSLATE(A1829 , ""tr"" , ""en"")"),"Today, if we do not put the distance to our old normal, you can enter the distances that will never turn off with our loved ones tomorrow. To comply with the rules of the mask, distance and cleaning, ourselves is our conscientious responsibility against o"&amp;"ur loved ones and our country. This is the assurance of our health and social life. https://t.co/2op8DVIQi1")</f>
        <v>Today, if we do not put the distance to our old normal, you can enter the distances that will never turn off with our loved ones tomorrow. To comply with the rules of the mask, distance and cleaning, ourselves is our conscientious responsibility against our loved ones and our country. This is the assurance of our health and social life. https://t.co/2op8DVIQi1</v>
      </c>
    </row>
    <row r="1830" spans="1:5" ht="15.75" customHeight="1" x14ac:dyDescent="0.25">
      <c r="A1830" s="1" t="s">
        <v>3659</v>
      </c>
      <c r="B1830" s="1">
        <v>15343</v>
      </c>
      <c r="C1830" s="3">
        <v>44155.679722222223</v>
      </c>
      <c r="D1830" s="1" t="s">
        <v>3660</v>
      </c>
      <c r="E1830" s="4" t="str">
        <f ca="1">IFERROR(__xludf.DUMMYFUNCTION("GOOGLETRANSLATE(A1830 , ""tr"" , ""en"")"),"We have 5,103 new patients identified today. Our severe patient count approached 4,000. We had to apply restrictions in the fight against the outbreak. In accordance with measures, we will be easier to fight if we put our own restrictions. Give power http"&amp;"s://t.co/rvlhe7786o")</f>
        <v>We have 5,103 new patients identified today. Our severe patient count approached 4,000. We had to apply restrictions in the fight against the outbreak. In accordance with measures, we will be easier to fight if we put our own restrictions. Give power https://t.co/rvlhe7786o</v>
      </c>
    </row>
    <row r="1831" spans="1:5" ht="15.75" customHeight="1" x14ac:dyDescent="0.25">
      <c r="A1831" s="1" t="s">
        <v>3661</v>
      </c>
      <c r="B1831" s="1">
        <v>38410</v>
      </c>
      <c r="C1831" s="3">
        <v>44155.62599537037</v>
      </c>
      <c r="D1831" s="1" t="s">
        <v>3662</v>
      </c>
      <c r="E1831" s="4" t="str">
        <f ca="1">IFERROR(__xludf.DUMMYFUNCTION("GOOGLETRANSLATE(A1831 , ""tr"" , ""en"")"),"The weekend curfew restriction starts tomorrow. Sunday at 20.00 Sunday by 10.00 in the morning. On Sunday until 05.00 Monday Monday at the evening. We expect you to support for compulsory measures with voluntary measures. If you put additional restraints "&amp;"on yourself we will be glad.")</f>
        <v>The weekend curfew restriction starts tomorrow. Sunday at 20.00 Sunday by 10.00 in the morning. On Sunday until 05.00 Monday Monday at the evening. We expect you to support for compulsory measures with voluntary measures. If you put additional restraints on yourself we will be glad.</v>
      </c>
    </row>
    <row r="1832" spans="1:5" ht="15.75" customHeight="1" x14ac:dyDescent="0.25">
      <c r="A1832" s="1" t="s">
        <v>3663</v>
      </c>
      <c r="B1832" s="1">
        <v>11890</v>
      </c>
      <c r="C1832" s="3">
        <v>44155.482858796298</v>
      </c>
      <c r="D1832" s="1" t="s">
        <v>3664</v>
      </c>
      <c r="E1832" s="4" t="str">
        <f ca="1">IFERROR(__xludf.DUMMYFUNCTION("GOOGLETRANSLATE(A1832 , ""tr"" , ""en"")"),"Why are the big ones? The ages 65 and older will be able to go on the street between only 10.00-13.00 for a while. ""Why not everyone, the big ones?"" In advanced ages, our body resistance against the disease is decreasing. Restraint is not against you, a"&amp;"gainst the virus. Help us protect you.")</f>
        <v>Why are the big ones? The ages 65 and older will be able to go on the street between only 10.00-13.00 for a while. "Why not everyone, the big ones?" In advanced ages, our body resistance against the disease is decreasing. Restraint is not against you, against the virus. Help us protect you.</v>
      </c>
    </row>
    <row r="1833" spans="1:5" ht="15.75" customHeight="1" x14ac:dyDescent="0.25">
      <c r="A1833" s="1" t="s">
        <v>3665</v>
      </c>
      <c r="B1833" s="1">
        <v>11581</v>
      </c>
      <c r="C1833" s="3">
        <v>44155.467013888891</v>
      </c>
      <c r="D1833" s="1" t="s">
        <v>3666</v>
      </c>
      <c r="E1833" s="4" t="str">
        <f ca="1">IFERROR(__xludf.DUMMYFUNCTION("GOOGLETRANSLATE(A1833 , ""tr"" , ""en"")"),"Our valuable greater. Nowadays we have been hard to protect our health. COVID-19, it is spreading as we met. We have to reduce social mobility. Restrictions will start at 20.00 o'clock. 65 years of age or older, only 10.00-13.00 can be on the street. If t"&amp;"hey are less, we will be glad.")</f>
        <v>Our valuable greater. Nowadays we have been hard to protect our health. COVID-19, it is spreading as we met. We have to reduce social mobility. Restrictions will start at 20.00 o'clock. 65 years of age or older, only 10.00-13.00 can be on the street. If they are less, we will be glad.</v>
      </c>
    </row>
    <row r="1834" spans="1:5" ht="15.75" customHeight="1" x14ac:dyDescent="0.25">
      <c r="A1834" s="1" t="s">
        <v>3667</v>
      </c>
      <c r="B1834" s="1">
        <v>22662</v>
      </c>
      <c r="C1834" s="3">
        <v>44155.386990740742</v>
      </c>
      <c r="D1834" s="1" t="s">
        <v>3668</v>
      </c>
      <c r="E1834" s="4" t="str">
        <f ca="1">IFERROR(__xludf.DUMMYFUNCTION("GOOGLETRANSLATE(A1834 , ""tr"" , ""en"")"),"Why are young people? Young people will be on the street for a while, only 13.00-16.00 hours. ""Why not everyone, we are young people?"" Although you notice the virus is very high in the potential of transmission and spread over young people. Against this"&amp;", we need your sacrifice a lot.")</f>
        <v>Why are young people? Young people will be on the street for a while, only 13.00-16.00 hours. "Why not everyone, we are young people?" Although you notice the virus is very high in the potential of transmission and spread over young people. Against this, we need your sacrifice a lot.</v>
      </c>
    </row>
    <row r="1835" spans="1:5" ht="15.75" customHeight="1" x14ac:dyDescent="0.25">
      <c r="A1835" s="1" t="s">
        <v>3669</v>
      </c>
      <c r="B1835" s="1">
        <v>21843</v>
      </c>
      <c r="C1835" s="3">
        <v>44155.366620370369</v>
      </c>
      <c r="D1835" s="1" t="s">
        <v>3670</v>
      </c>
      <c r="E1835" s="4" t="str">
        <f ca="1">IFERROR(__xludf.DUMMYFUNCTION("GOOGLETRANSLATE(A1835 , ""tr"" , ""en"")"),"Dear young people. It is also hard to live the youth these days. COVID-19 is spreading as mobility increases. We have to reduce social mobility. Restrictions will start at 20.00 o'clock. Born in 2001 and later, only 13.00-16.00 will be available to the st"&amp;"reet. If they are less, we will be glad.")</f>
        <v>Dear young people. It is also hard to live the youth these days. COVID-19 is spreading as mobility increases. We have to reduce social mobility. Restrictions will start at 20.00 o'clock. Born in 2001 and later, only 13.00-16.00 will be available to the street. If they are less, we will be glad.</v>
      </c>
    </row>
    <row r="1836" spans="1:5" ht="15.75" customHeight="1" x14ac:dyDescent="0.25">
      <c r="A1836" s="1" t="s">
        <v>3671</v>
      </c>
      <c r="B1836" s="1">
        <v>11939</v>
      </c>
      <c r="C1836" s="3">
        <v>44154.908194444448</v>
      </c>
      <c r="D1836" s="1" t="s">
        <v>3672</v>
      </c>
      <c r="E1836" s="4" t="str">
        <f ca="1">IFERROR(__xludf.DUMMYFUNCTION("GOOGLETRANSLATE(A1836 , ""tr"" , ""en"")"),"The Minister my friend Pekcan Hanımendi's precious mother passed away. We were closely following the status at Basaksehir Pine and Sakura City Hospital. I am conducting the decentry from Allah to the Rahmet, Persarian House, the condolences to their relat"&amp;"ives and loves. Rest in peace.")</f>
        <v>The Minister my friend Pekcan Hanımendi's precious mother passed away. We were closely following the status at Basaksehir Pine and Sakura City Hospital. I am conducting the decentry from Allah to the Rahmet, Persarian House, the condolences to their relatives and loves. Rest in peace.</v>
      </c>
    </row>
    <row r="1837" spans="1:5" ht="15.75" customHeight="1" x14ac:dyDescent="0.25">
      <c r="A1837" s="1" t="s">
        <v>3673</v>
      </c>
      <c r="B1837" s="1">
        <v>8243</v>
      </c>
      <c r="C1837" s="3">
        <v>44154.76935185185</v>
      </c>
      <c r="D1837" s="1" t="s">
        <v>3674</v>
      </c>
      <c r="E1837" s="4" t="str">
        <f ca="1">IFERROR(__xludf.DUMMYFUNCTION("GOOGLETRANSLATE(A1837 , ""tr"" , ""en"")"),"Today, if we do not put the distance to our old normal, you can enter the distances that will never turn off with our loved ones tomorrow. To comply with the rules of the mask, distance and cleaning, ourselves is our conscientious responsibility against o"&amp;"ur loved ones and our country. This is the assurance of our health and social life. https://t.co/m2c6tffaji")</f>
        <v>Today, if we do not put the distance to our old normal, you can enter the distances that will never turn off with our loved ones tomorrow. To comply with the rules of the mask, distance and cleaning, ourselves is our conscientious responsibility against our loved ones and our country. This is the assurance of our health and social life. https://t.co/m2c6tffaji</v>
      </c>
    </row>
    <row r="1838" spans="1:5" ht="15.75" customHeight="1" x14ac:dyDescent="0.25">
      <c r="A1838" s="1" t="s">
        <v>3675</v>
      </c>
      <c r="B1838" s="1">
        <v>16330</v>
      </c>
      <c r="C1838" s="3">
        <v>44154.679976851854</v>
      </c>
      <c r="D1838" s="1" t="s">
        <v>3676</v>
      </c>
      <c r="E1838" s="4" t="str">
        <f ca="1">IFERROR(__xludf.DUMMYFUNCTION("GOOGLETRANSLATE(A1838 , ""tr"" , ""en"")"),"We have 4,542 patients identified today. Our severe patient count has reached 3.850. If we take measures ourselves, we do not oblige to compulsory restrictions. If we do not translate the course of the outbreak there may be compulsory measures in all area"&amp;"s of our lives. Join the challenge. https://t.co/rvlhe7786o")</f>
        <v>We have 4,542 patients identified today. Our severe patient count has reached 3.850. If we take measures ourselves, we do not oblige to compulsory restrictions. If we do not translate the course of the outbreak there may be compulsory measures in all areas of our lives. Join the challenge. https://t.co/rvlhe7786o</v>
      </c>
    </row>
    <row r="1839" spans="1:5" ht="15.75" customHeight="1" x14ac:dyDescent="0.25">
      <c r="A1839" s="1" t="s">
        <v>3677</v>
      </c>
      <c r="B1839" s="1">
        <v>34621</v>
      </c>
      <c r="C1839" s="3">
        <v>44154.624421296299</v>
      </c>
      <c r="D1839" s="1" t="s">
        <v>3678</v>
      </c>
      <c r="E1839" s="4" t="str">
        <f ca="1">IFERROR(__xludf.DUMMYFUNCTION("GOOGLETRANSLATE(A1839 , ""tr"" , ""en"")"),"Let's add voluntary measures to compulsory measures. Let's have more time at home.")</f>
        <v>Let's add voluntary measures to compulsory measures. Let's have more time at home.</v>
      </c>
    </row>
    <row r="1840" spans="1:5" ht="15.75" customHeight="1" x14ac:dyDescent="0.2">
      <c r="A1840" s="5" t="s">
        <v>3679</v>
      </c>
      <c r="B1840" s="1">
        <v>9383</v>
      </c>
      <c r="C1840" s="3">
        <v>44154.584155092591</v>
      </c>
      <c r="D1840" s="1" t="s">
        <v>3680</v>
      </c>
      <c r="E1840" s="6" t="str">
        <f ca="1">IFERROR(__xludf.DUMMYFUNCTION("GOOGLETRANSLATE(A1840 , ""tr"" , ""en"")"),"https://t.co/2txwyhb67h")</f>
        <v>https://t.co/2txwyhb67h</v>
      </c>
    </row>
    <row r="1841" spans="1:5" ht="15.75" customHeight="1" x14ac:dyDescent="0.25">
      <c r="A1841" s="1" t="s">
        <v>3681</v>
      </c>
      <c r="B1841" s="1">
        <v>16980</v>
      </c>
      <c r="C1841" s="3">
        <v>44154.416481481479</v>
      </c>
      <c r="D1841" s="1" t="s">
        <v>3682</v>
      </c>
      <c r="E1841" s="4" t="str">
        <f ca="1">IFERROR(__xludf.DUMMYFUNCTION("GOOGLETRANSLATE(A1841 , ""tr"" , ""en"")"),"Mandatory measures against the epidemic are in our life again. The purpose of compulsory measures is to reduce the spread of the disease and the burden of hospitals. Let's support the purpose of the measures voluntarily. Let's reduce mobility. Let's stay "&amp;"in our house as much as possible.")</f>
        <v>Mandatory measures against the epidemic are in our life again. The purpose of compulsory measures is to reduce the spread of the disease and the burden of hospitals. Let's support the purpose of the measures voluntarily. Let's reduce mobility. Let's stay in our house as much as possible.</v>
      </c>
    </row>
    <row r="1842" spans="1:5" ht="15.75" customHeight="1" x14ac:dyDescent="0.25">
      <c r="A1842" s="1" t="s">
        <v>3683</v>
      </c>
      <c r="B1842" s="1">
        <v>10567</v>
      </c>
      <c r="C1842" s="3">
        <v>44153.86613425926</v>
      </c>
      <c r="D1842" s="1" t="s">
        <v>3684</v>
      </c>
      <c r="E1842" s="4" t="str">
        <f ca="1">IFERROR(__xludf.DUMMYFUNCTION("GOOGLETRANSLATE(A1842 , ""tr"" , ""en"")"),"Within the scope of epidemic measures, smoking was banned in the crowded street and the streets. We believe that the prohibition is to be complied with. Smoking leads to countless diseases. The drinking is also objectionable as it facilitates the infectio"&amp;"n of the virus. Do not remove your mask for cigarettes. https://t.co/IC2x4chba8")</f>
        <v>Within the scope of epidemic measures, smoking was banned in the crowded street and the streets. We believe that the prohibition is to be complied with. Smoking leads to countless diseases. The drinking is also objectionable as it facilitates the infection of the virus. Do not remove your mask for cigarettes. https://t.co/IC2x4chba8</v>
      </c>
    </row>
    <row r="1843" spans="1:5" ht="15.75" customHeight="1" x14ac:dyDescent="0.25">
      <c r="A1843" s="1" t="s">
        <v>3685</v>
      </c>
      <c r="B1843" s="1">
        <v>18378</v>
      </c>
      <c r="C1843" s="3">
        <v>44153.667731481481</v>
      </c>
      <c r="D1843" s="1" t="s">
        <v>3686</v>
      </c>
      <c r="E1843" s="4" t="str">
        <f ca="1">IFERROR(__xludf.DUMMYFUNCTION("GOOGLETRANSLATE(A1843 , ""tr"" , ""en"")"),"There are 4,215 patients identified today. The increase in severe patients continues. The emissation of the virus obliges us to take compulsory measures. We must move together to stop the spread of the disease. Give the struggle to combat the measures tog"&amp;"ether. https://t.co/rvlhe7oIYM")</f>
        <v>There are 4,215 patients identified today. The increase in severe patients continues. The emissation of the virus obliges us to take compulsory measures. We must move together to stop the spread of the disease. Give the struggle to combat the measures together. https://t.co/rvlhe7oIYM</v>
      </c>
    </row>
    <row r="1844" spans="1:5" ht="15.75" customHeight="1" x14ac:dyDescent="0.25">
      <c r="A1844" s="1" t="s">
        <v>3687</v>
      </c>
      <c r="B1844" s="1">
        <v>32926</v>
      </c>
      <c r="C1844" s="3">
        <v>44153.626446759263</v>
      </c>
      <c r="D1844" s="1" t="s">
        <v>3688</v>
      </c>
      <c r="E1844" s="4" t="str">
        <f ca="1">IFERROR(__xludf.DUMMYFUNCTION("GOOGLETRANSLATE(A1844 , ""tr"" , ""en"")"),"If a single mask could be calculated to reduce the patient numbers, it would not remain in the mask. With the mask, we protect ourselves both ourselves.")</f>
        <v>If a single mask could be calculated to reduce the patient numbers, it would not remain in the mask. With the mask, we protect ourselves both ourselves.</v>
      </c>
    </row>
    <row r="1845" spans="1:5" ht="15.75" customHeight="1" x14ac:dyDescent="0.2">
      <c r="A1845" s="5" t="s">
        <v>3689</v>
      </c>
      <c r="B1845" s="1">
        <v>7494</v>
      </c>
      <c r="C1845" s="3">
        <v>44153.586030092592</v>
      </c>
      <c r="D1845" s="1" t="s">
        <v>3690</v>
      </c>
      <c r="E1845" s="6" t="str">
        <f ca="1">IFERROR(__xludf.DUMMYFUNCTION("GOOGLETRANSLATE(A1845 , ""tr"" , ""en"")"),"https://t.co/urihdxlrnt")</f>
        <v>https://t.co/urihdxlrnt</v>
      </c>
    </row>
    <row r="1846" spans="1:5" ht="15.75" customHeight="1" x14ac:dyDescent="0.2">
      <c r="A1846" s="5" t="s">
        <v>3691</v>
      </c>
      <c r="B1846" s="1">
        <v>7328</v>
      </c>
      <c r="C1846" s="3">
        <v>44153.585868055554</v>
      </c>
      <c r="D1846" s="1" t="s">
        <v>3692</v>
      </c>
      <c r="E1846" s="6" t="str">
        <f ca="1">IFERROR(__xludf.DUMMYFUNCTION("GOOGLETRANSLATE(A1846 , ""tr"" , ""en"")"),"https://t.co/guyzk0apum")</f>
        <v>https://t.co/guyzk0apum</v>
      </c>
    </row>
    <row r="1847" spans="1:5" ht="15.75" customHeight="1" x14ac:dyDescent="0.2">
      <c r="A1847" s="5" t="s">
        <v>3693</v>
      </c>
      <c r="B1847" s="1">
        <v>14077</v>
      </c>
      <c r="C1847" s="3">
        <v>44153.585717592592</v>
      </c>
      <c r="D1847" s="1" t="s">
        <v>3694</v>
      </c>
      <c r="E1847" s="6" t="str">
        <f ca="1">IFERROR(__xludf.DUMMYFUNCTION("GOOGLETRANSLATE(A1847 , ""tr"" , ""en"")"),"https://t.co/7mjj9uln0b")</f>
        <v>https://t.co/7mjj9uln0b</v>
      </c>
    </row>
    <row r="1848" spans="1:5" ht="15.75" customHeight="1" x14ac:dyDescent="0.25">
      <c r="A1848" s="1" t="s">
        <v>3695</v>
      </c>
      <c r="B1848" s="1">
        <v>8137</v>
      </c>
      <c r="C1848" s="3">
        <v>44153.423946759256</v>
      </c>
      <c r="D1848" s="1" t="s">
        <v>3696</v>
      </c>
      <c r="E1848" s="4" t="str">
        <f ca="1">IFERROR(__xludf.DUMMYFUNCTION("GOOGLETRANSLATE(A1848 , ""tr"" , ""en"")"),"2021 The TBMM Plan and Budget Commission is a presentation with my team at the Budget Presentation Meeting. We started the presentation meeting with sharing information with the members of the commissioners, ongoing and planned investments. https://t.co/s"&amp;"iiuyxtzjz")</f>
        <v>2021 The TBMM Plan and Budget Commission is a presentation with my team at the Budget Presentation Meeting. We started the presentation meeting with sharing information with the members of the commissioners, ongoing and planned investments. https://t.co/siiuyxtzjz</v>
      </c>
    </row>
    <row r="1849" spans="1:5" ht="15.75" customHeight="1" x14ac:dyDescent="0.25">
      <c r="A1849" s="1" t="s">
        <v>3697</v>
      </c>
      <c r="B1849" s="1">
        <v>22595</v>
      </c>
      <c r="C1849" s="3">
        <v>44152.727592592593</v>
      </c>
      <c r="D1849" s="1" t="s">
        <v>3698</v>
      </c>
      <c r="E1849" s="4" t="str">
        <f ca="1">IFERROR(__xludf.DUMMYFUNCTION("GOOGLETRANSLATE(A1849 , ""tr"" , ""en"")"),"We have 3,819 patients identified today. The critical actors of the struggle are our health workers. We have to keep our most critical fighters strong. Complying with measures is a necessity for all of us. Display your health that you are next to our army"&amp;". Give strength to the challenge. https://t.co/rvlhe7786o")</f>
        <v>We have 3,819 patients identified today. The critical actors of the struggle are our health workers. We have to keep our most critical fighters strong. Complying with measures is a necessity for all of us. Display your health that you are next to our army. Give strength to the challenge. https://t.co/rvlhe7786o</v>
      </c>
    </row>
    <row r="1850" spans="1:5" ht="15.75" customHeight="1" x14ac:dyDescent="0.25">
      <c r="A1850" s="1" t="s">
        <v>3699</v>
      </c>
      <c r="B1850" s="1">
        <v>0</v>
      </c>
      <c r="C1850" s="3">
        <v>44152.689733796295</v>
      </c>
      <c r="D1850" s="1" t="s">
        <v>3700</v>
      </c>
      <c r="E1850" s="4" t="str">
        <f ca="1">IFERROR(__xludf.DUMMYFUNCTION("GOOGLETRANSLATE(A1850 , ""tr"" , ""en"")"),"RT @rterdogan: Shouting Nation After Cabinet Meeting HTTPS://T.CO/3OBRCBL3ZS")</f>
        <v>RT @rterdogan: Shouting Nation After Cabinet Meeting HTTPS://T.CO/3OBRCBL3ZS</v>
      </c>
    </row>
    <row r="1851" spans="1:5" ht="15.75" customHeight="1" x14ac:dyDescent="0.25">
      <c r="A1851" s="1" t="s">
        <v>3701</v>
      </c>
      <c r="B1851" s="1">
        <v>13035</v>
      </c>
      <c r="C1851" s="3">
        <v>44151.666990740741</v>
      </c>
      <c r="D1851" s="1" t="s">
        <v>3702</v>
      </c>
      <c r="E1851" s="4" t="str">
        <f ca="1">IFERROR(__xludf.DUMMYFUNCTION("GOOGLETRANSLATE(A1851 , ""tr"" , ""en"")"),"We have 3,316 new patients identified today. Our severe patient count increased to 3.610. Complying with measures is the most important weapon of this struggle to act together. Responsibility to comply with the measures belongs to all of us. Power to figh"&amp;"t against measures together. https://t.co/rvlhe7786o")</f>
        <v>We have 3,316 new patients identified today. Our severe patient count increased to 3.610. Complying with measures is the most important weapon of this struggle to act together. Responsibility to comply with the measures belongs to all of us. Power to fight against measures together. https://t.co/rvlhe7786o</v>
      </c>
    </row>
    <row r="1852" spans="1:5" ht="15.75" customHeight="1" x14ac:dyDescent="0.25">
      <c r="A1852" s="1" t="s">
        <v>3703</v>
      </c>
      <c r="B1852" s="1">
        <v>27745</v>
      </c>
      <c r="C1852" s="3">
        <v>44151.63790509259</v>
      </c>
      <c r="D1852" s="1" t="s">
        <v>3704</v>
      </c>
      <c r="E1852" s="4" t="str">
        <f ca="1">IFERROR(__xludf.DUMMYFUNCTION("GOOGLETRANSLATE(A1852 , ""tr"" , ""en"")"),"Let's facilitate the conditions by complying with the measures. Measure is better than restraint. If you are adopted!")</f>
        <v>Let's facilitate the conditions by complying with the measures. Measure is better than restraint. If you are adopted!</v>
      </c>
    </row>
    <row r="1853" spans="1:5" ht="15.75" customHeight="1" x14ac:dyDescent="0.25">
      <c r="A1853" s="1" t="s">
        <v>3705</v>
      </c>
      <c r="B1853" s="1">
        <v>45637</v>
      </c>
      <c r="C1853" s="3">
        <v>44151.616956018515</v>
      </c>
      <c r="D1853" s="1" t="s">
        <v>3706</v>
      </c>
      <c r="E1853" s="4" t="str">
        <f ca="1">IFERROR(__xludf.DUMMYFUNCTION("GOOGLETRANSLATE(A1853 , ""tr"" , ""en"")"),"Let's fully close the transmission paths of the virus.")</f>
        <v>Let's fully close the transmission paths of the virus.</v>
      </c>
    </row>
    <row r="1854" spans="1:5" ht="15.75" customHeight="1" x14ac:dyDescent="0.25">
      <c r="A1854" s="1" t="s">
        <v>3707</v>
      </c>
      <c r="B1854" s="1">
        <v>8433</v>
      </c>
      <c r="C1854" s="3">
        <v>44151.553368055553</v>
      </c>
      <c r="D1854" s="1" t="s">
        <v>3708</v>
      </c>
      <c r="E1854" s="4" t="str">
        <f ca="1">IFERROR(__xludf.DUMMYFUNCTION("GOOGLETRANSLATE(A1854 , ""tr"" , ""en"")"),"Get support from technology to discuss with your friends. DO NOT take risks in the same setting. Face-to-face negotiations are also able to do with the computer as well. Remember: COVID-19 young, not separating the elder. https://t.co/6jq7qc89el")</f>
        <v>Get support from technology to discuss with your friends. DO NOT take risks in the same setting. Face-to-face negotiations are also able to do with the computer as well. Remember: COVID-19 young, not separating the elder. https://t.co/6jq7qc89el</v>
      </c>
    </row>
    <row r="1855" spans="1:5" ht="15.75" customHeight="1" x14ac:dyDescent="0.25">
      <c r="A1855" s="1" t="s">
        <v>3709</v>
      </c>
      <c r="B1855" s="1">
        <v>6018</v>
      </c>
      <c r="C1855" s="3">
        <v>44151.500115740739</v>
      </c>
      <c r="D1855" s="1" t="s">
        <v>3710</v>
      </c>
      <c r="E1855" s="4" t="str">
        <f ca="1">IFERROR(__xludf.DUMMYFUNCTION("GOOGLETRANSLATE(A1855 , ""tr"" , ""en"")"),"The protection of the mask depends on the completely shutdown of the mouth and nose. Direct contact with air should be prevented. For example, if the nose is left on, it is possible to intensively expose the virus. The disease becomes heavy as the virus l"&amp;"oad increases. Take full advantage of your mask. Cut the front of the disease. https://t.co/6yoohmlu75")</f>
        <v>The protection of the mask depends on the completely shutdown of the mouth and nose. Direct contact with air should be prevented. For example, if the nose is left on, it is possible to intensively expose the virus. The disease becomes heavy as the virus load increases. Take full advantage of your mask. Cut the front of the disease. https://t.co/6yoohmlu75</v>
      </c>
    </row>
    <row r="1856" spans="1:5" ht="15.75" customHeight="1" x14ac:dyDescent="0.25">
      <c r="A1856" s="1" t="s">
        <v>3711</v>
      </c>
      <c r="B1856" s="1">
        <v>5642</v>
      </c>
      <c r="C1856" s="3">
        <v>44151.459641203706</v>
      </c>
      <c r="D1856" s="1" t="s">
        <v>3712</v>
      </c>
      <c r="E1856" s="4" t="str">
        <f ca="1">IFERROR(__xludf.DUMMYFUNCTION("GOOGLETRANSLATE(A1856 , ""tr"" , ""en"")"),"Take advantage of technology if possible for your meetings. Do not share the same medium except for the people that you do not know whether it is taking risks on recent days. Remember: COVID-19 uses every opportunity to spread. https://t.co/k4huwey164")</f>
        <v>Take advantage of technology if possible for your meetings. Do not share the same medium except for the people that you do not know whether it is taking risks on recent days. Remember: COVID-19 uses every opportunity to spread. https://t.co/k4huwey164</v>
      </c>
    </row>
    <row r="1857" spans="1:5" ht="15.75" customHeight="1" x14ac:dyDescent="0.25">
      <c r="A1857" s="1" t="s">
        <v>3713</v>
      </c>
      <c r="B1857" s="1">
        <v>7607</v>
      </c>
      <c r="C1857" s="3">
        <v>44151.419733796298</v>
      </c>
      <c r="D1857" s="1" t="s">
        <v>3714</v>
      </c>
      <c r="E1857" s="4" t="str">
        <f ca="1">IFERROR(__xludf.DUMMYFUNCTION("GOOGLETRANSLATE(A1857 , ""tr"" , ""en"")"),"The protection of the mask depends on the completely shutdown of the mouth and nose. Direct contact with air should be prevented. For example, if the nose is left on, it is possible to intensively expose the virus. The disease becomes heavy as the virus l"&amp;"oad increases. Take full advantage of your mask. Cut the front of the disease. https://t.co/ZIIHGLDJPW")</f>
        <v>The protection of the mask depends on the completely shutdown of the mouth and nose. Direct contact with air should be prevented. For example, if the nose is left on, it is possible to intensively expose the virus. The disease becomes heavy as the virus load increases. Take full advantage of your mask. Cut the front of the disease. https://t.co/ZIIHGLDJPW</v>
      </c>
    </row>
    <row r="1858" spans="1:5" ht="15.75" customHeight="1" x14ac:dyDescent="0.25">
      <c r="A1858" s="1" t="s">
        <v>3715</v>
      </c>
      <c r="B1858" s="1">
        <v>9066</v>
      </c>
      <c r="C1858" s="3">
        <v>44151.333993055552</v>
      </c>
      <c r="D1858" s="1" t="s">
        <v>3716</v>
      </c>
      <c r="E1858" s="4" t="str">
        <f ca="1">IFERROR(__xludf.DUMMYFUNCTION("GOOGLETRANSLATE(A1858 , ""tr"" , ""en"")"),"The downloaded mask to the bottom of the nose does not have a difference from half-cut mask. If you wear your mask on your nose, you have used one half. The coronavirus is more than the mouth, it is infected by breathing and breathing. Use your mask to pr"&amp;"otect you. https://t.co/3jnp5qi72p")</f>
        <v>The downloaded mask to the bottom of the nose does not have a difference from half-cut mask. If you wear your mask on your nose, you have used one half. The coronavirus is more than the mouth, it is infected by breathing and breathing. Use your mask to protect you. https://t.co/3jnp5qi72p</v>
      </c>
    </row>
    <row r="1859" spans="1:5" ht="15.75" customHeight="1" x14ac:dyDescent="0.25">
      <c r="A1859" s="1" t="s">
        <v>3717</v>
      </c>
      <c r="B1859" s="1">
        <v>8993</v>
      </c>
      <c r="C1859" s="3">
        <v>44150.908171296294</v>
      </c>
      <c r="D1859" s="1" t="s">
        <v>3718</v>
      </c>
      <c r="E1859" s="4" t="str">
        <f ca="1">IFERROR(__xludf.DUMMYFUNCTION("GOOGLETRANSLATE(A1859 , ""tr"" , ""en"")"),"The Nicosia Emergency Hospital opened to the service has 100 bed capacity, 6 operating rooms, 6 views, 64 single bedrooms, 24 intensive care and 12 emergency beds. Get auspicious to the Turkish Cyprus Turks in the 37th organization of the TRNC. https://t."&amp;"co/awvja7a4BI")</f>
        <v>The Nicosia Emergency Hospital opened to the service has 100 bed capacity, 6 operating rooms, 6 views, 64 single bedrooms, 24 intensive care and 12 emergency beds. Get auspicious to the Turkish Cyprus Turks in the 37th organization of the TRNC. https://t.co/awvja7a4BI</v>
      </c>
    </row>
    <row r="1860" spans="1:5" ht="15.75" customHeight="1" x14ac:dyDescent="0.25">
      <c r="A1860" s="1" t="s">
        <v>3719</v>
      </c>
      <c r="B1860" s="1">
        <v>0</v>
      </c>
      <c r="C1860" s="3">
        <v>44150.816631944443</v>
      </c>
      <c r="D1860" s="1" t="s">
        <v>3720</v>
      </c>
      <c r="E1860" s="4" t="str">
        <f ca="1">IFERROR(__xludf.DUMMYFUNCTION("GOOGLETRANSLATE(A1860 , ""tr"" , ""en"")"),"RT @rterdogan: Today the North Cyprus Turkish Republic of the Turkish Republic of Nicosia Emergency Hospital, Cyprus Turkish Halı")</f>
        <v>RT @rterdogan: Today the North Cyprus Turkish Republic of the Turkish Republic of Nicosia Emergency Hospital, Cyprus Turkish Halı</v>
      </c>
    </row>
    <row r="1861" spans="1:5" ht="15.75" customHeight="1" x14ac:dyDescent="0.25">
      <c r="A1861" s="1" t="s">
        <v>3721</v>
      </c>
      <c r="B1861" s="1">
        <v>6399</v>
      </c>
      <c r="C1861" s="3">
        <v>44150.774456018517</v>
      </c>
      <c r="D1861" s="1" t="s">
        <v>3722</v>
      </c>
      <c r="E1861" s="4" t="str">
        <f ca="1">IFERROR(__xludf.DUMMYFUNCTION("GOOGLETRANSLATE(A1861 , ""tr"" , ""en"")"),"LefKosia Emergency Hospital, our President is our President. Recep Tayyip Erdogan with the President of the Turkish Republic of Northern Cyprus. Ersin Tatar's participation in the 37th anniversary of the Turkish Republic of the Turkish Republic of North C"&amp;"yprus, opened to the service today. May the Turkish Cyprus be auspicious. https://t.co/ncg8neqmau")</f>
        <v>LefKosia Emergency Hospital, our President is our President. Recep Tayyip Erdogan with the President of the Turkish Republic of Northern Cyprus. Ersin Tatar's participation in the 37th anniversary of the Turkish Republic of the Turkish Republic of North Cyprus, opened to the service today. May the Turkish Cyprus be auspicious. https://t.co/ncg8neqmau</v>
      </c>
    </row>
    <row r="1862" spans="1:5" ht="15.75" customHeight="1" x14ac:dyDescent="0.25">
      <c r="A1862" s="1" t="s">
        <v>3723</v>
      </c>
      <c r="B1862" s="1">
        <v>0</v>
      </c>
      <c r="C1862" s="3">
        <v>44150.72997685185</v>
      </c>
      <c r="D1862" s="1" t="s">
        <v>3724</v>
      </c>
      <c r="E1862" s="4" t="str">
        <f ca="1">IFERROR(__xludf.DUMMYFUNCTION("GOOGLETRANSLATE(A1862 , ""tr"" , ""en"")"),"RT @rterdogan: KKTC Nicosia Emergency Hospital Opening Ceremony https://t.co/IfobHFP4JM")</f>
        <v>RT @rterdogan: KKTC Nicosia Emergency Hospital Opening Ceremony https://t.co/IfobHFP4JM</v>
      </c>
    </row>
    <row r="1863" spans="1:5" ht="15.75" customHeight="1" x14ac:dyDescent="0.25">
      <c r="A1863" s="1" t="s">
        <v>3725</v>
      </c>
      <c r="B1863" s="1">
        <v>4061</v>
      </c>
      <c r="C1863" s="3">
        <v>44150.720636574071</v>
      </c>
      <c r="D1863" s="1" t="s">
        <v>3726</v>
      </c>
      <c r="E1863" s="4" t="str">
        <f ca="1">IFERROR(__xludf.DUMMYFUNCTION("GOOGLETRANSLATE(A1863 , ""tr"" , ""en"")"),"T.c. The Ministry of Health, TRNC Nicosia We open our Emergency Hospital to our Cyprio sisters. https://t.co/98RZMKDI0m")</f>
        <v>T.c. The Ministry of Health, TRNC Nicosia We open our Emergency Hospital to our Cyprio sisters. https://t.co/98RZMKDI0m</v>
      </c>
    </row>
    <row r="1864" spans="1:5" ht="15.75" customHeight="1" x14ac:dyDescent="0.25">
      <c r="A1864" s="1" t="s">
        <v>3727</v>
      </c>
      <c r="B1864" s="1">
        <v>8032</v>
      </c>
      <c r="C1864" s="3">
        <v>44150.718726851854</v>
      </c>
      <c r="D1864" s="1" t="s">
        <v>3728</v>
      </c>
      <c r="E1864" s="4" t="str">
        <f ca="1">IFERROR(__xludf.DUMMYFUNCTION("GOOGLETRANSLATE(A1864 , ""tr"" , ""en"")"),"We participated in the 37th anniversary celebration program of the Turkish Republic of North Cyprus and the Minister of Turkish Republic of North Cyprus and the ceremonies organized for the Republic Day 15. From 1571 Ottoman conquest, I remember our cypru"&amp;"s martyrs. https://t.co/qiptoIPVD5")</f>
        <v>We participated in the 37th anniversary celebration program of the Turkish Republic of North Cyprus and the Minister of Turkish Republic of North Cyprus and the ceremonies organized for the Republic Day 15. From 1571 Ottoman conquest, I remember our cyprus martyrs. https://t.co/qiptoIPVD5</v>
      </c>
    </row>
    <row r="1865" spans="1:5" ht="15.75" customHeight="1" x14ac:dyDescent="0.25">
      <c r="A1865" s="1" t="s">
        <v>3729</v>
      </c>
      <c r="B1865" s="1">
        <v>20596</v>
      </c>
      <c r="C1865" s="3">
        <v>44150.674884259257</v>
      </c>
      <c r="D1865" s="1" t="s">
        <v>3730</v>
      </c>
      <c r="E1865" s="4" t="str">
        <f ca="1">IFERROR(__xludf.DUMMYFUNCTION("GOOGLETRANSLATE(A1865 , ""tr"" , ""en"")"),"We have 3,223 new patients identified today. Our losses are close to 100 per day. The power of our health workers also has a limit to the capacity of health lower structures. Power to fight against measures. https://t.co/rvlhe7786o")</f>
        <v>We have 3,223 new patients identified today. Our losses are close to 100 per day. The power of our health workers also has a limit to the capacity of health lower structures. Power to fight against measures. https://t.co/rvlhe7786o</v>
      </c>
    </row>
    <row r="1866" spans="1:5" ht="15.75" customHeight="1" x14ac:dyDescent="0.25">
      <c r="A1866" s="1" t="s">
        <v>3731</v>
      </c>
      <c r="B1866" s="1">
        <v>9788</v>
      </c>
      <c r="C1866" s="3">
        <v>44150.505995370368</v>
      </c>
      <c r="D1866" s="1" t="s">
        <v>3732</v>
      </c>
      <c r="E1866" s="4" t="str">
        <f ca="1">IFERROR(__xludf.DUMMYFUNCTION("GOOGLETRANSLATE(A1866 , ""tr"" , ""en"")"),"Normally the solution is this: mask + social distance. Do you think it is better to comply with the rules and keep the layout of life close to the normal? Let's review our preference. https://t.co/kyxQI9lnux")</f>
        <v>Normally the solution is this: mask + social distance. Do you think it is better to comply with the rules and keep the layout of life close to the normal? Let's review our preference. https://t.co/kyxQI9lnux</v>
      </c>
    </row>
    <row r="1867" spans="1:5" ht="15.75" customHeight="1" x14ac:dyDescent="0.25">
      <c r="A1867" s="1" t="s">
        <v>3733</v>
      </c>
      <c r="B1867" s="1">
        <v>5279</v>
      </c>
      <c r="C1867" s="3">
        <v>44150.459861111114</v>
      </c>
      <c r="D1867" s="1" t="s">
        <v>3734</v>
      </c>
      <c r="E1867" s="4" t="str">
        <f ca="1">IFERROR(__xludf.DUMMYFUNCTION("GOOGLETRANSLATE(A1867 , ""tr"" , ""en"")"),"Let's get help from technology to protect our loved ones from risk. Face-to-face interview is also possible by phone. Instead of visiting our elders, we often call. Even if it is not an interview, maybe both pass through a visit. Remember: The big ones al"&amp;"ways appreciate the wake up the rules. https://t.co/bc3ajb9cxw")</f>
        <v>Let's get help from technology to protect our loved ones from risk. Face-to-face interview is also possible by phone. Instead of visiting our elders, we often call. Even if it is not an interview, maybe both pass through a visit. Remember: The big ones always appreciate the wake up the rules. https://t.co/bc3ajb9cxw</v>
      </c>
    </row>
    <row r="1868" spans="1:5" ht="15.75" customHeight="1" x14ac:dyDescent="0.25">
      <c r="A1868" s="1" t="s">
        <v>3735</v>
      </c>
      <c r="B1868" s="1">
        <v>13049</v>
      </c>
      <c r="C1868" s="3">
        <v>44150.408425925925</v>
      </c>
      <c r="D1868" s="1" t="s">
        <v>3736</v>
      </c>
      <c r="E1868" s="4" t="str">
        <f ca="1">IFERROR(__xludf.DUMMYFUNCTION("GOOGLETRANSLATE(A1868 , ""tr"" , ""en"")"),"Today is Sunday. Spend time with your family in your home. Do not risk at the spaces you will share with others. If you don't have a necessity of this! Against the risk of increasing COVID-19, the only place where the rules are invalid. Thank you very muc"&amp;"h to those who say our free market. https://t.co/ua14xqtkxs")</f>
        <v>Today is Sunday. Spend time with your family in your home. Do not risk at the spaces you will share with others. If you don't have a necessity of this! Against the risk of increasing COVID-19, the only place where the rules are invalid. Thank you very much to those who say our free market. https://t.co/ua14xqtkxs</v>
      </c>
    </row>
    <row r="1869" spans="1:5" ht="15.75" customHeight="1" x14ac:dyDescent="0.25">
      <c r="A1869" s="1" t="s">
        <v>3737</v>
      </c>
      <c r="B1869" s="1">
        <v>7536</v>
      </c>
      <c r="C1869" s="3">
        <v>44150.348252314812</v>
      </c>
      <c r="D1869" s="1" t="s">
        <v>3738</v>
      </c>
      <c r="E1869" s="4" t="str">
        <f ca="1">IFERROR(__xludf.DUMMYFUNCTION("GOOGLETRANSLATE(A1869 , ""tr"" , ""en"")"),"The protection of the mask depends on the completely shutdown of the mouth and nose. Direct contact with air should be prevented. For example, if the nose is left on, it is possible to intensively expose the virus. The disease becomes heavy as the virus l"&amp;"oad increases. Take full advantage of your mask. Cut the front of the disease. https://t.co/tceoagd3jo")</f>
        <v>The protection of the mask depends on the completely shutdown of the mouth and nose. Direct contact with air should be prevented. For example, if the nose is left on, it is possible to intensively expose the virus. The disease becomes heavy as the virus load increases. Take full advantage of your mask. Cut the front of the disease. https://t.co/tceoagd3jo</v>
      </c>
    </row>
    <row r="1870" spans="1:5" ht="15.75" customHeight="1" x14ac:dyDescent="0.25">
      <c r="A1870" s="1" t="s">
        <v>3739</v>
      </c>
      <c r="B1870" s="1">
        <v>8700</v>
      </c>
      <c r="C1870" s="3">
        <v>44150.34039351852</v>
      </c>
      <c r="D1870" s="1" t="s">
        <v>3740</v>
      </c>
      <c r="E1870" s="4" t="str">
        <f ca="1">IFERROR(__xludf.DUMMYFUNCTION("GOOGLETRANSLATE(A1870 , ""tr"" , ""en"")"),"The downloaded mask to the bottom of the nose does not have a difference from half-cut mask. If you wear your mask on your nose, you have used one half. The coronavirus is more than the mouth, it is infected by breathing and breathing. Use your mask to pr"&amp;"otect you. https://t.co/wqlvdfjolr")</f>
        <v>The downloaded mask to the bottom of the nose does not have a difference from half-cut mask. If you wear your mask on your nose, you have used one half. The coronavirus is more than the mouth, it is infected by breathing and breathing. Use your mask to protect you. https://t.co/wqlvdfjolr</v>
      </c>
    </row>
    <row r="1871" spans="1:5" ht="15.75" customHeight="1" x14ac:dyDescent="0.25">
      <c r="A1871" s="1" t="s">
        <v>3741</v>
      </c>
      <c r="B1871" s="1">
        <v>6284</v>
      </c>
      <c r="C1871" s="3">
        <v>44149.80400462963</v>
      </c>
      <c r="D1871" s="1" t="s">
        <v>3742</v>
      </c>
      <c r="E1871" s="4" t="str">
        <f ca="1">IFERROR(__xludf.DUMMYFUNCTION("GOOGLETRANSLATE(A1871 , ""tr"" , ""en"")"),"Let's get help from technology to protect our loved ones from risk. Face-to-face interview is also possible by phone. Instead of visiting our elders, we often call. Even if it is not an interview, maybe both pass through a visit. Remember: The big ones al"&amp;"ways appreciate the wake up the rules. https://t.co/coknp6hdmj")</f>
        <v>Let's get help from technology to protect our loved ones from risk. Face-to-face interview is also possible by phone. Instead of visiting our elders, we often call. Even if it is not an interview, maybe both pass through a visit. Remember: The big ones always appreciate the wake up the rules. https://t.co/coknp6hdmj</v>
      </c>
    </row>
    <row r="1872" spans="1:5" ht="15.75" customHeight="1" x14ac:dyDescent="0.25">
      <c r="A1872" s="1" t="s">
        <v>3743</v>
      </c>
      <c r="B1872" s="1">
        <v>6723</v>
      </c>
      <c r="C1872" s="3">
        <v>44149.803437499999</v>
      </c>
      <c r="D1872" s="1" t="s">
        <v>3744</v>
      </c>
      <c r="E1872" s="4" t="str">
        <f ca="1">IFERROR(__xludf.DUMMYFUNCTION("GOOGLETRANSLATE(A1872 , ""tr"" , ""en"")"),"Let's get help from technology to protect our loved ones from risk. Face-to-face interview is also possible by phone. Instead of visiting our elders, we often call. Even if it is not an interview, maybe both pass through a visit. Remember: The big ones al"&amp;"ways appreciate the wake up the rules. https://t.co/eqhmcmrh5n")</f>
        <v>Let's get help from technology to protect our loved ones from risk. Face-to-face interview is also possible by phone. Instead of visiting our elders, we often call. Even if it is not an interview, maybe both pass through a visit. Remember: The big ones always appreciate the wake up the rules. https://t.co/eqhmcmrh5n</v>
      </c>
    </row>
    <row r="1873" spans="1:5" ht="15.75" customHeight="1" x14ac:dyDescent="0.25">
      <c r="A1873" s="1" t="s">
        <v>3745</v>
      </c>
      <c r="B1873" s="1">
        <v>19135</v>
      </c>
      <c r="C1873" s="3">
        <v>44149.783020833333</v>
      </c>
      <c r="D1873" s="1" t="s">
        <v>3746</v>
      </c>
      <c r="E1873" s="4" t="str">
        <f ca="1">IFERROR(__xludf.DUMMYFUNCTION("GOOGLETRANSLATE(A1873 , ""tr"" , ""en"")"),"Tomorrow is Sunday. Spend time with your family in your home. Do not risk at the spaces you will share with others. If you don't have a necessity of this! Against the risk of increasing COVID-19, the only place where the rules are invalid. Thank you very "&amp;"much more than this evening to spend the day at home. https://t.co/rn5amenI5f")</f>
        <v>Tomorrow is Sunday. Spend time with your family in your home. Do not risk at the spaces you will share with others. If you don't have a necessity of this! Against the risk of increasing COVID-19, the only place where the rules are invalid. Thank you very much more than this evening to spend the day at home. https://t.co/rn5amenI5f</v>
      </c>
    </row>
    <row r="1874" spans="1:5" ht="15.75" customHeight="1" x14ac:dyDescent="0.25">
      <c r="A1874" s="1" t="s">
        <v>3747</v>
      </c>
      <c r="B1874" s="1">
        <v>19371</v>
      </c>
      <c r="C1874" s="3">
        <v>44149.762604166666</v>
      </c>
      <c r="D1874" s="1" t="s">
        <v>3748</v>
      </c>
      <c r="E1874" s="4" t="str">
        <f ca="1">IFERROR(__xludf.DUMMYFUNCTION("GOOGLETRANSLATE(A1874 , ""tr"" , ""en"")"),"A new one of the violence against health workers has been experienced last night in the University Faculty of Medicine in Cebeci Hospital. The aggressors were relatives of a patient removed to the child intensive care service. They will account in court. "&amp;"But there will be no response to their children.")</f>
        <v>A new one of the violence against health workers has been experienced last night in the University Faculty of Medicine in Cebeci Hospital. The aggressors were relatives of a patient removed to the child intensive care service. They will account in court. But there will be no response to their children.</v>
      </c>
    </row>
    <row r="1875" spans="1:5" ht="15.75" customHeight="1" x14ac:dyDescent="0.25">
      <c r="A1875" s="1" t="s">
        <v>3749</v>
      </c>
      <c r="B1875" s="1">
        <v>8070</v>
      </c>
      <c r="C1875" s="3">
        <v>44149.717418981483</v>
      </c>
      <c r="D1875" s="1" t="s">
        <v>3750</v>
      </c>
      <c r="E1875" s="4" t="str">
        <f ca="1">IFERROR(__xludf.DUMMYFUNCTION("GOOGLETRANSLATE(A1875 , ""tr"" , ""en"")"),"Last Status meeting in Istanbul: At the meeting in Basakşehir Pine and Sakura City Hospital, in the meeting with the participation of the provincial health managers and the participation of ventures, we addressed our increasing patient load, contact track"&amp;"ing, inevitably visible measures and new strategy. https://t.co/osbt95ktsp")</f>
        <v>Last Status meeting in Istanbul: At the meeting in Basakşehir Pine and Sakura City Hospital, in the meeting with the participation of the provincial health managers and the participation of ventures, we addressed our increasing patient load, contact tracking, inevitably visible measures and new strategy. https://t.co/osbt95ktsp</v>
      </c>
    </row>
    <row r="1876" spans="1:5" ht="15.75" customHeight="1" x14ac:dyDescent="0.25">
      <c r="A1876" s="1" t="s">
        <v>3751</v>
      </c>
      <c r="B1876" s="1">
        <v>15964</v>
      </c>
      <c r="C1876" s="3">
        <v>44149.673495370371</v>
      </c>
      <c r="D1876" s="1" t="s">
        <v>3752</v>
      </c>
      <c r="E1876" s="4" t="str">
        <f ca="1">IFERROR(__xludf.DUMMYFUNCTION("GOOGLETRANSLATE(A1876 , ""tr"" , ""en"")"),"We have 3,116 new patients identified today. Our severe patient count is increasing. The load on the shoulder of our hospital load and health workers is increasing. We have to comply with the measures to keep the current patient burden on the portable lev"&amp;"el. The troop is strength to struggle. https://t.co/rvlhe7786o")</f>
        <v>We have 3,116 new patients identified today. Our severe patient count is increasing. The load on the shoulder of our hospital load and health workers is increasing. We have to comply with the measures to keep the current patient burden on the portable level. The troop is strength to struggle. https://t.co/rvlhe7786o</v>
      </c>
    </row>
    <row r="1877" spans="1:5" ht="15.75" customHeight="1" x14ac:dyDescent="0.25">
      <c r="A1877" s="1" t="s">
        <v>3753</v>
      </c>
      <c r="B1877" s="1">
        <v>6967</v>
      </c>
      <c r="C1877" s="3">
        <v>44149.615706018521</v>
      </c>
      <c r="D1877" s="1" t="s">
        <v>3754</v>
      </c>
      <c r="E1877" s="4" t="str">
        <f ca="1">IFERROR(__xludf.DUMMYFUNCTION("GOOGLETRANSLATE(A1877 , ""tr"" , ""en"")"),"The protection of the mask depends on the completely shutdown of the mouth and nose. Direct contact with air should be prevented. For example, if the nose is left on, it is possible to intensively expose the virus. The disease becomes heavy as the virus l"&amp;"oad increases. Full injury from your mask. Cut the front of the disease. https://t.co/e3f5tljzas")</f>
        <v>The protection of the mask depends on the completely shutdown of the mouth and nose. Direct contact with air should be prevented. For example, if the nose is left on, it is possible to intensively expose the virus. The disease becomes heavy as the virus load increases. Full injury from your mask. Cut the front of the disease. https://t.co/e3f5tljzas</v>
      </c>
    </row>
    <row r="1878" spans="1:5" ht="15.75" customHeight="1" x14ac:dyDescent="0.25">
      <c r="A1878" s="1" t="s">
        <v>3755</v>
      </c>
      <c r="B1878" s="1">
        <v>8013</v>
      </c>
      <c r="C1878" s="3">
        <v>44149.615219907406</v>
      </c>
      <c r="D1878" s="1" t="s">
        <v>3756</v>
      </c>
      <c r="E1878" s="4" t="str">
        <f ca="1">IFERROR(__xludf.DUMMYFUNCTION("GOOGLETRANSLATE(A1878 , ""tr"" , ""en"")"),"The protection of the mask depends on the completely shutdown of the mouth and nose. Direct contact with air should be prevented. For example, if the nose is left on, it is possible to intensively expose the virus. The disease becomes heavy as the virus l"&amp;"oad increases. Full injury from your mask. Cut the front of the disease. https://t.co/jvudmf8cyc")</f>
        <v>The protection of the mask depends on the completely shutdown of the mouth and nose. Direct contact with air should be prevented. For example, if the nose is left on, it is possible to intensively expose the virus. The disease becomes heavy as the virus load increases. Full injury from your mask. Cut the front of the disease. https://t.co/jvudmf8cyc</v>
      </c>
    </row>
    <row r="1879" spans="1:5" ht="15.75" customHeight="1" x14ac:dyDescent="0.25">
      <c r="A1879" s="1" t="s">
        <v>3757</v>
      </c>
      <c r="B1879" s="1">
        <v>10364</v>
      </c>
      <c r="C1879" s="3">
        <v>44149.380787037036</v>
      </c>
      <c r="D1879" s="1" t="s">
        <v>3758</v>
      </c>
      <c r="E1879" s="4" t="str">
        <f ca="1">IFERROR(__xludf.DUMMYFUNCTION("GOOGLETRANSLATE(A1879 , ""tr"" , ""en"")"),"The downloaded mask to the bottom of the nose does not have a difference from half-cut mask. If you wear your mask on your nose, you have used one half. The coronavirus is more than the mouth, it is infected by breathing and breathing. Use your mask to pr"&amp;"otect you. https://t.co/143ht7wmg7")</f>
        <v>The downloaded mask to the bottom of the nose does not have a difference from half-cut mask. If you wear your mask on your nose, you have used one half. The coronavirus is more than the mouth, it is infected by breathing and breathing. Use your mask to protect you. https://t.co/143ht7wmg7</v>
      </c>
    </row>
    <row r="1880" spans="1:5" ht="15.75" customHeight="1" x14ac:dyDescent="0.25">
      <c r="A1880" s="1" t="s">
        <v>3759</v>
      </c>
      <c r="B1880" s="1">
        <v>6033</v>
      </c>
      <c r="C1880" s="3">
        <v>44149.362129629626</v>
      </c>
      <c r="D1880" s="1" t="s">
        <v>3760</v>
      </c>
      <c r="E1880" s="4" t="str">
        <f ca="1">IFERROR(__xludf.DUMMYFUNCTION("GOOGLETRANSLATE(A1880 , ""tr"" , ""en"")"),"Tekirdağ is not the Tekirdag on Nov. 12! Dr. Ismail Fehmi Cumalıoğlu City Hospital opened in November 13th. Our hospital with high bed and intensive care capacity will be a turning point in health services for the provinces of Tekirdağ and Environment. Be"&amp;" once again auspicious. https://t.co/smyapms95s")</f>
        <v>Tekirdağ is not the Tekirdag on Nov. 12! Dr. Ismail Fehmi Cumalıoğlu City Hospital opened in November 13th. Our hospital with high bed and intensive care capacity will be a turning point in health services for the provinces of Tekirdağ and Environment. Be once again auspicious. https://t.co/smyapms95s</v>
      </c>
    </row>
    <row r="1881" spans="1:5" ht="15.75" customHeight="1" x14ac:dyDescent="0.25">
      <c r="A1881" s="1" t="s">
        <v>3761</v>
      </c>
      <c r="B1881" s="1">
        <v>9982</v>
      </c>
      <c r="C1881" s="3">
        <v>44148.832986111112</v>
      </c>
      <c r="D1881" s="1" t="s">
        <v>3762</v>
      </c>
      <c r="E1881" s="4" t="str">
        <f ca="1">IFERROR(__xludf.DUMMYFUNCTION("GOOGLETRANSLATE(A1881 , ""tr"" , ""en"")"),"Today, if we do not put the distance to our old normal, you can enter the distances that will never turn off with our loved ones tomorrow. To comply with the rules of the mask, distance and cleaning, ourselves is our conscientious responsibility against o"&amp;"ur loved ones and our country. This is the assurance of our health and social life. https://t.co/pghyhmdsrz")</f>
        <v>Today, if we do not put the distance to our old normal, you can enter the distances that will never turn off with our loved ones tomorrow. To comply with the rules of the mask, distance and cleaning, ourselves is our conscientious responsibility against our loved ones and our country. This is the assurance of our health and social life. https://t.co/pghyhmdsrz</v>
      </c>
    </row>
    <row r="1882" spans="1:5" ht="15.75" customHeight="1" x14ac:dyDescent="0.25">
      <c r="A1882" s="1" t="s">
        <v>3763</v>
      </c>
      <c r="B1882" s="1">
        <v>8770</v>
      </c>
      <c r="C1882" s="3">
        <v>44148.790532407409</v>
      </c>
      <c r="D1882" s="1" t="s">
        <v>3764</v>
      </c>
      <c r="E1882" s="4" t="str">
        <f ca="1">IFERROR(__xludf.DUMMYFUNCTION("GOOGLETRANSLATE(A1882 , ""tr"" , ""en"")"),"Today, if we do not put the distance to our old normal, you can enter the distances that will never turn off with our loved ones tomorrow. To comply with the rules of the mask, distance and cleaning, ourselves is our conscientious responsibility against o"&amp;"ur loved ones and our country. This is the assurance of our health and social life. https://t.co/qls9seuxvy")</f>
        <v>Today, if we do not put the distance to our old normal, you can enter the distances that will never turn off with our loved ones tomorrow. To comply with the rules of the mask, distance and cleaning, ourselves is our conscientious responsibility against our loved ones and our country. This is the assurance of our health and social life. https://t.co/qls9seuxvy</v>
      </c>
    </row>
    <row r="1883" spans="1:5" ht="15.75" customHeight="1" x14ac:dyDescent="0.25">
      <c r="A1883" s="1" t="s">
        <v>3765</v>
      </c>
      <c r="B1883" s="1">
        <v>23145</v>
      </c>
      <c r="C1883" s="3">
        <v>44148.687789351854</v>
      </c>
      <c r="D1883" s="1" t="s">
        <v>3766</v>
      </c>
      <c r="E1883" s="4" t="str">
        <f ca="1">IFERROR(__xludf.DUMMYFUNCTION("GOOGLETRANSLATE(A1883 , ""tr"" , ""en"")"),"The new number of patients identified today is more than 3,000. Our severe patients are also increasing our losses. Most important tool that reduces the virus load. Power to fight against measures. https://t.co/rvlhe7786o")</f>
        <v>The new number of patients identified today is more than 3,000. Our severe patients are also increasing our losses. Most important tool that reduces the virus load. Power to fight against measures. https://t.co/rvlhe7786o</v>
      </c>
    </row>
    <row r="1884" spans="1:5" ht="15.75" customHeight="1" x14ac:dyDescent="0.25">
      <c r="A1884" s="1" t="s">
        <v>3767</v>
      </c>
      <c r="B1884" s="1">
        <v>8089</v>
      </c>
      <c r="C1884" s="3">
        <v>44148.594513888886</v>
      </c>
      <c r="D1884" s="1" t="s">
        <v>3768</v>
      </c>
      <c r="E1884" s="4" t="str">
        <f ca="1">IFERROR(__xludf.DUMMYFUNCTION("GOOGLETRANSLATE(A1884 , ""tr"" , ""en"")"),"Tekirdag Dr. Ismail Fehmi Cumalioğlu City Hospital opened. Hospital with high bed and intensive care capacity was strengthened with seismic insulators against the risk of earthquake. With the Tekirdag with qualified human resources and modern sub-structur"&amp;"e, it will also serve our surroundings. https://t.co/ncuucdij4v")</f>
        <v>Tekirdag Dr. Ismail Fehmi Cumalioğlu City Hospital opened. Hospital with high bed and intensive care capacity was strengthened with seismic insulators against the risk of earthquake. With the Tekirdag with qualified human resources and modern sub-structure, it will also serve our surroundings. https://t.co/ncuucdij4v</v>
      </c>
    </row>
    <row r="1885" spans="1:5" ht="15.75" customHeight="1" x14ac:dyDescent="0.25">
      <c r="A1885" s="1" t="s">
        <v>3769</v>
      </c>
      <c r="B1885" s="1">
        <v>0</v>
      </c>
      <c r="C1885" s="3">
        <v>44148.577268518522</v>
      </c>
      <c r="D1885" s="1" t="s">
        <v>3770</v>
      </c>
      <c r="E1885" s="4" t="str">
        <f ca="1">IFERROR(__xludf.DUMMYFUNCTION("GOOGLETRANSLATE(A1885 , ""tr"" , ""en"")"),"RT @rterdogan: Tekirdag İsmail Fehmi Cumalioğlu City Hospital, a giant health facility to serve Trakya region, the opening of our hospital ...")</f>
        <v>RT @rterdogan: Tekirdag İsmail Fehmi Cumalioğlu City Hospital, a giant health facility to serve Trakya region, the opening of our hospital ...</v>
      </c>
    </row>
    <row r="1886" spans="1:5" ht="15.75" customHeight="1" x14ac:dyDescent="0.25">
      <c r="A1886" s="1" t="s">
        <v>3771</v>
      </c>
      <c r="B1886" s="1">
        <v>19588</v>
      </c>
      <c r="C1886" s="3">
        <v>44148.378865740742</v>
      </c>
      <c r="D1886" s="1" t="s">
        <v>3772</v>
      </c>
      <c r="E1886" s="4" t="str">
        <f ca="1">IFERROR(__xludf.DUMMYFUNCTION("GOOGLETRANSLATE(A1886 , ""tr"" , ""en"")"),"We missed the days we freely breathe. Mask will have recently been out of our lives. COVID-19 There are great progress in vaccination studies. Let's wait for the result. Apart from our house, let's fit our mask in accordance with our mask everywhere we ar"&amp;"e with others. For your patience: Right. https://t.co/g7aoqbpqhz")</f>
        <v>We missed the days we freely breathe. Mask will have recently been out of our lives. COVID-19 There are great progress in vaccination studies. Let's wait for the result. Apart from our house, let's fit our mask in accordance with our mask everywhere we are with others. For your patience: Right. https://t.co/g7aoqbpqhz</v>
      </c>
    </row>
    <row r="1887" spans="1:5" ht="15.75" customHeight="1" x14ac:dyDescent="0.25">
      <c r="A1887" s="1" t="s">
        <v>3773</v>
      </c>
      <c r="B1887" s="1">
        <v>34184</v>
      </c>
      <c r="C1887" s="3">
        <v>44148.295162037037</v>
      </c>
      <c r="D1887" s="1" t="s">
        <v>3774</v>
      </c>
      <c r="E1887" s="4" t="str">
        <f ca="1">IFERROR(__xludf.DUMMYFUNCTION("GOOGLETRANSLATE(A1887 , ""tr"" , ""en"")"),"We missed the days we freely breathe. Mask will have recently been out of our lives. COVID-19 There are great progress in vaccination studies. Let's wait for the result. Apart from our house, let's fit our mask in accordance with our mask everywhere we ar"&amp;"e with others. For your patience: Right. https://t.co/wbzuyj8enc")</f>
        <v>We missed the days we freely breathe. Mask will have recently been out of our lives. COVID-19 There are great progress in vaccination studies. Let's wait for the result. Apart from our house, let's fit our mask in accordance with our mask everywhere we are with others. For your patience: Right. https://t.co/wbzuyj8enc</v>
      </c>
    </row>
    <row r="1888" spans="1:5" ht="15.75" customHeight="1" x14ac:dyDescent="0.25">
      <c r="A1888" s="1" t="s">
        <v>3775</v>
      </c>
      <c r="B1888" s="1">
        <v>7511</v>
      </c>
      <c r="C1888" s="3">
        <v>44147.832060185188</v>
      </c>
      <c r="D1888" s="1" t="s">
        <v>3776</v>
      </c>
      <c r="E1888" s="4" t="str">
        <f ca="1">IFERROR(__xludf.DUMMYFUNCTION("GOOGLETRANSLATE(A1888 , ""tr"" , ""en"")"),"Today, if we do not put the distance to our old normal, you can enter the distances that will never turn off with our loved ones tomorrow. To comply with the rules of the mask, distance and cleaning, ourselves is our conscientious responsibility against o"&amp;"ur loved ones and our country. This is the assurance of our health and social life. https://t.co/7w3yobtpje")</f>
        <v>Today, if we do not put the distance to our old normal, you can enter the distances that will never turn off with our loved ones tomorrow. To comply with the rules of the mask, distance and cleaning, ourselves is our conscientious responsibility against our loved ones and our country. This is the assurance of our health and social life. https://t.co/7w3yobtpje</v>
      </c>
    </row>
    <row r="1889" spans="1:5" ht="15.75" customHeight="1" x14ac:dyDescent="0.25">
      <c r="A1889" s="1" t="s">
        <v>3777</v>
      </c>
      <c r="B1889" s="1">
        <v>7720</v>
      </c>
      <c r="C1889" s="3">
        <v>44147.783726851849</v>
      </c>
      <c r="D1889" s="1" t="s">
        <v>3778</v>
      </c>
      <c r="E1889" s="4" t="str">
        <f ca="1">IFERROR(__xludf.DUMMYFUNCTION("GOOGLETRANSLATE(A1889 , ""tr"" , ""en"")"),"Today, if we do not put the distance to our old normal, you can enter the distances that will never turn off with our loved ones tomorrow. To comply with the rules of the mask, distance and cleaning, ourselves is our conscientious responsibility against o"&amp;"ur loved ones and our country. This is the assurance of our health and social life. https://t.co/d5ss18ndduo")</f>
        <v>Today, if we do not put the distance to our old normal, you can enter the distances that will never turn off with our loved ones tomorrow. To comply with the rules of the mask, distance and cleaning, ourselves is our conscientious responsibility against our loved ones and our country. This is the assurance of our health and social life. https://t.co/d5ss18ndduo</v>
      </c>
    </row>
    <row r="1890" spans="1:5" ht="15.75" customHeight="1" x14ac:dyDescent="0.25">
      <c r="A1890" s="1" t="s">
        <v>3779</v>
      </c>
      <c r="B1890" s="1">
        <v>11677</v>
      </c>
      <c r="C1890" s="3">
        <v>44147.755127314813</v>
      </c>
      <c r="D1890" s="1" t="s">
        <v>3780</v>
      </c>
      <c r="E1890" s="4" t="str">
        <f ca="1">IFERROR(__xludf.DUMMYFUNCTION("GOOGLETRANSLATE(A1890 , ""tr"" , ""en"")"),"The pneumonious lungs are filled with inflammatory liquid. Choronavirus, including virus, bacteria, rarely occurs as a result of reaching the lungs of fungal-origin infections. Pneumonia is contagious, can lead to death. Freely breathe and know the value "&amp;"of healthy life. https://t.co/ejnqe2iyua")</f>
        <v>The pneumonious lungs are filled with inflammatory liquid. Choronavirus, including virus, bacteria, rarely occurs as a result of reaching the lungs of fungal-origin infections. Pneumonia is contagious, can lead to death. Freely breathe and know the value of healthy life. https://t.co/ejnqe2iyua</v>
      </c>
    </row>
    <row r="1891" spans="1:5" ht="15.75" customHeight="1" x14ac:dyDescent="0.25">
      <c r="A1891" s="1" t="s">
        <v>3781</v>
      </c>
      <c r="B1891" s="1">
        <v>12361</v>
      </c>
      <c r="C1891" s="3">
        <v>44147.732222222221</v>
      </c>
      <c r="D1891" s="1" t="s">
        <v>3782</v>
      </c>
      <c r="E1891" s="4" t="str">
        <f ca="1">IFERROR(__xludf.DUMMYFUNCTION("GOOGLETRANSLATE(A1891 , ""tr"" , ""en"")"),"Tekirdag City Hospital is opening tomorrow. Opening, sec. Will take place with the participation of our president. Our hospital with high bed and intensive care capacity was strengthened with seismic insulators against the risk of earthquake. The second p"&amp;"hase will turn into a giant health campus of 158,000 m². https://t.co/hkncmzcuhs")</f>
        <v>Tekirdag City Hospital is opening tomorrow. Opening, sec. Will take place with the participation of our president. Our hospital with high bed and intensive care capacity was strengthened with seismic insulators against the risk of earthquake. The second phase will turn into a giant health campus of 158,000 m². https://t.co/hkncmzcuhs</v>
      </c>
    </row>
    <row r="1892" spans="1:5" ht="15.75" customHeight="1" x14ac:dyDescent="0.25">
      <c r="A1892" s="1" t="s">
        <v>3783</v>
      </c>
      <c r="B1892" s="1">
        <v>15104</v>
      </c>
      <c r="C1892" s="3">
        <v>44147.689687500002</v>
      </c>
      <c r="D1892" s="1" t="s">
        <v>3784</v>
      </c>
      <c r="E1892" s="4" t="str">
        <f ca="1">IFERROR(__xludf.DUMMYFUNCTION("GOOGLETRANSLATE(A1892 , ""tr"" , ""en"")"),"We have 2,841 new patients identified today. The increase in severe patients continues. It is to comply with measures by reducing mobility and contact to reduce the increasing patients. Let's drop the burden of virus with mask. https://t.co/rvlhe7786o")</f>
        <v>We have 2,841 new patients identified today. The increase in severe patients continues. It is to comply with measures by reducing mobility and contact to reduce the increasing patients. Let's drop the burden of virus with mask. https://t.co/rvlhe7786o</v>
      </c>
    </row>
    <row r="1893" spans="1:5" ht="15.75" customHeight="1" x14ac:dyDescent="0.25">
      <c r="A1893" s="1" t="s">
        <v>3785</v>
      </c>
      <c r="B1893" s="1">
        <v>29467</v>
      </c>
      <c r="C1893" s="3">
        <v>44147.615439814814</v>
      </c>
      <c r="D1893" s="1" t="s">
        <v>3786</v>
      </c>
      <c r="E1893" s="4" t="str">
        <f ca="1">IFERROR(__xludf.DUMMYFUNCTION("GOOGLETRANSLATE(A1893 , ""tr"" , ""en"")"),"PROF. Dr. I made a phone call with Uğur Sahin. Professor Hawk has developed a vaccine that arises interest in COVID-19 against COVID-19, in Biontech, in Germany, Özlem Tereci. We addressed this development in the interview. We were in communication in the"&amp;" process as the Ministry. https://t.co/fobsnzfdnb")</f>
        <v>PROF. Dr. I made a phone call with Uğur Sahin. Professor Hawk has developed a vaccine that arises interest in COVID-19 against COVID-19, in Biontech, in Germany, Özlem Tereci. We addressed this development in the interview. We were in communication in the process as the Ministry. https://t.co/fobsnzfdnb</v>
      </c>
    </row>
    <row r="1894" spans="1:5" ht="15.75" customHeight="1" x14ac:dyDescent="0.25">
      <c r="A1894" s="1" t="s">
        <v>3787</v>
      </c>
      <c r="B1894" s="1">
        <v>5006</v>
      </c>
      <c r="C1894" s="3">
        <v>44146.794768518521</v>
      </c>
      <c r="D1894" s="1" t="s">
        <v>3788</v>
      </c>
      <c r="E1894" s="4" t="str">
        <f ca="1">IFERROR(__xludf.DUMMYFUNCTION("GOOGLETRANSLATE(A1894 , ""tr"" , ""en"")"),"We have joined the HIMSS 20 Eurasia Health Cognition and Technologies Conference to the opening of the video conference method. In our conversation, we stood on the medical technology that our greatest advantage in which the world combined together with t"&amp;"he medical technology we accessed. https://t.co/vrpsyrlc8p")</f>
        <v>We have joined the HIMSS 20 Eurasia Health Cognition and Technologies Conference to the opening of the video conference method. In our conversation, we stood on the medical technology that our greatest advantage in which the world combined together with the medical technology we accessed. https://t.co/vrpsyrlc8p</v>
      </c>
    </row>
    <row r="1895" spans="1:5" ht="15.75" customHeight="1" x14ac:dyDescent="0.25">
      <c r="A1895" s="1" t="s">
        <v>3789</v>
      </c>
      <c r="B1895" s="1">
        <v>8695</v>
      </c>
      <c r="C1895" s="3">
        <v>44146.74695601852</v>
      </c>
      <c r="D1895" s="1" t="s">
        <v>3790</v>
      </c>
      <c r="E1895" s="4" t="str">
        <f ca="1">IFERROR(__xludf.DUMMYFUNCTION("GOOGLETRANSLATE(A1895 , ""tr"" , ""en"")"),"Our proposal for declaring 2021 international health workers was adopted by the World Health Organization. Our suggestion was supported by all Member States on the General Assembly of the World Health Asamble. In the epidemic period, the world owes a lot "&amp;"to health workers. https://t.co/mgh5gyaa7e")</f>
        <v>Our proposal for declaring 2021 international health workers was adopted by the World Health Organization. Our suggestion was supported by all Member States on the General Assembly of the World Health Asamble. In the epidemic period, the world owes a lot to health workers. https://t.co/mgh5gyaa7e</v>
      </c>
    </row>
    <row r="1896" spans="1:5" ht="15.75" customHeight="1" x14ac:dyDescent="0.25">
      <c r="A1896" s="1" t="s">
        <v>3791</v>
      </c>
      <c r="B1896" s="1">
        <v>11625</v>
      </c>
      <c r="C1896" s="3">
        <v>44146.697962962964</v>
      </c>
      <c r="D1896" s="1" t="s">
        <v>3792</v>
      </c>
      <c r="E1896" s="4" t="str">
        <f ca="1">IFERROR(__xludf.DUMMYFUNCTION("GOOGLETRANSLATE(A1896 , ""tr"" , ""en"")"),"We have 2,693 new patients identified today. The fight against epidemics can be carried out in both individual and society. Our Health Employees are working with the power to keep our hospital load on the manageable level. Virus however we can beat togeth"&amp;"er. https://t.co/rvlhe7786o")</f>
        <v>We have 2,693 new patients identified today. The fight against epidemics can be carried out in both individual and society. Our Health Employees are working with the power to keep our hospital load on the manageable level. Virus however we can beat together. https://t.co/rvlhe7786o</v>
      </c>
    </row>
    <row r="1897" spans="1:5" ht="15.75" customHeight="1" x14ac:dyDescent="0.25">
      <c r="A1897" s="1" t="s">
        <v>3793</v>
      </c>
      <c r="B1897" s="1">
        <v>20483</v>
      </c>
      <c r="C1897" s="3">
        <v>44146.542303240742</v>
      </c>
      <c r="D1897" s="1" t="s">
        <v>3794</v>
      </c>
      <c r="E1897" s="4" t="str">
        <f ca="1">IFERROR(__xludf.DUMMYFUNCTION("GOOGLETRANSLATE(A1897 , ""tr"" , ""en"")"),"From you, I just want you to do what you can. Is not more. Take yourself on the mask. Make an effort to abide by the distance rule. The virus is more easily infected by the nose. If the mask is inserted to provide protection, the risk is very reduced.")</f>
        <v>From you, I just want you to do what you can. Is not more. Take yourself on the mask. Make an effort to abide by the distance rule. The virus is more easily infected by the nose. If the mask is inserted to provide protection, the risk is very reduced.</v>
      </c>
    </row>
    <row r="1898" spans="1:5" ht="15.75" customHeight="1" x14ac:dyDescent="0.25">
      <c r="A1898" s="1" t="s">
        <v>3795</v>
      </c>
      <c r="B1898" s="1">
        <v>12431</v>
      </c>
      <c r="C1898" s="3">
        <v>44146.522268518522</v>
      </c>
      <c r="D1898" s="1" t="s">
        <v>3796</v>
      </c>
      <c r="E1898" s="4" t="str">
        <f ca="1">IFERROR(__xludf.DUMMYFUNCTION("GOOGLETRANSLATE(A1898 , ""tr"" , ""en"")"),"Life is hard in the epidemic. The workplaces, transportation, marketplaces, daily life were not planned to be an epidemic in the future. We will give the fight in spite of all the challenges. By doing our best. Let's minimize losses with rules.")</f>
        <v>Life is hard in the epidemic. The workplaces, transportation, marketplaces, daily life were not planned to be an epidemic in the future. We will give the fight in spite of all the challenges. By doing our best. Let's minimize losses with rules.</v>
      </c>
    </row>
    <row r="1899" spans="1:5" ht="15.75" customHeight="1" x14ac:dyDescent="0.25">
      <c r="A1899" s="1" t="s">
        <v>3797</v>
      </c>
      <c r="B1899" s="1">
        <v>0</v>
      </c>
      <c r="C1899" s="3">
        <v>44146.469050925924</v>
      </c>
      <c r="D1899" s="1" t="s">
        <v>3798</v>
      </c>
      <c r="E1899" s="4" t="str">
        <f ca="1">IFERROR(__xludf.DUMMYFUNCTION("GOOGLETRANSLATE(A1899 , ""tr"" , ""en"")"),"RT @rterdogan: AK Party Group Meeting https://t.co/bohlokgfh5")</f>
        <v>RT @rterdogan: AK Party Group Meeting https://t.co/bohlokgfh5</v>
      </c>
    </row>
    <row r="1900" spans="1:5" ht="15.75" customHeight="1" x14ac:dyDescent="0.25">
      <c r="A1900" s="1" t="s">
        <v>3799</v>
      </c>
      <c r="B1900" s="1">
        <v>31460</v>
      </c>
      <c r="C1900" s="3">
        <v>44146.438206018516</v>
      </c>
      <c r="D1900" s="1" t="s">
        <v>3800</v>
      </c>
      <c r="E1900" s="4" t="str">
        <f ca="1">IFERROR(__xludf.DUMMYFUNCTION("GOOGLETRANSLATE(A1900 , ""tr"" , ""en"")"),"Currently, many people with a carrier are not complying with the rules, the virus is infecting to others.")</f>
        <v>Currently, many people with a carrier are not complying with the rules, the virus is infecting to others.</v>
      </c>
    </row>
    <row r="1901" spans="1:5" ht="15.75" customHeight="1" x14ac:dyDescent="0.25">
      <c r="A1901" s="1" t="s">
        <v>3801</v>
      </c>
      <c r="B1901" s="1">
        <v>51670</v>
      </c>
      <c r="C1901" s="3">
        <v>44146.423113425924</v>
      </c>
      <c r="D1901" s="1" t="s">
        <v>3802</v>
      </c>
      <c r="E1901" s="4" t="str">
        <f ca="1">IFERROR(__xludf.DUMMYFUNCTION("GOOGLETRANSLATE(A1901 , ""tr"" , ""en"")"),"Currently, so many people will be COVID-19 patients in several days because they do not comply with the rules.")</f>
        <v>Currently, so many people will be COVID-19 patients in several days because they do not comply with the rules.</v>
      </c>
    </row>
    <row r="1902" spans="1:5" ht="15.75" customHeight="1" x14ac:dyDescent="0.25">
      <c r="A1902" s="1" t="s">
        <v>3803</v>
      </c>
      <c r="B1902" s="1">
        <v>12787</v>
      </c>
      <c r="C1902" s="3">
        <v>44145.803101851852</v>
      </c>
      <c r="D1902" s="1" t="s">
        <v>3804</v>
      </c>
      <c r="E1902" s="4" t="str">
        <f ca="1">IFERROR(__xludf.DUMMYFUNCTION("GOOGLETRANSLATE(A1902 , ""tr"" , ""en"")"),"We have made a phone call with Mikhail Murashko Mr. Mikhail Murashko. COVID-19 Vaccine studies, including the issues we are in the field of health, which we are in the health in the field of health, we exchanged ideas on the international activities.")</f>
        <v>We have made a phone call with Mikhail Murashko Mr. Mikhail Murashko. COVID-19 Vaccine studies, including the issues we are in the field of health, which we are in the health in the field of health, we exchanged ideas on the international activities.</v>
      </c>
    </row>
    <row r="1903" spans="1:5" ht="15.75" customHeight="1" x14ac:dyDescent="0.25">
      <c r="A1903" s="1" t="s">
        <v>3805</v>
      </c>
      <c r="B1903" s="1">
        <v>13352</v>
      </c>
      <c r="C1903" s="3">
        <v>44145.680775462963</v>
      </c>
      <c r="D1903" s="1" t="s">
        <v>3806</v>
      </c>
      <c r="E1903" s="4" t="str">
        <f ca="1">IFERROR(__xludf.DUMMYFUNCTION("GOOGLETRANSLATE(A1903 , ""tr"" , ""en"")"),"We have 2,529 new patients identified today. Our severe patient number has passed 3,000. We have to reduce the patient and severe patients in order to reduce our losses. We can only reach the measures by struggling in the Union and Draw. Plug mask https:/"&amp;"/t.co/rvlhe7786o")</f>
        <v>We have 2,529 new patients identified today. Our severe patient number has passed 3,000. We have to reduce the patient and severe patients in order to reduce our losses. We can only reach the measures by struggling in the Union and Draw. Plug mask https://t.co/rvlhe7786o</v>
      </c>
    </row>
    <row r="1904" spans="1:5" ht="15.75" customHeight="1" x14ac:dyDescent="0.25">
      <c r="A1904" s="1" t="s">
        <v>3807</v>
      </c>
      <c r="B1904" s="1">
        <v>33423</v>
      </c>
      <c r="C1904" s="3">
        <v>44145.58388888889</v>
      </c>
      <c r="D1904" s="1" t="s">
        <v>3808</v>
      </c>
      <c r="E1904" s="4" t="str">
        <f ca="1">IFERROR(__xludf.DUMMYFUNCTION("GOOGLETRANSLATE(A1904 , ""tr"" , ""en"")"),"Unity, Draw, Proximity, Social Distance: Completing jointly! When isn't today?")</f>
        <v>Unity, Draw, Proximity, Social Distance: Completing jointly! When isn't today?</v>
      </c>
    </row>
    <row r="1905" spans="1:5" ht="15.75" customHeight="1" x14ac:dyDescent="0.25">
      <c r="A1905" s="1" t="s">
        <v>3809</v>
      </c>
      <c r="B1905" s="1">
        <v>52425</v>
      </c>
      <c r="C1905" s="3">
        <v>44145.358182870368</v>
      </c>
      <c r="D1905" s="1" t="s">
        <v>3810</v>
      </c>
      <c r="E1905" s="4" t="str">
        <f ca="1">IFERROR(__xludf.DUMMYFUNCTION("GOOGLETRANSLATE(A1905 , ""tr"" , ""en"")"),"We lost Gazi Mustafa Kemal Ataturk today 82 years ago. Each generation of our republic was inspired by the national struggle he pioneered. We respect him with respect for solidarity and the soul of draw. https://t.co/qiws01sofI")</f>
        <v>We lost Gazi Mustafa Kemal Ataturk today 82 years ago. Each generation of our republic was inspired by the national struggle he pioneered. We respect him with respect for solidarity and the soul of draw. https://t.co/qiws01sofI</v>
      </c>
    </row>
    <row r="1906" spans="1:5" ht="15.75" customHeight="1" x14ac:dyDescent="0.25">
      <c r="A1906" s="1" t="s">
        <v>3811</v>
      </c>
      <c r="B1906" s="1">
        <v>31507</v>
      </c>
      <c r="C1906" s="3">
        <v>44145.253831018519</v>
      </c>
      <c r="D1906" s="1" t="s">
        <v>3812</v>
      </c>
      <c r="E1906" s="4" t="str">
        <f ca="1">IFERROR(__xludf.DUMMYFUNCTION("GOOGLETRANSLATE(A1906 , ""tr"" , ""en"")"),"We lost Gazi Mustafa Kemal Ataturk today 82 years ago. Each generation of our republic was inspired by the national struggle he pioneered. We respect him with respect for solidarity and the soul of draw. https://t.co/2ec4ts0h2a")</f>
        <v>We lost Gazi Mustafa Kemal Ataturk today 82 years ago. Each generation of our republic was inspired by the national struggle he pioneered. We respect him with respect for solidarity and the soul of draw. https://t.co/2ec4ts0h2a</v>
      </c>
    </row>
    <row r="1907" spans="1:5" ht="15.75" customHeight="1" x14ac:dyDescent="0.25">
      <c r="A1907" s="1" t="s">
        <v>3813</v>
      </c>
      <c r="B1907" s="1">
        <v>16313</v>
      </c>
      <c r="C1907" s="3">
        <v>44145.207881944443</v>
      </c>
      <c r="D1907" s="1" t="s">
        <v>3814</v>
      </c>
      <c r="E1907" s="4" t="str">
        <f ca="1">IFERROR(__xludf.DUMMYFUNCTION("GOOGLETRANSLATE(A1907 , ""tr"" , ""en"")"),"I celebrate the Mr. Lütfi Elvan that is brought to the Treasury and Ministry of Finance. We believe that the experience based on very long will facilitate an even more difficult task in the period we are in. We all need your success. We are happy to have "&amp;"our study-friend.")</f>
        <v>I celebrate the Mr. Lütfi Elvan that is brought to the Treasury and Ministry of Finance. We believe that the experience based on very long will facilitate an even more difficult task in the period we are in. We all need your success. We are happy to have our study-friend.</v>
      </c>
    </row>
    <row r="1908" spans="1:5" ht="15.75" customHeight="1" x14ac:dyDescent="0.25">
      <c r="A1908" s="1" t="s">
        <v>3815</v>
      </c>
      <c r="B1908" s="1">
        <v>23578</v>
      </c>
      <c r="C1908" s="3">
        <v>44144.932523148149</v>
      </c>
      <c r="D1908" s="1" t="s">
        <v>3816</v>
      </c>
      <c r="E1908" s="4" t="str">
        <f ca="1">IFERROR(__xludf.DUMMYFUNCTION("GOOGLETRANSLATE(A1908 , ""tr"" , ""en"")"),"The responsibility of the responsibility, Turkey's self-sufficient to be sufficiently sufficient to be sufficiently employed in the Berat Albayrak, the request was forgiven at the request. My valuable work is no doubt that my friend will continue to be us"&amp;"eful to our nation with its accumulation.")</f>
        <v>The responsibility of the responsibility, Turkey's self-sufficient to be sufficiently sufficient to be sufficiently employed in the Berat Albayrak, the request was forgiven at the request. My valuable work is no doubt that my friend will continue to be useful to our nation with its accumulation.</v>
      </c>
    </row>
    <row r="1909" spans="1:5" ht="15.75" customHeight="1" x14ac:dyDescent="0.25">
      <c r="A1909" s="1" t="s">
        <v>3817</v>
      </c>
      <c r="B1909" s="1">
        <v>8187</v>
      </c>
      <c r="C1909" s="3">
        <v>44144.81559027778</v>
      </c>
      <c r="D1909" s="1" t="s">
        <v>3818</v>
      </c>
      <c r="E1909" s="4" t="str">
        <f ca="1">IFERROR(__xludf.DUMMYFUNCTION("GOOGLETRANSLATE(A1909 , ""tr"" , ""en"")"),"Eskişehir, Bursa, Isparta, Kocaeli, Denizli Provincial Health Directors, we have evaluated the point in the fight against outbreak in these provinces. We addressed the needs, additional measures, current patient charges and capacity against possible devel"&amp;"opments. https://t.co/wxtwqblkjq")</f>
        <v>Eskişehir, Bursa, Isparta, Kocaeli, Denizli Provincial Health Directors, we have evaluated the point in the fight against outbreak in these provinces. We addressed the needs, additional measures, current patient charges and capacity against possible developments. https://t.co/wxtwqblkjq</v>
      </c>
    </row>
    <row r="1910" spans="1:5" ht="15.75" customHeight="1" x14ac:dyDescent="0.25">
      <c r="A1910" s="1" t="s">
        <v>3819</v>
      </c>
      <c r="B1910" s="1">
        <v>17426</v>
      </c>
      <c r="C1910" s="3">
        <v>44144.729837962965</v>
      </c>
      <c r="D1910" s="1" t="s">
        <v>3820</v>
      </c>
      <c r="E1910" s="4" t="str">
        <f ca="1">IFERROR(__xludf.DUMMYFUNCTION("GOOGLETRANSLATE(A1910 , ""tr"" , ""en"")"),"In the environments where you are in combination, the air you breathe may be in addition to the oxygen that we need, as well as a healthy person to seriously ill. Do not take a risk. Use your mask to completely cover the respiratory path. COVID-19 is spre"&amp;"ading.")</f>
        <v>In the environments where you are in combination, the air you breathe may be in addition to the oxygen that we need, as well as a healthy person to seriously ill. Do not take a risk. Use your mask to completely cover the respiratory path. COVID-19 is spreading.</v>
      </c>
    </row>
    <row r="1911" spans="1:5" ht="15.75" customHeight="1" x14ac:dyDescent="0.25">
      <c r="A1911" s="1" t="s">
        <v>3821</v>
      </c>
      <c r="B1911" s="1">
        <v>12197</v>
      </c>
      <c r="C1911" s="3">
        <v>44144.688773148147</v>
      </c>
      <c r="D1911" s="1" t="s">
        <v>3822</v>
      </c>
      <c r="E1911" s="4" t="str">
        <f ca="1">IFERROR(__xludf.DUMMYFUNCTION("GOOGLETRANSLATE(A1911 , ""tr"" , ""en"")"),"We have 2,576 new patients identified today. Our heavy patient number is 127 than yesterday. Our most effective weapon in this period increased by the release rate of the epidemic is to wear a mask to properly cover the mouth and nose. Reduce the burden o"&amp;"f virus by installing your mask towards https://t.co/rvlhe7786o")</f>
        <v>We have 2,576 new patients identified today. Our heavy patient number is 127 than yesterday. Our most effective weapon in this period increased by the release rate of the epidemic is to wear a mask to properly cover the mouth and nose. Reduce the burden of virus by installing your mask towards https://t.co/rvlhe7786o</v>
      </c>
    </row>
    <row r="1912" spans="1:5" ht="15.75" customHeight="1" x14ac:dyDescent="0.25">
      <c r="A1912" s="1" t="s">
        <v>3823</v>
      </c>
      <c r="B1912" s="1">
        <v>9611</v>
      </c>
      <c r="C1912" s="3">
        <v>44144.641562500001</v>
      </c>
      <c r="D1912" s="1" t="s">
        <v>3824</v>
      </c>
      <c r="E1912" s="4" t="str">
        <f ca="1">IFERROR(__xludf.DUMMYFUNCTION("GOOGLETRANSLATE(A1912 , ""tr"" , ""en"")"),"If you cover your mouth, lower the mask under your nose, you are very little protected. Because we usually breathe from the nose, the disease is easily transmitted with the drips loaded in the environment. As the amount of virus you receive will be too mu"&amp;"ch, you live the disease heavier. https://t.co/5q0gcw6hv0")</f>
        <v>If you cover your mouth, lower the mask under your nose, you are very little protected. Because we usually breathe from the nose, the disease is easily transmitted with the drips loaded in the environment. As the amount of virus you receive will be too much, you live the disease heavier. https://t.co/5q0gcw6hv0</v>
      </c>
    </row>
    <row r="1913" spans="1:5" ht="15.75" customHeight="1" x14ac:dyDescent="0.25">
      <c r="A1913" s="1" t="s">
        <v>3825</v>
      </c>
      <c r="B1913" s="1">
        <v>7418</v>
      </c>
      <c r="C1913" s="3">
        <v>44144.61990740741</v>
      </c>
      <c r="D1913" s="1" t="s">
        <v>3826</v>
      </c>
      <c r="E1913" s="4" t="str">
        <f ca="1">IFERROR(__xludf.DUMMYFUNCTION("GOOGLETRANSLATE(A1913 , ""tr"" , ""en"")"),"If you are just covering your mouth and download the mask under your nose, you are very little protected. Since we usually breathe from the nose, the virus installed droplets are easily transmitted to you. The amount of virus you received is too much. Exp"&amp;"erience the disease much heavier. https://t.co/fnegunpzhl")</f>
        <v>If you are just covering your mouth and download the mask under your nose, you are very little protected. Since we usually breathe from the nose, the virus installed droplets are easily transmitted to you. The amount of virus you received is too much. Experience the disease much heavier. https://t.co/fnegunpzhl</v>
      </c>
    </row>
    <row r="1914" spans="1:5" ht="15.75" customHeight="1" x14ac:dyDescent="0.25">
      <c r="A1914" s="1" t="s">
        <v>3827</v>
      </c>
      <c r="B1914" s="1">
        <v>8185</v>
      </c>
      <c r="C1914" s="3">
        <v>44144.615405092591</v>
      </c>
      <c r="D1914" s="1" t="s">
        <v>3828</v>
      </c>
      <c r="E1914" s="4" t="str">
        <f ca="1">IFERROR(__xludf.DUMMYFUNCTION("GOOGLETRANSLATE(A1914 , ""tr"" , ""en"")"),"If you are just covering your mouth and download the mask under your nose, you are very little protected. Since we usually breathe from the nose, the virus installed droplets are easily transmitted to you. The amount of virus you received is too much. Exp"&amp;"erience the disease much heavier. https://t.co/szw7qnfrqf")</f>
        <v>If you are just covering your mouth and download the mask under your nose, you are very little protected. Since we usually breathe from the nose, the virus installed droplets are easily transmitted to you. The amount of virus you received is too much. Experience the disease much heavier. https://t.co/szw7qnfrqf</v>
      </c>
    </row>
    <row r="1915" spans="1:5" ht="15.75" customHeight="1" x14ac:dyDescent="0.25">
      <c r="A1915" s="1" t="s">
        <v>3829</v>
      </c>
      <c r="B1915" s="1">
        <v>13190</v>
      </c>
      <c r="C1915" s="3">
        <v>44143.67560185185</v>
      </c>
      <c r="D1915" s="1" t="s">
        <v>3830</v>
      </c>
      <c r="E1915" s="4" t="str">
        <f ca="1">IFERROR(__xludf.DUMMYFUNCTION("GOOGLETRANSLATE(A1915 , ""tr"" , ""en"")"),"We have 2,516 new patients identified today. Our severe patient count reached 2.740. Today, we had more than 2,000 heals that are discharged. Stay away from crowded environments unless mandatory. Notice the hygiene. Use the mask. https://t.co/rvlhe7786o")</f>
        <v>We have 2,516 new patients identified today. Our severe patient count reached 2.740. Today, we had more than 2,000 heals that are discharged. Stay away from crowded environments unless mandatory. Notice the hygiene. Use the mask. https://t.co/rvlhe7786o</v>
      </c>
    </row>
    <row r="1916" spans="1:5" ht="15.75" customHeight="1" x14ac:dyDescent="0.25">
      <c r="A1916" s="1" t="s">
        <v>3831</v>
      </c>
      <c r="B1916" s="1">
        <v>40110</v>
      </c>
      <c r="C1916" s="3">
        <v>44143.54277777778</v>
      </c>
      <c r="D1916" s="1" t="s">
        <v>3832</v>
      </c>
      <c r="E1916" s="4" t="str">
        <f ca="1">IFERROR(__xludf.DUMMYFUNCTION("GOOGLETRANSLATE(A1916 , ""tr"" , ""en"")"),"There are underestimated areas of COVID-19. The patient is changing this idea ""easy"". It is not possible to not change.")</f>
        <v>There are underestimated areas of COVID-19. The patient is changing this idea "easy". It is not possible to not change.</v>
      </c>
    </row>
    <row r="1917" spans="1:5" ht="15.75" customHeight="1" x14ac:dyDescent="0.2">
      <c r="A1917" s="5" t="s">
        <v>3833</v>
      </c>
      <c r="B1917" s="1">
        <v>12262</v>
      </c>
      <c r="C1917" s="3">
        <v>44143.504918981482</v>
      </c>
      <c r="D1917" s="1" t="s">
        <v>3834</v>
      </c>
      <c r="E1917" s="6" t="str">
        <f ca="1">IFERROR(__xludf.DUMMYFUNCTION("GOOGLETRANSLATE(A1917 , ""tr"" , ""en"")"),"https://t.co/ga4yx99hlh")</f>
        <v>https://t.co/ga4yx99hlh</v>
      </c>
    </row>
    <row r="1918" spans="1:5" ht="15.75" customHeight="1" x14ac:dyDescent="0.2">
      <c r="A1918" s="5" t="s">
        <v>3835</v>
      </c>
      <c r="B1918" s="1">
        <v>12032</v>
      </c>
      <c r="C1918" s="3">
        <v>44143.501388888886</v>
      </c>
      <c r="D1918" s="1" t="s">
        <v>3836</v>
      </c>
      <c r="E1918" s="6" t="str">
        <f ca="1">IFERROR(__xludf.DUMMYFUNCTION("GOOGLETRANSLATE(A1918 , ""tr"" , ""en"")"),"https://t.co/er4nsjurul")</f>
        <v>https://t.co/er4nsjurul</v>
      </c>
    </row>
    <row r="1919" spans="1:5" ht="15.75" customHeight="1" x14ac:dyDescent="0.25">
      <c r="A1919" s="1" t="s">
        <v>3837</v>
      </c>
      <c r="B1919" s="1">
        <v>9029</v>
      </c>
      <c r="C1919" s="3">
        <v>44143.417442129627</v>
      </c>
      <c r="D1919" s="1" t="s">
        <v>3838</v>
      </c>
      <c r="E1919" s="4" t="str">
        <f ca="1">IFERROR(__xludf.DUMMYFUNCTION("GOOGLETRANSLATE(A1919 , ""tr"" , ""en"")"),"WEATHER IS COLD. It protects you from the risk of causing both COVID-19 and the seasonal flu, according to the rule of the mask to close the mouth and nose. Do not wear a mask in sight and leave your nose on an open. Koronavirus has won the clarity that i"&amp;"s infected by nose. https://t.co/8dmz3w9uwo")</f>
        <v>WEATHER IS COLD. It protects you from the risk of causing both COVID-19 and the seasonal flu, according to the rule of the mask to close the mouth and nose. Do not wear a mask in sight and leave your nose on an open. Koronavirus has won the clarity that is infected by nose. https://t.co/8dmz3w9uwo</v>
      </c>
    </row>
    <row r="1920" spans="1:5" ht="15.75" customHeight="1" x14ac:dyDescent="0.25">
      <c r="A1920" s="1" t="s">
        <v>3839</v>
      </c>
      <c r="B1920" s="1">
        <v>9585</v>
      </c>
      <c r="C1920" s="3">
        <v>44143.396504629629</v>
      </c>
      <c r="D1920" s="1" t="s">
        <v>3840</v>
      </c>
      <c r="E1920" s="4" t="str">
        <f ca="1">IFERROR(__xludf.DUMMYFUNCTION("GOOGLETRANSLATE(A1920 , ""tr"" , ""en"")"),"WEATHER IS COLD. It protects you from the risk of causing both COVID-19 and the seasonal flu, according to the rule of the mask to close the mouth and nose. Do not wear a mask in sight and leave your nose on an open. Koronavirus has won the clarity that i"&amp;"s infected by nose. https://t.co/xvn3g1I6iy")</f>
        <v>WEATHER IS COLD. It protects you from the risk of causing both COVID-19 and the seasonal flu, according to the rule of the mask to close the mouth and nose. Do not wear a mask in sight and leave your nose on an open. Koronavirus has won the clarity that is infected by nose. https://t.co/xvn3g1I6iy</v>
      </c>
    </row>
    <row r="1921" spans="1:5" ht="15.75" customHeight="1" x14ac:dyDescent="0.25">
      <c r="A1921" s="1" t="s">
        <v>3841</v>
      </c>
      <c r="B1921" s="1">
        <v>15640</v>
      </c>
      <c r="C1921" s="3">
        <v>44143.377152777779</v>
      </c>
      <c r="D1921" s="1" t="s">
        <v>3842</v>
      </c>
      <c r="E1921" s="4" t="str">
        <f ca="1">IFERROR(__xludf.DUMMYFUNCTION("GOOGLETRANSLATE(A1921 , ""tr"" , ""en"")"),"WEATHER IS COLD. It protects you from the risk of causing both COVID-19 and the seasonal flu, according to the rule of the mask to close the mouth and nose. Do not wear a mask in sight and leave your nose on an open. Koronavirus has won the clarity that i"&amp;"s infected by nose. https://t.co/ibmkywnuk5")</f>
        <v>WEATHER IS COLD. It protects you from the risk of causing both COVID-19 and the seasonal flu, according to the rule of the mask to close the mouth and nose. Do not wear a mask in sight and leave your nose on an open. Koronavirus has won the clarity that is infected by nose. https://t.co/ibmkywnuk5</v>
      </c>
    </row>
    <row r="1922" spans="1:5" ht="15.75" customHeight="1" x14ac:dyDescent="0.25">
      <c r="A1922" s="1" t="s">
        <v>3843</v>
      </c>
      <c r="B1922" s="1">
        <v>6692</v>
      </c>
      <c r="C1922" s="3">
        <v>44142.695775462962</v>
      </c>
      <c r="D1922" s="1" t="s">
        <v>3844</v>
      </c>
      <c r="E1922" s="4" t="str">
        <f ca="1">IFERROR(__xludf.DUMMYFUNCTION("GOOGLETRANSLATE(A1922 , ""tr"" , ""en"")"),"Meeting at Istanbul Gaziosmanpaşa Education and Research Hospital: We evaluated our patient burden with administrators, our treatment against epidemic disease, to increase the current capacity. https://t.co/9lo0xVITCG")</f>
        <v>Meeting at Istanbul Gaziosmanpaşa Education and Research Hospital: We evaluated our patient burden with administrators, our treatment against epidemic disease, to increase the current capacity. https://t.co/9lo0xVITCG</v>
      </c>
    </row>
    <row r="1923" spans="1:5" ht="15.75" customHeight="1" x14ac:dyDescent="0.25">
      <c r="A1923" s="1" t="s">
        <v>3845</v>
      </c>
      <c r="B1923" s="1">
        <v>13695</v>
      </c>
      <c r="C1923" s="3">
        <v>44142.669363425928</v>
      </c>
      <c r="D1923" s="1" t="s">
        <v>3846</v>
      </c>
      <c r="E1923" s="4" t="str">
        <f ca="1">IFERROR(__xludf.DUMMYFUNCTION("GOOGLETRANSLATE(A1923 , ""tr"" , ""en"")"),"We have 2,483 new patients identified today. Our patient count is also increasing our severe patients. We always have to comply with the measures to the safe vaccine application. Stay away from crowded environments unless mandatory. Install the mask. Redu"&amp;"ce the load of virus. https://t.co/rvlhe7786o")</f>
        <v>We have 2,483 new patients identified today. Our patient count is also increasing our severe patients. We always have to comply with the measures to the safe vaccine application. Stay away from crowded environments unless mandatory. Install the mask. Reduce the load of virus. https://t.co/rvlhe7786o</v>
      </c>
    </row>
    <row r="1924" spans="1:5" ht="15.75" customHeight="1" x14ac:dyDescent="0.25">
      <c r="A1924" s="1" t="s">
        <v>3847</v>
      </c>
      <c r="B1924" s="1">
        <v>4739</v>
      </c>
      <c r="C1924" s="3">
        <v>44142.650358796294</v>
      </c>
      <c r="D1924" s="1" t="s">
        <v>3848</v>
      </c>
      <c r="E1924" s="4" t="str">
        <f ca="1">IFERROR(__xludf.DUMMYFUNCTION("GOOGLETRANSLATE(A1924 , ""tr"" , ""en"")"),"Meeting at Istanbul Bahcelievler State Hospital: We evaluated the existing conditions of the hospital with our managers. We have addressed the coordination with solutions and environmental districts to increase the current capacity. We have worked for the"&amp;" distribution of the patient load. https://t.co/nlea2hy0pr")</f>
        <v>Meeting at Istanbul Bahcelievler State Hospital: We evaluated the existing conditions of the hospital with our managers. We have addressed the coordination with solutions and environmental districts to increase the current capacity. We have worked for the distribution of the patient load. https://t.co/nlea2hy0pr</v>
      </c>
    </row>
    <row r="1925" spans="1:5" ht="15.75" customHeight="1" x14ac:dyDescent="0.25">
      <c r="A1925" s="1" t="s">
        <v>3849</v>
      </c>
      <c r="B1925" s="1">
        <v>4309</v>
      </c>
      <c r="C1925" s="3">
        <v>44142.629247685189</v>
      </c>
      <c r="D1925" s="1" t="s">
        <v>3850</v>
      </c>
      <c r="E1925" s="4" t="str">
        <f ca="1">IFERROR(__xludf.DUMMYFUNCTION("GOOGLETRANSLATE(A1925 , ""tr"" , ""en"")"),"Meeting at Samatya Istanbul Training and Research Hospital: Our Hospital; From the first moment of the pendemia, one of the centers where the struggle is most intense. With the administrators, we evaluated the solution ways to increase the current capacit"&amp;"y, and we addressed treatment methods. https://t.co/hqscmobywg")</f>
        <v>Meeting at Samatya Istanbul Training and Research Hospital: Our Hospital; From the first moment of the pendemia, one of the centers where the struggle is most intense. With the administrators, we evaluated the solution ways to increase the current capacity, and we addressed treatment methods. https://t.co/hqscmobywg</v>
      </c>
    </row>
    <row r="1926" spans="1:5" ht="15.75" customHeight="1" x14ac:dyDescent="0.2">
      <c r="A1926" s="5" t="s">
        <v>3851</v>
      </c>
      <c r="B1926" s="1">
        <v>11271</v>
      </c>
      <c r="C1926" s="3">
        <v>44142.613935185182</v>
      </c>
      <c r="D1926" s="1" t="s">
        <v>3852</v>
      </c>
      <c r="E1926" s="6" t="str">
        <f ca="1">IFERROR(__xludf.DUMMYFUNCTION("GOOGLETRANSLATE(A1926 , ""tr"" , ""en"")"),"https://t.co/4zp3urnzwg")</f>
        <v>https://t.co/4zp3urnzwg</v>
      </c>
    </row>
    <row r="1927" spans="1:5" ht="15.75" customHeight="1" x14ac:dyDescent="0.25">
      <c r="A1927" s="1" t="s">
        <v>3853</v>
      </c>
      <c r="B1927" s="1">
        <v>8936</v>
      </c>
      <c r="C1927" s="3">
        <v>44142.609756944446</v>
      </c>
      <c r="D1927" s="1" t="s">
        <v>3854</v>
      </c>
      <c r="E1927" s="4" t="str">
        <f ca="1">IFERROR(__xludf.DUMMYFUNCTION("GOOGLETRANSLATE(A1927 , ""tr"" , ""en"")"),"COVID-19 is spreading. Unless you reduce your mobility in daily life, you cannot keep yourself adequately, unless you are away from any crowd that makes it difficult to comply with the distance rule. Reduce the risk. Please protect yourself to not live th"&amp;"e difficulties of the disease. https://t.co/fz4lwakdd2")</f>
        <v>COVID-19 is spreading. Unless you reduce your mobility in daily life, you cannot keep yourself adequately, unless you are away from any crowd that makes it difficult to comply with the distance rule. Reduce the risk. Please protect yourself to not live the difficulties of the disease. https://t.co/fz4lwakdd2</v>
      </c>
    </row>
    <row r="1928" spans="1:5" ht="15.75" customHeight="1" x14ac:dyDescent="0.25">
      <c r="A1928" s="1" t="s">
        <v>3855</v>
      </c>
      <c r="B1928" s="1">
        <v>51330</v>
      </c>
      <c r="C1928" s="3">
        <v>44141.826840277776</v>
      </c>
      <c r="D1928" s="1" t="s">
        <v>3856</v>
      </c>
      <c r="E1928" s="4" t="str">
        <f ca="1">IFERROR(__xludf.DUMMYFUNCTION("GOOGLETRANSLATE(A1928 , ""tr"" , ""en"")"),"This video is a hospital's operating room camera recording during Izmir earthquake. https://t.co/ypwn1nfbjv")</f>
        <v>This video is a hospital's operating room camera recording during Izmir earthquake. https://t.co/ypwn1nfbjv</v>
      </c>
    </row>
    <row r="1929" spans="1:5" ht="15.75" customHeight="1" x14ac:dyDescent="0.25">
      <c r="A1929" s="1" t="s">
        <v>3857</v>
      </c>
      <c r="B1929" s="1">
        <v>15389</v>
      </c>
      <c r="C1929" s="3">
        <v>44141.810879629629</v>
      </c>
      <c r="D1929" s="1" t="s">
        <v>3858</v>
      </c>
      <c r="E1929" s="4" t="str">
        <f ca="1">IFERROR(__xludf.DUMMYFUNCTION("GOOGLETRANSLATE(A1929 , ""tr"" , ""en"")"),"COVID-19 is spreading. Postponce travels possible. Limit your mobility in the day. Remember: The main reason for the increase in case increases is to live as if the life is in the pocket. https://t.co/jvaoy5zqqq")</f>
        <v>COVID-19 is spreading. Postponce travels possible. Limit your mobility in the day. Remember: The main reason for the increase in case increases is to live as if the life is in the pocket. https://t.co/jvaoy5zqqq</v>
      </c>
    </row>
    <row r="1930" spans="1:5" ht="15.75" customHeight="1" x14ac:dyDescent="0.2">
      <c r="A1930" s="5" t="s">
        <v>3859</v>
      </c>
      <c r="B1930" s="1">
        <v>10111</v>
      </c>
      <c r="C1930" s="3">
        <v>44141.795138888891</v>
      </c>
      <c r="D1930" s="1" t="s">
        <v>3860</v>
      </c>
      <c r="E1930" s="6" t="str">
        <f ca="1">IFERROR(__xludf.DUMMYFUNCTION("GOOGLETRANSLATE(A1930 , ""tr"" , ""en"")"),"https://t.co/acx7jwi4qj")</f>
        <v>https://t.co/acx7jwi4qj</v>
      </c>
    </row>
    <row r="1931" spans="1:5" ht="15.75" customHeight="1" x14ac:dyDescent="0.25">
      <c r="A1931" s="1" t="s">
        <v>3861</v>
      </c>
      <c r="B1931" s="1">
        <v>5495</v>
      </c>
      <c r="C1931" s="3">
        <v>44141.778379629628</v>
      </c>
      <c r="D1931" s="1" t="s">
        <v>3862</v>
      </c>
      <c r="E1931" s="4" t="str">
        <f ca="1">IFERROR(__xludf.DUMMYFUNCTION("GOOGLETRANSLATE(A1931 , ""tr"" , ""en"")"),"Istanbul Etginla Fight Meeting: Our General Managers, Provincial Health Manager and Field Coordinators attended our General Managers, Provincial Health Manager. The course of the outbreak was discussed against increasing risk and new patient load. https:/"&amp;"/t.co/e3abll0cuv")</f>
        <v>Istanbul Etginla Fight Meeting: Our General Managers, Provincial Health Manager and Field Coordinators attended our General Managers, Provincial Health Manager. The course of the outbreak was discussed against increasing risk and new patient load. https://t.co/e3abll0cuv</v>
      </c>
    </row>
    <row r="1932" spans="1:5" ht="15.75" customHeight="1" x14ac:dyDescent="0.25">
      <c r="A1932" s="1" t="s">
        <v>3863</v>
      </c>
      <c r="B1932" s="1">
        <v>6752</v>
      </c>
      <c r="C1932" s="3">
        <v>44141.734305555554</v>
      </c>
      <c r="D1932" s="1" t="s">
        <v>3864</v>
      </c>
      <c r="E1932" s="4" t="str">
        <f ca="1">IFERROR(__xludf.DUMMYFUNCTION("GOOGLETRANSLATE(A1932 , ""tr"" , ""en"")"),"Istanbul Beylikdüzü, Esenyurt, Büyükçekmece State Hospitals Visit: These three hospitals have increased by our patient's significant centers of war in Istanbul in Istanbul. At the meetings we have made, we addressed the bed capacities to be made against t"&amp;"he patient load. https://t.co/tm5y13z0lx")</f>
        <v>Istanbul Beylikdüzü, Esenyurt, Büyükçekmece State Hospitals Visit: These three hospitals have increased by our patient's significant centers of war in Istanbul in Istanbul. At the meetings we have made, we addressed the bed capacities to be made against the patient load. https://t.co/tm5y13z0lx</v>
      </c>
    </row>
    <row r="1933" spans="1:5" ht="15.75" customHeight="1" x14ac:dyDescent="0.25">
      <c r="A1933" s="1" t="s">
        <v>3865</v>
      </c>
      <c r="B1933" s="1">
        <v>15747</v>
      </c>
      <c r="C1933" s="3">
        <v>44141.667337962965</v>
      </c>
      <c r="D1933" s="1" t="s">
        <v>3866</v>
      </c>
      <c r="E1933" s="4" t="str">
        <f ca="1">IFERROR(__xludf.DUMMYFUNCTION("GOOGLETRANSLATE(A1933 , ""tr"" , ""en"")"),"We have 2,436 patients identified today. Our severe patient count is increasing. In the health care service, we must recognize our health workers to rest in the health care. This is only possible to comply with the measures. Install the mask. Protect your"&amp;" distance. https://t.co/rvlhe7786o")</f>
        <v>We have 2,436 patients identified today. Our severe patient count is increasing. In the health care service, we must recognize our health workers to rest in the health care. This is only possible to comply with the measures. Install the mask. Protect your distance. https://t.co/rvlhe7786o</v>
      </c>
    </row>
    <row r="1934" spans="1:5" ht="15.75" customHeight="1" x14ac:dyDescent="0.2">
      <c r="A1934" s="5" t="s">
        <v>3867</v>
      </c>
      <c r="B1934" s="1">
        <v>14673</v>
      </c>
      <c r="C1934" s="3">
        <v>44141.497199074074</v>
      </c>
      <c r="D1934" s="1" t="s">
        <v>3868</v>
      </c>
      <c r="E1934" s="6" t="str">
        <f ca="1">IFERROR(__xludf.DUMMYFUNCTION("GOOGLETRANSLATE(A1934 , ""tr"" , ""en"")"),"https://t.co/3p4fcuvlgv")</f>
        <v>https://t.co/3p4fcuvlgv</v>
      </c>
    </row>
    <row r="1935" spans="1:5" ht="15.75" customHeight="1" x14ac:dyDescent="0.2">
      <c r="A1935" s="5" t="s">
        <v>3869</v>
      </c>
      <c r="B1935" s="1">
        <v>21854</v>
      </c>
      <c r="C1935" s="3">
        <v>44141.455925925926</v>
      </c>
      <c r="D1935" s="1" t="s">
        <v>3870</v>
      </c>
      <c r="E1935" s="6" t="str">
        <f ca="1">IFERROR(__xludf.DUMMYFUNCTION("GOOGLETRANSLATE(A1935 , ""tr"" , ""en"")"),"https://t.co/tfsjcl03zp")</f>
        <v>https://t.co/tfsjcl03zp</v>
      </c>
    </row>
    <row r="1936" spans="1:5" ht="15.75" customHeight="1" x14ac:dyDescent="0.25">
      <c r="A1936" s="1" t="s">
        <v>3871</v>
      </c>
      <c r="B1936" s="1">
        <v>16043</v>
      </c>
      <c r="C1936" s="3">
        <v>44140.78702546296</v>
      </c>
      <c r="D1936" s="1" t="s">
        <v>3872</v>
      </c>
      <c r="E1936" s="4" t="str">
        <f ca="1">IFERROR(__xludf.DUMMYFUNCTION("GOOGLETRANSLATE(A1936 , ""tr"" , ""en"")"),"In the Izmir Earthquake, we visited our patients in which the patients are closely followed by the debris. They are better. They will soon meet their health. https://t.co/9ujwthe1SI")</f>
        <v>In the Izmir Earthquake, we visited our patients in which the patients are closely followed by the debris. They are better. They will soon meet their health. https://t.co/9ujwthe1SI</v>
      </c>
    </row>
    <row r="1937" spans="1:5" ht="15.75" customHeight="1" x14ac:dyDescent="0.25">
      <c r="A1937" s="1" t="s">
        <v>3873</v>
      </c>
      <c r="B1937" s="1">
        <v>6084</v>
      </c>
      <c r="C1937" s="3">
        <v>44140.762465277781</v>
      </c>
      <c r="D1937" s="1" t="s">
        <v>3874</v>
      </c>
      <c r="E1937" s="4" t="str">
        <f ca="1">IFERROR(__xludf.DUMMYFUNCTION("GOOGLETRANSLATE(A1937 , ""tr"" , ""en"")"),"Our Minister of Environment and Urbanization, Izmir Governor, Izmir MPs, Izmir Metropolitan Mayor and the participation of the district mayors were a meeting we addressed earthquakes, urbanism and health services in Afad. We are against disaster and outbr"&amp;"eak. https://t.co/xfavhkxhr3")</f>
        <v>Our Minister of Environment and Urbanization, Izmir Governor, Izmir MPs, Izmir Metropolitan Mayor and the participation of the district mayors were a meeting we addressed earthquakes, urbanism and health services in Afad. We are against disaster and outbreak. https://t.co/xfavhkxhr3</v>
      </c>
    </row>
    <row r="1938" spans="1:5" ht="15.75" customHeight="1" x14ac:dyDescent="0.25">
      <c r="A1938" s="1" t="s">
        <v>3875</v>
      </c>
      <c r="B1938" s="1">
        <v>5006</v>
      </c>
      <c r="C1938" s="3">
        <v>44140.740439814814</v>
      </c>
      <c r="D1938" s="1" t="s">
        <v>3876</v>
      </c>
      <c r="E1938" s="4" t="str">
        <f ca="1">IFERROR(__xludf.DUMMYFUNCTION("GOOGLETRANSLATE(A1938 , ""tr"" , ""en"")"),"Izmir Provincial Health Meeting Decisions: Intense measure against COVID-19 in tents. Mask and disinfectant distribution. Close up of earthquakes, teams, closely in terms of symptoms. Even if they are symptomless, testing to contacts. By scans, prevention"&amp;" of the spread of the epidemic. https://t.co/c1lpbaki9r")</f>
        <v>Izmir Provincial Health Meeting Decisions: Intense measure against COVID-19 in tents. Mask and disinfectant distribution. Close up of earthquakes, teams, closely in terms of symptoms. Even if they are symptomless, testing to contacts. By scans, prevention of the spread of the epidemic. https://t.co/c1lpbaki9r</v>
      </c>
    </row>
    <row r="1939" spans="1:5" ht="15.75" customHeight="1" x14ac:dyDescent="0.25">
      <c r="A1939" s="1" t="s">
        <v>3877</v>
      </c>
      <c r="B1939" s="1">
        <v>31659</v>
      </c>
      <c r="C1939" s="3">
        <v>44140.719189814816</v>
      </c>
      <c r="D1939" s="1" t="s">
        <v>3878</v>
      </c>
      <c r="E1939" s="4" t="str">
        <f ca="1">IFERROR(__xludf.DUMMYFUNCTION("GOOGLETRANSLATE(A1939 , ""tr"" , ""en"")"),"My friend of my friend becomes a Süleyman noble discharge. COVID-19 treatment will be completed at home for a while. We are happy to continue with the old energy to their work. I offer our wishes and their family again.")</f>
        <v>My friend of my friend becomes a Süleyman noble discharge. COVID-19 treatment will be completed at home for a while. We are happy to continue with the old energy to their work. I offer our wishes and their family again.</v>
      </c>
    </row>
    <row r="1940" spans="1:5" ht="15.75" customHeight="1" x14ac:dyDescent="0.25">
      <c r="A1940" s="1" t="s">
        <v>3879</v>
      </c>
      <c r="B1940" s="1">
        <v>9234</v>
      </c>
      <c r="C1940" s="3">
        <v>44140.694479166668</v>
      </c>
      <c r="D1940" s="1" t="s">
        <v>3880</v>
      </c>
      <c r="E1940" s="4" t="str">
        <f ca="1">IFERROR(__xludf.DUMMYFUNCTION("GOOGLETRANSLATE(A1940 , ""tr"" , ""en"")"),"In the native vaccine study, the first app on the human began today. The study is carried out at the University of Erciyes. In this process, the vaccine in the phase-1 phase will be applied to 44 people. Phase-1 phase will be finished in the 5-6 weeks of "&amp;"time. (Description on a question) https://t.co/4zpp9ir52u")</f>
        <v>In the native vaccine study, the first app on the human began today. The study is carried out at the University of Erciyes. In this process, the vaccine in the phase-1 phase will be applied to 44 people. Phase-1 phase will be finished in the 5-6 weeks of time. (Description on a question) https://t.co/4zpp9ir52u</v>
      </c>
    </row>
    <row r="1941" spans="1:5" ht="15.75" customHeight="1" x14ac:dyDescent="0.25">
      <c r="A1941" s="1" t="s">
        <v>3881</v>
      </c>
      <c r="B1941" s="1">
        <v>6884</v>
      </c>
      <c r="C1941" s="3">
        <v>44140.681979166664</v>
      </c>
      <c r="D1941" s="1" t="s">
        <v>3882</v>
      </c>
      <c r="E1941" s="4" t="str">
        <f ca="1">IFERROR(__xludf.DUMMYFUNCTION("GOOGLETRANSLATE(A1941 , ""tr"" , ""en"")"),"In the Izmir Earthquake region, the importance of general health services is great, mainly COVID-19. By visiting the Umke polyclinic that continues to serve our people and earthquakes, we reviewed the needs. To psychological support without warming, our s"&amp;"tate is next to the people of Izmir. https://t.co/m10qxssehv")</f>
        <v>In the Izmir Earthquake region, the importance of general health services is great, mainly COVID-19. By visiting the Umke polyclinic that continues to serve our people and earthquakes, we reviewed the needs. To psychological support without warming, our state is next to the people of Izmir. https://t.co/m10qxssehv</v>
      </c>
    </row>
    <row r="1942" spans="1:5" ht="15.75" customHeight="1" x14ac:dyDescent="0.25">
      <c r="A1942" s="1" t="s">
        <v>3883</v>
      </c>
      <c r="B1942" s="1">
        <v>10784</v>
      </c>
      <c r="C1942" s="3">
        <v>44140.667592592596</v>
      </c>
      <c r="D1942" s="1" t="s">
        <v>3884</v>
      </c>
      <c r="E1942" s="4" t="str">
        <f ca="1">IFERROR(__xludf.DUMMYFUNCTION("GOOGLETRANSLATE(A1942 , ""tr"" , ""en"")"),"We have 2,311 new patients identified today. Our heavy patient number is 100 more than yesterday. We have to obstacle this increase. Stay away from contact and mobility unless they are obliged to afford to be caught in the disease. Give importance to hygi"&amp;"ene. Use the mask. https://t.co/rvlhe7786o")</f>
        <v>We have 2,311 new patients identified today. Our heavy patient number is 100 more than yesterday. We have to obstacle this increase. Stay away from contact and mobility unless they are obliged to afford to be caught in the disease. Give importance to hygiene. Use the mask. https://t.co/rvlhe7786o</v>
      </c>
    </row>
    <row r="1943" spans="1:5" ht="15.75" customHeight="1" x14ac:dyDescent="0.25">
      <c r="A1943" s="1" t="s">
        <v>3885</v>
      </c>
      <c r="B1943" s="1">
        <v>7805</v>
      </c>
      <c r="C1943" s="3">
        <v>44140.659143518518</v>
      </c>
      <c r="D1943" s="1" t="s">
        <v>3886</v>
      </c>
      <c r="E1943" s="4" t="str">
        <f ca="1">IFERROR(__xludf.DUMMYFUNCTION("GOOGLETRANSLATE(A1943 , ""tr"" , ""en"")"),"In Izmir, we visited the emergency response team of the volunteers of our Ministry. The young, aged tens of people under the dent, they did the first medical intervention in the moments of recovery. Due to their sacrifices, I thank each of the people of I"&amp;"zmir and in person. https://t.co/pnkncyme2I")</f>
        <v>In Izmir, we visited the emergency response team of the volunteers of our Ministry. The young, aged tens of people under the dent, they did the first medical intervention in the moments of recovery. Due to their sacrifices, I thank each of the people of Izmir and in person. https://t.co/pnkncyme2I</v>
      </c>
    </row>
    <row r="1944" spans="1:5" ht="15.75" customHeight="1" x14ac:dyDescent="0.25">
      <c r="A1944" s="1" t="s">
        <v>3887</v>
      </c>
      <c r="B1944" s="1">
        <v>16004</v>
      </c>
      <c r="C1944" s="3">
        <v>44140.597337962965</v>
      </c>
      <c r="D1944" s="1" t="s">
        <v>3888</v>
      </c>
      <c r="E1944" s="4" t="str">
        <f ca="1">IFERROR(__xludf.DUMMYFUNCTION("GOOGLETRANSLATE(A1944 , ""tr"" , ""en"")"),"Health status We all wonderfully wondered elif, sister essentialism and Ezel, we met with their mother. Their treatments continue. They are good. The health status of 3-year-old is well well. Will be taken to normal service tomorrow. Our young friends hav"&amp;"e good news from Ahmet Uncle with Günay.")</f>
        <v>Health status We all wonderfully wondered elif, sister essentialism and Ezel, we met with their mother. Their treatments continue. They are good. The health status of 3-year-old is well well. Will be taken to normal service tomorrow. Our young friends have good news from Ahmet Uncle with Günay.</v>
      </c>
    </row>
    <row r="1945" spans="1:5" ht="15.75" customHeight="1" x14ac:dyDescent="0.25">
      <c r="A1945" s="1" t="s">
        <v>3889</v>
      </c>
      <c r="B1945" s="1">
        <v>6169</v>
      </c>
      <c r="C1945" s="3">
        <v>44140.437743055554</v>
      </c>
      <c r="D1945" s="1" t="s">
        <v>3890</v>
      </c>
      <c r="E1945" s="4" t="str">
        <f ca="1">IFERROR(__xludf.DUMMYFUNCTION("GOOGLETRANSLATE(A1945 , ""tr"" , ""en"")"),"We are at Izmir. We have visited our patients who are injured in the earthquake and to visit our patients in progress. https://t.co/cprz9pzeli")</f>
        <v>We are at Izmir. We have visited our patients who are injured in the earthquake and to visit our patients in progress. https://t.co/cprz9pzeli</v>
      </c>
    </row>
    <row r="1946" spans="1:5" ht="15.75" customHeight="1" x14ac:dyDescent="0.25">
      <c r="A1946" s="1" t="s">
        <v>3891</v>
      </c>
      <c r="B1946" s="1">
        <v>44356</v>
      </c>
      <c r="C1946" s="3">
        <v>44140.006701388891</v>
      </c>
      <c r="D1946" s="1" t="s">
        <v>3892</v>
      </c>
      <c r="E1946" s="4" t="str">
        <f ca="1">IFERROR(__xludf.DUMMYFUNCTION("GOOGLETRANSLATE(A1946 , ""tr"" , ""en"")"),"Is it hurting any of the place per month? The urgent medicine specialist asking the question was a UMKE volunteering. Extracted from the bottom of the migration and how to ask a 3-year-old boy taken ambulance, how to ask the question?")</f>
        <v>Is it hurting any of the place per month? The urgent medicine specialist asking the question was a UMKE volunteering. Extracted from the bottom of the migration and how to ask a 3-year-old boy taken ambulance, how to ask the question?</v>
      </c>
    </row>
    <row r="1947" spans="1:5" ht="15.75" customHeight="1" x14ac:dyDescent="0.25">
      <c r="A1947" s="1" t="s">
        <v>3893</v>
      </c>
      <c r="B1947" s="1">
        <v>17179</v>
      </c>
      <c r="C1947" s="3">
        <v>44139.88486111111</v>
      </c>
      <c r="D1947" s="1" t="s">
        <v>3894</v>
      </c>
      <c r="E1947" s="4" t="str">
        <f ca="1">IFERROR(__xludf.DUMMYFUNCTION("GOOGLETRANSLATE(A1947 , ""tr"" , ""en"")"),"The National Medical Rescue Team Umke, the emergency response team of the volunteers of our Ministry. Members of more than 1,100,000 health matrades. You've seen them once again in the last quake. A secret heroes of hidden returning through the ruins and "&amp;"returning to their jobs. We owe them gratitude. https://t.co/xol3nokle")</f>
        <v>The National Medical Rescue Team Umke, the emergency response team of the volunteers of our Ministry. Members of more than 1,100,000 health matrades. You've seen them once again in the last quake. A secret heroes of hidden returning through the ruins and returning to their jobs. We owe them gratitude. https://t.co/xol3nokle</v>
      </c>
    </row>
    <row r="1948" spans="1:5" ht="15.75" customHeight="1" x14ac:dyDescent="0.2">
      <c r="A1948" s="5" t="s">
        <v>3895</v>
      </c>
      <c r="B1948" s="1">
        <v>31022</v>
      </c>
      <c r="C1948" s="3">
        <v>44139.760092592594</v>
      </c>
      <c r="D1948" s="1" t="s">
        <v>3896</v>
      </c>
      <c r="E1948" s="6" t="str">
        <f ca="1">IFERROR(__xludf.DUMMYFUNCTION("GOOGLETRANSLATE(A1948 , ""tr"" , ""en"")"),"https://t.co/bw8d2mckk7")</f>
        <v>https://t.co/bw8d2mckk7</v>
      </c>
    </row>
    <row r="1949" spans="1:5" ht="15.75" customHeight="1" x14ac:dyDescent="0.25">
      <c r="A1949" s="1" t="s">
        <v>3897</v>
      </c>
      <c r="B1949" s="1">
        <v>12297</v>
      </c>
      <c r="C1949" s="3">
        <v>44139.722916666666</v>
      </c>
      <c r="D1949" s="1" t="s">
        <v>3898</v>
      </c>
      <c r="E1949" s="4" t="str">
        <f ca="1">IFERROR(__xludf.DUMMYFUNCTION("GOOGLETRANSLATE(A1949 , ""tr"" , ""en"")"),"COVID-19 is spreading all over the world. In Istanbul, there is an increase in the number of caught viruses in Turkey. In the crowd with undiagnosed carriers, you can come together in any environment. One of the main reasons of case increases live as if t"&amp;"he life is on an epidemic. https://t.co/xvzz1oufzp")</f>
        <v>COVID-19 is spreading all over the world. In Istanbul, there is an increase in the number of caught viruses in Turkey. In the crowd with undiagnosed carriers, you can come together in any environment. One of the main reasons of case increases live as if the life is on an epidemic. https://t.co/xvzz1oufzp</v>
      </c>
    </row>
    <row r="1950" spans="1:5" ht="15.75" customHeight="1" x14ac:dyDescent="0.25">
      <c r="A1950" s="1" t="s">
        <v>3899</v>
      </c>
      <c r="B1950" s="1">
        <v>18334</v>
      </c>
      <c r="C1950" s="3">
        <v>44139.669583333336</v>
      </c>
      <c r="D1950" s="1" t="s">
        <v>3900</v>
      </c>
      <c r="E1950" s="4" t="str">
        <f ca="1">IFERROR(__xludf.DUMMYFUNCTION("GOOGLETRANSLATE(A1950 , ""tr"" , ""en"")"),"We have 2,391 patients identified today. Our severe patient count reached 2.464. It is not possible without reducing the theme under control of the epidemic. Our health personnel should not fall tired. Reduce theme to support them. Give importance to hygi"&amp;"ene. Use the mask. https://t.co/rvlhe7786o")</f>
        <v>We have 2,391 patients identified today. Our severe patient count reached 2.464. It is not possible without reducing the theme under control of the epidemic. Our health personnel should not fall tired. Reduce theme to support them. Give importance to hygiene. Use the mask. https://t.co/rvlhe7786o</v>
      </c>
    </row>
    <row r="1951" spans="1:5" ht="15.75" customHeight="1" x14ac:dyDescent="0.25">
      <c r="A1951" s="1" t="s">
        <v>3901</v>
      </c>
      <c r="B1951" s="1">
        <v>14048</v>
      </c>
      <c r="C1951" s="3">
        <v>44138.844583333332</v>
      </c>
      <c r="D1951" s="1" t="s">
        <v>3902</v>
      </c>
      <c r="E1951" s="4" t="str">
        <f ca="1">IFERROR(__xludf.DUMMYFUNCTION("GOOGLETRANSLATE(A1951 , ""tr"" , ""en"")"),"If the COVID-19 test is positive that you have shared the same environment, the COVID-19 test is positively, protect family members even if it is not a symptom. Be careful not to stand close to your elders, use the mask when you are there. Your family phy"&amp;"sician will follow you. The rules are also valid at home. https://t.co/sv7vbilzge")</f>
        <v>If the COVID-19 test is positive that you have shared the same environment, the COVID-19 test is positively, protect family members even if it is not a symptom. Be careful not to stand close to your elders, use the mask when you are there. Your family physician will follow you. The rules are also valid at home. https://t.co/sv7vbilzge</v>
      </c>
    </row>
    <row r="1952" spans="1:5" ht="15.75" customHeight="1" x14ac:dyDescent="0.25">
      <c r="A1952" s="1" t="s">
        <v>3903</v>
      </c>
      <c r="B1952" s="1">
        <v>11074</v>
      </c>
      <c r="C1952" s="3">
        <v>44138.83792824074</v>
      </c>
      <c r="D1952" s="1" t="s">
        <v>3904</v>
      </c>
      <c r="E1952" s="4" t="str">
        <f ca="1">IFERROR(__xludf.DUMMYFUNCTION("GOOGLETRANSLATE(A1952 , ""tr"" , ""en"")"),"Follow yourself in terms of COVID-19 symptoms if the test of someone you are contacted is positively. Even if you do not show the symptom, try to be isolated. Your name in the contact list may be unsaid. Call your family physician if they are not reached "&amp;"within 1 day. https://t.co/0j8PI1YMRQ")</f>
        <v>Follow yourself in terms of COVID-19 symptoms if the test of someone you are contacted is positively. Even if you do not show the symptom, try to be isolated. Your name in the contact list may be unsaid. Call your family physician if they are not reached within 1 day. https://t.co/0j8PI1YMRQ</v>
      </c>
    </row>
    <row r="1953" spans="1:5" ht="15.75" customHeight="1" x14ac:dyDescent="0.25">
      <c r="A1953" s="1" t="s">
        <v>3905</v>
      </c>
      <c r="B1953" s="1">
        <v>31277</v>
      </c>
      <c r="C1953" s="3">
        <v>44138.830914351849</v>
      </c>
      <c r="D1953" s="1" t="s">
        <v>3906</v>
      </c>
      <c r="E1953" s="4" t="str">
        <f ca="1">IFERROR(__xludf.DUMMYFUNCTION("GOOGLETRANSLATE(A1953 , ""tr"" , ""en"")"),"If your COVID-19 test has been positive, give them information if you have contacted 2 days before the beginning of the symptoms. They follow themselves. Don't skip anyone when giving a contact with our filion teams. We reduce the propagation of how caref"&amp;"ul you are. https://t.co/nhtzpmei33")</f>
        <v>If your COVID-19 test has been positive, give them information if you have contacted 2 days before the beginning of the symptoms. They follow themselves. Don't skip anyone when giving a contact with our filion teams. We reduce the propagation of how careful you are. https://t.co/nhtzpmei33</v>
      </c>
    </row>
    <row r="1954" spans="1:5" ht="15.75" customHeight="1" x14ac:dyDescent="0.25">
      <c r="A1954" s="1" t="s">
        <v>3907</v>
      </c>
      <c r="B1954" s="1">
        <v>16395</v>
      </c>
      <c r="C1954" s="3">
        <v>44138.714317129627</v>
      </c>
      <c r="D1954" s="1" t="s">
        <v>3908</v>
      </c>
      <c r="E1954" s="4" t="str">
        <f ca="1">IFERROR(__xludf.DUMMYFUNCTION("GOOGLETRANSLATE(A1954 , ""tr"" , ""en"")"),"We have 2,343 new patients identified today. Our severe patient count continues to increase. To comply with the most important force that can change the course of the epidemic. For measures, we are not given the opportunity to spread the virus. Give stren"&amp;"gth to the challenge. https://t.co/rvlhe7786o")</f>
        <v>We have 2,343 new patients identified today. Our severe patient count continues to increase. To comply with the most important force that can change the course of the epidemic. For measures, we are not given the opportunity to spread the virus. Give strength to the challenge. https://t.co/rvlhe7786o</v>
      </c>
    </row>
    <row r="1955" spans="1:5" ht="15.75" customHeight="1" x14ac:dyDescent="0.25">
      <c r="A1955" s="1" t="s">
        <v>3909</v>
      </c>
      <c r="B1955" s="1">
        <v>0</v>
      </c>
      <c r="C1955" s="3">
        <v>44138.688692129632</v>
      </c>
      <c r="D1955" s="1" t="s">
        <v>3910</v>
      </c>
      <c r="E1955" s="4" t="str">
        <f ca="1">IFERROR(__xludf.DUMMYFUNCTION("GOOGLETRANSLATE(A1955 , ""tr"" , ""en"")"),"RT @rterdogan: Shouting Nation After Cabinet Meeting https://t.co/cbycwt7pok")</f>
        <v>RT @rterdogan: Shouting Nation After Cabinet Meeting https://t.co/cbycwt7pok</v>
      </c>
    </row>
    <row r="1956" spans="1:5" ht="15.75" customHeight="1" x14ac:dyDescent="0.25">
      <c r="A1956" s="1" t="s">
        <v>3911</v>
      </c>
      <c r="B1956" s="1">
        <v>0</v>
      </c>
      <c r="C1956" s="3">
        <v>44138.393055555556</v>
      </c>
      <c r="D1956" s="1" t="s">
        <v>3912</v>
      </c>
      <c r="E1956" s="4" t="str">
        <f ca="1">IFERROR(__xludf.DUMMYFUNCTION("GOOGLETRANSLATE(A1956 , ""tr"" , ""en"")"),"RT @rterdogan: The name of the miracle is in a month ... 91 hours later, with your smiling eyes to all of us with new hopes to allah to God. ...")</f>
        <v>RT @rterdogan: The name of the miracle is in a month ... 91 hours later, with your smiling eyes to all of us with new hopes to allah to God. ...</v>
      </c>
    </row>
    <row r="1957" spans="1:5" ht="15.75" customHeight="1" x14ac:dyDescent="0.25">
      <c r="A1957" s="1" t="s">
        <v>3913</v>
      </c>
      <c r="B1957" s="1">
        <v>190987</v>
      </c>
      <c r="C1957" s="3">
        <v>44138.359768518516</v>
      </c>
      <c r="D1957" s="1" t="s">
        <v>3914</v>
      </c>
      <c r="E1957" s="4" t="str">
        <f ca="1">IFERROR(__xludf.DUMMYFUNCTION("GOOGLETRANSLATE(A1957 , ""tr"" , ""en"")"),"Ayda has no hurting place. Wants meatballs and ayran. https://t.co/nhmv2splnw")</f>
        <v>Ayda has no hurting place. Wants meatballs and ayran. https://t.co/nhmv2splnw</v>
      </c>
    </row>
    <row r="1958" spans="1:5" ht="15.75" customHeight="1" x14ac:dyDescent="0.25">
      <c r="A1958" s="1" t="s">
        <v>3915</v>
      </c>
      <c r="B1958" s="1">
        <v>100480</v>
      </c>
      <c r="C1958" s="3">
        <v>44138.341400462959</v>
      </c>
      <c r="D1958" s="1" t="s">
        <v>3916</v>
      </c>
      <c r="E1958" s="4" t="str">
        <f ca="1">IFERROR(__xludf.DUMMYFUNCTION("GOOGLETRANSLATE(A1958 , ""tr"" , ""en"")"),"Traveler per month. 3 years old. And after 91 hours is again among us! https://t.co/scdcsez6ys")</f>
        <v>Traveler per month. 3 years old. And after 91 hours is again among us! https://t.co/scdcsez6ys</v>
      </c>
    </row>
    <row r="1959" spans="1:5" ht="15.75" customHeight="1" x14ac:dyDescent="0.25">
      <c r="A1959" s="1" t="s">
        <v>3917</v>
      </c>
      <c r="B1959" s="1">
        <v>15539</v>
      </c>
      <c r="C1959" s="3">
        <v>44137.907280092593</v>
      </c>
      <c r="D1959" s="1" t="s">
        <v>3918</v>
      </c>
      <c r="E1959" s="4" t="str">
        <f ca="1">IFERROR(__xludf.DUMMYFUNCTION("GOOGLETRANSLATE(A1959 , ""tr"" , ""en"")"),"According to the results of the search and recovery studies, our life loss increased to 95. The treatment of the patients currently continued, 147. Currently 12 patients in intensive care, the state of 5 is heavy. As of this evening, the number of patient"&amp;"s discharged by completing the treatments are 847.")</f>
        <v>According to the results of the search and recovery studies, our life loss increased to 95. The treatment of the patients currently continued, 147. Currently 12 patients in intensive care, the state of 5 is heavy. As of this evening, the number of patients discharged by completing the treatments are 847.</v>
      </c>
    </row>
    <row r="1960" spans="1:5" ht="15.75" customHeight="1" x14ac:dyDescent="0.25">
      <c r="A1960" s="1" t="s">
        <v>3919</v>
      </c>
      <c r="B1960" s="1">
        <v>12334</v>
      </c>
      <c r="C1960" s="3">
        <v>44137.820983796293</v>
      </c>
      <c r="D1960" s="1" t="s">
        <v>3920</v>
      </c>
      <c r="E1960" s="4" t="str">
        <f ca="1">IFERROR(__xludf.DUMMYFUNCTION("GOOGLETRANSLATE(A1960 , ""tr"" , ""en"")"),"Do not visit your hilarity returning to Istanbul for a while. In the city to spend the winter in more relaxed conditions, the majority of the population of the many years of age are expecting some risks. 40% of cases here. The face to face is objectionabl"&amp;"e. Please learn the needs of your elders over the phone.")</f>
        <v>Do not visit your hilarity returning to Istanbul for a while. In the city to spend the winter in more relaxed conditions, the majority of the population of the many years of age are expecting some risks. 40% of cases here. The face to face is objectionable. Please learn the needs of your elders over the phone.</v>
      </c>
    </row>
    <row r="1961" spans="1:5" ht="15.75" customHeight="1" x14ac:dyDescent="0.25">
      <c r="A1961" s="1" t="s">
        <v>3921</v>
      </c>
      <c r="B1961" s="1">
        <v>43503</v>
      </c>
      <c r="C1961" s="3">
        <v>44137.814456018517</v>
      </c>
      <c r="D1961" s="1" t="s">
        <v>3922</v>
      </c>
      <c r="E1961" s="4" t="str">
        <f ca="1">IFERROR(__xludf.DUMMYFUNCTION("GOOGLETRANSLATE(A1961 , ""tr"" , ""en"")"),"If you are in Istanbul, don't leave. 40% of cases in Turkey in the city where you live. A non-symptom-free carrier may be a non-detected contact. Postponement if your trip is not very necessary.")</f>
        <v>If you are in Istanbul, don't leave. 40% of cases in Turkey in the city where you live. A non-symptom-free carrier may be a non-detected contact. Postponement if your trip is not very necessary.</v>
      </c>
    </row>
    <row r="1962" spans="1:5" ht="15.75" customHeight="1" x14ac:dyDescent="0.25">
      <c r="A1962" s="1" t="s">
        <v>3923</v>
      </c>
      <c r="B1962" s="1">
        <v>19236</v>
      </c>
      <c r="C1962" s="3">
        <v>44137.807430555556</v>
      </c>
      <c r="D1962" s="1" t="s">
        <v>3924</v>
      </c>
      <c r="E1962" s="4" t="str">
        <f ca="1">IFERROR(__xludf.DUMMYFUNCTION("GOOGLETRANSLATE(A1962 , ""tr"" , ""en"")"),"The journey to Istanbul? Watch your health status 7 days without departing. Fever, dry cough, fatigue, sore throat, taste or smell senses, respiratory difficulty, etc. If you have a complaint, postpone the trip. Apply to a healthcare institution.")</f>
        <v>The journey to Istanbul? Watch your health status 7 days without departing. Fever, dry cough, fatigue, sore throat, taste or smell senses, respiratory difficulty, etc. If you have a complaint, postpone the trip. Apply to a healthcare institution.</v>
      </c>
    </row>
    <row r="1963" spans="1:5" ht="15.75" customHeight="1" x14ac:dyDescent="0.25">
      <c r="A1963" s="1" t="s">
        <v>3925</v>
      </c>
      <c r="B1963" s="1">
        <v>6692</v>
      </c>
      <c r="C1963" s="3">
        <v>44137.793773148151</v>
      </c>
      <c r="D1963" s="1" t="s">
        <v>3926</v>
      </c>
      <c r="E1963" s="4" t="str">
        <f ca="1">IFERROR(__xludf.DUMMYFUNCTION("GOOGLETRANSLATE(A1963 , ""tr"" , ""en"")"),"In Istanbul, one of our hospitals focused on the struggle of outbreaks. Dr. By visiting the Feriha Self Emergency Hospital, we reviewed the situation against new case increases. At the point of the point, we are prepared for us, you need to be very carefu"&amp;"l. https://t.co/qppjivbrro")</f>
        <v>In Istanbul, one of our hospitals focused on the struggle of outbreaks. Dr. By visiting the Feriha Self Emergency Hospital, we reviewed the situation against new case increases. At the point of the point, we are prepared for us, you need to be very careful. https://t.co/qppjivbrro</v>
      </c>
    </row>
    <row r="1964" spans="1:5" ht="15.75" customHeight="1" x14ac:dyDescent="0.25">
      <c r="A1964" s="1" t="s">
        <v>3927</v>
      </c>
      <c r="B1964" s="1">
        <v>6245</v>
      </c>
      <c r="C1964" s="3">
        <v>44137.737916666665</v>
      </c>
      <c r="D1964" s="1" t="s">
        <v>3928</v>
      </c>
      <c r="E1964" s="4" t="str">
        <f ca="1">IFERROR(__xludf.DUMMYFUNCTION("GOOGLETRANSLATE(A1964 , ""tr"" , ""en"")"),"Sultangazi Haseki Education and Research Hospital with the Focused Struggle in Istanbul. Dr. By visiting the Murat Dilmener Emergency Hospital, we reviewed the situation again. We need to be very careful together against case increases. https://t.co/v6fql"&amp;"yrcfp")</f>
        <v>Sultangazi Haseki Education and Research Hospital with the Focused Struggle in Istanbul. Dr. By visiting the Murat Dilmener Emergency Hospital, we reviewed the situation again. We need to be very careful together against case increases. https://t.co/v6fqlyrcfp</v>
      </c>
    </row>
    <row r="1965" spans="1:5" ht="15.75" customHeight="1" x14ac:dyDescent="0.25">
      <c r="A1965" s="1" t="s">
        <v>3929</v>
      </c>
      <c r="B1965" s="1">
        <v>21412</v>
      </c>
      <c r="C1965" s="3">
        <v>44137.708703703705</v>
      </c>
      <c r="D1965" s="1" t="s">
        <v>3930</v>
      </c>
      <c r="E1965" s="4" t="str">
        <f ca="1">IFERROR(__xludf.DUMMYFUNCTION("GOOGLETRANSLATE(A1965 , ""tr"" , ""en"")"),"Current conditions in Izmir are very convenient to spread COVID-19. Let's not allow hard days to get harder. The decrease of cases depends on our control. Let's not give new losses due to COVID-19.")</f>
        <v>Current conditions in Izmir are very convenient to spread COVID-19. Let's not allow hard days to get harder. The decrease of cases depends on our control. Let's not give new losses due to COVID-19.</v>
      </c>
    </row>
    <row r="1966" spans="1:5" ht="15.75" customHeight="1" x14ac:dyDescent="0.25">
      <c r="A1966" s="1" t="s">
        <v>3931</v>
      </c>
      <c r="B1966" s="1">
        <v>10527</v>
      </c>
      <c r="C1966" s="3">
        <v>44137.666666666664</v>
      </c>
      <c r="D1966" s="1" t="s">
        <v>3932</v>
      </c>
      <c r="E1966" s="4" t="str">
        <f ca="1">IFERROR(__xludf.DUMMYFUNCTION("GOOGLETRANSLATE(A1966 , ""tr"" , ""en"")"),"We have 2,302 patients identified today. Our severe patient count has reached 2,341, increased by 164 today. We cannot succeed with the sacrifice of health workers only in the fight against outbreak. We should join all together and do not compromise the m"&amp;"easures. https://t.co/rvlhe7786o")</f>
        <v>We have 2,302 patients identified today. Our severe patient count has reached 2,341, increased by 164 today. We cannot succeed with the sacrifice of health workers only in the fight against outbreak. We should join all together and do not compromise the measures. https://t.co/rvlhe7786o</v>
      </c>
    </row>
    <row r="1967" spans="1:5" ht="15.75" customHeight="1" x14ac:dyDescent="0.25">
      <c r="A1967" s="1" t="s">
        <v>3933</v>
      </c>
      <c r="B1967" s="1">
        <v>109196</v>
      </c>
      <c r="C1967" s="3">
        <v>44137.585798611108</v>
      </c>
      <c r="D1967" s="1" t="s">
        <v>3934</v>
      </c>
      <c r="E1967" s="4" t="str">
        <f ca="1">IFERROR(__xludf.DUMMYFUNCTION("GOOGLETRANSLATE(A1967 , ""tr"" , ""en"")"),"After 65 hours, I shared the Saved Elif's health status information for 2 hours ago. Message to those who wonder himself now. https://t.co/6a5y9fsmfc")</f>
        <v>After 65 hours, I shared the Saved Elif's health status information for 2 hours ago. Message to those who wonder himself now. https://t.co/6a5y9fsmfc</v>
      </c>
    </row>
    <row r="1968" spans="1:5" ht="15.75" customHeight="1" x14ac:dyDescent="0.25">
      <c r="A1968" s="1" t="s">
        <v>3935</v>
      </c>
      <c r="B1968" s="1">
        <v>13335</v>
      </c>
      <c r="C1968" s="3">
        <v>44137.554375</v>
      </c>
      <c r="D1968" s="1" t="s">
        <v>3936</v>
      </c>
      <c r="E1968" s="4" t="str">
        <f ca="1">IFERROR(__xludf.DUMMYFUNCTION("GOOGLETRANSLATE(A1968 , ""tr"" , ""en"")"),"Our life loss increased to 91 with newly extracted by debris. 155 people are still under treatment. 10 patients are in intensive care, the state of 3 is heavy. 8 from the hospital removed so far, 8 could not be recovered despite all interventions. The tre"&amp;"atments are completed and the number of people discharged 839.")</f>
        <v>Our life loss increased to 91 with newly extracted by debris. 155 people are still under treatment. 10 patients are in intensive care, the state of 3 is heavy. 8 from the hospital removed so far, 8 could not be recovered despite all interventions. The treatments are completed and the number of people discharged 839.</v>
      </c>
    </row>
    <row r="1969" spans="1:5" ht="15.75" customHeight="1" x14ac:dyDescent="0.25">
      <c r="A1969" s="1" t="s">
        <v>3937</v>
      </c>
      <c r="B1969" s="1">
        <v>12554</v>
      </c>
      <c r="C1969" s="3">
        <v>44137.490868055553</v>
      </c>
      <c r="D1969" s="1" t="s">
        <v>3938</v>
      </c>
      <c r="E1969" s="4" t="str">
        <f ca="1">IFERROR(__xludf.DUMMYFUNCTION("GOOGLETRANSLATE(A1969 , ""tr"" , ""en"")"),"In the October 30 Izmir earthquake, we have 85 life losses so far. The treatment of 220 people is still underway. Our 3 patients are in intensive care. 774 people were discharged by completing treatments.")</f>
        <v>In the October 30 Izmir earthquake, we have 85 life losses so far. The treatment of 220 people is still underway. Our 3 patients are in intensive care. 774 people were discharged by completing treatments.</v>
      </c>
    </row>
    <row r="1970" spans="1:5" ht="15.75" customHeight="1" x14ac:dyDescent="0.25">
      <c r="A1970" s="1" t="s">
        <v>3939</v>
      </c>
      <c r="B1970" s="1">
        <v>24839</v>
      </c>
      <c r="C1970" s="3">
        <v>44137.481030092589</v>
      </c>
      <c r="D1970" s="1" t="s">
        <v>3940</v>
      </c>
      <c r="E1970" s="4" t="str">
        <f ca="1">IFERROR(__xludf.DUMMYFUNCTION("GOOGLETRANSLATE(A1970 , ""tr"" , ""en"")"),"The idil is cute. Recovered after 55 hours. 14 years old. Health status: Awareness clear, vital functions in place, kidney functions are normal. It is being followed in intense care for long-standing and stuck under the debris. Not fractured in the spine "&amp;"in the examination.")</f>
        <v>The idil is cute. Recovered after 55 hours. 14 years old. Health status: Awareness clear, vital functions in place, kidney functions are normal. It is being followed in intense care for long-standing and stuck under the debris. Not fractured in the spine in the examination.</v>
      </c>
    </row>
    <row r="1971" spans="1:5" ht="15.75" customHeight="1" x14ac:dyDescent="0.25">
      <c r="A1971" s="1" t="s">
        <v>3941</v>
      </c>
      <c r="B1971" s="1">
        <v>67748</v>
      </c>
      <c r="C1971" s="3">
        <v>44137.472615740742</v>
      </c>
      <c r="D1971" s="1" t="s">
        <v>3942</v>
      </c>
      <c r="E1971" s="4" t="str">
        <f ca="1">IFERROR(__xludf.DUMMYFUNCTION("GOOGLETRANSLATE(A1971 , ""tr"" , ""en"")"),"Elif perinçek. Recovered after 65 hours. 3 years old. Health status: Awareness is an open, serious muscle crushing or fracture. It is being followed in intense care for long-standing and stuck under the debris. The situation of the two sister is well.")</f>
        <v>Elif perinçek. Recovered after 65 hours. 3 years old. Health status: Awareness is an open, serious muscle crushing or fracture. It is being followed in intense care for long-standing and stuck under the debris. The situation of the two sister is well.</v>
      </c>
    </row>
    <row r="1972" spans="1:5" ht="15.75" customHeight="1" x14ac:dyDescent="0.25">
      <c r="A1972" s="1" t="s">
        <v>3943</v>
      </c>
      <c r="B1972" s="1">
        <v>59193</v>
      </c>
      <c r="C1972" s="3">
        <v>44137.422222222223</v>
      </c>
      <c r="D1972" s="1" t="s">
        <v>3944</v>
      </c>
      <c r="E1972" s="4" t="str">
        <f ca="1">IFERROR(__xludf.DUMMYFUNCTION("GOOGLETRANSLATE(A1972 , ""tr"" , ""en"")"),"After 65 hours!
We thank Elif and our rescue teams. https://t.co/gmxo5pnayf")</f>
        <v>After 65 hours!
We thank Elif and our rescue teams. https://t.co/gmxo5pnayf</v>
      </c>
    </row>
    <row r="1973" spans="1:5" ht="15.75" customHeight="1" x14ac:dyDescent="0.25">
      <c r="A1973" s="1" t="s">
        <v>3945</v>
      </c>
      <c r="B1973" s="1">
        <v>71736</v>
      </c>
      <c r="C1973" s="3">
        <v>44137.2653125</v>
      </c>
      <c r="D1973" s="1" t="s">
        <v>3946</v>
      </c>
      <c r="E1973" s="4" t="str">
        <f ca="1">IFERROR(__xludf.DUMMYFUNCTION("GOOGLETRANSLATE(A1973 , ""tr"" , ""en"")"),"Life has earned one more time.
Following our idyll girl, our 3-year-old elif girl returning to us after 65 hours, said Hi to life again. You have the hope and strength to struggle with life. We are grateful to our teams. https://t.co/Ukl6kqv2wg")</f>
        <v>Life has earned one more time.
Following our idyll girl, our 3-year-old elif girl returning to us after 65 hours, said Hi to life again. You have the hope and strength to struggle with life. We are grateful to our teams. https://t.co/Ukl6kqv2wg</v>
      </c>
    </row>
    <row r="1974" spans="1:5" ht="15.75" customHeight="1" x14ac:dyDescent="0.25">
      <c r="A1974" s="1" t="s">
        <v>3947</v>
      </c>
      <c r="B1974" s="1">
        <v>15114</v>
      </c>
      <c r="C1974" s="3">
        <v>44136.666597222225</v>
      </c>
      <c r="D1974" s="1" t="s">
        <v>3948</v>
      </c>
      <c r="E1974" s="4" t="str">
        <f ca="1">IFERROR(__xludf.DUMMYFUNCTION("GOOGLETRANSLATE(A1974 , ""tr"" , ""en"")"),"We have 2,106 patients identified today. The rise in the number of severe patients continued today. We have to lower the number of severe patients. Our health personnel are working with ordinary sacrifice in each usual state. Follow the measures to suppor"&amp;"t them. https://t.co/rvlhe7786o")</f>
        <v>We have 2,106 patients identified today. The rise in the number of severe patients continued today. We have to lower the number of severe patients. Our health personnel are working with ordinary sacrifice in each usual state. Follow the measures to support them. https://t.co/rvlhe7786o</v>
      </c>
    </row>
    <row r="1975" spans="1:5" ht="15.75" customHeight="1" x14ac:dyDescent="0.25">
      <c r="A1975" s="1" t="s">
        <v>3949</v>
      </c>
      <c r="B1975" s="1">
        <v>12936</v>
      </c>
      <c r="C1975" s="3">
        <v>44136.607245370367</v>
      </c>
      <c r="D1975" s="1" t="s">
        <v>3950</v>
      </c>
      <c r="E1975" s="4" t="str">
        <f ca="1">IFERROR(__xludf.DUMMYFUNCTION("GOOGLETRANSLATE(A1975 , ""tr"" , ""en"")"),"Studies continue in the wreck of 8 building. Our Afad, Umke and other official teams have saved the lives of 104 people so far. People who are not yet to be reached, perhaps the recovery is still possible. We have received information from our friends. Ou"&amp;"r hope is life to favor. https://t.co.co5k9fxskx")</f>
        <v>Studies continue in the wreck of 8 building. Our Afad, Umke and other official teams have saved the lives of 104 people so far. People who are not yet to be reached, perhaps the recovery is still possible. We have received information from our friends. Our hope is life to favor. https://t.co.co5k9fxskx</v>
      </c>
    </row>
    <row r="1976" spans="1:5" ht="15.75" customHeight="1" x14ac:dyDescent="0.25">
      <c r="A1976" s="1" t="s">
        <v>3951</v>
      </c>
      <c r="B1976" s="1">
        <v>6083</v>
      </c>
      <c r="C1976" s="3">
        <v>44136.522685185184</v>
      </c>
      <c r="D1976" s="1" t="s">
        <v>3952</v>
      </c>
      <c r="E1976" s="4" t="str">
        <f ca="1">IFERROR(__xludf.DUMMYFUNCTION("GOOGLETRANSLATE(A1976 , ""tr"" , ""en"")"),"Our lost patients and discharged patients with the recent information: https://t.co/dx4vusscuc")</f>
        <v>Our lost patients and discharged patients with the recent information: https://t.co/dx4vusscuc</v>
      </c>
    </row>
    <row r="1977" spans="1:5" ht="15.75" customHeight="1" x14ac:dyDescent="0.25">
      <c r="A1977" s="1" t="s">
        <v>3953</v>
      </c>
      <c r="B1977" s="1">
        <v>11930</v>
      </c>
      <c r="C1977" s="3">
        <v>44136.487175925926</v>
      </c>
      <c r="D1977" s="1" t="s">
        <v>3954</v>
      </c>
      <c r="E1977" s="4" t="str">
        <f ca="1">IFERROR(__xludf.DUMMYFUNCTION("GOOGLETRANSLATE(A1977 , ""tr"" , ""en"")"),"Last night we've visited our uncle of the Ahmet fence recovered while over 01.00 waters, 34 hours over the earthquake. We were next to the first medical intervention at the scene. The general situation is good. It will be even better in a short period of "&amp;"time. https://t.co/8uvd5gyfk8")</f>
        <v>Last night we've visited our uncle of the Ahmet fence recovered while over 01.00 waters, 34 hours over the earthquake. We were next to the first medical intervention at the scene. The general situation is good. It will be even better in a short period of time. https://t.co/8uvd5gyfk8</v>
      </c>
    </row>
    <row r="1978" spans="1:5" ht="15.75" customHeight="1" x14ac:dyDescent="0.25">
      <c r="A1978" s="1" t="s">
        <v>3955</v>
      </c>
      <c r="B1978" s="1">
        <v>38744</v>
      </c>
      <c r="C1978" s="3">
        <v>44136.480462962965</v>
      </c>
      <c r="D1978" s="1" t="s">
        <v>3956</v>
      </c>
      <c r="E1978" s="4" t="str">
        <f ca="1">IFERROR(__xludf.DUMMYFUNCTION("GOOGLETRANSLATE(A1978 , ""tr"" , ""en"")"),"The COVID-19 test of the Süleyman Sütman is positively came out. We have seen a lot of support along the pandemia. Staying away from the site will rest for a while, although not suitable to the spirit of challenge. Fighting the virus is an easy struggle f"&amp;"or him. The past get precious brother.")</f>
        <v>The COVID-19 test of the Süleyman Sütman is positively came out. We have seen a lot of support along the pandemia. Staying away from the site will rest for a while, although not suitable to the spirit of challenge. Fighting the virus is an easy struggle for him. The past get precious brother.</v>
      </c>
    </row>
    <row r="1979" spans="1:5" ht="15.75" customHeight="1" x14ac:dyDescent="0.25">
      <c r="A1979" s="1" t="s">
        <v>3957</v>
      </c>
      <c r="B1979" s="1">
        <v>6574</v>
      </c>
      <c r="C1979" s="3">
        <v>44136.452175925922</v>
      </c>
      <c r="D1979" s="1" t="s">
        <v>3958</v>
      </c>
      <c r="E1979" s="4" t="str">
        <f ca="1">IFERROR(__xludf.DUMMYFUNCTION("GOOGLETRANSLATE(A1979 , ""tr"" , ""en"")"),"In the earthquake Izmir Buca Seyfi Demirsoy Hospital building was also partially damaged. We immediately evacuated this section. We are standing on the alternative action plans to produce solutions in the same place and maintain our services in the same p"&amp;"lace. Will not be in disruption. https://t.co/uiicjgrmhe")</f>
        <v>In the earthquake Izmir Buca Seyfi Demirsoy Hospital building was also partially damaged. We immediately evacuated this section. We are standing on the alternative action plans to produce solutions in the same place and maintain our services in the same place. Will not be in disruption. https://t.co/uiicjgrmhe</v>
      </c>
    </row>
    <row r="1980" spans="1:5" ht="15.75" customHeight="1" x14ac:dyDescent="0.25">
      <c r="A1980" s="1" t="s">
        <v>3959</v>
      </c>
      <c r="B1980" s="1">
        <v>18344</v>
      </c>
      <c r="C1980" s="3">
        <v>44136.444861111115</v>
      </c>
      <c r="D1980" s="1" t="s">
        <v>3960</v>
      </c>
      <c r="E1980" s="4" t="str">
        <f ca="1">IFERROR(__xludf.DUMMYFUNCTION("GOOGLETRANSLATE(A1980 , ""tr"" , ""en"")"),"We have joined the Funeral of Halil Berk Öztürk. I wish his family again. May Allah mitigate their pain, don't give anyone of our adoption. https://t.co/kgky0fqv9I")</f>
        <v>We have joined the Funeral of Halil Berk Öztürk. I wish his family again. May Allah mitigate their pain, don't give anyone of our adoption. https://t.co/kgky0fqv9I</v>
      </c>
    </row>
    <row r="1981" spans="1:5" ht="15.75" customHeight="1" x14ac:dyDescent="0.25">
      <c r="A1981" s="1" t="s">
        <v>3961</v>
      </c>
      <c r="B1981" s="1">
        <v>5748</v>
      </c>
      <c r="C1981" s="3">
        <v>44136.351759259262</v>
      </c>
      <c r="D1981" s="1" t="s">
        <v>3962</v>
      </c>
      <c r="E1981" s="4" t="str">
        <f ca="1">IFERROR(__xludf.DUMMYFUNCTION("GOOGLETRANSLATE(A1981 , ""tr"" , ""en"")"),"Our CAN Losses in the Earthquake, Continued Patients, Health Services and Rescue Studies About our Health Services and Rescue Studies: Https://t.co/nxwec8a3ec")</f>
        <v>Our CAN Losses in the Earthquake, Continued Patients, Health Services and Rescue Studies About our Health Services and Rescue Studies: Https://t.co/nxwec8a3ec</v>
      </c>
    </row>
    <row r="1982" spans="1:5" ht="15.75" customHeight="1" x14ac:dyDescent="0.25">
      <c r="A1982" s="1" t="s">
        <v>3963</v>
      </c>
      <c r="B1982" s="1">
        <v>33086</v>
      </c>
      <c r="C1982" s="3">
        <v>44136.234317129631</v>
      </c>
      <c r="D1982" s="1" t="s">
        <v>3964</v>
      </c>
      <c r="E1982" s="4" t="str">
        <f ca="1">IFERROR(__xludf.DUMMYFUNCTION("GOOGLETRANSLATE(A1982 , ""tr"" , ""en"")"),"Our reputable politician, Lawbery brother Professor We lost Burhan Lamb with COVID-19 to be treated since October 17. I wish himself to the mercy, the family and our condolences from Allah. The epidemic continues to distinguish us from our relatives, unal"&amp;"loyed people. https://t.co/kughI2ylua")</f>
        <v>Our reputable politician, Lawbery brother Professor We lost Burhan Lamb with COVID-19 to be treated since October 17. I wish himself to the mercy, the family and our condolences from Allah. The epidemic continues to distinguish us from our relatives, unalloyed people. https://t.co/kughI2ylua</v>
      </c>
    </row>
    <row r="1983" spans="1:5" ht="15.75" customHeight="1" x14ac:dyDescent="0.25">
      <c r="A1983" s="1" t="s">
        <v>3965</v>
      </c>
      <c r="B1983" s="1">
        <v>28650</v>
      </c>
      <c r="C1983" s="3">
        <v>44136.027557870373</v>
      </c>
      <c r="D1983" s="1" t="s">
        <v>3966</v>
      </c>
      <c r="E1983" s="4" t="str">
        <f ca="1">IFERROR(__xludf.DUMMYFUNCTION("GOOGLETRANSLATE(A1983 , ""tr"" , ""en"")"),"Life has earned one more time. Tonight at 01.00 waters, full 34 hours from the earthquake, our 70-year-old Ahmet Uncle managed to be right out of the ruins of Umke teams. The past get Ahmet Uncle. Thank you for your promise that makes us happy: ""I have n"&amp;"ever lost hope."" https://t.co/nwnbs0xozc")</f>
        <v>Life has earned one more time. Tonight at 01.00 waters, full 34 hours from the earthquake, our 70-year-old Ahmet Uncle managed to be right out of the ruins of Umke teams. The past get Ahmet Uncle. Thank you for your promise that makes us happy: "I have never lost hope." https://t.co/nwnbs0xozc</v>
      </c>
    </row>
    <row r="1984" spans="1:5" ht="15.75" customHeight="1" x14ac:dyDescent="0.25">
      <c r="A1984" s="1" t="s">
        <v>3967</v>
      </c>
      <c r="B1984" s="1">
        <v>6793</v>
      </c>
      <c r="C1984" s="3">
        <v>44135.971956018519</v>
      </c>
      <c r="D1984" s="1" t="s">
        <v>3968</v>
      </c>
      <c r="E1984" s="4" t="str">
        <f ca="1">IFERROR(__xludf.DUMMYFUNCTION("GOOGLETRANSLATE(A1984 , ""tr"" , ""en"")"),"At the meeting in the 112 emergency command center, we assessed the situation with our working friends who work in the management of disaster process. About 35 hours passed over the earthquake. For all things that can be done right now, we have consultati"&amp;"ons on their action plans. https://t.co/bgf3xb71ur")</f>
        <v>At the meeting in the 112 emergency command center, we assessed the situation with our working friends who work in the management of disaster process. About 35 hours passed over the earthquake. For all things that can be done right now, we have consultations on their action plans. https://t.co/bgf3xb71ur</v>
      </c>
    </row>
    <row r="1985" spans="1:5" ht="15.75" customHeight="1" x14ac:dyDescent="0.25">
      <c r="A1985" s="1" t="s">
        <v>3969</v>
      </c>
      <c r="B1985" s="1">
        <v>13852</v>
      </c>
      <c r="C1985" s="3">
        <v>44135.923738425925</v>
      </c>
      <c r="D1985" s="1" t="s">
        <v>3970</v>
      </c>
      <c r="E1985" s="4" t="str">
        <f ca="1">IFERROR(__xludf.DUMMYFUNCTION("GOOGLETRANSLATE(A1985 , ""tr"" , ""en"")"),"We have visited our recovery teams, communication by communicating by telephone and that we visited the Buse House, which he removed from under the debris and offered our wishes. We have listened to what you feel in those moments, we have received informa"&amp;"tion about the situation. Thank everyone who is concerned about himself. https://t.co/2dmhpt55ln")</f>
        <v>We have visited our recovery teams, communication by communicating by telephone and that we visited the Buse House, which he removed from under the debris and offered our wishes. We have listened to what you feel in those moments, we have received information about the situation. Thank everyone who is concerned about himself. https://t.co/2dmhpt55ln</v>
      </c>
    </row>
    <row r="1986" spans="1:5" ht="15.75" customHeight="1" x14ac:dyDescent="0.25">
      <c r="A1986" s="1" t="s">
        <v>3971</v>
      </c>
      <c r="B1986" s="1">
        <v>27908</v>
      </c>
      <c r="C1986" s="3">
        <v>44135.912800925929</v>
      </c>
      <c r="D1986" s="1" t="s">
        <v>3972</v>
      </c>
      <c r="E1986" s="4" t="str">
        <f ca="1">IFERROR(__xludf.DUMMYFUNCTION("GOOGLETRANSLATE(A1986 , ""tr"" , ""en"")"),"With Edanur from Umke team, we visited the pearl they recover from the underbridge. In recovery moments, the speeches between them had sent us all of us. Pearl's condition is good, the treatment will last for a while. Thank you for your historical wishes."&amp;" https://t.co/y8serpvfuv")</f>
        <v>With Edanur from Umke team, we visited the pearl they recover from the underbridge. In recovery moments, the speeches between them had sent us all of us. Pearl's condition is good, the treatment will last for a while. Thank you for your historical wishes. https://t.co/y8serpvfuv</v>
      </c>
    </row>
    <row r="1987" spans="1:5" ht="15.75" customHeight="1" x14ac:dyDescent="0.25">
      <c r="A1987" s="1" t="s">
        <v>3973</v>
      </c>
      <c r="B1987" s="1">
        <v>14954</v>
      </c>
      <c r="C1987" s="3">
        <v>44135.753032407411</v>
      </c>
      <c r="D1987" s="1" t="s">
        <v>3974</v>
      </c>
      <c r="E1987" s="4" t="str">
        <f ca="1">IFERROR(__xludf.DUMMYFUNCTION("GOOGLETRANSLATE(A1987 , ""tr"" , ""en"")"),"Treatments have visited the investigating earthquake. 218 people are still in our hospitals. 667 people were discharged. Our hospital staff shows an extraordinary performance. I offer all my patients with my wishes again. https://t.co/eon6fpa7rr")</f>
        <v>Treatments have visited the investigating earthquake. 218 people are still in our hospitals. 667 people were discharged. Our hospital staff shows an extraordinary performance. I offer all my patients with my wishes again. https://t.co/eon6fpa7rr</v>
      </c>
    </row>
    <row r="1988" spans="1:5" ht="15.75" customHeight="1" x14ac:dyDescent="0.25">
      <c r="A1988" s="1" t="s">
        <v>3975</v>
      </c>
      <c r="B1988" s="1">
        <v>0</v>
      </c>
      <c r="C1988" s="3">
        <v>44135.734953703701</v>
      </c>
      <c r="D1988" s="1" t="s">
        <v>3976</v>
      </c>
      <c r="E1988" s="4" t="str">
        <f ca="1">IFERROR(__xludf.DUMMYFUNCTION("GOOGLETRANSLATE(A1988 , ""tr"" , ""en"")"),"RT @tcbestepe: President Erdogan makes explanations in Izmir HTTPS://T.CO/WPSM4PZIGC")</f>
        <v>RT @tcbestepe: President Erdogan makes explanations in Izmir HTTPS://T.CO/WPSM4PZIGC</v>
      </c>
    </row>
    <row r="1989" spans="1:5" ht="15.75" customHeight="1" x14ac:dyDescent="0.25">
      <c r="A1989" s="1" t="s">
        <v>3977</v>
      </c>
      <c r="B1989" s="1">
        <v>10764</v>
      </c>
      <c r="C1989" s="3">
        <v>44135.67328703704</v>
      </c>
      <c r="D1989" s="1" t="s">
        <v>3978</v>
      </c>
      <c r="E1989" s="4" t="str">
        <f ca="1">IFERROR(__xludf.DUMMYFUNCTION("GOOGLETRANSLATE(A1989 , ""tr"" , ""en"")"),"112 Emergency Aid Teams and Umke Tims are in Izmir to care for the work of our Tims and to take care of our health services. We will continue to do everything we can to give you good news. https://t.co/ykawonc0pv")</f>
        <v>112 Emergency Aid Teams and Umke Tims are in Izmir to care for the work of our Tims and to take care of our health services. We will continue to do everything we can to give you good news. https://t.co/ykawonc0pv</v>
      </c>
    </row>
    <row r="1990" spans="1:5" ht="15.75" customHeight="1" x14ac:dyDescent="0.25">
      <c r="A1990" s="1" t="s">
        <v>3979</v>
      </c>
      <c r="B1990" s="1">
        <v>11747</v>
      </c>
      <c r="C1990" s="3">
        <v>44135.666863425926</v>
      </c>
      <c r="D1990" s="1" t="s">
        <v>3980</v>
      </c>
      <c r="E1990" s="4" t="str">
        <f ca="1">IFERROR(__xludf.DUMMYFUNCTION("GOOGLETRANSLATE(A1990 , ""tr"" , ""en"")"),"We have 2,213 new patients identified today. Our heavy patient count increased about 5% in one day. This indicates that we need to increase our sensitivity to the fight against outbreak. We have to lower theme to a third. Give strength to the challenge. h"&amp;"ttps://t.co/rvlhe7786o")</f>
        <v>We have 2,213 new patients identified today. Our heavy patient count increased about 5% in one day. This indicates that we need to increase our sensitivity to the fight against outbreak. We have to lower theme to a third. Give strength to the challenge. https://t.co/rvlhe7786o</v>
      </c>
    </row>
    <row r="1991" spans="1:5" ht="15.75" customHeight="1" x14ac:dyDescent="0.25">
      <c r="A1991" s="1" t="s">
        <v>3981</v>
      </c>
      <c r="B1991" s="1">
        <v>18624</v>
      </c>
      <c r="C1991" s="3">
        <v>44135.530810185184</v>
      </c>
      <c r="D1991" s="1" t="s">
        <v>3982</v>
      </c>
      <c r="E1991" s="4" t="str">
        <f ca="1">IFERROR(__xludf.DUMMYFUNCTION("GOOGLETRANSLATE(A1991 , ""tr"" , ""en"")"),"We have 28 loss. The 3 of the heavy 7 people are in intensive care, 243 people are still treated. 642 Treatment of the people is completed. 112 Emergency assistance teams, Umke Tims, ambulances and hospitals, we are at the head in Izmir to reduce our pain"&amp;".")</f>
        <v>We have 28 loss. The 3 of the heavy 7 people are in intensive care, 243 people are still treated. 642 Treatment of the people is completed. 112 Emergency assistance teams, Umke Tims, ambulances and hospitals, we are at the head in Izmir to reduce our pain.</v>
      </c>
    </row>
    <row r="1992" spans="1:5" ht="15.75" customHeight="1" x14ac:dyDescent="0.25">
      <c r="A1992" s="1" t="s">
        <v>3983</v>
      </c>
      <c r="B1992" s="1">
        <v>91359</v>
      </c>
      <c r="C1992" s="3">
        <v>44135.477743055555</v>
      </c>
      <c r="D1992" s="1" t="s">
        <v>3984</v>
      </c>
      <c r="E1992" s="4" t="str">
        <f ca="1">IFERROR(__xludf.DUMMYFUNCTION("GOOGLETRANSLATE(A1992 , ""tr"" , ""en"")"),"Umke Staff Eda: We'll go out in a moment with you, your mother is waiting for us.
""I have hope and will always be!"" https://t.co/v6kebtly5I")</f>
        <v>Umke Staff Eda: We'll go out in a moment with you, your mother is waiting for us.
"I have hope and will always be!" https://t.co/v6kebtly5I</v>
      </c>
    </row>
    <row r="1993" spans="1:5" ht="15.75" customHeight="1" x14ac:dyDescent="0.25">
      <c r="A1993" s="1" t="s">
        <v>3985</v>
      </c>
      <c r="B1993" s="1">
        <v>25190</v>
      </c>
      <c r="C1993" s="3">
        <v>44135.442175925928</v>
      </c>
      <c r="D1993" s="1" t="s">
        <v>3986</v>
      </c>
      <c r="E1993" s="4" t="str">
        <f ca="1">IFERROR(__xludf.DUMMYFUNCTION("GOOGLETRANSLATE(A1993 , ""tr"" , ""en"")"),"We have 26 losses. 25 In intensive care, 381 people are still treated. 4 surgery resulted in more successful. The treatment of 504 people is completed. 112 Emergency Aid Crews, Umke Tims, Ambulances and Hospitals, we are at the head in Izmir to reduce our"&amp;" pain")</f>
        <v>We have 26 losses. 25 In intensive care, 381 people are still treated. 4 surgery resulted in more successful. The treatment of 504 people is completed. 112 Emergency Aid Crews, Umke Tims, Ambulances and Hospitals, we are at the head in Izmir to reduce our pain</v>
      </c>
    </row>
    <row r="1994" spans="1:5" ht="15.75" customHeight="1" x14ac:dyDescent="0.25">
      <c r="A1994" s="1" t="s">
        <v>3987</v>
      </c>
      <c r="B1994" s="1">
        <v>12474</v>
      </c>
      <c r="C1994" s="3">
        <v>44135.253599537034</v>
      </c>
      <c r="D1994" s="1" t="s">
        <v>3988</v>
      </c>
      <c r="E1994" s="4" t="str">
        <f ca="1">IFERROR(__xludf.DUMMYFUNCTION("GOOGLETRANSLATE(A1994 , ""tr"" , ""en"")"),"Look for Alo 184 for your relatives
For your relatives you think may be damaged in the earthquake, call the 184 Sabim Lines of our Ministry. If we are under our treatment, find out their health status and what hospital. https://t.co/vyfy1peura")</f>
        <v>Look for Alo 184 for your relatives
For your relatives you think may be damaged in the earthquake, call the 184 Sabim Lines of our Ministry. If we are under our treatment, find out their health status and what hospital. https://t.co/vyfy1peura</v>
      </c>
    </row>
    <row r="1995" spans="1:5" ht="15.75" customHeight="1" x14ac:dyDescent="0.25">
      <c r="A1995" s="1" t="s">
        <v>3989</v>
      </c>
      <c r="B1995" s="1">
        <v>40243</v>
      </c>
      <c r="C1995" s="3">
        <v>44134.964699074073</v>
      </c>
      <c r="D1995" s="1" t="s">
        <v>3990</v>
      </c>
      <c r="E1995" s="4" t="str">
        <f ca="1">IFERROR(__xludf.DUMMYFUNCTION("GOOGLETRANSLATE(A1995 , ""tr"" , ""en"")"),"We have 21 life loss, 435 people are still treated. 25 In intensive care, 9 surgery continues. 364 The treatment of the people was completed by completing.
112 Emergency assistance teams, Umke Tims, ambulances and hospitals, we are at the head in Izmir to"&amp;" reduce our pain.")</f>
        <v>We have 21 life loss, 435 people are still treated. 25 In intensive care, 9 surgery continues. 364 The treatment of the people was completed by completing.
112 Emergency assistance teams, Umke Tims, ambulances and hospitals, we are at the head in Izmir to reduce our pain.</v>
      </c>
    </row>
    <row r="1996" spans="1:5" ht="15.75" customHeight="1" x14ac:dyDescent="0.25">
      <c r="A1996" s="1" t="s">
        <v>3991</v>
      </c>
      <c r="B1996" s="1">
        <v>19762</v>
      </c>
      <c r="C1996" s="3">
        <v>44134.954224537039</v>
      </c>
      <c r="D1996" s="1" t="s">
        <v>3992</v>
      </c>
      <c r="E1996" s="4" t="str">
        <f ca="1">IFERROR(__xludf.DUMMYFUNCTION("GOOGLETRANSLATE(A1996 , ""tr"" , ""en"")"),"""I have hope and will always be!"" https://t.co/zatfnt3df2")</f>
        <v>"I have hope and will always be!" https://t.co/zatfnt3df2</v>
      </c>
    </row>
    <row r="1997" spans="1:5" ht="15.75" customHeight="1" x14ac:dyDescent="0.25">
      <c r="A1997" s="1" t="s">
        <v>3993</v>
      </c>
      <c r="B1997" s="1">
        <v>30575</v>
      </c>
      <c r="C1997" s="3">
        <v>44134.942488425928</v>
      </c>
      <c r="D1997" s="1" t="s">
        <v>3994</v>
      </c>
      <c r="E1997" s="4" t="str">
        <f ca="1">IFERROR(__xludf.DUMMYFUNCTION("GOOGLETRANSLATE(A1997 , ""tr"" , ""en"")"),"""I have hope and will always be!"" https://t.co/lhslb3pdsi")</f>
        <v>"I have hope and will always be!" https://t.co/lhslb3pdsi</v>
      </c>
    </row>
    <row r="1998" spans="1:5" ht="15.75" customHeight="1" x14ac:dyDescent="0.25">
      <c r="A1998" s="1" t="s">
        <v>3995</v>
      </c>
      <c r="B1998" s="1">
        <v>19222</v>
      </c>
      <c r="C1998" s="3">
        <v>44134.868796296294</v>
      </c>
      <c r="D1998" s="1" t="s">
        <v>3996</v>
      </c>
      <c r="E1998" s="4" t="str">
        <f ca="1">IFERROR(__xludf.DUMMYFUNCTION("GOOGLETRANSLATE(A1998 , ""tr"" , ""en"")"),"112 Emergency and Umke Tims attendance 832 professionals, can rescue and continue their work to give emergency health services to the injured. There is no responsibility that we cannot afford to reduce this pain. We are next to the Izmir people with all o"&amp;"ur support. https://t.co/nexkhsqtfh")</f>
        <v>112 Emergency and Umke Tims attendance 832 professionals, can rescue and continue their work to give emergency health services to the injured. There is no responsibility that we cannot afford to reduce this pain. We are next to the Izmir people with all our support. https://t.co/nexkhsqtfh</v>
      </c>
    </row>
    <row r="1999" spans="1:5" ht="15.75" customHeight="1" x14ac:dyDescent="0.25">
      <c r="A1999" s="1" t="s">
        <v>3997</v>
      </c>
      <c r="B1999" s="1">
        <v>7336</v>
      </c>
      <c r="C1999" s="3">
        <v>44134.849247685182</v>
      </c>
      <c r="D1999" s="1" t="s">
        <v>3998</v>
      </c>
      <c r="E1999" s="4" t="str">
        <f ca="1">IFERROR(__xludf.DUMMYFUNCTION("GOOGLETRANSLATE(A1999 , ""tr"" , ""en"")"),"Our President is SN. Prof. Dr. Recep Tayyip Erdogan's Himayas. Dr. Saint Sancar Science, Service and Incentive Rewards Program. https://t.co/fdcw6uiguj")</f>
        <v>Our President is SN. Prof. Dr. Recep Tayyip Erdogan's Himayas. Dr. Saint Sancar Science, Service and Incentive Rewards Program. https://t.co/fdcw6uiguj</v>
      </c>
    </row>
    <row r="2000" spans="1:5" ht="15.75" customHeight="1" x14ac:dyDescent="0.25">
      <c r="A2000" s="1" t="s">
        <v>3999</v>
      </c>
      <c r="B2000" s="1">
        <v>6771</v>
      </c>
      <c r="C2000" s="3">
        <v>44134.811203703706</v>
      </c>
      <c r="D2000" s="1" t="s">
        <v>4000</v>
      </c>
      <c r="E2000" s="4" t="str">
        <f ca="1">IFERROR(__xludf.DUMMYFUNCTION("GOOGLETRANSLATE(A2000 , ""tr"" , ""en"")"),"Ankara, Bursa and Denizli Provincial Provincial Health Management with the video conference method. We have evaluated the point of the patient burden in the fight against the outbreak, we have evaluated the patient burden in three provinces, filliation st"&amp;"udies and bed capacities. https://t.co/cpiglxlp8q")</f>
        <v>Ankara, Bursa and Denizli Provincial Provincial Health Management with the video conference method. We have evaluated the point of the patient burden in the fight against the outbreak, we have evaluated the patient burden in three provinces, filliation studies and bed capacities. https://t.co/cpiglxlp8q</v>
      </c>
    </row>
    <row r="2001" spans="1:5" ht="15.75" customHeight="1" x14ac:dyDescent="0.25">
      <c r="A2001" s="1" t="s">
        <v>4001</v>
      </c>
      <c r="B2001" s="1">
        <v>4355</v>
      </c>
      <c r="C2001" s="3">
        <v>44134.792951388888</v>
      </c>
      <c r="D2001" s="1" t="s">
        <v>4002</v>
      </c>
      <c r="E2001" s="4" t="str">
        <f ca="1">IFERROR(__xludf.DUMMYFUNCTION("GOOGLETRANSLATE(A2001 , ""tr"" , ""en"")"),"4. The Turkish Council of Health Science Board Meeting is the Secretary General in Amrayev, Hungary State Minister Lorinczi, Azerbaijan Health About YRD. Agayev, WHO European Director Kluge, Kazakhstan, Kyrgyzstan, Uzbekistan Health Ministers Tsoy, Sadird"&amp;"inovich, Sadmanov. https://t.co/a9nubiqh0v")</f>
        <v>4. The Turkish Council of Health Science Board Meeting is the Secretary General in Amrayev, Hungary State Minister Lorinczi, Azerbaijan Health About YRD. Agayev, WHO European Director Kluge, Kazakhstan, Kyrgyzstan, Uzbekistan Health Ministers Tsoy, Sadirdinovich, Sadmanov. https://t.co/a9nubiqh0v</v>
      </c>
    </row>
    <row r="2002" spans="1:5" ht="15.75" customHeight="1" x14ac:dyDescent="0.25">
      <c r="A2002" s="1" t="s">
        <v>4003</v>
      </c>
      <c r="B2002" s="1">
        <v>0</v>
      </c>
      <c r="C2002" s="3">
        <v>44134.788506944446</v>
      </c>
      <c r="D2002" s="1" t="s">
        <v>4004</v>
      </c>
      <c r="E2002" s="4" t="str">
        <f ca="1">IFERROR(__xludf.DUMMYFUNCTION("GOOGLETRANSLATE(A2002 , ""tr"" , ""en"")"),"RT @rterdogan: Professor Dr. Saint Sancar Science, Services and Incentive Rewards Ceremony https://t.co/opzzdcıvqv")</f>
        <v>RT @rterdogan: Professor Dr. Saint Sancar Science, Services and Incentive Rewards Ceremony https://t.co/opzzdcıvqv</v>
      </c>
    </row>
    <row r="2003" spans="1:5" ht="15.75" customHeight="1" x14ac:dyDescent="0.25">
      <c r="A2003" s="1" t="s">
        <v>4005</v>
      </c>
      <c r="B2003" s="1">
        <v>4321</v>
      </c>
      <c r="C2003" s="3">
        <v>44134.673784722225</v>
      </c>
      <c r="D2003" s="1" t="s">
        <v>4006</v>
      </c>
      <c r="E2003" s="4" t="str">
        <f ca="1">IFERROR(__xludf.DUMMYFUNCTION("GOOGLETRANSLATE(A2003 , ""tr"" , ""en"")"),"4. The Turkish Council of Health Science Board Meeting is the opening speech https://t.co/xhlye4p9rn")</f>
        <v>4. The Turkish Council of Health Science Board Meeting is the opening speech https://t.co/xhlye4p9rn</v>
      </c>
    </row>
    <row r="2004" spans="1:5" ht="15.75" customHeight="1" x14ac:dyDescent="0.25">
      <c r="A2004" s="1" t="s">
        <v>4007</v>
      </c>
      <c r="B2004" s="1">
        <v>13339</v>
      </c>
      <c r="C2004" s="3">
        <v>44134.666238425925</v>
      </c>
      <c r="D2004" s="1" t="s">
        <v>4008</v>
      </c>
      <c r="E2004" s="4" t="str">
        <f ca="1">IFERROR(__xludf.DUMMYFUNCTION("GOOGLETRANSLATE(A2004 , ""tr"" , ""en"")"),"We have 2,322 new patients identified today. Our severe patient count approached 2,000. The fight against the epidemic is undergoing both individual and collective measures. We have to reduce mobility to one third if we want to get fewer patients than tod"&amp;"ay. https://t.co/rvlhe7786o")</f>
        <v>We have 2,322 new patients identified today. Our severe patient count approached 2,000. The fight against the epidemic is undergoing both individual and collective measures. We have to reduce mobility to one third if we want to get fewer patients than today. https://t.co/rvlhe7786o</v>
      </c>
    </row>
    <row r="2005" spans="1:5" ht="15.75" customHeight="1" x14ac:dyDescent="0.25">
      <c r="A2005" s="1" t="s">
        <v>4009</v>
      </c>
      <c r="B2005" s="1">
        <v>63711</v>
      </c>
      <c r="C2005" s="3">
        <v>44134.578043981484</v>
      </c>
      <c r="D2005" s="1" t="s">
        <v>4010</v>
      </c>
      <c r="E2005" s="4" t="str">
        <f ca="1">IFERROR(__xludf.DUMMYFUNCTION("GOOGLETRANSLATE(A2005 , ""tr"" , ""en"")"),"Unfortunately our 4 citizens have lost their life in the earthquake in Izmir. Our total 120 citizens were affected by the earthquake. Our 38 ambulance, 35 Umke team and 2 ambulance helicopters in the scene. We are next to the Izmir people with all our sup"&amp;"port. Sorry for your loss.")</f>
        <v>Unfortunately our 4 citizens have lost their life in the earthquake in Izmir. Our total 120 citizens were affected by the earthquake. Our 38 ambulance, 35 Umke team and 2 ambulance helicopters in the scene. We are next to the Izmir people with all our support. Sorry for your loss.</v>
      </c>
    </row>
    <row r="2006" spans="1:5" ht="15.75" customHeight="1" x14ac:dyDescent="0.25">
      <c r="A2006" s="1" t="s">
        <v>4011</v>
      </c>
      <c r="B2006" s="1">
        <v>3127</v>
      </c>
      <c r="C2006" s="3">
        <v>44134.332800925928</v>
      </c>
      <c r="D2006" s="1" t="s">
        <v>4012</v>
      </c>
      <c r="E2006" s="4" t="str">
        <f ca="1">IFERROR(__xludf.DUMMYFUNCTION("GOOGLETRANSLATE(A2006 , ""tr"" , ""en"")"),"DSCE European Regional Director, Turkish Council Secretary General, Azerbaijan, Kazakhstan, Kyrgyzstan, Uzbekistan, Hungary Ministry of Health and High-level participation in the Turkish Council of Health Science Board Meeting opening speech
https://t.co"&amp;"/uf4s8weuvf")</f>
        <v>DSCE European Regional Director, Turkish Council Secretary General, Azerbaijan, Kazakhstan, Kyrgyzstan, Uzbekistan, Hungary Ministry of Health and High-level participation in the Turkish Council of Health Science Board Meeting opening speech
https://t.co/uf4s8weuvf</v>
      </c>
    </row>
    <row r="2007" spans="1:5" ht="15.75" customHeight="1" x14ac:dyDescent="0.25">
      <c r="A2007" s="1" t="s">
        <v>4013</v>
      </c>
      <c r="B2007" s="1">
        <v>19260</v>
      </c>
      <c r="C2007" s="3">
        <v>44134.313645833332</v>
      </c>
      <c r="D2007" s="1" t="s">
        <v>4014</v>
      </c>
      <c r="E2007" s="4" t="str">
        <f ca="1">IFERROR(__xludf.DUMMYFUNCTION("GOOGLETRANSLATE(A2007 , ""tr"" , ""en"")"),"We have lost Mesut Yılmaz from our old prime ministers that we have been treated and closely followed by a time. I wish himself to the mercy, lovers and family of God. https://t.co/ybeszd6ink")</f>
        <v>We have lost Mesut Yılmaz from our old prime ministers that we have been treated and closely followed by a time. I wish himself to the mercy, lovers and family of God. https://t.co/ybeszd6ink</v>
      </c>
    </row>
    <row r="2008" spans="1:5" ht="15.75" customHeight="1" x14ac:dyDescent="0.25">
      <c r="A2008" s="1" t="s">
        <v>4015</v>
      </c>
      <c r="B2008" s="1">
        <v>10890</v>
      </c>
      <c r="C2008" s="3">
        <v>44133.808831018519</v>
      </c>
      <c r="D2008" s="1" t="s">
        <v>4016</v>
      </c>
      <c r="E2008" s="4" t="str">
        <f ca="1">IFERROR(__xludf.DUMMYFUNCTION("GOOGLETRANSLATE(A2008 , ""tr"" , ""en"")"),"IstanbulAs, I would like to: Let's report the contact with positive release contacts. May the seniors have chronic illness to protect themselves. We don't have a problem that will lead to the obstruction of the system right now. But every capacity has a l"&amp;"imit after all. We trust your common sense. https://t.co/ndijdfn9yk")</f>
        <v>IstanbulAs, I would like to: Let's report the contact with positive release contacts. May the seniors have chronic illness to protect themselves. We don't have a problem that will lead to the obstruction of the system right now. But every capacity has a limit after all. We trust your common sense. https://t.co/ndijdfn9yk</v>
      </c>
    </row>
    <row r="2009" spans="1:5" ht="15.75" customHeight="1" x14ac:dyDescent="0.25">
      <c r="A2009" s="1" t="s">
        <v>4017</v>
      </c>
      <c r="B2009" s="1">
        <v>15326</v>
      </c>
      <c r="C2009" s="3">
        <v>44133.78565972222</v>
      </c>
      <c r="D2009" s="1" t="s">
        <v>4018</v>
      </c>
      <c r="E2009" s="4" t="str">
        <f ca="1">IFERROR(__xludf.DUMMYFUNCTION("GOOGLETRANSLATE(A2009 , ""tr"" , ""en"")"),"Dear Istanbuls. Don't get out of the house if you have no obligation. Do the visits and travels you will afford to be caught in the disease. If you are going to enter the crowded media, consider whether to get caught in the disease. Remove your mask when "&amp;"the virus will afford to be transmitted to you. https://t.co/v7vn2po0rs")</f>
        <v>Dear Istanbuls. Don't get out of the house if you have no obligation. Do the visits and travels you will afford to be caught in the disease. If you are going to enter the crowded media, consider whether to get caught in the disease. Remove your mask when the virus will afford to be transmitted to you. https://t.co/v7vn2po0rs</v>
      </c>
    </row>
    <row r="2010" spans="1:5" ht="15.75" customHeight="1" x14ac:dyDescent="0.25">
      <c r="A2010" s="1" t="s">
        <v>4019</v>
      </c>
      <c r="B2010" s="1">
        <v>15057</v>
      </c>
      <c r="C2010" s="3">
        <v>44133.667222222219</v>
      </c>
      <c r="D2010" s="1" t="s">
        <v>4020</v>
      </c>
      <c r="E2010" s="4" t="str">
        <f ca="1">IFERROR(__xludf.DUMMYFUNCTION("GOOGLETRANSLATE(A2010 , ""tr"" , ""en"")"),"We have 2,319 patients identified today. Number of severe patients reached 1.916. The current situation of the epidemic is forcing us to slow our lives. We have to lower theme to a third. We will fight together and beat the virus. Give strength, support. "&amp;"https://t.co/rvlhe7786o")</f>
        <v>We have 2,319 patients identified today. Number of severe patients reached 1.916. The current situation of the epidemic is forcing us to slow our lives. We have to lower theme to a third. We will fight together and beat the virus. Give strength, support. https://t.co/rvlhe7786o</v>
      </c>
    </row>
    <row r="2011" spans="1:5" ht="15.75" customHeight="1" x14ac:dyDescent="0.25">
      <c r="A2011" s="1" t="s">
        <v>4021</v>
      </c>
      <c r="B2011" s="1">
        <v>6390</v>
      </c>
      <c r="C2011" s="3">
        <v>44133.634571759256</v>
      </c>
      <c r="D2011" s="1" t="s">
        <v>4022</v>
      </c>
      <c r="E2011" s="4" t="str">
        <f ca="1">IFERROR(__xludf.DUMMYFUNCTION("GOOGLETRANSLATE(A2011 , ""tr"" , ""en"")"),"The prominent cause of increase in Istanbul is mobility. Should reduce mobility. Mask, distance, you must comply with the cleanliness rule. The solution is to use the method of virus against the virus. The virus is contemptible for 3 people from one perso"&amp;"n. Download in one of the movement and theme 3 as well. https://t.co/tjfcn0xo8e")</f>
        <v>The prominent cause of increase in Istanbul is mobility. Should reduce mobility. Mask, distance, you must comply with the cleanliness rule. The solution is to use the method of virus against the virus. The virus is contemptible for 3 people from one person. Download in one of the movement and theme 3 as well. https://t.co/tjfcn0xo8e</v>
      </c>
    </row>
    <row r="2012" spans="1:5" ht="15.75" customHeight="1" x14ac:dyDescent="0.25">
      <c r="A2012" s="1" t="s">
        <v>4023</v>
      </c>
      <c r="B2012" s="1">
        <v>13963</v>
      </c>
      <c r="C2012" s="3">
        <v>44133.60732638889</v>
      </c>
      <c r="D2012" s="1" t="s">
        <v>4024</v>
      </c>
      <c r="E2012" s="4" t="str">
        <f ca="1">IFERROR(__xludf.DUMMYFUNCTION("GOOGLETRANSLATE(A2012 , ""tr"" , ""en"")"),"4 out of 10 people who positively are in Istanbul. The increase in the last 7 days is 85% over the mean of last month. When the population is considered, this rate is frightening. The situation concerns 83 million. If we do not control the order in Istanb"&amp;"ul, the epidemic will be released. https://t.co/0opmfje8qo")</f>
        <v>4 out of 10 people who positively are in Istanbul. The increase in the last 7 days is 85% over the mean of last month. When the population is considered, this rate is frightening. The situation concerns 83 million. If we do not control the order in Istanbul, the epidemic will be released. https://t.co/0opmfje8qo</v>
      </c>
    </row>
    <row r="2013" spans="1:5" ht="15.75" customHeight="1" x14ac:dyDescent="0.25">
      <c r="A2013" s="1" t="s">
        <v>4025</v>
      </c>
      <c r="B2013" s="1">
        <v>9860</v>
      </c>
      <c r="C2013" s="3">
        <v>44133.543761574074</v>
      </c>
      <c r="D2013" s="1" t="s">
        <v>4026</v>
      </c>
      <c r="E2013" s="4" t="str">
        <f ca="1">IFERROR(__xludf.DUMMYFUNCTION("GOOGLETRANSLATE(A2013 , ""tr"" , ""en"")"),"Happy 97th anniversary of our Republic. We remember our nation, 29 October 1923 and the heroes that prepare these days and the founder of our Republic of the Republic of our Republic, especially in Gazi Mustafa Kemal Atatürk and his friends, respect and g"&amp;"ratefully. We are strong with our republic. https://t.co/jkhpb2fzzh")</f>
        <v>Happy 97th anniversary of our Republic. We remember our nation, 29 October 1923 and the heroes that prepare these days and the founder of our Republic of the Republic of our Republic, especially in Gazi Mustafa Kemal Atatürk and his friends, respect and gratefully. We are strong with our republic. https://t.co/jkhpb2fzzh</v>
      </c>
    </row>
    <row r="2014" spans="1:5" ht="15.75" customHeight="1" x14ac:dyDescent="0.25">
      <c r="A2014" s="1" t="s">
        <v>4027</v>
      </c>
      <c r="B2014" s="1">
        <v>5806</v>
      </c>
      <c r="C2014" s="3">
        <v>44132.707569444443</v>
      </c>
      <c r="D2014" s="1" t="s">
        <v>4028</v>
      </c>
      <c r="E2014" s="4" t="str">
        <f ca="1">IFERROR(__xludf.DUMMYFUNCTION("GOOGLETRANSLATE(A2014 , ""tr"" , ""en"")"),"After our Science Board meeting, the latest developments on the coronavirus and the new measures we receive.
📍 Casturşehir Pine and Sakura City Hospital / Istanbul
https://t.co/b3j3ohq805")</f>
        <v>After our Science Board meeting, the latest developments on the coronavirus and the new measures we receive.
📍 Casturşehir Pine and Sakura City Hospital / Istanbul
https://t.co/b3j3ohq805</v>
      </c>
    </row>
    <row r="2015" spans="1:5" ht="15.75" customHeight="1" x14ac:dyDescent="0.25">
      <c r="A2015" s="1" t="s">
        <v>4029</v>
      </c>
      <c r="B2015" s="1">
        <v>7062</v>
      </c>
      <c r="C2015" s="3">
        <v>44132.698252314818</v>
      </c>
      <c r="D2015" s="1" t="s">
        <v>4030</v>
      </c>
      <c r="E2015" s="4" t="str">
        <f ca="1">IFERROR(__xludf.DUMMYFUNCTION("GOOGLETRANSLATE(A2015 , ""tr"" , ""en"")"),"PCR COVID-19 Test Laboratory visit. Legal Sultan Süleyman Training and Research Hospital Management with the administrators of the patient load in the pendemia, after handling the contributions to the conditions indicating changes, we have been in our lab"&amp;"oratory in our laboratory. https://t.co/2apdp0njie")</f>
        <v>PCR COVID-19 Test Laboratory visit. Legal Sultan Süleyman Training and Research Hospital Management with the administrators of the patient load in the pendemia, after handling the contributions to the conditions indicating changes, we have been in our laboratory in our laboratory. https://t.co/2apdp0njie</v>
      </c>
    </row>
    <row r="2016" spans="1:5" ht="15.75" customHeight="1" x14ac:dyDescent="0.25">
      <c r="A2016" s="1" t="s">
        <v>4031</v>
      </c>
      <c r="B2016" s="1">
        <v>8870</v>
      </c>
      <c r="C2016" s="3">
        <v>44132.672175925924</v>
      </c>
      <c r="D2016" s="1" t="s">
        <v>4032</v>
      </c>
      <c r="E2016" s="4" t="str">
        <f ca="1">IFERROR(__xludf.DUMMYFUNCTION("GOOGLETRANSLATE(A2016 , ""tr"" , ""en"")"),"Vaccination Studies visit. Mehmet Akif Ersoy Idea has met with our scientists in research development and training center. We have received information about scientific studies and experiments. Until the science ends the epidemic, there is no force other "&amp;"than the measures. Let's obey the rules. https://t.co/dc6qgx2ggb")</f>
        <v>Vaccination Studies visit. Mehmet Akif Ersoy Idea has met with our scientists in research development and training center. We have received information about scientific studies and experiments. Until the science ends the epidemic, there is no force other than the measures. Let's obey the rules. https://t.co/dc6qgx2ggb</v>
      </c>
    </row>
    <row r="2017" spans="1:5" ht="15.75" customHeight="1" x14ac:dyDescent="0.25">
      <c r="A2017" s="1" t="s">
        <v>4033</v>
      </c>
      <c r="B2017" s="1">
        <v>5199</v>
      </c>
      <c r="C2017" s="3">
        <v>44132.654733796298</v>
      </c>
      <c r="D2017" s="1" t="s">
        <v>4034</v>
      </c>
      <c r="E2017" s="4" t="str">
        <f ca="1">IFERROR(__xludf.DUMMYFUNCTION("GOOGLETRANSLATE(A2017 , ""tr"" , ""en"")"),"PROF. Dr. Cemil Taşcıoğlu Interview with City Hospital Managers. In the visit we have made, we have received information on the contributions and other issues to be given in terms of the patient burden in the pandemic process of the administrators. We wil"&amp;"l need less to hospitals exactly as well as measures. https://t.co/dcam9zvyax")</f>
        <v>PROF. Dr. Cemil Taşcıoğlu Interview with City Hospital Managers. In the visit we have made, we have received information on the contributions and other issues to be given in terms of the patient burden in the pandemic process of the administrators. We will need less to hospitals exactly as well as measures. https://t.co/dcam9zvyax</v>
      </c>
    </row>
    <row r="2018" spans="1:5" ht="15.75" customHeight="1" x14ac:dyDescent="0.25">
      <c r="A2018" s="1" t="s">
        <v>4035</v>
      </c>
      <c r="B2018" s="1">
        <v>5190</v>
      </c>
      <c r="C2018" s="3">
        <v>44132.633194444446</v>
      </c>
      <c r="D2018" s="1" t="s">
        <v>4036</v>
      </c>
      <c r="E2018" s="4" t="str">
        <f ca="1">IFERROR(__xludf.DUMMYFUNCTION("GOOGLETRANSLATE(A2018 , ""tr"" , ""en"")"),"Interview with Istanbul Sisli Etfal Education and Research Hospital Managers. In our visit, we have received information on the patient burden in the pandemic process, the contributions and other services to be given in terms of changes. If we are uncompr"&amp;"omising, we need less to hospitals. https://t.co/todcwvnxyw")</f>
        <v>Interview with Istanbul Sisli Etfal Education and Research Hospital Managers. In our visit, we have received information on the patient burden in the pandemic process, the contributions and other services to be given in terms of changes. If we are uncompromising, we need less to hospitals. https://t.co/todcwvnxyw</v>
      </c>
    </row>
    <row r="2019" spans="1:5" ht="15.75" customHeight="1" x14ac:dyDescent="0.25">
      <c r="A2019" s="1" t="s">
        <v>4037</v>
      </c>
      <c r="B2019" s="1">
        <v>6756</v>
      </c>
      <c r="C2019" s="3">
        <v>44132.619444444441</v>
      </c>
      <c r="D2019" s="1" t="s">
        <v>4038</v>
      </c>
      <c r="E2019" s="4" t="str">
        <f ca="1">IFERROR(__xludf.DUMMYFUNCTION("GOOGLETRANSLATE(A2019 , ""tr"" , ""en"")"),"Istanbul Filiation Studies The Tracking Board was collected today. In the meeting with our governors, the participation of our governors, the district health managers and other managers, we addressed the needs of contact with contact and increase. 40% of "&amp;"cases is in Istanbul. https://t.co/s10dlpkmv3")</f>
        <v>Istanbul Filiation Studies The Tracking Board was collected today. In the meeting with our governors, the participation of our governors, the district health managers and other managers, we addressed the needs of contact with contact and increase. 40% of cases is in Istanbul. https://t.co/s10dlpkmv3</v>
      </c>
    </row>
    <row r="2020" spans="1:5" ht="15.75" customHeight="1" x14ac:dyDescent="0.25">
      <c r="A2020" s="1" t="s">
        <v>4039</v>
      </c>
      <c r="B2020" s="1">
        <v>17498</v>
      </c>
      <c r="C2020" s="3">
        <v>44132.506215277775</v>
      </c>
      <c r="D2020" s="1" t="s">
        <v>4040</v>
      </c>
      <c r="E2020" s="4" t="str">
        <f ca="1">IFERROR(__xludf.DUMMYFUNCTION("GOOGLETRANSLATE(A2020 , ""tr"" , ""en"")"),"The Coronavirus Scientific Board is collected in Istanbul where the number of cases reached 40% of the country general. This will be the first meeting that the Board started on January 10th to their work outside Ankara.")</f>
        <v>The Coronavirus Scientific Board is collected in Istanbul where the number of cases reached 40% of the country general. This will be the first meeting that the Board started on January 10th to their work outside Ankara.</v>
      </c>
    </row>
    <row r="2021" spans="1:5" ht="15.75" customHeight="1" x14ac:dyDescent="0.25">
      <c r="A2021" s="1" t="s">
        <v>4041</v>
      </c>
      <c r="B2021" s="1">
        <v>9478</v>
      </c>
      <c r="C2021" s="3">
        <v>44131.792233796295</v>
      </c>
      <c r="D2021" s="1" t="s">
        <v>4042</v>
      </c>
      <c r="E2021" s="4" t="str">
        <f ca="1">IFERROR(__xludf.DUMMYFUNCTION("GOOGLETRANSLATE(A2021 , ""tr"" , ""en"")"),"The increase in the number of cases in Istanbul requires great preparation. On the 4th day of our work, we met University Rectors, Deans of Medical Faculties and Hospital Policits. 3 If the rule is complied with, we need lessons to hospitals. Let's be org"&amp;"anized against the epidemic. https://t.co/utpx5gnllg")</f>
        <v>The increase in the number of cases in Istanbul requires great preparation. On the 4th day of our work, we met University Rectors, Deans of Medical Faculties and Hospital Policits. 3 If the rule is complied with, we need lessons to hospitals. Let's be organized against the epidemic. https://t.co/utpx5gnllg</v>
      </c>
    </row>
    <row r="2022" spans="1:5" ht="15.75" customHeight="1" x14ac:dyDescent="0.25">
      <c r="A2022" s="1" t="s">
        <v>4043</v>
      </c>
      <c r="B2022" s="1">
        <v>8610</v>
      </c>
      <c r="C2022" s="3">
        <v>44131.752939814818</v>
      </c>
      <c r="D2022" s="1" t="s">
        <v>4044</v>
      </c>
      <c r="E2022" s="4" t="str">
        <f ca="1">IFERROR(__xludf.DUMMYFUNCTION("GOOGLETRANSLATE(A2022 , ""tr"" , ""en"")"),"The major increase in the number of cases in Istanbul requires to act in every field in the city. From the Social Security Institution, we met the plans of movement, coming together with the entire provincial administration of the Provincial Migration Adm"&amp;"inistration and Dhmi Ataturk Airport Directorate. Let's be organized against the epidemic. https://t.co/rflaxe0tix")</f>
        <v>The major increase in the number of cases in Istanbul requires to act in every field in the city. From the Social Security Institution, we met the plans of movement, coming together with the entire provincial administration of the Provincial Migration Administration and Dhmi Ataturk Airport Directorate. Let's be organized against the epidemic. https://t.co/rflaxe0tix</v>
      </c>
    </row>
    <row r="2023" spans="1:5" ht="15.75" customHeight="1" x14ac:dyDescent="0.25">
      <c r="A2023" s="1" t="s">
        <v>4045</v>
      </c>
      <c r="B2023" s="1">
        <v>15562</v>
      </c>
      <c r="C2023" s="3">
        <v>44131.667349537034</v>
      </c>
      <c r="D2023" s="1" t="s">
        <v>4046</v>
      </c>
      <c r="E2023" s="4" t="str">
        <f ca="1">IFERROR(__xludf.DUMMYFUNCTION("GOOGLETRANSLATE(A2023 , ""tr"" , ""en"")"),"We have 2,209 new patients identified today. Our severe patient number increased to 1,827. We cannot succeed without falling severe patients and active patients. The combat association measures are undergoing exceptions without exception. Let's be organiz"&amp;"ed against the epidemic. https://t.co/rvlhe7786o")</f>
        <v>We have 2,209 new patients identified today. Our severe patient number increased to 1,827. We cannot succeed without falling severe patients and active patients. The combat association measures are undergoing exceptions without exception. Let's be organized against the epidemic. https://t.co/rvlhe7786o</v>
      </c>
    </row>
    <row r="2024" spans="1:5" ht="15.75" customHeight="1" x14ac:dyDescent="0.25">
      <c r="A2024" s="1" t="s">
        <v>4047</v>
      </c>
      <c r="B2024" s="1">
        <v>9199</v>
      </c>
      <c r="C2024" s="3">
        <v>44131.616944444446</v>
      </c>
      <c r="D2024" s="1" t="s">
        <v>4048</v>
      </c>
      <c r="E2024" s="4" t="str">
        <f ca="1">IFERROR(__xludf.DUMMYFUNCTION("GOOGLETRANSLATE(A2024 , ""tr"" , ""en"")"),"The major increase in the number of cases in Istanbul requires a serious preparation. We have addressed our plans to move to the Public Hospitals of Public Hospitals on the 4th day we divided by the Minister of Assistants. 3 If the rule is complied with, "&amp;"we need lessons to hospitals. Let's be organized against the epidemic. https://t.co/bxubcklpfj")</f>
        <v>The major increase in the number of cases in Istanbul requires a serious preparation. We have addressed our plans to move to the Public Hospitals of Public Hospitals on the 4th day we divided by the Minister of Assistants. 3 If the rule is complied with, we need lessons to hospitals. Let's be organized against the epidemic. https://t.co/bxubcklpfj</v>
      </c>
    </row>
    <row r="2025" spans="1:5" ht="15.75" customHeight="1" x14ac:dyDescent="0.25">
      <c r="A2025" s="1" t="s">
        <v>4049</v>
      </c>
      <c r="B2025" s="1">
        <v>7768</v>
      </c>
      <c r="C2025" s="3">
        <v>44131.334317129629</v>
      </c>
      <c r="D2025" s="1" t="s">
        <v>4050</v>
      </c>
      <c r="E2025" s="4" t="str">
        <f ca="1">IFERROR(__xludf.DUMMYFUNCTION("GOOGLETRANSLATE(A2025 , ""tr"" , ""en"")"),"Our number of cases reached 40% of the country in Istanbul, we made our latest meeting in Istanbul with private hospitals and health institutions association and private hospital managers. We are reinforcing our strength. 3 If the rule is complied with, w"&amp;"e need lessons to hospitals. Let's be organized against the epidemic. https://t.co/0l91midk3w")</f>
        <v>Our number of cases reached 40% of the country in Istanbul, we made our latest meeting in Istanbul with private hospitals and health institutions association and private hospital managers. We are reinforcing our strength. 3 If the rule is complied with, we need lessons to hospitals. Let's be organized against the epidemic. https://t.co/0l91midk3w</v>
      </c>
    </row>
    <row r="2026" spans="1:5" ht="15.75" customHeight="1" x14ac:dyDescent="0.25">
      <c r="A2026" s="1" t="s">
        <v>4051</v>
      </c>
      <c r="B2026" s="1">
        <v>26122</v>
      </c>
      <c r="C2026" s="3">
        <v>44130.842905092592</v>
      </c>
      <c r="D2026" s="1" t="s">
        <v>4052</v>
      </c>
      <c r="E2026" s="4" t="str">
        <f ca="1">IFERROR(__xludf.DUMMYFUNCTION("GOOGLETRANSLATE(A2026 , ""tr"" , ""en"")"),"For a while we have continued health old Minister of Health, I am precious colleague. Osman stopped Bey Unfortunately, he left our call. I wish herself infinite mercy, family and lovers of patience. Let our heads be right.")</f>
        <v>For a while we have continued health old Minister of Health, I am precious colleague. Osman stopped Bey Unfortunately, he left our call. I wish herself infinite mercy, family and lovers of patience. Let our heads be right.</v>
      </c>
    </row>
    <row r="2027" spans="1:5" ht="15.75" customHeight="1" x14ac:dyDescent="0.25">
      <c r="A2027" s="1" t="s">
        <v>4053</v>
      </c>
      <c r="B2027" s="1">
        <v>7971</v>
      </c>
      <c r="C2027" s="3">
        <v>44130.755937499998</v>
      </c>
      <c r="D2027" s="1" t="s">
        <v>4054</v>
      </c>
      <c r="E2027" s="4" t="str">
        <f ca="1">IFERROR(__xludf.DUMMYFUNCTION("GOOGLETRANSLATE(A2027 , ""tr"" , ""en"")"),"Istanbul Governor, the Secretary General of the IBB, the Mayor of 39 districts, all partners of the epidemic struggle together. We carried the marketplace from publicly to the agenda to the production of solutions against the crowded propagation. Institut"&amp;"ions and city people should be organized against risk. https://t.co/ruacefoojn")</f>
        <v>Istanbul Governor, the Secretary General of the IBB, the Mayor of 39 districts, all partners of the epidemic struggle together. We carried the marketplace from publicly to the agenda to the production of solutions against the crowded propagation. Institutions and city people should be organized against risk. https://t.co/ruacefoojn</v>
      </c>
    </row>
    <row r="2028" spans="1:5" ht="15.75" customHeight="1" x14ac:dyDescent="0.25">
      <c r="A2028" s="1" t="s">
        <v>4055</v>
      </c>
      <c r="B2028" s="1">
        <v>14446</v>
      </c>
      <c r="C2028" s="3">
        <v>44130.678067129629</v>
      </c>
      <c r="D2028" s="1" t="s">
        <v>4056</v>
      </c>
      <c r="E2028" s="4" t="str">
        <f ca="1">IFERROR(__xludf.DUMMYFUNCTION("GOOGLETRANSLATE(A2028 , ""tr"" , ""en"")"),"There are 2,198 new patients identified today. The number of heavy and active patients continues to increase. We have to struggle together to stop the regional climb of the epidemic. We have a stronger weapon than the measure for today. Let's be organized"&amp;" against the epidemic. https://t.co/rvlhe7786o")</f>
        <v>There are 2,198 new patients identified today. The number of heavy and active patients continues to increase. We have to struggle together to stop the regional climb of the epidemic. We have a stronger weapon than the measure for today. Let's be organized against the epidemic. https://t.co/rvlhe7786o</v>
      </c>
    </row>
    <row r="2029" spans="1:5" ht="15.75" customHeight="1" x14ac:dyDescent="0.25">
      <c r="A2029" s="1" t="s">
        <v>4057</v>
      </c>
      <c r="B2029" s="1">
        <v>5365</v>
      </c>
      <c r="C2029" s="3">
        <v>44130.612210648149</v>
      </c>
      <c r="D2029" s="1" t="s">
        <v>4058</v>
      </c>
      <c r="E2029" s="4" t="str">
        <f ca="1">IFERROR(__xludf.DUMMYFUNCTION("GOOGLETRANSLATE(A2029 , ""tr"" , ""en"")"),"Our Istanbul Governorate, our IBB Secretary General and district mayor of our mayors, our estimate process after the evaluation of the assessment of our press statement:
📍istanbul Governorship
https://t.co/4xfqofqp7y")</f>
        <v>Our Istanbul Governorate, our IBB Secretary General and district mayor of our mayors, our estimate process after the evaluation of the assessment of our press statement:
📍istanbul Governorship
https://t.co/4xfqofqp7y</v>
      </c>
    </row>
    <row r="2030" spans="1:5" ht="15.75" customHeight="1" x14ac:dyDescent="0.25">
      <c r="A2030" s="1" t="s">
        <v>4059</v>
      </c>
      <c r="B2030" s="1">
        <v>9465</v>
      </c>
      <c r="C2030" s="3">
        <v>44129.841145833336</v>
      </c>
      <c r="D2030" s="1" t="s">
        <v>4060</v>
      </c>
      <c r="E2030" s="4" t="str">
        <f ca="1">IFERROR(__xludf.DUMMYFUNCTION("GOOGLETRANSLATE(A2030 , ""tr"" , ""en"")"),"Our fourth meeting in Istanbul reached 40% of the number of cases of the country in Istanbul, our fourth meeting of Marmara University. Dr. We have made with Asaf Ataseven Hospital managers. We are reinforcing our strength. 3 If the rule is complied with,"&amp;" we need lessons to hospitals. Let's be organized against the epidemic. https://t.co/khyfhvcuss")</f>
        <v>Our fourth meeting in Istanbul reached 40% of the number of cases of the country in Istanbul, our fourth meeting of Marmara University. Dr. We have made with Asaf Ataseven Hospital managers. We are reinforcing our strength. 3 If the rule is complied with, we need lessons to hospitals. Let's be organized against the epidemic. https://t.co/khyfhvcuss</v>
      </c>
    </row>
    <row r="2031" spans="1:5" ht="15.75" customHeight="1" x14ac:dyDescent="0.25">
      <c r="A2031" s="1" t="s">
        <v>4061</v>
      </c>
      <c r="B2031" s="1">
        <v>7419</v>
      </c>
      <c r="C2031" s="3">
        <v>44129.761967592596</v>
      </c>
      <c r="D2031" s="1" t="s">
        <v>4062</v>
      </c>
      <c r="E2031" s="4" t="str">
        <f ca="1">IFERROR(__xludf.DUMMYFUNCTION("GOOGLETRANSLATE(A2031 , ""tr"" , ""en"")"),"The number of cases reached 40% of the country, today, Today, our third meeting Eagle Dr. We have done with the managers of the Lütfi Kırdar City Hospital. We are reinforcing our strength against risk. 3 If the rule is complied with, we need lessons to ho"&amp;"spitals. Let's be organized against the epidemic. https://t.co/r9vcoho0ri")</f>
        <v>The number of cases reached 40% of the country, today, Today, our third meeting Eagle Dr. We have done with the managers of the Lütfi Kırdar City Hospital. We are reinforcing our strength against risk. 3 If the rule is complied with, we need lessons to hospitals. Let's be organized against the epidemic. https://t.co/r9vcoho0ri</v>
      </c>
    </row>
    <row r="2032" spans="1:5" ht="15.75" customHeight="1" x14ac:dyDescent="0.25">
      <c r="A2032" s="1" t="s">
        <v>4063</v>
      </c>
      <c r="B2032" s="1">
        <v>8437</v>
      </c>
      <c r="C2032" s="3">
        <v>44129.725462962961</v>
      </c>
      <c r="D2032" s="1" t="s">
        <v>4064</v>
      </c>
      <c r="E2032" s="4" t="str">
        <f ca="1">IFERROR(__xludf.DUMMYFUNCTION("GOOGLETRANSLATE(A2032 , ""tr"" , ""en"")"),"Our second day in Istanbul where the number of cases reached 40% of the country. Eyektepe the second meeting Dr. Süleyman Yalçın was in the city hospital. We are reinforcing our strength against risk. 3 If the rule is complied with, we need lessons to hos"&amp;"pitals. Let's be organized against the epidemic. https://t.co/wcnku2zhwd")</f>
        <v>Our second day in Istanbul where the number of cases reached 40% of the country. Eyektepe the second meeting Dr. Süleyman Yalçın was in the city hospital. We are reinforcing our strength against risk. 3 If the rule is complied with, we need lessons to hospitals. Let's be organized against the epidemic. https://t.co/wcnku2zhwd</v>
      </c>
    </row>
    <row r="2033" spans="1:5" ht="15.75" customHeight="1" x14ac:dyDescent="0.25">
      <c r="A2033" s="1" t="s">
        <v>4065</v>
      </c>
      <c r="B2033" s="1">
        <v>5652</v>
      </c>
      <c r="C2033" s="3">
        <v>44129.69085648148</v>
      </c>
      <c r="D2033" s="1" t="s">
        <v>4066</v>
      </c>
      <c r="E2033" s="4" t="str">
        <f ca="1">IFERROR(__xludf.DUMMYFUNCTION("GOOGLETRANSLATE(A2033 , ""tr"" , ""en"")"),"Yesterday, Istanbul European Side Command Control Center We met 112 emergency employees of Anatolian Side. In the struggle we give against the epidemic, they are undertaking the great task as other services. Status assessment: Let's be more strictly organ"&amp;"ized against the epidemic. https://t.co/tvywyee0x7")</f>
        <v>Yesterday, Istanbul European Side Command Control Center We met 112 emergency employees of Anatolian Side. In the struggle we give against the epidemic, they are undertaking the great task as other services. Status assessment: Let's be more strictly organized against the epidemic. https://t.co/tvywyee0x7</v>
      </c>
    </row>
    <row r="2034" spans="1:5" ht="15.75" customHeight="1" x14ac:dyDescent="0.25">
      <c r="A2034" s="1" t="s">
        <v>4067</v>
      </c>
      <c r="B2034" s="1">
        <v>12559</v>
      </c>
      <c r="C2034" s="3">
        <v>44129.667187500003</v>
      </c>
      <c r="D2034" s="1" t="s">
        <v>4068</v>
      </c>
      <c r="E2034" s="4" t="str">
        <f ca="1">IFERROR(__xludf.DUMMYFUNCTION("GOOGLETRANSLATE(A2034 , ""tr"" , ""en"")"),"There are 2,017 new patients identified today. Our severe patient count and active patient count continues to increase. It's our hand to change this course. It is to respect the struggle to give us the rights of each other and comply with the measures. ht"&amp;"tps://t.co/rvlhe7786o")</f>
        <v>There are 2,017 new patients identified today. Our severe patient count and active patient count continues to increase. It's our hand to change this course. It is to respect the struggle to give us the rights of each other and comply with the measures. https://t.co/rvlhe7786o</v>
      </c>
    </row>
    <row r="2035" spans="1:5" ht="15.75" customHeight="1" x14ac:dyDescent="0.25">
      <c r="A2035" s="1" t="s">
        <v>4069</v>
      </c>
      <c r="B2035" s="1">
        <v>7533</v>
      </c>
      <c r="C2035" s="3">
        <v>44129.659699074073</v>
      </c>
      <c r="D2035" s="1" t="s">
        <v>4070</v>
      </c>
      <c r="E2035" s="4" t="str">
        <f ca="1">IFERROR(__xludf.DUMMYFUNCTION("GOOGLETRANSLATE(A2035 , ""tr"" , ""en"")"),"Our second day in Istanbul where the number of cases reached 40% of the country. We have made a risk assessment at the Umraniye Education Research Hospital, from our important bases in the fight against the output. According to the rules, we need less to "&amp;"hospitals. Let's be organized against the epidemic. https://t.co/jkybov2jpa")</f>
        <v>Our second day in Istanbul where the number of cases reached 40% of the country. We have made a risk assessment at the Umraniye Education Research Hospital, from our important bases in the fight against the output. According to the rules, we need less to hospitals. Let's be organized against the epidemic. https://t.co/jkybov2jpa</v>
      </c>
    </row>
    <row r="2036" spans="1:5" ht="15.75" customHeight="1" x14ac:dyDescent="0.25">
      <c r="A2036" s="1" t="s">
        <v>4071</v>
      </c>
      <c r="B2036" s="1">
        <v>16790</v>
      </c>
      <c r="C2036" s="3">
        <v>44128.884247685186</v>
      </c>
      <c r="D2036" s="1" t="s">
        <v>4072</v>
      </c>
      <c r="E2036" s="4" t="str">
        <f ca="1">IFERROR(__xludf.DUMMYFUNCTION("GOOGLETRANSLATE(A2036 , ""tr"" , ""en"")"),"Have displinant and morale motivation :)
112 love and greetings of each of our emergency employees. https://t.co/29kpwpvlXI")</f>
        <v>Have displinant and morale motivation :)
112 love and greetings of each of our emergency employees. https://t.co/29kpwpvlXI</v>
      </c>
    </row>
    <row r="2037" spans="1:5" ht="15.75" customHeight="1" x14ac:dyDescent="0.25">
      <c r="A2037" s="1" t="s">
        <v>4073</v>
      </c>
      <c r="B2037" s="1">
        <v>8170</v>
      </c>
      <c r="C2037" s="3">
        <v>44128.843773148146</v>
      </c>
      <c r="D2037" s="1" t="s">
        <v>4074</v>
      </c>
      <c r="E2037" s="4" t="str">
        <f ca="1">IFERROR(__xludf.DUMMYFUNCTION("GOOGLETRANSLATE(A2037 , ""tr"" , ""en"")"),"Basaksehir Pine and Sakura City Hospital is one of our most important health bases against our increasing patient load. As a team, we will have 5 working days in Istanbul, we will have a headquarters. On Wednesday, our Science Board meeting will take plac"&amp;"e here. Let's be organized against the epidemic. https://t.co/ohxbgzjyt1")</f>
        <v>Basaksehir Pine and Sakura City Hospital is one of our most important health bases against our increasing patient load. As a team, we will have 5 working days in Istanbul, we will have a headquarters. On Wednesday, our Science Board meeting will take place here. Let's be organized against the epidemic. https://t.co/ohxbgzjyt1</v>
      </c>
    </row>
    <row r="2038" spans="1:5" ht="15.75" customHeight="1" x14ac:dyDescent="0.25">
      <c r="A2038" s="1" t="s">
        <v>4075</v>
      </c>
      <c r="B2038" s="1">
        <v>8420</v>
      </c>
      <c r="C2038" s="3">
        <v>44128.774039351854</v>
      </c>
      <c r="D2038" s="1" t="s">
        <v>4076</v>
      </c>
      <c r="E2038" s="4" t="str">
        <f ca="1">IFERROR(__xludf.DUMMYFUNCTION("GOOGLETRANSLATE(A2038 , ""tr"" , ""en"")"),"Professor Dr. Feriha Esp Emergency Hospital is one of our most important health bases against our increasing patient load in Istanbul. Today, we received information about the status of the hospital and the process from our managers. According to the rule"&amp;"s, we need less to hospitals. Let's be organized against the epidemic. https://t.co/gefrusi1pu")</f>
        <v>Professor Dr. Feriha Esp Emergency Hospital is one of our most important health bases against our increasing patient load in Istanbul. Today, we received information about the status of the hospital and the process from our managers. According to the rules, we need less to hospitals. Let's be organized against the epidemic. https://t.co/gefrusi1pu</v>
      </c>
    </row>
    <row r="2039" spans="1:5" ht="15.75" customHeight="1" x14ac:dyDescent="0.25">
      <c r="A2039" s="1" t="s">
        <v>4077</v>
      </c>
      <c r="B2039" s="1">
        <v>6649</v>
      </c>
      <c r="C2039" s="3">
        <v>44128.710300925923</v>
      </c>
      <c r="D2039" s="1" t="s">
        <v>4078</v>
      </c>
      <c r="E2039" s="4" t="str">
        <f ca="1">IFERROR(__xludf.DUMMYFUNCTION("GOOGLETRANSLATE(A2039 , ""tr"" , ""en"")"),"112 Emergency Call Center, in the struggle we give against the epidemic, just as the critical role in general health services is undertaking. In Istanbul European Side Command Control Center, we meet our friends today and have made a status evaluation. Le"&amp;"t's be organized against the epidemic. https://t.co/gkwxsa96w3")</f>
        <v>112 Emergency Call Center, in the struggle we give against the epidemic, just as the critical role in general health services is undertaking. In Istanbul European Side Command Control Center, we meet our friends today and have made a status evaluation. Let's be organized against the epidemic. https://t.co/gkwxsa96w3</v>
      </c>
    </row>
    <row r="2040" spans="1:5" ht="15.75" customHeight="1" x14ac:dyDescent="0.25">
      <c r="A2040" s="1" t="s">
        <v>4079</v>
      </c>
      <c r="B2040" s="1">
        <v>5145</v>
      </c>
      <c r="C2040" s="3">
        <v>44128.697083333333</v>
      </c>
      <c r="D2040" s="1" t="s">
        <v>4080</v>
      </c>
      <c r="E2040" s="4" t="str">
        <f ca="1">IFERROR(__xludf.DUMMYFUNCTION("GOOGLETRANSLATE(A2040 , ""tr"" , ""en"")"),"Professor Dr. Murat Dilmener Emergency Hospital is one of our most important health bases against our increasing patient load. Today, we have received information about the state of the hospital and the outbreak process from our managers. According to the"&amp;" rules, we need less to hospitals. Let's be organized against the epidemic. https://t.co/wgwy7oesb8")</f>
        <v>Professor Dr. Murat Dilmener Emergency Hospital is one of our most important health bases against our increasing patient load. Today, we have received information about the state of the hospital and the outbreak process from our managers. According to the rules, we need less to hospitals. Let's be organized against the epidemic. https://t.co/wgwy7oesb8</v>
      </c>
    </row>
    <row r="2041" spans="1:5" ht="15.75" customHeight="1" x14ac:dyDescent="0.25">
      <c r="A2041" s="1" t="s">
        <v>4081</v>
      </c>
      <c r="B2041" s="1">
        <v>27154</v>
      </c>
      <c r="C2041" s="3">
        <v>44128.677615740744</v>
      </c>
      <c r="D2041" s="1" t="s">
        <v>4082</v>
      </c>
      <c r="E2041" s="4" t="str">
        <f ca="1">IFERROR(__xludf.DUMMYFUNCTION("GOOGLETRANSLATE(A2041 , ""tr"" , ""en"")"),"We are in Istanbul 5 days. 40% of total cases is in Istanbul. Let's be organized against the epidemic.")</f>
        <v>We are in Istanbul 5 days. 40% of total cases is in Istanbul. Let's be organized against the epidemic.</v>
      </c>
    </row>
    <row r="2042" spans="1:5" ht="15.75" customHeight="1" x14ac:dyDescent="0.25">
      <c r="A2042" s="1" t="s">
        <v>4083</v>
      </c>
      <c r="B2042" s="1">
        <v>8568</v>
      </c>
      <c r="C2042" s="3">
        <v>44128.668310185189</v>
      </c>
      <c r="D2042" s="1" t="s">
        <v>4084</v>
      </c>
      <c r="E2042" s="4" t="str">
        <f ca="1">IFERROR(__xludf.DUMMYFUNCTION("GOOGLETRANSLATE(A2042 , ""tr"" , ""en"")"),"2,091 new patients were determined as a result of 113.427 tests. Our severe patient count continues to increase. The treatment of patients is entrusted to our health workers working with dedication. Our responsibility is to comply with the measures. Let's"&amp;" struggle together. https://t.co/rvlhe7786o")</f>
        <v>2,091 new patients were determined as a result of 113.427 tests. Our severe patient count continues to increase. The treatment of patients is entrusted to our health workers working with dedication. Our responsibility is to comply with the measures. Let's struggle together. https://t.co/rvlhe7786o</v>
      </c>
    </row>
    <row r="2043" spans="1:5" ht="15.75" customHeight="1" x14ac:dyDescent="0.25">
      <c r="A2043" s="1" t="s">
        <v>4085</v>
      </c>
      <c r="B2043" s="1">
        <v>47358</v>
      </c>
      <c r="C2043" s="3">
        <v>44128.602962962963</v>
      </c>
      <c r="D2043" s="1" t="s">
        <v>4086</v>
      </c>
      <c r="E2043" s="4" t="str">
        <f ca="1">IFERROR(__xludf.DUMMYFUNCTION("GOOGLETRANSLATE(A2043 , ""tr"" , ""en"")"),"When the COVID-19 test learns that the test is positively, Istanbul Metropolitan Mayor I have passed my wishes. I say Ekrem imamoglu get past once again here. On this occasion I invite our people to be cautious in Istanbul where the outbreak is spread.")</f>
        <v>When the COVID-19 test learns that the test is positively, Istanbul Metropolitan Mayor I have passed my wishes. I say Ekrem imamoglu get past once again here. On this occasion I invite our people to be cautious in Istanbul where the outbreak is spread.</v>
      </c>
    </row>
    <row r="2044" spans="1:5" ht="15.75" customHeight="1" x14ac:dyDescent="0.25">
      <c r="A2044" s="1" t="s">
        <v>4087</v>
      </c>
      <c r="B2044" s="1">
        <v>7143</v>
      </c>
      <c r="C2044" s="3">
        <v>44127.865347222221</v>
      </c>
      <c r="D2044" s="1" t="s">
        <v>4088</v>
      </c>
      <c r="E2044" s="4" t="str">
        <f ca="1">IFERROR(__xludf.DUMMYFUNCTION("GOOGLETRANSLATE(A2044 , ""tr"" , ""en"")"),"Our health system is in the strength to best treat our patient. The important thing is to attract the set of outbreaks with measures. We don't have more powerful weapons than measures. The struggle is only gained by preventing the dissemination by the pat"&amp;"ient. This is possible to comply with the measures. https://t.co/6c61g8hqy7")</f>
        <v>Our health system is in the strength to best treat our patient. The important thing is to attract the set of outbreaks with measures. We don't have more powerful weapons than measures. The struggle is only gained by preventing the dissemination by the patient. This is possible to comply with the measures. https://t.co/6c61g8hqy7</v>
      </c>
    </row>
    <row r="2045" spans="1:5" ht="15.75" customHeight="1" x14ac:dyDescent="0.25">
      <c r="A2045" s="1" t="s">
        <v>4089</v>
      </c>
      <c r="B2045" s="1">
        <v>6874</v>
      </c>
      <c r="C2045" s="3">
        <v>44127.850219907406</v>
      </c>
      <c r="D2045" s="1" t="s">
        <v>4090</v>
      </c>
      <c r="E2045" s="4" t="str">
        <f ca="1">IFERROR(__xludf.DUMMYFUNCTION("GOOGLETRANSLATE(A2045 , ""tr"" , ""en"")"),"In Bursa, Bilecik, Balikesir, Canakkale and Yalova provinces: In Bursa, the number of cases of cases in Bursa increased by 1 month ago, 2 times in Bilecik. If Balikesir, Yalova and Canakkale have a 50% case increase by 1 month ago. The possibilities in ea"&amp;"ch province are sufficient. https://t.co/stonkuncju")</f>
        <v>In Bursa, Bilecik, Balikesir, Canakkale and Yalova provinces: In Bursa, the number of cases of cases in Bursa increased by 1 month ago, 2 times in Bilecik. If Balikesir, Yalova and Canakkale have a 50% case increase by 1 month ago. The possibilities in each province are sufficient. https://t.co/stonkuncju</v>
      </c>
    </row>
    <row r="2046" spans="1:5" ht="15.75" customHeight="1" x14ac:dyDescent="0.25">
      <c r="A2046" s="1" t="s">
        <v>4091</v>
      </c>
      <c r="B2046" s="1">
        <v>7973</v>
      </c>
      <c r="C2046" s="3">
        <v>44127.815729166665</v>
      </c>
      <c r="D2046" s="1" t="s">
        <v>4092</v>
      </c>
      <c r="E2046" s="4" t="str">
        <f ca="1">IFERROR(__xludf.DUMMYFUNCTION("GOOGLETRANSLATE(A2046 , ""tr"" , ""en"")"),"Symptoms are not seen in most people. This does not reduce the seriousness of the job. The epidemic has taught us: the spread of the virus is that only more people do not have a patient and all life is the belly. The fight against the epidemic is the figh"&amp;"t against all life. https://t.co/ddzyxo5hwv")</f>
        <v>Symptoms are not seen in most people. This does not reduce the seriousness of the job. The epidemic has taught us: the spread of the virus is that only more people do not have a patient and all life is the belly. The fight against the epidemic is the fight against all life. https://t.co/ddzyxo5hwv</v>
      </c>
    </row>
    <row r="2047" spans="1:5" ht="15.75" customHeight="1" x14ac:dyDescent="0.25">
      <c r="A2047" s="1" t="s">
        <v>4093</v>
      </c>
      <c r="B2047" s="1">
        <v>5516</v>
      </c>
      <c r="C2047" s="3">
        <v>44127.798750000002</v>
      </c>
      <c r="D2047" s="1" t="s">
        <v>4094</v>
      </c>
      <c r="E2047" s="4" t="str">
        <f ca="1">IFERROR(__xludf.DUMMYFUNCTION("GOOGLETRANSLATE(A2047 , ""tr"" , ""en"")"),"Anatolia is during the second peak period. On 14 April, we lived the first peak in September 14 on April 14. The first peak in Anatolia was seen on September. We live the latter now. Earnestly taken the consequences of hugging the measures earlier. This n"&amp;"ew exam needs determination. https://t.co/xwi78heoaw")</f>
        <v>Anatolia is during the second peak period. On 14 April, we lived the first peak in September 14 on April 14. The first peak in Anatolia was seen on September. We live the latter now. Earnestly taken the consequences of hugging the measures earlier. This new exam needs determination. https://t.co/xwi78heoaw</v>
      </c>
    </row>
    <row r="2048" spans="1:5" ht="15.75" customHeight="1" x14ac:dyDescent="0.25">
      <c r="A2048" s="1" t="s">
        <v>4095</v>
      </c>
      <c r="B2048" s="1">
        <v>15474</v>
      </c>
      <c r="C2048" s="3">
        <v>44127.74324074074</v>
      </c>
      <c r="D2048" s="1" t="s">
        <v>4096</v>
      </c>
      <c r="E2048" s="4" t="str">
        <f ca="1">IFERROR(__xludf.DUMMYFUNCTION("GOOGLETRANSLATE(A2048 , ""tr"" , ""en"")"),"We have 2,165 new patients identified today. A total of approximately 13 million tests were performed. The increase in severe patients continues to increase. At the point of epidemic, the largest weapon at the point we have in our hand is the mask. Give s"&amp;"trength to the challenge. https://t.co/rvlhe7786o")</f>
        <v>We have 2,165 new patients identified today. A total of approximately 13 million tests were performed. The increase in severe patients continues to increase. At the point of epidemic, the largest weapon at the point we have in our hand is the mask. Give strength to the challenge. https://t.co/rvlhe7786o</v>
      </c>
    </row>
    <row r="2049" spans="1:5" ht="15.75" customHeight="1" x14ac:dyDescent="0.25">
      <c r="A2049" s="1" t="s">
        <v>4097</v>
      </c>
      <c r="B2049" s="1">
        <v>5118</v>
      </c>
      <c r="C2049" s="3">
        <v>44127.709467592591</v>
      </c>
      <c r="D2049" s="1" t="s">
        <v>4098</v>
      </c>
      <c r="E2049" s="4" t="str">
        <f ca="1">IFERROR(__xludf.DUMMYFUNCTION("GOOGLETRANSLATE(A2049 , ""tr"" , ""en"")"),"The latest situation in Bursa, Balikesir, Canakkale, Bilecik and Yalova in the fight against the epidemic and Turkey:
📍bursa
https://t.co/c8xey1i7hx")</f>
        <v>The latest situation in Bursa, Balikesir, Canakkale, Bilecik and Yalova in the fight against the epidemic and Turkey:
📍bursa
https://t.co/c8xey1i7hx</v>
      </c>
    </row>
    <row r="2050" spans="1:5" ht="15.75" customHeight="1" x14ac:dyDescent="0.25">
      <c r="A2050" s="1" t="s">
        <v>4099</v>
      </c>
      <c r="B2050" s="1">
        <v>7628</v>
      </c>
      <c r="C2050" s="3">
        <v>44127.550983796296</v>
      </c>
      <c r="D2050" s="1" t="s">
        <v>4100</v>
      </c>
      <c r="E2050" s="4" t="str">
        <f ca="1">IFERROR(__xludf.DUMMYFUNCTION("GOOGLETRANSLATE(A2050 , ""tr"" , ""en"")"),"Our second stop in the Bursa program became our city hospital. We have visited our children with our young people in progress. In the interviews with our friends with our friends, we have received information on the regularity in the hospital with the pro"&amp;"cess of pandemia in general health services. https://t.co/33fawpldzt")</f>
        <v>Our second stop in the Bursa program became our city hospital. We have visited our children with our young people in progress. In the interviews with our friends with our friends, we have received information on the regularity in the hospital with the process of pandemia in general health services. https://t.co/33fawpldzt</v>
      </c>
    </row>
    <row r="2051" spans="1:5" ht="15.75" customHeight="1" x14ac:dyDescent="0.25">
      <c r="A2051" s="1" t="s">
        <v>4101</v>
      </c>
      <c r="B2051" s="1">
        <v>7917</v>
      </c>
      <c r="C2051" s="3">
        <v>44127.390509259261</v>
      </c>
      <c r="D2051" s="1" t="s">
        <v>4102</v>
      </c>
      <c r="E2051" s="4" t="str">
        <f ca="1">IFERROR(__xludf.DUMMYFUNCTION("GOOGLETRANSLATE(A2051 , ""tr"" , ""en"")"),"We are in Bursa. In one of the most important stages of the whole process, in the study meetings we will do here; In Bursa, Balikesir, Canakkale, Bilecik and Yalova, we will address the needs of our hospitals and health workers. https://t.co/GNBI6TVMML")</f>
        <v>We are in Bursa. In one of the most important stages of the whole process, in the study meetings we will do here; In Bursa, Balikesir, Canakkale, Bilecik and Yalova, we will address the needs of our hospitals and health workers. https://t.co/GNBI6TVMML</v>
      </c>
    </row>
    <row r="2052" spans="1:5" ht="15.75" customHeight="1" x14ac:dyDescent="0.25">
      <c r="A2052" s="1" t="s">
        <v>4103</v>
      </c>
      <c r="B2052" s="1">
        <v>34359</v>
      </c>
      <c r="C2052" s="3">
        <v>44126.810011574074</v>
      </c>
      <c r="D2052" s="1" t="s">
        <v>4104</v>
      </c>
      <c r="E2052" s="4" t="str">
        <f ca="1">IFERROR(__xludf.DUMMYFUNCTION("GOOGLETRANSLATE(A2052 , ""tr"" , ""en"")"),"In Istanbul, we will give the most gang examination to the crowd. Do not enter into crowded media unless you have to be obliged.")</f>
        <v>In Istanbul, we will give the most gang examination to the crowd. Do not enter into crowded media unless you have to be obliged.</v>
      </c>
    </row>
    <row r="2053" spans="1:5" ht="15.75" customHeight="1" x14ac:dyDescent="0.25">
      <c r="A2053" s="1" t="s">
        <v>4105</v>
      </c>
      <c r="B2053" s="1">
        <v>30747</v>
      </c>
      <c r="C2053" s="3">
        <v>44126.783750000002</v>
      </c>
      <c r="D2053" s="1" t="s">
        <v>4106</v>
      </c>
      <c r="E2053" s="4" t="str">
        <f ca="1">IFERROR(__xludf.DUMMYFUNCTION("GOOGLETRANSLATE(A2053 , ""tr"" , ""en"")"),"The number of cases in Istanbul has reached 40% of Turkey to 40% of Turkey, Ankara reached 5 times. We have increased the number of contacts, the number of tests. In the struggle of outbreak, we don't have a stronger weapon than the measures you will fit."&amp;" The importance of the mask has increased. And we will give the most gang examination to the crowd.")</f>
        <v>The number of cases in Istanbul has reached 40% of Turkey to 40% of Turkey, Ankara reached 5 times. We have increased the number of contacts, the number of tests. In the struggle of outbreak, we don't have a stronger weapon than the measures you will fit. The importance of the mask has increased. And we will give the most gang examination to the crowd.</v>
      </c>
    </row>
    <row r="2054" spans="1:5" ht="15.75" customHeight="1" x14ac:dyDescent="0.25">
      <c r="A2054" s="1" t="s">
        <v>4107</v>
      </c>
      <c r="B2054" s="1">
        <v>13255</v>
      </c>
      <c r="C2054" s="3">
        <v>44126.757685185185</v>
      </c>
      <c r="D2054" s="1" t="s">
        <v>4108</v>
      </c>
      <c r="E2054" s="4" t="str">
        <f ca="1">IFERROR(__xludf.DUMMYFUNCTION("GOOGLETRANSLATE(A2054 , ""tr"" , ""en"")"),"Istanbul Governor SN. Ali Yerikaya, Provincial Safety Manager sec. Zafer Aktas, our Minister Helps, provincial health manager, field coordinators and the opinions of the epidemic, were on the table. We have decided the measures to be taken against the ong"&amp;"oing increase. https://t.co/cygh788ome")</f>
        <v>Istanbul Governor SN. Ali Yerikaya, Provincial Safety Manager sec. Zafer Aktas, our Minister Helps, provincial health manager, field coordinators and the opinions of the epidemic, were on the table. We have decided the measures to be taken against the ongoing increase. https://t.co/cygh788ome</v>
      </c>
    </row>
    <row r="2055" spans="1:5" ht="15.75" customHeight="1" x14ac:dyDescent="0.25">
      <c r="A2055" s="1" t="s">
        <v>4109</v>
      </c>
      <c r="B2055" s="1">
        <v>6406</v>
      </c>
      <c r="C2055" s="3">
        <v>44126.719837962963</v>
      </c>
      <c r="D2055" s="1" t="s">
        <v>4110</v>
      </c>
      <c r="E2055" s="4" t="str">
        <f ca="1">IFERROR(__xludf.DUMMYFUNCTION("GOOGLETRANSLATE(A2055 , ""tr"" , ""en"")"),"Our brother of the writer and the MP Brother Brandar Esayan, our President Erdogan and the respected wife Emine Erdoğan's lady joined the last journey. The religious ceremony was held at the Kumkapi Mary's Main Patriarchate Church. I wish their condolence"&amp;"s to their relatives and lovers. https://t.co/r4svft7icI")</f>
        <v>Our brother of the writer and the MP Brother Brandar Esayan, our President Erdogan and the respected wife Emine Erdoğan's lady joined the last journey. The religious ceremony was held at the Kumkapi Mary's Main Patriarchate Church. I wish their condolences to their relatives and lovers. https://t.co/r4svft7icI</v>
      </c>
    </row>
    <row r="2056" spans="1:5" ht="15.75" customHeight="1" x14ac:dyDescent="0.25">
      <c r="A2056" s="1" t="s">
        <v>4111</v>
      </c>
      <c r="B2056" s="1">
        <v>13787</v>
      </c>
      <c r="C2056" s="3">
        <v>44126.669270833336</v>
      </c>
      <c r="D2056" s="1" t="s">
        <v>4112</v>
      </c>
      <c r="E2056" s="4" t="str">
        <f ca="1">IFERROR(__xludf.DUMMYFUNCTION("GOOGLETRANSLATE(A2056 , ""tr"" , ""en"")"),"We have 2,102 new patients identified today. Our severe patient number is 1.599. The most important struggle for our health workers is much easier to reduce the numbers by treating severe patients by treating heavy patients. Support the struggle by comply"&amp;"ing with mask with mask Https://t.co/rvlhe7786o")</f>
        <v>We have 2,102 new patients identified today. Our severe patient number is 1.599. The most important struggle for our health workers is much easier to reduce the numbers by treating severe patients by treating heavy patients. Support the struggle by complying with mask with mask Https://t.co/rvlhe7786o</v>
      </c>
    </row>
    <row r="2057" spans="1:5" ht="15.75" customHeight="1" x14ac:dyDescent="0.25">
      <c r="A2057" s="1" t="s">
        <v>4113</v>
      </c>
      <c r="B2057" s="1">
        <v>13046</v>
      </c>
      <c r="C2057" s="3">
        <v>44125.840185185189</v>
      </c>
      <c r="D2057" s="1" t="s">
        <v>4114</v>
      </c>
      <c r="E2057" s="4" t="str">
        <f ca="1">IFERROR(__xludf.DUMMYFUNCTION("GOOGLETRANSLATE(A2057 , ""tr"" , ""en"")"),"Izmir, Gaziantep, Kahramanmaras, Eskişehir, Denizli, Adiyaman, Aydın Meetings We have evaluated the point of epidemics. Istanbul, especially, this 7 provinces and case increase in the country are seen. The importance of the mask has increased. Let's obey "&amp;"the rules. https://t.co/QWPIVIF6E0")</f>
        <v>Izmir, Gaziantep, Kahramanmaras, Eskişehir, Denizli, Adiyaman, Aydın Meetings We have evaluated the point of epidemics. Istanbul, especially, this 7 provinces and case increase in the country are seen. The importance of the mask has increased. Let's obey the rules. https://t.co/QWPIVIF6E0</v>
      </c>
    </row>
    <row r="2058" spans="1:5" ht="15.75" customHeight="1" x14ac:dyDescent="0.25">
      <c r="A2058" s="1" t="s">
        <v>4115</v>
      </c>
      <c r="B2058" s="1">
        <v>0</v>
      </c>
      <c r="C2058" s="3">
        <v>44125.70884259259</v>
      </c>
      <c r="D2058" s="1" t="s">
        <v>4116</v>
      </c>
      <c r="E2058" s="4" t="str">
        <f ca="1">IFERROR(__xludf.DUMMYFUNCTION("GOOGLETRANSLATE(A2058 , ""tr"" , ""en"")"),"Rt @cmylmz: Mr. Health Minister @drfahrettinkoca gave me the news that makes me happy about the thought I have expressed today. To herself…")</f>
        <v>Rt @cmylmz: Mr. Health Minister @drfahrettinkoca gave me the news that makes me happy about the thought I have expressed today. To herself…</v>
      </c>
    </row>
    <row r="2059" spans="1:5" ht="15.75" customHeight="1" x14ac:dyDescent="0.25">
      <c r="A2059" s="1" t="s">
        <v>4117</v>
      </c>
      <c r="B2059" s="1">
        <v>0</v>
      </c>
      <c r="C2059" s="3">
        <v>44125.708749999998</v>
      </c>
      <c r="D2059" s="1" t="s">
        <v>4118</v>
      </c>
      <c r="E2059" s="4" t="str">
        <f ca="1">IFERROR(__xludf.DUMMYFUNCTION("GOOGLETRANSLATE(A2059 , ""tr"" , ""en"")"),"RT @cmylmz: The responsibility of the pandem is the highest level of health to our Ministry of Health, in all the country, to the health personnel, with friendly ...")</f>
        <v>RT @cmylmz: The responsibility of the pandem is the highest level of health to our Ministry of Health, in all the country, to the health personnel, with friendly ...</v>
      </c>
    </row>
    <row r="2060" spans="1:5" ht="15.75" customHeight="1" x14ac:dyDescent="0.25">
      <c r="A2060" s="1" t="s">
        <v>4119</v>
      </c>
      <c r="B2060" s="1">
        <v>17615</v>
      </c>
      <c r="C2060" s="3">
        <v>44125.704548611109</v>
      </c>
      <c r="D2060" s="1" t="s">
        <v>4120</v>
      </c>
      <c r="E2060" s="4" t="str">
        <f ca="1">IFERROR(__xludf.DUMMYFUNCTION("GOOGLETRANSLATE(A2060 , ""tr"" , ""en"")"),"Today we have more than 2,000 new identified patients. Our total heavy patient number is 1.504. Patients with the most efforts of our health workers are severe patients. Able to reduce their load together by fitting together the measures. Provide support "&amp;"to the struggle. https://t.co/rvlhe7786o")</f>
        <v>Today we have more than 2,000 new identified patients. Our total heavy patient number is 1.504. Patients with the most efforts of our health workers are severe patients. Able to reduce their load together by fitting together the measures. Provide support to the struggle. https://t.co/rvlhe7786o</v>
      </c>
    </row>
    <row r="2061" spans="1:5" ht="15.75" customHeight="1" x14ac:dyDescent="0.25">
      <c r="A2061" s="1" t="s">
        <v>4121</v>
      </c>
      <c r="B2061" s="1">
        <v>33826</v>
      </c>
      <c r="C2061" s="3">
        <v>44124.793587962966</v>
      </c>
      <c r="D2061" s="1" t="s">
        <v>4122</v>
      </c>
      <c r="E2061" s="4" t="str">
        <f ca="1">IFERROR(__xludf.DUMMYFUNCTION("GOOGLETRANSLATE(A2061 , ""tr"" , ""en"")"),"We have to show the effort to improve patients to improve patients.")</f>
        <v>We have to show the effort to improve patients to improve patients.</v>
      </c>
    </row>
    <row r="2062" spans="1:5" ht="15.75" customHeight="1" x14ac:dyDescent="0.25">
      <c r="A2062" s="1" t="s">
        <v>4123</v>
      </c>
      <c r="B2062" s="1">
        <v>13748</v>
      </c>
      <c r="C2062" s="3">
        <v>44124.708518518521</v>
      </c>
      <c r="D2062" s="1" t="s">
        <v>4124</v>
      </c>
      <c r="E2062" s="4" t="str">
        <f ca="1">IFERROR(__xludf.DUMMYFUNCTION("GOOGLETRANSLATE(A2062 , ""tr"" , ""en"")"),"We have 1,894 new patients identified today. Our severe patient count increased to 1.545. We have to enclose the efforts that our health workers have enclosed to improve the patients. Support together to combat the measures. https://t.co/rvlhe7786o")</f>
        <v>We have 1,894 new patients identified today. Our severe patient count increased to 1.545. We have to enclose the efforts that our health workers have enclosed to improve the patients. Support together to combat the measures. https://t.co/rvlhe7786o</v>
      </c>
    </row>
    <row r="2063" spans="1:5" ht="15.75" customHeight="1" x14ac:dyDescent="0.25">
      <c r="A2063" s="1" t="s">
        <v>4125</v>
      </c>
      <c r="B2063" s="1">
        <v>20692</v>
      </c>
      <c r="C2063" s="3">
        <v>44123.812858796293</v>
      </c>
      <c r="D2063" s="1" t="s">
        <v>4126</v>
      </c>
      <c r="E2063" s="4" t="str">
        <f ca="1">IFERROR(__xludf.DUMMYFUNCTION("GOOGLETRANSLATE(A2063 , ""tr"" , ""en"")"),"If it's full, don't ride! In Istanbul, some of the drivers in Istanbul, despite the epidemic, the complaints of the more than their capacities, complaints began to increase. Please do not ride the excess of passengers. Let the passenger capacity helps the"&amp;" safety units that control. https://t.co/xiajvn3z0f")</f>
        <v>If it's full, don't ride! In Istanbul, some of the drivers in Istanbul, despite the epidemic, the complaints of the more than their capacities, complaints began to increase. Please do not ride the excess of passengers. Let the passenger capacity helps the safety units that control. https://t.co/xiajvn3z0f</v>
      </c>
    </row>
    <row r="2064" spans="1:5" ht="15.75" customHeight="1" x14ac:dyDescent="0.25">
      <c r="A2064" s="1" t="s">
        <v>4127</v>
      </c>
      <c r="B2064" s="1">
        <v>16577</v>
      </c>
      <c r="C2064" s="3">
        <v>44123.677731481483</v>
      </c>
      <c r="D2064" s="1" t="s">
        <v>4128</v>
      </c>
      <c r="E2064" s="4" t="str">
        <f ca="1">IFERROR(__xludf.DUMMYFUNCTION("GOOGLETRANSLATE(A2064 , ""tr"" , ""en"")"),"We have 1,958 new patients identified today. It is power to achieve our struggle without reducing the number of severe patients. We can only provide measures with the power association by complying with the measures. Let's glorify our health care employee"&amp;"s' labor. https://t.co/rvlhe7786o")</f>
        <v>We have 1,958 new patients identified today. It is power to achieve our struggle without reducing the number of severe patients. We can only provide measures with the power association by complying with the measures. Let's glorify our health care employees' labor. https://t.co/rvlhe7786o</v>
      </c>
    </row>
    <row r="2065" spans="1:5" ht="15.75" customHeight="1" x14ac:dyDescent="0.25">
      <c r="A2065" s="1" t="s">
        <v>4129</v>
      </c>
      <c r="B2065" s="1">
        <v>11331</v>
      </c>
      <c r="C2065" s="3">
        <v>44123.499456018515</v>
      </c>
      <c r="D2065" s="1" t="s">
        <v>4130</v>
      </c>
      <c r="E2065" s="4" t="str">
        <f ca="1">IFERROR(__xludf.DUMMYFUNCTION("GOOGLETRANSLATE(A2065 , ""tr"" , ""en"")"),"Bosnia and Herzegovina is the great hero of the challenge of independence, we remember that the 20th century is the highest and politicians of Aliya İzzetbegovic in the 17th anniversary of the death and late. The wise king witnessed the one with his work,"&amp;" he gave directions with his struggle. https://t.co/c1lttttyng")</f>
        <v>Bosnia and Herzegovina is the great hero of the challenge of independence, we remember that the 20th century is the highest and politicians of Aliya İzzetbegovic in the 17th anniversary of the death and late. The wise king witnessed the one with his work, he gave directions with his struggle. https://t.co/c1lttttyng</v>
      </c>
    </row>
    <row r="2066" spans="1:5" ht="15.75" customHeight="1" x14ac:dyDescent="0.25">
      <c r="A2066" s="1" t="s">
        <v>4131</v>
      </c>
      <c r="B2066" s="1">
        <v>19734</v>
      </c>
      <c r="C2066" s="3">
        <v>44122.811863425923</v>
      </c>
      <c r="D2066" s="1" t="s">
        <v>4132</v>
      </c>
      <c r="E2066" s="4" t="str">
        <f ca="1">IFERROR(__xludf.DUMMYFUNCTION("GOOGLETRANSLATE(A2066 , ""tr"" , ""en"")"),"This is the patient entering the crowd. Taksim Istiklal Street, this Sunday was the scene of images away from optimism. If there are no small number of people wearing his mask, we could never come to mind in the pandemary period. Let's not enter the crowd"&amp;"ed media unless you have to be obliged. https://t.co/1wcorodzsj")</f>
        <v>This is the patient entering the crowd. Taksim Istiklal Street, this Sunday was the scene of images away from optimism. If there are no small number of people wearing his mask, we could never come to mind in the pandemary period. Let's not enter the crowded media unless you have to be obliged. https://t.co/1wcorodzsj</v>
      </c>
    </row>
    <row r="2067" spans="1:5" ht="15.75" customHeight="1" x14ac:dyDescent="0.25">
      <c r="A2067" s="1" t="s">
        <v>4133</v>
      </c>
      <c r="B2067" s="1">
        <v>19235</v>
      </c>
      <c r="C2067" s="3">
        <v>44122.75203703704</v>
      </c>
      <c r="D2067" s="1" t="s">
        <v>4134</v>
      </c>
      <c r="E2067" s="4" t="str">
        <f ca="1">IFERROR(__xludf.DUMMYFUNCTION("GOOGLETRANSLATE(A2067 , ""tr"" , ""en"")"),"TRNC Prime Minister Ersin Tatar, according to non-formal results, the President was elected. I celebrate itself in advance and wish you success. Turkish Cyprus and get auspicious for all of us.")</f>
        <v>TRNC Prime Minister Ersin Tatar, according to non-formal results, the President was elected. I celebrate itself in advance and wish you success. Turkish Cyprus and get auspicious for all of us.</v>
      </c>
    </row>
    <row r="2068" spans="1:5" ht="15.75" customHeight="1" x14ac:dyDescent="0.25">
      <c r="A2068" s="1" t="s">
        <v>4135</v>
      </c>
      <c r="B2068" s="1">
        <v>9442</v>
      </c>
      <c r="C2068" s="3">
        <v>44122.678472222222</v>
      </c>
      <c r="D2068" s="1" t="s">
        <v>4136</v>
      </c>
      <c r="E2068" s="4" t="str">
        <f ca="1">IFERROR(__xludf.DUMMYFUNCTION("GOOGLETRANSLATE(A2068 , ""tr"" , ""en"")"),"Today we have more than 1,500 healing patients. We have 1,815 patients who are newly detected. The number of severe patients continues its static course. We have to reduce active and severe patient numbers. Let's continue to continue the struggle by compl"&amp;"ying with the measures. https://t.co/rvlhe7786o")</f>
        <v>Today we have more than 1,500 healing patients. We have 1,815 patients who are newly detected. The number of severe patients continues its static course. We have to reduce active and severe patient numbers. Let's continue to continue the struggle by complying with the measures. https://t.co/rvlhe7786o</v>
      </c>
    </row>
    <row r="2069" spans="1:5" ht="15.75" customHeight="1" x14ac:dyDescent="0.25">
      <c r="A2069" s="1" t="s">
        <v>4137</v>
      </c>
      <c r="B2069" s="1">
        <v>16457</v>
      </c>
      <c r="C2069" s="3">
        <v>44122.525381944448</v>
      </c>
      <c r="D2069" s="1" t="s">
        <v>4138</v>
      </c>
      <c r="E2069" s="4" t="str">
        <f ca="1">IFERROR(__xludf.DUMMYFUNCTION("GOOGLETRANSLATE(A2069 , ""tr"" , ""en"")"),"The only nation of each other, the two states we know of Azerbaijan's October 18th October Independence Day. We are next to Azerbaijan defending the territory of Armenia against barbarian attacks. https://t.co/jyxzqgr4me")</f>
        <v>The only nation of each other, the two states we know of Azerbaijan's October 18th October Independence Day. We are next to Azerbaijan defending the territory of Armenia against barbarian attacks. https://t.co/jyxzqgr4me</v>
      </c>
    </row>
    <row r="2070" spans="1:5" ht="15.75" customHeight="1" x14ac:dyDescent="0.25">
      <c r="A2070" s="1" t="s">
        <v>4139</v>
      </c>
      <c r="B2070" s="1">
        <v>9278</v>
      </c>
      <c r="C2070" s="3">
        <v>44122.347268518519</v>
      </c>
      <c r="D2070" s="1" t="s">
        <v>4140</v>
      </c>
      <c r="E2070" s="4" t="str">
        <f ca="1">IFERROR(__xludf.DUMMYFUNCTION("GOOGLETRANSLATE(A2070 , ""tr"" , ""en"")"),"Muhtar Fevzi Bey is 76 years old. Caught COVID-19. 10 days remained in the quarantine. When the complaints continue, 6 days were treated in the hospital. 1 week rested at home. The very simple: the illness decreases if the mask rule is complied with. Know"&amp;" yourself: My mistake was to lower the mask under my nose. https://t.co/1ngnx6lz9l")</f>
        <v>Muhtar Fevzi Bey is 76 years old. Caught COVID-19. 10 days remained in the quarantine. When the complaints continue, 6 days were treated in the hospital. 1 week rested at home. The very simple: the illness decreases if the mask rule is complied with. Know yourself: My mistake was to lower the mask under my nose. https://t.co/1ngnx6lz9l</v>
      </c>
    </row>
    <row r="2071" spans="1:5" ht="15.75" customHeight="1" x14ac:dyDescent="0.25">
      <c r="A2071" s="1" t="s">
        <v>4141</v>
      </c>
      <c r="B2071" s="1">
        <v>5683</v>
      </c>
      <c r="C2071" s="3">
        <v>44121.795057870368</v>
      </c>
      <c r="D2071" s="1" t="s">
        <v>4142</v>
      </c>
      <c r="E2071" s="4" t="str">
        <f ca="1">IFERROR(__xludf.DUMMYFUNCTION("GOOGLETRANSLATE(A2071 , ""tr"" , ""en"")"),"What is he done against those who do not meet the measures? Against those who treats irresponsibly, our Ministry of Interior is continuing to audit and sanctions. In common areas, it takes precautions to comply with mask and distance rules. Contribute to "&amp;"this effort with your kind warnings. https://t.co/t1deag7b3b")</f>
        <v>What is he done against those who do not meet the measures? Against those who treats irresponsibly, our Ministry of Interior is continuing to audit and sanctions. In common areas, it takes precautions to comply with mask and distance rules. Contribute to this effort with your kind warnings. https://t.co/t1deag7b3b</v>
      </c>
    </row>
    <row r="2072" spans="1:5" ht="15.75" customHeight="1" x14ac:dyDescent="0.25">
      <c r="A2072" s="1" t="s">
        <v>4143</v>
      </c>
      <c r="B2072" s="1">
        <v>5722</v>
      </c>
      <c r="C2072" s="3">
        <v>44121.752222222225</v>
      </c>
      <c r="D2072" s="1" t="s">
        <v>4144</v>
      </c>
      <c r="E2072" s="4" t="str">
        <f ca="1">IFERROR(__xludf.DUMMYFUNCTION("GOOGLETRANSLATE(A2072 , ""tr"" , ""en"")"),"Comply with three measures, from our number of daily tests, our daily test count, bed capacity, respirator is more important than the occupancy rate. Because we need them, depending on whether the measures are complied with. https://t.co/aat93o3ymv")</f>
        <v>Comply with three measures, from our number of daily tests, our daily test count, bed capacity, respirator is more important than the occupancy rate. Because we need them, depending on whether the measures are complied with. https://t.co/aat93o3ymv</v>
      </c>
    </row>
    <row r="2073" spans="1:5" ht="15.75" customHeight="1" x14ac:dyDescent="0.25">
      <c r="A2073" s="1" t="s">
        <v>4145</v>
      </c>
      <c r="B2073" s="1">
        <v>7727</v>
      </c>
      <c r="C2073" s="3">
        <v>44121.709907407407</v>
      </c>
      <c r="D2073" s="1" t="s">
        <v>4146</v>
      </c>
      <c r="E2073" s="4" t="str">
        <f ca="1">IFERROR(__xludf.DUMMYFUNCTION("GOOGLETRANSLATE(A2073 , ""tr"" , ""en"")"),"Because the coronavirus is contaminated by respiration, the mask is an indispensable measure. Is even the most important of measures. Our scientists say that together with some terms, the mask is up to 90% of the protectorism. https://t.co/elndh4qsc6")</f>
        <v>Because the coronavirus is contaminated by respiration, the mask is an indispensable measure. Is even the most important of measures. Our scientists say that together with some terms, the mask is up to 90% of the protectorism. https://t.co/elndh4qsc6</v>
      </c>
    </row>
    <row r="2074" spans="1:5" ht="15.75" customHeight="1" x14ac:dyDescent="0.25">
      <c r="A2074" s="1" t="s">
        <v>4147</v>
      </c>
      <c r="B2074" s="1">
        <v>10378</v>
      </c>
      <c r="C2074" s="3">
        <v>44121.667199074072</v>
      </c>
      <c r="D2074" s="1" t="s">
        <v>4148</v>
      </c>
      <c r="E2074" s="4" t="str">
        <f ca="1">IFERROR(__xludf.DUMMYFUNCTION("GOOGLETRANSLATE(A2074 , ""tr"" , ""en"")"),"In the tests today, 1.723 new patients were detected. The disease to reduce the number of severe patients is to prevent the transmission of the disease. The most important weapon for this is to comply with the measures. We will be the winner of the measur"&amp;"es. https://t.co/rvlhe7786o")</f>
        <v>In the tests today, 1.723 new patients were detected. The disease to reduce the number of severe patients is to prevent the transmission of the disease. The most important weapon for this is to comply with the measures. We will be the winner of the measures. https://t.co/rvlhe7786o</v>
      </c>
    </row>
    <row r="2075" spans="1:5" ht="15.75" customHeight="1" x14ac:dyDescent="0.25">
      <c r="A2075" s="1" t="s">
        <v>4149</v>
      </c>
      <c r="B2075" s="1">
        <v>0</v>
      </c>
      <c r="C2075" s="3">
        <v>44121.564027777778</v>
      </c>
      <c r="D2075" s="1" t="s">
        <v>4150</v>
      </c>
      <c r="E2075" s="4" t="str">
        <f ca="1">IFERROR(__xludf.DUMMYFUNCTION("GOOGLETRANSLATE(A2075 , ""tr"" , ""en"")"),"RT @rterdogan: Fatih drilling from our ship to our nation # nillienjideymeni https://t.co/748szshwlt")</f>
        <v>RT @rterdogan: Fatih drilling from our ship to our nation # nillienjideymeni https://t.co/748szshwlt</v>
      </c>
    </row>
    <row r="2076" spans="1:5" ht="15.75" customHeight="1" x14ac:dyDescent="0.25">
      <c r="A2076" s="1" t="s">
        <v>4151</v>
      </c>
      <c r="B2076" s="1">
        <v>3947</v>
      </c>
      <c r="C2076" s="3">
        <v>44121.539340277777</v>
      </c>
      <c r="D2076" s="1" t="s">
        <v>4152</v>
      </c>
      <c r="E2076" s="4" t="str">
        <f ca="1">IFERROR(__xludf.DUMMYFUNCTION("GOOGLETRANSLATE(A2076 , ""tr"" , ""en"")"),"DSO European Director Dr. Hans Kluge explained that death rates in Europe may increase 5 times in Europe compared to April. The number of cases of 6 million reached 7 million in 10 days. Daily andfat is over 1,000. The table in Europe is characterized as "&amp;"the second wave. https://t.co/bf50vctqlg")</f>
        <v>DSO European Director Dr. Hans Kluge explained that death rates in Europe may increase 5 times in Europe compared to April. The number of cases of 6 million reached 7 million in 10 days. Daily andfat is over 1,000. The table in Europe is characterized as the second wave. https://t.co/bf50vctqlg</v>
      </c>
    </row>
    <row r="2077" spans="1:5" ht="15.75" customHeight="1" x14ac:dyDescent="0.25">
      <c r="A2077" s="1" t="s">
        <v>4153</v>
      </c>
      <c r="B2077" s="1">
        <v>4433</v>
      </c>
      <c r="C2077" s="3">
        <v>44121.534421296295</v>
      </c>
      <c r="D2077" s="1" t="s">
        <v>4154</v>
      </c>
      <c r="E2077" s="4" t="str">
        <f ca="1">IFERROR(__xludf.DUMMYFUNCTION("GOOGLETRANSLATE(A2077 , ""tr"" , ""en"")"),"The number of active cases in the world is more than the past months. Determined by diagnosing on October 15 only, 430 thousand. According to the estimates, the total number of people with the properties feature are over 70 million. The epidemic starting "&amp;"from 1 has a lot of spreading channels from 70 million right now. https://t.co/r2FIA9GQV4")</f>
        <v>The number of active cases in the world is more than the past months. Determined by diagnosing on October 15 only, 430 thousand. According to the estimates, the total number of people with the properties feature are over 70 million. The epidemic starting from 1 has a lot of spreading channels from 70 million right now. https://t.co/r2FIA9GQV4</v>
      </c>
    </row>
    <row r="2078" spans="1:5" ht="15.75" customHeight="1" x14ac:dyDescent="0.25">
      <c r="A2078" s="1" t="s">
        <v>4155</v>
      </c>
      <c r="B2078" s="1">
        <v>8135</v>
      </c>
      <c r="C2078" s="3">
        <v>44121.528460648151</v>
      </c>
      <c r="D2078" s="1" t="s">
        <v>4156</v>
      </c>
      <c r="E2078" s="4" t="str">
        <f ca="1">IFERROR(__xludf.DUMMYFUNCTION("GOOGLETRANSLATE(A2078 , ""tr"" , ""en"")"),"Virus has been contemptible for at least 39 million people compared to official figures. At the very first, this number was only 1. Coronavirus has spread to the world from that 1 person. O The number of ""one"" was at least 39 million. Even a single carr"&amp;"ier between us means that the risk continues as long as it is not isolated. https://t.co/qekı13uywv")</f>
        <v>Virus has been contemptible for at least 39 million people compared to official figures. At the very first, this number was only 1. Coronavirus has spread to the world from that 1 person. O The number of "one" was at least 39 million. Even a single carrier between us means that the risk continues as long as it is not isolated. https://t.co/qekı13uywv</v>
      </c>
    </row>
    <row r="2079" spans="1:5" ht="15.75" customHeight="1" x14ac:dyDescent="0.25">
      <c r="A2079" s="1" t="s">
        <v>4157</v>
      </c>
      <c r="B2079" s="1">
        <v>22515</v>
      </c>
      <c r="C2079" s="3">
        <v>44121.431087962963</v>
      </c>
      <c r="D2079" s="1" t="s">
        <v>4158</v>
      </c>
      <c r="E2079" s="4" t="str">
        <f ca="1">IFERROR(__xludf.DUMMYFUNCTION("GOOGLETRANSLATE(A2079 , ""tr"" , ""en"")"),"We curse the army of Armenia and the barbarism, due to the missile attacks, which leads to the people of Azerbaijan, which leads to a large number of children in the Şeçiir and injury. The life of terrorists has always been short.")</f>
        <v>We curse the army of Armenia and the barbarism, due to the missile attacks, which leads to the people of Azerbaijan, which leads to a large number of children in the Şeçiir and injury. The life of terrorists has always been short.</v>
      </c>
    </row>
    <row r="2080" spans="1:5" ht="15.75" customHeight="1" x14ac:dyDescent="0.25">
      <c r="A2080" s="1" t="s">
        <v>4159</v>
      </c>
      <c r="B2080" s="1">
        <v>9698</v>
      </c>
      <c r="C2080" s="3">
        <v>44120.874039351853</v>
      </c>
      <c r="D2080" s="1" t="s">
        <v>4160</v>
      </c>
      <c r="E2080" s="4" t="str">
        <f ca="1">IFERROR(__xludf.DUMMYFUNCTION("GOOGLETRANSLATE(A2080 , ""tr"" , ""en"")"),"QUESTION: Positive cases to exit cross-sectional scans are only to be reported to the World Health Organization?
Answer: First of our citizen, then the World Health Organization will learn! https://t.co/pjgkhgzkp9")</f>
        <v>QUESTION: Positive cases to exit cross-sectional scans are only to be reported to the World Health Organization?
Answer: First of our citizen, then the World Health Organization will learn! https://t.co/pjgkhgzkp9</v>
      </c>
    </row>
    <row r="2081" spans="1:5" ht="15.75" customHeight="1" x14ac:dyDescent="0.25">
      <c r="A2081" s="1" t="s">
        <v>4161</v>
      </c>
      <c r="B2081" s="1">
        <v>8142</v>
      </c>
      <c r="C2081" s="3">
        <v>44120.811226851853</v>
      </c>
      <c r="D2081" s="1" t="s">
        <v>4162</v>
      </c>
      <c r="E2081" s="4" t="str">
        <f ca="1">IFERROR(__xludf.DUMMYFUNCTION("GOOGLETRANSLATE(A2081 , ""tr"" , ""en"")"),"Martyr Health Officer We visited Burak Tatar's family in their homes in Erzurum. After the first task of Burak, the Euphrates Shield and Cerablus operations were voluntary and the olive branch had been marty in operation. In our visit, we offered our pare"&amp;"nts on behalf of all of you. https://t.co/501IMXN36V")</f>
        <v>Martyr Health Officer We visited Burak Tatar's family in their homes in Erzurum. After the first task of Burak, the Euphrates Shield and Cerablus operations were voluntary and the olive branch had been marty in operation. In our visit, we offered our parents on behalf of all of you. https://t.co/501IMXN36V</v>
      </c>
    </row>
    <row r="2082" spans="1:5" ht="15.75" customHeight="1" x14ac:dyDescent="0.25">
      <c r="A2082" s="1" t="s">
        <v>4163</v>
      </c>
      <c r="B2082" s="1">
        <v>14116</v>
      </c>
      <c r="C2082" s="3">
        <v>44120.739282407405</v>
      </c>
      <c r="D2082" s="1" t="s">
        <v>4164</v>
      </c>
      <c r="E2082" s="4" t="str">
        <f ca="1">IFERROR(__xludf.DUMMYFUNCTION("GOOGLETRANSLATE(A2082 , ""tr"" , ""en"")"),"We lost BrandSayan. Was very young. It was very friendly. A writer with two mother tongues as a privilege was a combined month. The cancer disease is eaten today today. We are all sorry. I am condolences to their relatives, readers, Armenian community, po"&amp;"litical friends.")</f>
        <v>We lost BrandSayan. Was very young. It was very friendly. A writer with two mother tongues as a privilege was a combined month. The cancer disease is eaten today today. We are all sorry. I am condolences to their relatives, readers, Armenian community, political friends.</v>
      </c>
    </row>
    <row r="2083" spans="1:5" ht="15.75" customHeight="1" x14ac:dyDescent="0.25">
      <c r="A2083" s="1" t="s">
        <v>4165</v>
      </c>
      <c r="B2083" s="1">
        <v>10083</v>
      </c>
      <c r="C2083" s="3">
        <v>44120.705138888887</v>
      </c>
      <c r="D2083" s="1" t="s">
        <v>4166</v>
      </c>
      <c r="E2083" s="4" t="str">
        <f ca="1">IFERROR(__xludf.DUMMYFUNCTION("GOOGLETRANSLATE(A2083 , ""tr"" , ""en"")"),"We have 1,812 patients identified today. Our severe patient count tends to increase after a long break. The number of cases complies with measures in increasing provinces, and we struggle for if we are compromising measures in decreasing provinces. We hav"&amp;"e to comply with the measures in all of our regions. https://t.co/rvlhe7786o")</f>
        <v>We have 1,812 patients identified today. Our severe patient count tends to increase after a long break. The number of cases complies with measures in increasing provinces, and we struggle for if we are compromising measures in decreasing provinces. We have to comply with the measures in all of our regions. https://t.co/rvlhe7786o</v>
      </c>
    </row>
    <row r="2084" spans="1:5" ht="15.75" customHeight="1" x14ac:dyDescent="0.25">
      <c r="A2084" s="1" t="s">
        <v>4167</v>
      </c>
      <c r="B2084" s="1">
        <v>3402</v>
      </c>
      <c r="C2084" s="3">
        <v>44120.675381944442</v>
      </c>
      <c r="D2084" s="1" t="s">
        <v>4168</v>
      </c>
      <c r="E2084" s="4" t="str">
        <f ca="1">IFERROR(__xludf.DUMMYFUNCTION("GOOGLETRANSLATE(A2084 , ""tr"" , ""en"")"),"Erzurum, Pain, Igdir, Kars, Ardahan, Erzincan, Tunceli and the last situation in Bingöl and Turkey:
📍erzurum
https://t.co/8ofqbgs6km")</f>
        <v>Erzurum, Pain, Igdir, Kars, Ardahan, Erzincan, Tunceli and the last situation in Bingöl and Turkey:
📍erzurum
https://t.co/8ofqbgs6km</v>
      </c>
    </row>
    <row r="2085" spans="1:5" ht="15.75" customHeight="1" x14ac:dyDescent="0.25">
      <c r="A2085" s="1" t="s">
        <v>4169</v>
      </c>
      <c r="B2085" s="1">
        <v>5222</v>
      </c>
      <c r="C2085" s="3">
        <v>44120.663807870369</v>
      </c>
      <c r="D2085" s="1" t="s">
        <v>4170</v>
      </c>
      <c r="E2085" s="4" t="str">
        <f ca="1">IFERROR(__xludf.DUMMYFUNCTION("GOOGLETRANSLATE(A2085 , ""tr"" , ""en"")"),"In Erzurum, we have completed the output meetings for our 8 provinces. ERZURUM, Pain, Iğdir, Kars, Ardahan, Erzincan, Tunceli and Bingöl together with the provincial health managers and field coordinators, we have made the status analysis for each city an"&amp;"d reviewed our strategy. https://t.co/VWCLQELEIA")</f>
        <v>In Erzurum, we have completed the output meetings for our 8 provinces. ERZURUM, Pain, Iğdir, Kars, Ardahan, Erzincan, Tunceli and Bingöl together with the provincial health managers and field coordinators, we have made the status analysis for each city and reviewed our strategy. https://t.co/VWCLQELEIA</v>
      </c>
    </row>
    <row r="2086" spans="1:5" ht="15.75" customHeight="1" x14ac:dyDescent="0.25">
      <c r="A2086" s="1" t="s">
        <v>4171</v>
      </c>
      <c r="B2086" s="1">
        <v>5758</v>
      </c>
      <c r="C2086" s="3">
        <v>44120.528020833335</v>
      </c>
      <c r="D2086" s="1" t="s">
        <v>4172</v>
      </c>
      <c r="E2086" s="4" t="str">
        <f ca="1">IFERROR(__xludf.DUMMYFUNCTION("GOOGLETRANSLATE(A2086 , ""tr"" , ""en"")"),"Before we started our coronavirus provincial assessment meetings, we meet our experiences, general health services and needs to meet our working friends in our ERZURUM city hospital. We have visited our teenagers with our cottages treated in children's se"&amp;"rvice. https://t.co/ywty5j1m9v")</f>
        <v>Before we started our coronavirus provincial assessment meetings, we meet our experiences, general health services and needs to meet our working friends in our ERZURUM city hospital. We have visited our teenagers with our cottages treated in children's service. https://t.co/ywty5j1m9v</v>
      </c>
    </row>
    <row r="2087" spans="1:5" ht="15.75" customHeight="1" x14ac:dyDescent="0.25">
      <c r="A2087" s="1" t="s">
        <v>4173</v>
      </c>
      <c r="B2087" s="1">
        <v>6112</v>
      </c>
      <c r="C2087" s="3">
        <v>44120.372789351852</v>
      </c>
      <c r="D2087" s="1" t="s">
        <v>4174</v>
      </c>
      <c r="E2087" s="4" t="str">
        <f ca="1">IFERROR(__xludf.DUMMYFUNCTION("GOOGLETRANSLATE(A2087 , ""tr"" , ""en"")"),"We are in Erzurum. At the study meetings we will; From our Eastern Anatolian cities, we will address the needs of our hospitals and health employees, which we came against ERZURUM, Pain, Igdir, Kars, Ardahan, Erzincan, Tunceli and Bingöl in the struggle i"&amp;"n Bingöl. https://t.co/e1kcmplxtf")</f>
        <v>We are in Erzurum. At the study meetings we will; From our Eastern Anatolian cities, we will address the needs of our hospitals and health employees, which we came against ERZURUM, Pain, Igdir, Kars, Ardahan, Erzincan, Tunceli and Bingöl in the struggle in Bingöl. https://t.co/e1kcmplxtf</v>
      </c>
    </row>
    <row r="2088" spans="1:5" ht="15.75" customHeight="1" x14ac:dyDescent="0.25">
      <c r="A2088" s="1" t="s">
        <v>4175</v>
      </c>
      <c r="B2088" s="1">
        <v>14690</v>
      </c>
      <c r="C2088" s="3">
        <v>44119.668599537035</v>
      </c>
      <c r="D2088" s="1" t="s">
        <v>4176</v>
      </c>
      <c r="E2088" s="4" t="str">
        <f ca="1">IFERROR(__xludf.DUMMYFUNCTION("GOOGLETRANSLATE(A2088 , ""tr"" , ""en"")"),"More than 12 million tests in total. There are 1,693 new patients identified today. Our severe patient count continues its static course. Fillation, isolation continues without complete. We can reduce the number of patients by complying with the measures."&amp;" Winning we will be. https://t.co/rvlhe7786o")</f>
        <v>More than 12 million tests in total. There are 1,693 new patients identified today. Our severe patient count continues its static course. Fillation, isolation continues without complete. We can reduce the number of patients by complying with the measures. Winning we will be. https://t.co/rvlhe7786o</v>
      </c>
    </row>
    <row r="2089" spans="1:5" ht="15.75" customHeight="1" x14ac:dyDescent="0.25">
      <c r="A2089" s="1" t="s">
        <v>4177</v>
      </c>
      <c r="B2089" s="1">
        <v>14157</v>
      </c>
      <c r="C2089" s="3">
        <v>44119.642268518517</v>
      </c>
      <c r="D2089" s="1" t="s">
        <v>4178</v>
      </c>
      <c r="E2089" s="4" t="str">
        <f ca="1">IFERROR(__xludf.DUMMYFUNCTION("GOOGLETRANSLATE(A2089 , ""tr"" , ""en"")"),"15 October World Hand Washing Day,
October 16 World Hand Washing Day,
17 October World Hand Washing Day,
October 18th World Hand Washing Day,
October 19 ... Let's wash our hands, every day, often, 20 seconds. With hand cleaning, we feel safe and safe agai"&amp;"nst diseases. https://t.co/pjm5pell8l")</f>
        <v>15 October World Hand Washing Day,
October 16 World Hand Washing Day,
17 October World Hand Washing Day,
October 18th World Hand Washing Day,
October 19 ... Let's wash our hands, every day, often, 20 seconds. With hand cleaning, we feel safe and safe against diseases. https://t.co/pjm5pell8l</v>
      </c>
    </row>
    <row r="2090" spans="1:5" ht="15.75" customHeight="1" x14ac:dyDescent="0.25">
      <c r="A2090" s="1" t="s">
        <v>4179</v>
      </c>
      <c r="B2090" s="1">
        <v>6778</v>
      </c>
      <c r="C2090" s="3">
        <v>44119.299212962964</v>
      </c>
      <c r="D2090" s="1" t="s">
        <v>4180</v>
      </c>
      <c r="E2090" s="4" t="str">
        <f ca="1">IFERROR(__xludf.DUMMYFUNCTION("GOOGLETRANSLATE(A2090 , ""tr"" , ""en"")"),"There are researches that prove that coronavirus measures reduce flu and similar infections. Whö, 2 days ago in the flu update report reported that the infection in the southern hemispheric has spent flu season. Especially the mask is a complete obstacle "&amp;"to the flu. https://t.co/oe8vbqega6")</f>
        <v>There are researches that prove that coronavirus measures reduce flu and similar infections. Whö, 2 days ago in the flu update report reported that the infection in the southern hemispheric has spent flu season. Especially the mask is a complete obstacle to the flu. https://t.co/oe8vbqega6</v>
      </c>
    </row>
    <row r="2091" spans="1:5" ht="15.75" customHeight="1" x14ac:dyDescent="0.25">
      <c r="A2091" s="1" t="s">
        <v>4181</v>
      </c>
      <c r="B2091" s="1">
        <v>6951</v>
      </c>
      <c r="C2091" s="3">
        <v>44118.859432870369</v>
      </c>
      <c r="D2091" s="1" t="s">
        <v>4182</v>
      </c>
      <c r="E2091" s="4" t="str">
        <f ca="1">IFERROR(__xludf.DUMMYFUNCTION("GOOGLETRANSLATE(A2091 , ""tr"" , ""en"")"),"In the epidemic period, there is an incorrect thought that everyone should take a flu shot. In the world, there was a 20% increase in the production of influenza vaccine. We would specifically recommend the grip vaccine to the risky people. When the coron"&amp;"avirus is infected, we start the group that will be at risk. https://t.co/agoxchqgm0")</f>
        <v>In the epidemic period, there is an incorrect thought that everyone should take a flu shot. In the world, there was a 20% increase in the production of influenza vaccine. We would specifically recommend the grip vaccine to the risky people. When the coronavirus is infected, we start the group that will be at risk. https://t.co/agoxchqgm0</v>
      </c>
    </row>
    <row r="2092" spans="1:5" ht="15.75" customHeight="1" x14ac:dyDescent="0.25">
      <c r="A2092" s="1" t="s">
        <v>4183</v>
      </c>
      <c r="B2092" s="1">
        <v>5677</v>
      </c>
      <c r="C2092" s="3">
        <v>44118.84778935185</v>
      </c>
      <c r="D2092" s="1" t="s">
        <v>4184</v>
      </c>
      <c r="E2092" s="4" t="str">
        <f ca="1">IFERROR(__xludf.DUMMYFUNCTION("GOOGLETRANSLATE(A2092 , ""tr"" , ""en"")"),"There is a vaccine common study group in which many scientists take office. Turkey's vaccination studies are maintained by the team of 600 people depending on these scientists. Our common study group is currently working on 4 different vaccines. The two a"&amp;"re close to the stage of human experiments. https://t.co/PXAMENKRPI")</f>
        <v>There is a vaccine common study group in which many scientists take office. Turkey's vaccination studies are maintained by the team of 600 people depending on these scientists. Our common study group is currently working on 4 different vaccines. The two are close to the stage of human experiments. https://t.co/PXAMENKRPI</v>
      </c>
    </row>
    <row r="2093" spans="1:5" ht="15.75" customHeight="1" x14ac:dyDescent="0.25">
      <c r="A2093" s="1" t="s">
        <v>4185</v>
      </c>
      <c r="B2093" s="1">
        <v>7306</v>
      </c>
      <c r="C2093" s="3">
        <v>44118.839571759258</v>
      </c>
      <c r="D2093" s="1" t="s">
        <v>4186</v>
      </c>
      <c r="E2093" s="4" t="str">
        <f ca="1">IFERROR(__xludf.DUMMYFUNCTION("GOOGLETRANSLATE(A2093 , ""tr"" , ""en"")"),"Although we are not among the richest countries in Turkey's report, it is emphasized that we are the most generous-treating countries in the fight against epidemic. In the EU progress report, public health and health personnel policy is shown in complianc"&amp;"e with international standards. https://t.co/owcepq5jsx")</f>
        <v>Although we are not among the richest countries in Turkey's report, it is emphasized that we are the most generous-treating countries in the fight against epidemic. In the EU progress report, public health and health personnel policy is shown in compliance with international standards. https://t.co/owcepq5jsx</v>
      </c>
    </row>
    <row r="2094" spans="1:5" ht="15.75" customHeight="1" x14ac:dyDescent="0.25">
      <c r="A2094" s="1" t="s">
        <v>4187</v>
      </c>
      <c r="B2094" s="1">
        <v>5731</v>
      </c>
      <c r="C2094" s="3">
        <v>44118.689085648148</v>
      </c>
      <c r="D2094" s="1" t="s">
        <v>4188</v>
      </c>
      <c r="E2094" s="4" t="str">
        <f ca="1">IFERROR(__xludf.DUMMYFUNCTION("GOOGLETRANSLATE(A2094 , ""tr"" , ""en"")"),"After our Science Board meeting, the latest developments on the coronavirus and the new measures we receive.
📍Public Ministry Bilkent Campus / Ankara
https://t.co/prxblibc2s")</f>
        <v>After our Science Board meeting, the latest developments on the coronavirus and the new measures we receive.
📍Public Ministry Bilkent Campus / Ankara
https://t.co/prxblibc2s</v>
      </c>
    </row>
    <row r="2095" spans="1:5" ht="15.75" customHeight="1" x14ac:dyDescent="0.25">
      <c r="A2095" s="1" t="s">
        <v>4189</v>
      </c>
      <c r="B2095" s="1">
        <v>9786</v>
      </c>
      <c r="C2095" s="3">
        <v>44117.906377314815</v>
      </c>
      <c r="D2095" s="1" t="s">
        <v>4190</v>
      </c>
      <c r="E2095" s="4" t="str">
        <f ca="1">IFERROR(__xludf.DUMMYFUNCTION("GOOGLETRANSLATE(A2095 , ""tr"" , ""en"")"),"We made an important meeting about our tomorrows more lighter. At the first meeting of the domestic vaccine joint group, we met with all our researchers. We will also develop vaccine against the virus. @tusebgovtr @tubitak https://t.co/661kehawab")</f>
        <v>We made an important meeting about our tomorrows more lighter. At the first meeting of the domestic vaccine joint group, we met with all our researchers. We will also develop vaccine against the virus. @tusebgovtr @tubitak https://t.co/661kehawab</v>
      </c>
    </row>
    <row r="2096" spans="1:5" ht="15.75" customHeight="1" x14ac:dyDescent="0.25">
      <c r="A2096" s="1" t="s">
        <v>4191</v>
      </c>
      <c r="B2096" s="1">
        <v>12145</v>
      </c>
      <c r="C2096" s="3">
        <v>44117.670162037037</v>
      </c>
      <c r="D2096" s="1" t="s">
        <v>4192</v>
      </c>
      <c r="E2096" s="4" t="str">
        <f ca="1">IFERROR(__xludf.DUMMYFUNCTION("GOOGLETRANSLATE(A2096 , ""tr"" , ""en"")"),"There are 1,632 new patients identified today. Our severe patient number is 1.416. Our severe patient count is still static. We have to reduce the number of severe patients. We can get in front of the virus by complying with the measures. We will achieve "&amp;"together, trust. https://t.co/rvlhe7786o")</f>
        <v>There are 1,632 new patients identified today. Our severe patient number is 1.416. Our severe patient count is still static. We have to reduce the number of severe patients. We can get in front of the virus by complying with the measures. We will achieve together, trust. https://t.co/rvlhe7786o</v>
      </c>
    </row>
    <row r="2097" spans="1:5" ht="15.75" customHeight="1" x14ac:dyDescent="0.25">
      <c r="A2097" s="1" t="s">
        <v>4193</v>
      </c>
      <c r="B2097" s="1">
        <v>11125</v>
      </c>
      <c r="C2097" s="3">
        <v>44116.667650462965</v>
      </c>
      <c r="D2097" s="1" t="s">
        <v>4194</v>
      </c>
      <c r="E2097" s="4" t="str">
        <f ca="1">IFERROR(__xludf.DUMMYFUNCTION("GOOGLETRANSLATE(A2097 , ""tr"" , ""en"")"),"Today our total number of severe patients is 1.417. Intensive care occupancy rates have a decrease this week. The pneumonia rate in patients also dropped by last week. Measures are consequential together and continuously applied. We will achieve together,"&amp;" trust. https://t.co/rvlhe7786o")</f>
        <v>Today our total number of severe patients is 1.417. Intensive care occupancy rates have a decrease this week. The pneumonia rate in patients also dropped by last week. Measures are consequential together and continuously applied. We will achieve together, trust. https://t.co/rvlhe7786o</v>
      </c>
    </row>
    <row r="2098" spans="1:5" ht="15.75" customHeight="1" x14ac:dyDescent="0.25">
      <c r="A2098" s="1" t="s">
        <v>4195</v>
      </c>
      <c r="B2098" s="1">
        <v>10785</v>
      </c>
      <c r="C2098" s="3">
        <v>44116.63994212963</v>
      </c>
      <c r="D2098" s="1" t="s">
        <v>4196</v>
      </c>
      <c r="E2098" s="4" t="str">
        <f ca="1">IFERROR(__xludf.DUMMYFUNCTION("GOOGLETRANSLATE(A2098 , ""tr"" , ""en"")"),"In the second phase of our Ministry of National Education to face-to-face education, primary school 2, 3 and 4th grades, village schools, 8th and 12th grades, with high school preparatory class students, our students have started face-to-face training tod"&amp;"ay. Everything will take turns in order. https://t.co/D7SUAQWAIW")</f>
        <v>In the second phase of our Ministry of National Education to face-to-face education, primary school 2, 3 and 4th grades, village schools, 8th and 12th grades, with high school preparatory class students, our students have started face-to-face training today. Everything will take turns in order. https://t.co/D7SUAQWAIW</v>
      </c>
    </row>
    <row r="2099" spans="1:5" ht="15.75" customHeight="1" x14ac:dyDescent="0.25">
      <c r="A2099" s="1" t="s">
        <v>4197</v>
      </c>
      <c r="B2099" s="1">
        <v>11860</v>
      </c>
      <c r="C2099" s="3">
        <v>44116.573298611111</v>
      </c>
      <c r="D2099" s="1" t="s">
        <v>4198</v>
      </c>
      <c r="E2099" s="4" t="str">
        <f ca="1">IFERROR(__xludf.DUMMYFUNCTION("GOOGLETRANSLATE(A2099 , ""tr"" , ""en"")"),"The Mayor Mehmet Abdi was the Mayor Mehmet Abdi Cloud, for a while in Gaziantep University, Hahinbey Research and Application Hospital were under treatment in the intensive care unit. We've lost our precious friend unfortunately. I wish himself to the mer"&amp;"cy, relatives and friends from Allah.")</f>
        <v>The Mayor Mehmet Abdi was the Mayor Mehmet Abdi Cloud, for a while in Gaziantep University, Hahinbey Research and Application Hospital were under treatment in the intensive care unit. We've lost our precious friend unfortunately. I wish himself to the mercy, relatives and friends from Allah.</v>
      </c>
    </row>
    <row r="2100" spans="1:5" ht="15.75" customHeight="1" x14ac:dyDescent="0.25">
      <c r="A2100" s="1" t="s">
        <v>4199</v>
      </c>
      <c r="B2100" s="1">
        <v>13385</v>
      </c>
      <c r="C2100" s="3">
        <v>44115.66679398148</v>
      </c>
      <c r="D2100" s="1" t="s">
        <v>4200</v>
      </c>
      <c r="E2100" s="4" t="str">
        <f ca="1">IFERROR(__xludf.DUMMYFUNCTION("GOOGLETRANSLATE(A2100 , ""tr"" , ""en"")"),"Today 1,502 new patients were detected. Total Heavy Duty Patients Today is 1.411. For the patients to find the healing itself, we want to be able to support our sleepless health workers, if we want to support our sleepless health workers. We will achieve "&amp;"together, trust. https://t.co/rvlhe7786o")</f>
        <v>Today 1,502 new patients were detected. Total Heavy Duty Patients Today is 1.411. For the patients to find the healing itself, we want to be able to support our sleepless health workers, if we want to support our sleepless health workers. We will achieve together, trust. https://t.co/rvlhe7786o</v>
      </c>
    </row>
    <row r="2101" spans="1:5" ht="15.75" customHeight="1" x14ac:dyDescent="0.25">
      <c r="A2101" s="1" t="s">
        <v>4201</v>
      </c>
      <c r="B2101" s="1">
        <v>9643</v>
      </c>
      <c r="C2101" s="3">
        <v>44115.500671296293</v>
      </c>
      <c r="D2101" s="1" t="s">
        <v>4202</v>
      </c>
      <c r="E2101" s="4" t="str">
        <f ca="1">IFERROR(__xludf.DUMMYFUNCTION("GOOGLETRANSLATE(A2101 , ""tr"" , ""en"")"),"Istanbul Provincial Health Old Directors, Deputy Undersecretary of the Ministry of Retired. Mehmet Bakar has passed away in the Bakırköy Training Research Hospital. Wearing our brother of the medical community and his love to our brother, I wish their con"&amp;"dolences from Allah.")</f>
        <v>Istanbul Provincial Health Old Directors, Deputy Undersecretary of the Ministry of Retired. Mehmet Bakar has passed away in the Bakırköy Training Research Hospital. Wearing our brother of the medical community and his love to our brother, I wish their condolences from Allah.</v>
      </c>
    </row>
    <row r="2102" spans="1:5" ht="15.75" customHeight="1" x14ac:dyDescent="0.25">
      <c r="A2102" s="1" t="s">
        <v>4203</v>
      </c>
      <c r="B2102" s="1">
        <v>4537</v>
      </c>
      <c r="C2102" s="3">
        <v>44114.692175925928</v>
      </c>
      <c r="D2102" s="1" t="s">
        <v>4204</v>
      </c>
      <c r="E2102" s="4" t="str">
        <f ca="1">IFERROR(__xludf.DUMMYFUNCTION("GOOGLETRANSLATE(A2102 , ""tr"" , ""en"")"),"Istanbul Evaluation and Fighting Meeting. Our two-staring assistants, provincial health manager and the participation of our field coordinators with the participation of the release of the release, and we addressed the status of our hospitals and filion s"&amp;"tudies. We are insistent in measures. https://t.co/hb6sha82dc")</f>
        <v>Istanbul Evaluation and Fighting Meeting. Our two-staring assistants, provincial health manager and the participation of our field coordinators with the participation of the release of the release, and we addressed the status of our hospitals and filion studies. We are insistent in measures. https://t.co/hb6sha82dc</v>
      </c>
    </row>
    <row r="2103" spans="1:5" ht="15.75" customHeight="1" x14ac:dyDescent="0.25">
      <c r="A2103" s="1" t="s">
        <v>4205</v>
      </c>
      <c r="B2103" s="1">
        <v>8412</v>
      </c>
      <c r="C2103" s="3">
        <v>44114.683472222219</v>
      </c>
      <c r="D2103" s="1" t="s">
        <v>4206</v>
      </c>
      <c r="E2103" s="4" t="str">
        <f ca="1">IFERROR(__xludf.DUMMYFUNCTION("GOOGLETRANSLATE(A2103 , ""tr"" , ""en"")"),"The decline in our severe patient count is stabilizing. We have to keep the number of severe patients under control. Today 1,649 new patients were detected. We have to comply with the measures to facilitate our health workers. We will achieve together, tr"&amp;"ust. https://t.co/rvlhe7786o")</f>
        <v>The decline in our severe patient count is stabilizing. We have to keep the number of severe patients under control. Today 1,649 new patients were detected. We have to comply with the measures to facilitate our health workers. We will achieve together, trust. https://t.co/rvlhe7786o</v>
      </c>
    </row>
    <row r="2104" spans="1:5" ht="15.75" customHeight="1" x14ac:dyDescent="0.25">
      <c r="A2104" s="1" t="s">
        <v>4207</v>
      </c>
      <c r="B2104" s="1">
        <v>4989</v>
      </c>
      <c r="C2104" s="3">
        <v>44114.675381944442</v>
      </c>
      <c r="D2104" s="1" t="s">
        <v>4208</v>
      </c>
      <c r="E2104" s="4" t="str">
        <f ca="1">IFERROR(__xludf.DUMMYFUNCTION("GOOGLETRANSLATE(A2104 , ""tr"" , ""en"")"),"Our second stop in Istanbul reviews: Professor Dr. Cemil Tasçıoğlu City Hospital. We have received information about the efficiency of our friends and information about the general health services, we have visited the patients. Sabri has been a short conv"&amp;"ersation with the sabri uncle. https://t.co/0balyik49n")</f>
        <v>Our second stop in Istanbul reviews: Professor Dr. Cemil Tasçıoğlu City Hospital. We have received information about the efficiency of our friends and information about the general health services, we have visited the patients. Sabri has been a short conversation with the sabri uncle. https://t.co/0balyik49n</v>
      </c>
    </row>
    <row r="2105" spans="1:5" ht="15.75" customHeight="1" x14ac:dyDescent="0.25">
      <c r="A2105" s="1" t="s">
        <v>4209</v>
      </c>
      <c r="B2105" s="1">
        <v>8602</v>
      </c>
      <c r="C2105" s="3">
        <v>44114.666134259256</v>
      </c>
      <c r="D2105" s="1" t="s">
        <v>4210</v>
      </c>
      <c r="E2105" s="4" t="str">
        <f ca="1">IFERROR(__xludf.DUMMYFUNCTION("GOOGLETRANSLATE(A2105 , ""tr"" , ""en"")"),"Istanbul will soon have a new hospital. Our building in Seyrantepe is greatly ready. The closed area of ​​the building we are in 172,825 square meters. 163 Our hospital, which will serve with polyclinics, has been planned to 84-dense care beds with 620 be"&amp;"ds. Operating Room Number 24. HTTPS://T.CO/RZCYWGFCNM")</f>
        <v>Istanbul will soon have a new hospital. Our building in Seyrantepe is greatly ready. The closed area of ​​the building we are in 172,825 square meters. 163 Our hospital, which will serve with polyclinics, has been planned to 84-dense care beds with 620 beds. Operating Room Number 24. HTTPS://T.CO/RZCYWGFCNM</v>
      </c>
    </row>
    <row r="2106" spans="1:5" ht="15.75" customHeight="1" x14ac:dyDescent="0.25">
      <c r="A2106" s="1" t="s">
        <v>4211</v>
      </c>
      <c r="B2106" s="1">
        <v>5193</v>
      </c>
      <c r="C2106" s="3">
        <v>44114.431747685187</v>
      </c>
      <c r="D2106" s="1" t="s">
        <v>4212</v>
      </c>
      <c r="E2106" s="4" t="str">
        <f ca="1">IFERROR(__xludf.DUMMYFUNCTION("GOOGLETRANSLATE(A2106 , ""tr"" , ""en"")"),"To whom it is determined by the Guide to which the Science Board will be tested. Accordingly, we are testing to people with symptoms as Turkey. We report the results of these tests that are obvious to the World Health Organization with the same opening. T"&amp;"he criteria and conclusion are confidence in the WHO. https://t.co/oyzadx91kq")</f>
        <v>To whom it is determined by the Guide to which the Science Board will be tested. Accordingly, we are testing to people with symptoms as Turkey. We report the results of these tests that are obvious to the World Health Organization with the same opening. The criteria and conclusion are confidence in the WHO. https://t.co/oyzadx91kq</v>
      </c>
    </row>
    <row r="2107" spans="1:5" ht="15.75" customHeight="1" x14ac:dyDescent="0.25">
      <c r="A2107" s="1" t="s">
        <v>4213</v>
      </c>
      <c r="B2107" s="1">
        <v>7731</v>
      </c>
      <c r="C2107" s="3">
        <v>44114.421400462961</v>
      </c>
      <c r="D2107" s="1" t="s">
        <v>4214</v>
      </c>
      <c r="E2107" s="4" t="str">
        <f ca="1">IFERROR(__xludf.DUMMYFUNCTION("GOOGLETRANSLATE(A2107 , ""tr"" , ""en"")"),"Within the last 3 weeks, the epidemic has declined in Turkey. If 4 weeks ago, the number of cases in Ankara doubled Istanbul. The number of cases in Ankara is in the case of Istanbul. Even if this development is not symptom, we provide the test by isolati"&amp;"ng everyone who is positive. https://t.co/lwmcg3poom")</f>
        <v>Within the last 3 weeks, the epidemic has declined in Turkey. If 4 weeks ago, the number of cases in Ankara doubled Istanbul. The number of cases in Ankara is in the case of Istanbul. Even if this development is not symptom, we provide the test by isolating everyone who is positive. https://t.co/lwmcg3poom</v>
      </c>
    </row>
    <row r="2108" spans="1:5" ht="15.75" customHeight="1" x14ac:dyDescent="0.25">
      <c r="A2108" s="1" t="s">
        <v>4215</v>
      </c>
      <c r="B2108" s="1">
        <v>5255</v>
      </c>
      <c r="C2108" s="3">
        <v>44114.410856481481</v>
      </c>
      <c r="D2108" s="1" t="s">
        <v>4216</v>
      </c>
      <c r="E2108" s="4" t="str">
        <f ca="1">IFERROR(__xludf.DUMMYFUNCTION("GOOGLETRANSLATE(A2108 , ""tr"" , ""en"")"),"The European Progress Report Two days ago was published. In the report, Turkey is also mentioned from the success of the coronavirus. This is a consequence of our health care employee, 83 million will be proud of our health system. It is wrong to make an "&amp;"effort to shade the place where you are proud. https://t.co/grv8irod2x")</f>
        <v>The European Progress Report Two days ago was published. In the report, Turkey is also mentioned from the success of the coronavirus. This is a consequence of our health care employee, 83 million will be proud of our health system. It is wrong to make an effort to shade the place where you are proud. https://t.co/grv8irod2x</v>
      </c>
    </row>
    <row r="2109" spans="1:5" ht="15.75" customHeight="1" x14ac:dyDescent="0.25">
      <c r="A2109" s="1" t="s">
        <v>4217</v>
      </c>
      <c r="B2109" s="1">
        <v>4545</v>
      </c>
      <c r="C2109" s="3">
        <v>44114.402881944443</v>
      </c>
      <c r="D2109" s="1" t="s">
        <v>4218</v>
      </c>
      <c r="E2109" s="4" t="str">
        <f ca="1">IFERROR(__xludf.DUMMYFUNCTION("GOOGLETRANSLATE(A2109 , ""tr"" , ""en"")"),"In Mersin, the claim where cases were incorrect before 22 March. The history of the first case in Mersin is March 22. Politics, politicians will not find the healing if they get up to reach their goals over health and illness. We will continue to be 83 mi"&amp;"llion, struggle with draw and determination. https://t.co/ft2yegiim9")</f>
        <v>In Mersin, the claim where cases were incorrect before 22 March. The history of the first case in Mersin is March 22. Politics, politicians will not find the healing if they get up to reach their goals over health and illness. We will continue to be 83 million, struggle with draw and determination. https://t.co/ft2yegiim9</v>
      </c>
    </row>
    <row r="2110" spans="1:5" ht="15.75" customHeight="1" x14ac:dyDescent="0.25">
      <c r="A2110" s="1" t="s">
        <v>4219</v>
      </c>
      <c r="B2110" s="1">
        <v>4871</v>
      </c>
      <c r="C2110" s="3">
        <v>44114.349606481483</v>
      </c>
      <c r="D2110" s="1" t="s">
        <v>4220</v>
      </c>
      <c r="E2110" s="4" t="str">
        <f ca="1">IFERROR(__xludf.DUMMYFUNCTION("GOOGLETRANSLATE(A2110 , ""tr"" , ""en"")"),"The coronavirus is not struggling as systematically as us. This is not only the Ministry of Health in the Republic of Turkey, standing behind the word; On the back of this promise, the World Health Organization that says the last word about the epidemic. "&amp;"Turkey shows the examples of the world. https://t.co/vjfdtcroqr")</f>
        <v>The coronavirus is not struggling as systematically as us. This is not only the Ministry of Health in the Republic of Turkey, standing behind the word; On the back of this promise, the World Health Organization that says the last word about the epidemic. Turkey shows the examples of the world. https://t.co/vjfdtcroqr</v>
      </c>
    </row>
    <row r="2111" spans="1:5" ht="15.75" customHeight="1" x14ac:dyDescent="0.25">
      <c r="A2111" s="1" t="s">
        <v>4221</v>
      </c>
      <c r="B2111" s="1">
        <v>4335</v>
      </c>
      <c r="C2111" s="3">
        <v>44114.30541666667</v>
      </c>
      <c r="D2111" s="1" t="s">
        <v>4222</v>
      </c>
      <c r="E2111" s="4" t="str">
        <f ca="1">IFERROR(__xludf.DUMMYFUNCTION("GOOGLETRANSLATE(A2111 , ""tr"" , ""en"")"),"We have 11.800 FILILATION teams. 35,400 stewards in total. This number is even more than the number of physicians he appointed in the epidemic of some countries. If our teams can be contacted in the countries they are recognized from the TV screens, the n"&amp;"umber of coronavirus positives took extracts the number of times. https://t.co/zqxnlckf7p")</f>
        <v>We have 11.800 FILILATION teams. 35,400 stewards in total. This number is even more than the number of physicians he appointed in the epidemic of some countries. If our teams can be contacted in the countries they are recognized from the TV screens, the number of coronavirus positives took extracts the number of times. https://t.co/zqxnlckf7p</v>
      </c>
    </row>
    <row r="2112" spans="1:5" ht="15.75" customHeight="1" x14ac:dyDescent="0.25">
      <c r="A2112" s="1" t="s">
        <v>4223</v>
      </c>
      <c r="B2112" s="1">
        <v>5644</v>
      </c>
      <c r="C2112" s="3">
        <v>44114.299293981479</v>
      </c>
      <c r="D2112" s="1" t="s">
        <v>4224</v>
      </c>
      <c r="E2112" s="4" t="str">
        <f ca="1">IFERROR(__xludf.DUMMYFUNCTION("GOOGLETRANSLATE(A2112 , ""tr"" , ""en"")"),"While there are many other diseases that lead to deaths, COVID-19 is so important? Criticians are wrong. Although hypertension is common, it does not require the curfew. Cancer does not lead to the vacation of schools. Epanda, all social life exposes the "&amp;"disease. https://t.co/brc1vaoygg")</f>
        <v>While there are many other diseases that lead to deaths, COVID-19 is so important? Criticians are wrong. Although hypertension is common, it does not require the curfew. Cancer does not lead to the vacation of schools. Epanda, all social life exposes the disease. https://t.co/brc1vaoygg</v>
      </c>
    </row>
    <row r="2113" spans="1:5" ht="15.75" customHeight="1" x14ac:dyDescent="0.25">
      <c r="A2113" s="1" t="s">
        <v>4225</v>
      </c>
      <c r="B2113" s="1">
        <v>7898</v>
      </c>
      <c r="C2113" s="3">
        <v>44113.926793981482</v>
      </c>
      <c r="D2113" s="1" t="s">
        <v>4226</v>
      </c>
      <c r="E2113" s="4" t="str">
        <f ca="1">IFERROR(__xludf.DUMMYFUNCTION("GOOGLETRANSLATE(A2113 , ""tr"" , ""en"")"),"Adana, Mersin, Gaziantep, Kahramanmaras, Hatay, Osmaniye, Kilis Provincial Health managers and meetings with our headings. In the epidemic, we addressed their final status, filion studies, needs and health investments. Support to our fight against epidemi"&amp;"c by complying with measures. https://t.co/tsv81nınnh")</f>
        <v>Adana, Mersin, Gaziantep, Kahramanmaras, Hatay, Osmaniye, Kilis Provincial Health managers and meetings with our headings. In the epidemic, we addressed their final status, filion studies, needs and health investments. Support to our fight against epidemic by complying with measures. https://t.co/tsv81nınnh</v>
      </c>
    </row>
    <row r="2114" spans="1:5" ht="15.75" customHeight="1" x14ac:dyDescent="0.25">
      <c r="A2114" s="1" t="s">
        <v>4227</v>
      </c>
      <c r="B2114" s="1">
        <v>10767</v>
      </c>
      <c r="C2114" s="3">
        <v>44113.69158564815</v>
      </c>
      <c r="D2114" s="1" t="s">
        <v>4228</v>
      </c>
      <c r="E2114" s="4" t="str">
        <f ca="1">IFERROR(__xludf.DUMMYFUNCTION("GOOGLETRANSLATE(A2114 , ""tr"" , ""en"")"),"We have new 1,629 patients today. Our total number of severe patients is 1.398. We struggle to lower our severe patient count. In order to detect the situation of our patients from progress, the intense filion study is carried out. Support these labor by "&amp;"abiding measures. https://t.co/rvlhe7786o")</f>
        <v>We have new 1,629 patients today. Our total number of severe patients is 1.398. We struggle to lower our severe patient count. In order to detect the situation of our patients from progress, the intense filion study is carried out. Support these labor by abiding measures. https://t.co/rvlhe7786o</v>
      </c>
    </row>
    <row r="2115" spans="1:5" ht="15.75" customHeight="1" x14ac:dyDescent="0.25">
      <c r="A2115" s="1" t="s">
        <v>4229</v>
      </c>
      <c r="B2115" s="1">
        <v>4177</v>
      </c>
      <c r="C2115" s="3">
        <v>44113.647905092592</v>
      </c>
      <c r="D2115" s="1" t="s">
        <v>4230</v>
      </c>
      <c r="E2115" s="4" t="str">
        <f ca="1">IFERROR(__xludf.DUMMYFUNCTION("GOOGLETRANSLATE(A2115 , ""tr"" , ""en"")"),"In the fight against the output of Adana, Mersin, Gaziantep, Kahramanmaras, Hatay, the latest situation in Osmaniye and Kilis and Turkey:
📍adana
https://t.co/81yg1myu92")</f>
        <v>In the fight against the output of Adana, Mersin, Gaziantep, Kahramanmaras, Hatay, the latest situation in Osmaniye and Kilis and Turkey:
📍adana
https://t.co/81yg1myu92</v>
      </c>
    </row>
    <row r="2116" spans="1:5" ht="15.75" customHeight="1" x14ac:dyDescent="0.25">
      <c r="A2116" s="1" t="s">
        <v>4231</v>
      </c>
      <c r="B2116" s="1">
        <v>6352</v>
      </c>
      <c r="C2116" s="3">
        <v>44113.514930555553</v>
      </c>
      <c r="D2116" s="1" t="s">
        <v>4232</v>
      </c>
      <c r="E2116" s="4" t="str">
        <f ca="1">IFERROR(__xludf.DUMMYFUNCTION("GOOGLETRANSLATE(A2116 , ""tr"" , ""en"")"),"In our Adana program, we first visit our patients who treated our patients treated in our hospital and have received information about their situations. Health worker evaluated pandemia and general health problems with our friends. Our city hospital serve"&amp;"s in the name of our people. https://t.co/6IHXG9J2i5")</f>
        <v>In our Adana program, we first visit our patients who treated our patients treated in our hospital and have received information about their situations. Health worker evaluated pandemia and general health problems with our friends. Our city hospital serves in the name of our people. https://t.co/6IHXG9J2i5</v>
      </c>
    </row>
    <row r="2117" spans="1:5" ht="15.75" customHeight="1" x14ac:dyDescent="0.25">
      <c r="A2117" s="1" t="s">
        <v>4233</v>
      </c>
      <c r="B2117" s="1">
        <v>6900</v>
      </c>
      <c r="C2117" s="3">
        <v>44113.380659722221</v>
      </c>
      <c r="D2117" s="1" t="s">
        <v>4234</v>
      </c>
      <c r="E2117" s="4" t="str">
        <f ca="1">IFERROR(__xludf.DUMMYFUNCTION("GOOGLETRANSLATE(A2117 , ""tr"" , ""en"")"),"We are in Adana. We will make our regional assessment meetings with the participation of our health managers and field coordinators of Mersin, Gaziantep, Kahramanmaras, Hatay, Osmaniye and Kilis Provinces. We will succeed with fighting together. https://t"&amp;".co/olikxogeev")</f>
        <v>We are in Adana. We will make our regional assessment meetings with the participation of our health managers and field coordinators of Mersin, Gaziantep, Kahramanmaras, Hatay, Osmaniye and Kilis Provinces. We will succeed with fighting together. https://t.co/olikxogeev</v>
      </c>
    </row>
    <row r="2118" spans="1:5" ht="15.75" customHeight="1" x14ac:dyDescent="0.25">
      <c r="A2118" s="1" t="s">
        <v>4235</v>
      </c>
      <c r="B2118" s="1">
        <v>8365</v>
      </c>
      <c r="C2118" s="3">
        <v>44112.949328703704</v>
      </c>
      <c r="D2118" s="1" t="s">
        <v>4236</v>
      </c>
      <c r="E2118" s="4" t="str">
        <f ca="1">IFERROR(__xludf.DUMMYFUNCTION("GOOGLETRANSLATE(A2118 , ""tr"" , ""en"")"),"We performed individual video conference calls with Ankara, Denizli, Adiyaman, Bursa, Malatya and Erzurum Provincial Health Directors. In this 6, we addressed the endpoint against the epidemic, the endpoint of the epidemic. https://t.co/4xurrmyrxv")</f>
        <v>We performed individual video conference calls with Ankara, Denizli, Adiyaman, Bursa, Malatya and Erzurum Provincial Health Directors. In this 6, we addressed the endpoint against the epidemic, the endpoint of the epidemic. https://t.co/4xurrmyrxv</v>
      </c>
    </row>
    <row r="2119" spans="1:5" ht="15.75" customHeight="1" x14ac:dyDescent="0.25">
      <c r="A2119" s="1" t="s">
        <v>4237</v>
      </c>
      <c r="B2119" s="1">
        <v>5595</v>
      </c>
      <c r="C2119" s="3">
        <v>44112.860509259262</v>
      </c>
      <c r="D2119" s="1" t="s">
        <v>4238</v>
      </c>
      <c r="E2119" s="4" t="str">
        <f ca="1">IFERROR(__xludf.DUMMYFUNCTION("GOOGLETRANSLATE(A2119 , ""tr"" , ""en"")"),"The 9th Health Summit started with contact pandemia and sustainable health. In the opening speech, we emphasized the indispensability of the selfless human power that the COVID-19 pendemia reveals the importance of sustainability in health services. I tha"&amp;"nk the participants. https://t.co/vqoqyzh092")</f>
        <v>The 9th Health Summit started with contact pandemia and sustainable health. In the opening speech, we emphasized the indispensability of the selfless human power that the COVID-19 pendemia reveals the importance of sustainability in health services. I thank the participants. https://t.co/vqoqyzh092</v>
      </c>
    </row>
    <row r="2120" spans="1:5" ht="15.75" customHeight="1" x14ac:dyDescent="0.25">
      <c r="A2120" s="1" t="s">
        <v>4239</v>
      </c>
      <c r="B2120" s="1">
        <v>11931</v>
      </c>
      <c r="C2120" s="3">
        <v>44112.710405092592</v>
      </c>
      <c r="D2120" s="1" t="s">
        <v>4240</v>
      </c>
      <c r="E2120" s="4" t="str">
        <f ca="1">IFERROR(__xludf.DUMMYFUNCTION("GOOGLETRANSLATE(A2120 , ""tr"" , ""en"")"),"Today 1,615 patients were detected. The heavy patient continues to decline in our number. Fillion and isolation to keep the outbreak under control. Adopt to measures will not be required. We can keep the outbreak under control together. Power this struggl"&amp;"e. https://t.co/rvlhe7786o")</f>
        <v>Today 1,615 patients were detected. The heavy patient continues to decline in our number. Fillion and isolation to keep the outbreak under control. Adopt to measures will not be required. We can keep the outbreak under control together. Power this struggle. https://t.co/rvlhe7786o</v>
      </c>
    </row>
    <row r="2121" spans="1:5" ht="15.75" customHeight="1" x14ac:dyDescent="0.25">
      <c r="A2121" s="1" t="s">
        <v>4241</v>
      </c>
      <c r="B2121" s="1">
        <v>8939</v>
      </c>
      <c r="C2121" s="3">
        <v>44111.950416666667</v>
      </c>
      <c r="D2121" s="1" t="s">
        <v>4242</v>
      </c>
      <c r="E2121" s="4" t="str">
        <f ca="1">IFERROR(__xludf.DUMMYFUNCTION("GOOGLETRANSLATE(A2121 , ""tr"" , ""en"")"),"Our science assembly is collected, assessed the current status. The second time of the point, immune and incidence (frequency of incidence of vision) reached in the development of the native vaccine and our policy of scan tests were discussed. Detailed de"&amp;"scription is below. https://t.co/DVOXR1MSIH")</f>
        <v>Our science assembly is collected, assessed the current status. The second time of the point, immune and incidence (frequency of incidence of vision) reached in the development of the native vaccine and our policy of scan tests were discussed. Detailed description is below. https://t.co/DVOXR1MSIH</v>
      </c>
    </row>
    <row r="2122" spans="1:5" ht="15.75" customHeight="1" x14ac:dyDescent="0.25">
      <c r="A2122" s="1" t="s">
        <v>4243</v>
      </c>
      <c r="B2122" s="1">
        <v>15442</v>
      </c>
      <c r="C2122" s="3">
        <v>44111.68341435185</v>
      </c>
      <c r="D2122" s="1" t="s">
        <v>4244</v>
      </c>
      <c r="E2122" s="4" t="str">
        <f ca="1">IFERROR(__xludf.DUMMYFUNCTION("GOOGLETRANSLATE(A2122 , ""tr"" , ""en"")"),"There are 1.581 patients identified today. The decline trend of the number of severe patients has begun. It is possible to lower the number of severe patients with early treatment of patients. Our health workers are working with an oversimental effort. Le"&amp;"t's support them together in the struggle. https://t.co/rvlhe7786o")</f>
        <v>There are 1.581 patients identified today. The decline trend of the number of severe patients has begun. It is possible to lower the number of severe patients with early treatment of patients. Our health workers are working with an oversimental effort. Let's support them together in the struggle. https://t.co/rvlhe7786o</v>
      </c>
    </row>
    <row r="2123" spans="1:5" ht="15.75" customHeight="1" x14ac:dyDescent="0.25">
      <c r="A2123" s="1" t="s">
        <v>4245</v>
      </c>
      <c r="B2123" s="1">
        <v>13195</v>
      </c>
      <c r="C2123" s="3">
        <v>44110.688750000001</v>
      </c>
      <c r="D2123" s="1" t="s">
        <v>4246</v>
      </c>
      <c r="E2123" s="4" t="str">
        <f ca="1">IFERROR(__xludf.DUMMYFUNCTION("GOOGLETRANSLATE(A2123 , ""tr"" , ""en"")"),"The number of severe patients is controllable. There are 1,511 new patients identified today. We will win in measures. The unity and the power of the struggle to the struggle with the virus. Support this power. https://t.co/rvlhe7786o")</f>
        <v>The number of severe patients is controllable. There are 1,511 new patients identified today. We will win in measures. The unity and the power of the struggle to the struggle with the virus. Support this power. https://t.co/rvlhe7786o</v>
      </c>
    </row>
    <row r="2124" spans="1:5" ht="15.75" customHeight="1" x14ac:dyDescent="0.25">
      <c r="A2124" s="1" t="s">
        <v>4247</v>
      </c>
      <c r="B2124" s="1">
        <v>12933</v>
      </c>
      <c r="C2124" s="3">
        <v>44110.457962962966</v>
      </c>
      <c r="D2124" s="1" t="s">
        <v>4248</v>
      </c>
      <c r="E2124" s="4" t="str">
        <f ca="1">IFERROR(__xludf.DUMMYFUNCTION("GOOGLETRANSLATE(A2124 , ""tr"" , ""en"")"),"Our Minister of Interior, I thank the pandemide close to my friend Süleyman Soylu. In the leadership of our President, we believe that our cabinet members will reach the conclusion of all the management units of our state and the spirit of National Draw. "&amp;"This will be the draw that the history will write. https://t.co/h3pjkiI")</f>
        <v>Our Minister of Interior, I thank the pandemide close to my friend Süleyman Soylu. In the leadership of our President, we believe that our cabinet members will reach the conclusion of all the management units of our state and the spirit of National Draw. This will be the draw that the history will write. https://t.co/h3pjkiI</v>
      </c>
    </row>
    <row r="2125" spans="1:5" ht="15.75" customHeight="1" x14ac:dyDescent="0.25">
      <c r="A2125" s="1" t="s">
        <v>4249</v>
      </c>
      <c r="B2125" s="1">
        <v>3991</v>
      </c>
      <c r="C2125" s="3">
        <v>44110.295208333337</v>
      </c>
      <c r="D2125" s="1" t="s">
        <v>4250</v>
      </c>
      <c r="E2125" s="4" t="str">
        <f ca="1">IFERROR(__xludf.DUMMYFUNCTION("GOOGLETRANSLATE(A2125 , ""tr"" , ""en"")"),"DSÖ Turkey Turkey COVID-19 report: death rates are quite under the world average. Turkey turned the young population advantage. In the editor, the European Regional Director of the European Region. We support Hans Kluge WHO COVID-19 to reach the report of"&amp;" Turkey: https://t.co/mukag3ntgm")</f>
        <v>DSÖ Turkey Turkey COVID-19 report: death rates are quite under the world average. Turkey turned the young population advantage. In the editor, the European Regional Director of the European Region. We support Hans Kluge WHO COVID-19 to reach the report of Turkey: https://t.co/mukag3ntgm</v>
      </c>
    </row>
    <row r="2126" spans="1:5" ht="15.75" customHeight="1" x14ac:dyDescent="0.25">
      <c r="A2126" s="1" t="s">
        <v>4251</v>
      </c>
      <c r="B2126" s="1">
        <v>15416</v>
      </c>
      <c r="C2126" s="3">
        <v>44110.294317129628</v>
      </c>
      <c r="D2126" s="1" t="s">
        <v>4252</v>
      </c>
      <c r="E2126" s="4" t="str">
        <f ca="1">IFERROR(__xludf.DUMMYFUNCTION("GOOGLETRANSLATE(A2126 , ""tr"" , ""en"")"),"Whö, Turkey's COVID-19 'on the struggle of Turkey, published a report that carries the first property in the European region. In the report, the achievement achieved as a result of the measures and multi-sectoral approach as determined. According to the r"&amp;"eport, Turkey, the applications with many countries.")</f>
        <v>Whö, Turkey's COVID-19 'on the struggle of Turkey, published a report that carries the first property in the European region. In the report, the achievement achieved as a result of the measures and multi-sectoral approach as determined. According to the report, Turkey, the applications with many countries.</v>
      </c>
    </row>
    <row r="2127" spans="1:5" ht="15.75" customHeight="1" x14ac:dyDescent="0.25">
      <c r="A2127" s="1" t="s">
        <v>4253</v>
      </c>
      <c r="B2127" s="1">
        <v>9860</v>
      </c>
      <c r="C2127" s="3">
        <v>44109.95716435185</v>
      </c>
      <c r="D2127" s="1" t="s">
        <v>4254</v>
      </c>
      <c r="E2127" s="4" t="str">
        <f ca="1">IFERROR(__xludf.DUMMYFUNCTION("GOOGLETRANSLATE(A2127 , ""tr"" , ""en"")"),"18. Period of Malatya Deputy MEHMET Bülent Bülent Lost his life. I wish himself from Allah to the mercy, their condolences. The sample efforts in the direction of the Nation was a visionary politician on Turkey's management needs. Rest in peace.")</f>
        <v>18. Period of Malatya Deputy MEHMET Bülent Bülent Lost his life. I wish himself from Allah to the mercy, their condolences. The sample efforts in the direction of the Nation was a visionary politician on Turkey's management needs. Rest in peace.</v>
      </c>
    </row>
    <row r="2128" spans="1:5" ht="15.75" customHeight="1" x14ac:dyDescent="0.25">
      <c r="A2128" s="1" t="s">
        <v>4255</v>
      </c>
      <c r="B2128" s="1">
        <v>15109</v>
      </c>
      <c r="C2128" s="3">
        <v>44109.702592592592</v>
      </c>
      <c r="D2128" s="1" t="s">
        <v>4256</v>
      </c>
      <c r="E2128" s="4" t="str">
        <f ca="1">IFERROR(__xludf.DUMMYFUNCTION("GOOGLETRANSLATE(A2128 , ""tr"" , ""en"")"),"Our severe patients tend to decrease. We have 1,603 patients with new identified. We have to lower our active patient count. If we continue to be unioned in the measure we can achieve it. Add strength to our strength by complying with measures. https://t."&amp;"co/rvlhe7786o")</f>
        <v>Our severe patients tend to decrease. We have 1,603 patients with new identified. We have to lower our active patient count. If we continue to be unioned in the measure we can achieve it. Add strength to our strength by complying with measures. https://t.co/rvlhe7786o</v>
      </c>
    </row>
    <row r="2129" spans="1:5" ht="15.75" customHeight="1" x14ac:dyDescent="0.25">
      <c r="A2129" s="1" t="s">
        <v>4257</v>
      </c>
      <c r="B2129" s="1">
        <v>0</v>
      </c>
      <c r="C2129" s="3">
        <v>44109.683831018519</v>
      </c>
      <c r="D2129" s="1" t="s">
        <v>4258</v>
      </c>
      <c r="E2129" s="4" t="str">
        <f ca="1">IFERROR(__xludf.DUMMYFUNCTION("GOOGLETRANSLATE(A2129 , ""tr"" , ""en"")"),"RT @rterdogan: Shouting Nation After Cabinet Meeting https://t.co/dwe9nxeljx")</f>
        <v>RT @rterdogan: Shouting Nation After Cabinet Meeting https://t.co/dwe9nxeljx</v>
      </c>
    </row>
    <row r="2130" spans="1:5" ht="15.75" customHeight="1" x14ac:dyDescent="0.25">
      <c r="A2130" s="1" t="s">
        <v>4259</v>
      </c>
      <c r="B2130" s="1">
        <v>14013</v>
      </c>
      <c r="C2130" s="3">
        <v>44108.849988425929</v>
      </c>
      <c r="D2130" s="1" t="s">
        <v>4260</v>
      </c>
      <c r="E2130" s="4" t="str">
        <f ca="1">IFERROR(__xludf.DUMMYFUNCTION("GOOGLETRANSLATE(A2130 , ""tr"" , ""en"")"),"Timüççin Esen is the second time in the campaign that our ministry is carried out in order to combat the coronavirus. Esen, warnings are re-agenda from the summary of the process: mask, distance, cleanliness. If we wish, we can master the social life with"&amp;" the measures. https://t.co/1sfeeqmhkp")</f>
        <v>Timüççin Esen is the second time in the campaign that our ministry is carried out in order to combat the coronavirus. Esen, warnings are re-agenda from the summary of the process: mask, distance, cleanliness. If we wish, we can master the social life with the measures. https://t.co/1sfeeqmhkp</v>
      </c>
    </row>
    <row r="2131" spans="1:5" ht="15.75" customHeight="1" x14ac:dyDescent="0.25">
      <c r="A2131" s="1" t="s">
        <v>4261</v>
      </c>
      <c r="B2131" s="1">
        <v>11990</v>
      </c>
      <c r="C2131" s="3">
        <v>44108.836041666669</v>
      </c>
      <c r="D2131" s="1" t="s">
        <v>4262</v>
      </c>
      <c r="E2131" s="4" t="str">
        <f ca="1">IFERROR(__xludf.DUMMYFUNCTION("GOOGLETRANSLATE(A2131 , ""tr"" , ""en"")"),"Taner does not die, our Ministry is the second time in the campaign in which the coronavirus is carried out with the purposes of fighting. It does not die, re-agenda from the sum statement of the process: mask, distance, cleanliness. If we wish, we can ma"&amp;"ster the social life with the measures. https://t.co/qk1j4MIKXG")</f>
        <v>Taner does not die, our Ministry is the second time in the campaign in which the coronavirus is carried out with the purposes of fighting. It does not die, re-agenda from the sum statement of the process: mask, distance, cleanliness. If we wish, we can master the social life with the measures. https://t.co/qk1j4MIKXG</v>
      </c>
    </row>
    <row r="2132" spans="1:5" ht="15.75" customHeight="1" x14ac:dyDescent="0.25">
      <c r="A2132" s="1" t="s">
        <v>4263</v>
      </c>
      <c r="B2132" s="1">
        <v>8027</v>
      </c>
      <c r="C2132" s="3">
        <v>44108.779710648145</v>
      </c>
      <c r="D2132" s="1" t="s">
        <v>4264</v>
      </c>
      <c r="E2132" s="4" t="str">
        <f ca="1">IFERROR(__xludf.DUMMYFUNCTION("GOOGLETRANSLATE(A2132 , ""tr"" , ""en"")"),"Director of the International Region of the WHO Dr. Hans Kluge published yesterday, ""Mr. Minister husband; The WHO European region always supports your leadership and COVID-19 and always supports the Turkish people. "" Thank you on behalf of my country f"&amp;"or his shaped message. https://t.co/ne0elamk9r")</f>
        <v>Director of the International Region of the WHO Dr. Hans Kluge published yesterday, "Mr. Minister husband; The WHO European region always supports your leadership and COVID-19 and always supports the Turkish people. " Thank you on behalf of my country for his shaped message. https://t.co/ne0elamk9r</v>
      </c>
    </row>
    <row r="2133" spans="1:5" ht="15.75" customHeight="1" x14ac:dyDescent="0.25">
      <c r="A2133" s="1" t="s">
        <v>4265</v>
      </c>
      <c r="B2133" s="1">
        <v>12909</v>
      </c>
      <c r="C2133" s="3">
        <v>44108.680405092593</v>
      </c>
      <c r="D2133" s="1" t="s">
        <v>4266</v>
      </c>
      <c r="E2133" s="4" t="str">
        <f ca="1">IFERROR(__xludf.DUMMYFUNCTION("GOOGLETRANSLATE(A2133 , ""tr"" , ""en"")"),"As a result of 104.402 tests today, 1.429 new patients were identified. Our heavy patient number is 1.475. We should not be trapped and should not leave the measure. We should not give a virusage opportunity to comply with the measures. If we are unity we"&amp;" would be the winner. https://t.co/rvlhe7786o")</f>
        <v>As a result of 104.402 tests today, 1.429 new patients were identified. Our heavy patient number is 1.475. We should not be trapped and should not leave the measure. We should not give a virusage opportunity to comply with the measures. If we are unity we would be the winner. https://t.co/rvlhe7786o</v>
      </c>
    </row>
    <row r="2134" spans="1:5" ht="15.75" customHeight="1" x14ac:dyDescent="0.25">
      <c r="A2134" s="1" t="s">
        <v>4267</v>
      </c>
      <c r="B2134" s="1">
        <v>17347</v>
      </c>
      <c r="C2134" s="3">
        <v>44108.625231481485</v>
      </c>
      <c r="D2134" s="1" t="s">
        <v>4268</v>
      </c>
      <c r="E2134" s="4" t="str">
        <f ca="1">IFERROR(__xludf.DUMMYFUNCTION("GOOGLETRANSLATE(A2134 , ""tr"" , ""en"")"),"The creatures we share the world have the place and right of all beings in the tree of the tree. Let the animal protection day be love and consciousness day on the integrity of life.")</f>
        <v>The creatures we share the world have the place and right of all beings in the tree of the tree. Let the animal protection day be love and consciousness day on the integrity of life.</v>
      </c>
    </row>
    <row r="2135" spans="1:5" ht="15.75" customHeight="1" x14ac:dyDescent="0.25">
      <c r="A2135" s="1" t="s">
        <v>4269</v>
      </c>
      <c r="B2135" s="1">
        <v>8251</v>
      </c>
      <c r="C2135" s="3">
        <v>44108.6171412037</v>
      </c>
      <c r="D2135" s="1" t="s">
        <v>4270</v>
      </c>
      <c r="E2135" s="4" t="str">
        <f ca="1">IFERROR(__xludf.DUMMYFUNCTION("GOOGLETRANSLATE(A2135 , ""tr"" , ""en"")"),"I wish yesterday to the eternal life, the old Public Works and the Ministers of the Settlement, the founder of the AK Party to our brother of Earge. Rest in peace. May his family, relatives and case friends right.")</f>
        <v>I wish yesterday to the eternal life, the old Public Works and the Ministers of the Settlement, the founder of the AK Party to our brother of Earge. Rest in peace. May his family, relatives and case friends right.</v>
      </c>
    </row>
    <row r="2136" spans="1:5" ht="15.75" customHeight="1" x14ac:dyDescent="0.25">
      <c r="A2136" s="1" t="s">
        <v>4271</v>
      </c>
      <c r="B2136" s="1">
        <v>13495</v>
      </c>
      <c r="C2136" s="3">
        <v>44107.842893518522</v>
      </c>
      <c r="D2136" s="1" t="s">
        <v>4272</v>
      </c>
      <c r="E2136" s="4" t="str">
        <f ca="1">IFERROR(__xludf.DUMMYFUNCTION("GOOGLETRANSLATE(A2136 , ""tr"" , ""en"")"),"TÜSEB's Crimean-Congo-bleed fire vaccine supported by @tusebgovtr The human experiment phase-1 phase was successfully completed. Candidates of rabies, data and water blossom vaccine came to the human experiment stage. We are committed to developing our na"&amp;"tional vaccines and providing our nation's service.")</f>
        <v>TÜSEB's Crimean-Congo-bleed fire vaccine supported by @tusebgovtr The human experiment phase-1 phase was successfully completed. Candidates of rabies, data and water blossom vaccine came to the human experiment stage. We are committed to developing our national vaccines and providing our nation's service.</v>
      </c>
    </row>
    <row r="2137" spans="1:5" ht="15.75" customHeight="1" x14ac:dyDescent="0.25">
      <c r="A2137" s="1" t="s">
        <v>4273</v>
      </c>
      <c r="B2137" s="1">
        <v>17701</v>
      </c>
      <c r="C2137" s="3">
        <v>44107.838831018518</v>
      </c>
      <c r="D2137" s="1" t="s">
        <v>4274</v>
      </c>
      <c r="E2137" s="4" t="str">
        <f ca="1">IFERROR(__xludf.DUMMYFUNCTION("GOOGLETRANSLATE(A2137 , ""tr"" , ""en"")"),"In our country, 13 separate COVID-19 vaccines are continuing their studies. 5 of these approached the phase of human experiments. All of the vaccine candidates from the clinical phase are supported by our Health Institutes of Turkey (TÜSEB) @tusebgovtr. T"&amp;"urkey's strength in science.")</f>
        <v>In our country, 13 separate COVID-19 vaccines are continuing their studies. 5 of these approached the phase of human experiments. All of the vaccine candidates from the clinical phase are supported by our Health Institutes of Turkey (TÜSEB) @tusebgovtr. Turkey's strength in science.</v>
      </c>
    </row>
    <row r="2138" spans="1:5" ht="15.75" customHeight="1" x14ac:dyDescent="0.25">
      <c r="A2138" s="1" t="s">
        <v>4275</v>
      </c>
      <c r="B2138" s="1">
        <v>91223</v>
      </c>
      <c r="C2138" s="3">
        <v>44107.835995370369</v>
      </c>
      <c r="D2138" s="1" t="s">
        <v>4276</v>
      </c>
      <c r="E2138" s="4" t="str">
        <f ca="1">IFERROR(__xludf.DUMMYFUNCTION("GOOGLETRANSLATE(A2138 , ""tr"" , ""en"")"),"In the challenge study of our national vaccine, 10 transgenic animals were vaccinated, 9 animals were not vaccinated. Were exposed to the virus and no virus in vaccinated animals. 4 of those who are not vaccinated were found to have lost their life and th"&amp;"e virs in the lungs. We are closer to the national vaccine.")</f>
        <v>In the challenge study of our national vaccine, 10 transgenic animals were vaccinated, 9 animals were not vaccinated. Were exposed to the virus and no virus in vaccinated animals. 4 of those who are not vaccinated were found to have lost their life and the virs in the lungs. We are closer to the national vaccine.</v>
      </c>
    </row>
    <row r="2139" spans="1:5" ht="15.75" customHeight="1" x14ac:dyDescent="0.25">
      <c r="A2139" s="1" t="s">
        <v>4277</v>
      </c>
      <c r="B2139" s="1">
        <v>37706</v>
      </c>
      <c r="C2139" s="3">
        <v>44107.826412037037</v>
      </c>
      <c r="D2139" s="1" t="s">
        <v>4278</v>
      </c>
      <c r="E2139" s="4" t="str">
        <f ca="1">IFERROR(__xludf.DUMMYFUNCTION("GOOGLETRANSLATE(A2139 , ""tr"" , ""en"")"),"It was a very important development today about the native and national COVID-19 vaccination. Our supported vaccine candidate by TÜSEB has come to the human experiments phase by completing the operation of challenging (Challenge) in transgenic animal. We "&amp;"have gave our Mr. President. So close to the conclusion. https://t.co/xxvqIfj3nz")</f>
        <v>It was a very important development today about the native and national COVID-19 vaccination. Our supported vaccine candidate by TÜSEB has come to the human experiments phase by completing the operation of challenging (Challenge) in transgenic animal. We have gave our Mr. President. So close to the conclusion. https://t.co/xxvqIfj3nz</v>
      </c>
    </row>
    <row r="2140" spans="1:5" ht="15.75" customHeight="1" x14ac:dyDescent="0.25">
      <c r="A2140" s="1" t="s">
        <v>4279</v>
      </c>
      <c r="B2140" s="1">
        <v>12835</v>
      </c>
      <c r="C2140" s="3">
        <v>44107.668854166666</v>
      </c>
      <c r="D2140" s="1" t="s">
        <v>4280</v>
      </c>
      <c r="E2140" s="4" t="str">
        <f ca="1">IFERROR(__xludf.DUMMYFUNCTION("GOOGLETRANSLATE(A2140 , ""tr"" , ""en"")"),"We have 1,502 new patients identified today. We have a loss of 59. Our severe patient count is controllable. We have to reduce the number of new patients. The way to this is to comply with the measures. If we are unity it will eventually be the virus that"&amp;" was eaten. https://t.co/rvlhe7786o")</f>
        <v>We have 1,502 new patients identified today. We have a loss of 59. Our severe patient count is controllable. We have to reduce the number of new patients. The way to this is to comply with the measures. If we are unity it will eventually be the virus that was eaten. https://t.co/rvlhe7786o</v>
      </c>
    </row>
    <row r="2141" spans="1:5" ht="15.75" customHeight="1" x14ac:dyDescent="0.25">
      <c r="A2141" s="1" t="s">
        <v>4281</v>
      </c>
      <c r="B2141" s="1">
        <v>10867</v>
      </c>
      <c r="C2141" s="3">
        <v>44106.952337962961</v>
      </c>
      <c r="D2141" s="1" t="s">
        <v>4282</v>
      </c>
      <c r="E2141" s="4" t="str">
        <f ca="1">IFERROR(__xludf.DUMMYFUNCTION("GOOGLETRANSLATE(A2141 , ""tr"" , ""en"")"),"The WHO has appreciated our strategy to prevent the spread of the virus with the press statement published to make Covid-19 data reporting in the European region. Turkey is ready to share the experience in this regard. Thanks to the European Regional Dire"&amp;"ctor @ Hans_Kluge. https://t.co/ykdwrdkaxa")</f>
        <v>The WHO has appreciated our strategy to prevent the spread of the virus with the press statement published to make Covid-19 data reporting in the European region. Turkey is ready to share the experience in this regard. Thanks to the European Regional Director @ Hans_Kluge. https://t.co/ykdwrdkaxa</v>
      </c>
    </row>
    <row r="2142" spans="1:5" ht="15.75" customHeight="1" x14ac:dyDescent="0.25">
      <c r="A2142" s="1" t="s">
        <v>4283</v>
      </c>
      <c r="B2142" s="1">
        <v>9719</v>
      </c>
      <c r="C2142" s="3">
        <v>44106.805196759262</v>
      </c>
      <c r="D2142" s="1" t="s">
        <v>4284</v>
      </c>
      <c r="E2142" s="4" t="str">
        <f ca="1">IFERROR(__xludf.DUMMYFUNCTION("GOOGLETRANSLATE(A2142 , ""tr"" , ""en"")"),"The opening of our President is SN. I wish Recep Tayyip Erdogan to be auspicious today Konya city hospital today. Our hospital; To the 1,250 bed, 380 polyclin, 49 operating rooms, 73 views. The city hospital of our cities is a fictitious fact. https://t.c"&amp;"o/bpcznnvsed")</f>
        <v>The opening of our President is SN. I wish Recep Tayyip Erdogan to be auspicious today Konya city hospital today. Our hospital; To the 1,250 bed, 380 polyclin, 49 operating rooms, 73 views. The city hospital of our cities is a fictitious fact. https://t.co/bpcznnvsed</v>
      </c>
    </row>
    <row r="2143" spans="1:5" ht="15.75" customHeight="1" x14ac:dyDescent="0.25">
      <c r="A2143" s="1" t="s">
        <v>4285</v>
      </c>
      <c r="B2143" s="1">
        <v>0</v>
      </c>
      <c r="C2143" s="3">
        <v>44106.732638888891</v>
      </c>
      <c r="D2143" s="1" t="s">
        <v>4286</v>
      </c>
      <c r="E2143" s="4" t="str">
        <f ca="1">IFERROR(__xludf.DUMMYFUNCTION("GOOGLETRANSLATE(A2143 , ""tr"" , ""en"")"),"RT @rterdogan: Today we wish the official opening of the Konya city hospital to our country, our nation, to our city to our city, to our city ...")</f>
        <v>RT @rterdogan: Today we wish the official opening of the Konya city hospital to our country, our nation, to our city to our city, to our city ...</v>
      </c>
    </row>
    <row r="2144" spans="1:5" ht="15.75" customHeight="1" x14ac:dyDescent="0.25">
      <c r="A2144" s="1" t="s">
        <v>4287</v>
      </c>
      <c r="B2144" s="1">
        <v>19267</v>
      </c>
      <c r="C2144" s="3">
        <v>44106.705150462964</v>
      </c>
      <c r="D2144" s="1" t="s">
        <v>4288</v>
      </c>
      <c r="E2144" s="4" t="str">
        <f ca="1">IFERROR(__xludf.DUMMYFUNCTION("GOOGLETRANSLATE(A2144 , ""tr"" , ""en"")"),"In the number of severe patients and pneumonia continues. Today our total number of severe patients is 1.455. Our number of patients recovering today is more than our new patient count. We have provided this decline in combination with measures. The force"&amp;" is born from the unity. Let's be unity. https://t.co/rvlhe7786o")</f>
        <v>In the number of severe patients and pneumonia continues. Today our total number of severe patients is 1.455. Our number of patients recovering today is more than our new patient count. We have provided this decline in combination with measures. The force is born from the unity. Let's be unity. https://t.co/rvlhe7786o</v>
      </c>
    </row>
    <row r="2145" spans="1:5" ht="15.75" customHeight="1" x14ac:dyDescent="0.25">
      <c r="A2145" s="1" t="s">
        <v>4289</v>
      </c>
      <c r="B2145" s="1">
        <v>6861</v>
      </c>
      <c r="C2145" s="3">
        <v>44106.513912037037</v>
      </c>
      <c r="D2145" s="1" t="s">
        <v>4290</v>
      </c>
      <c r="E2145" s="4" t="str">
        <f ca="1">IFERROR(__xludf.DUMMYFUNCTION("GOOGLETRANSLATE(A2145 , ""tr"" , ""en"")"),"We are making the opening of our city hospital in Konya. Let our country and nation be auspicious. https://t.co/cskosczbyw")</f>
        <v>We are making the opening of our city hospital in Konya. Let our country and nation be auspicious. https://t.co/cskosczbyw</v>
      </c>
    </row>
    <row r="2146" spans="1:5" ht="15.75" customHeight="1" x14ac:dyDescent="0.25">
      <c r="A2146" s="1" t="s">
        <v>4291</v>
      </c>
      <c r="B2146" s="1">
        <v>10725</v>
      </c>
      <c r="C2146" s="3">
        <v>44106.497893518521</v>
      </c>
      <c r="D2146" s="1" t="s">
        <v>4292</v>
      </c>
      <c r="E2146" s="4" t="str">
        <f ca="1">IFERROR(__xludf.DUMMYFUNCTION("GOOGLETRANSLATE(A2146 , ""tr"" , ""en"")"),"We also add to Konya City Hospital today to our health investments. Hospital: 1250 bed capacity, advanced medical equipment and qualified human resources and COVID-19 struggle and general health services will provide uninterrupted service to the region. M"&amp;"ay our nation be auspicious. https://t.co/Ivbj9j824m")</f>
        <v>We also add to Konya City Hospital today to our health investments. Hospital: 1250 bed capacity, advanced medical equipment and qualified human resources and COVID-19 struggle and general health services will provide uninterrupted service to the region. May our nation be auspicious. https://t.co/Ivbj9j824m</v>
      </c>
    </row>
    <row r="2147" spans="1:5" ht="15.75" customHeight="1" x14ac:dyDescent="0.25">
      <c r="A2147" s="1" t="s">
        <v>4293</v>
      </c>
      <c r="B2147" s="1">
        <v>14739</v>
      </c>
      <c r="C2147" s="3">
        <v>44105.772974537038</v>
      </c>
      <c r="D2147" s="1" t="s">
        <v>4294</v>
      </c>
      <c r="E2147" s="4" t="str">
        <f ca="1">IFERROR(__xludf.DUMMYFUNCTION("GOOGLETRANSLATE(A2147 , ""tr"" , ""en"")"),"Dear President Our Private Pencil Manager, Ambassador Hasan Born Brain Brain We lost very valuable Murat Dogan. I wish herself from Allah to the mercy, the worried family and Hasan born born. Rest in peace.")</f>
        <v>Dear President Our Private Pencil Manager, Ambassador Hasan Born Brain Brain We lost very valuable Murat Dogan. I wish herself from Allah to the mercy, the worried family and Hasan born born. Rest in peace.</v>
      </c>
    </row>
    <row r="2148" spans="1:5" ht="15.75" customHeight="1" x14ac:dyDescent="0.25">
      <c r="A2148" s="1" t="s">
        <v>4295</v>
      </c>
      <c r="B2148" s="1">
        <v>18587</v>
      </c>
      <c r="C2148" s="3">
        <v>44105.73940972222</v>
      </c>
      <c r="D2148" s="1" t="s">
        <v>4296</v>
      </c>
      <c r="E2148" s="4" t="str">
        <f ca="1">IFERROR(__xludf.DUMMYFUNCTION("GOOGLETRANSLATE(A2148 , ""tr"" , ""en"")"),"We have 1,407 new patients identified today. The severe patients continue to decline in our number. The number of healing patients is close to the number of new patients. Measures are the most powerful weapon we have. Let's be the winner of this struggle "&amp;"by fitting the measures together. https://t.co/rvlhe7786o")</f>
        <v>We have 1,407 new patients identified today. The severe patients continue to decline in our number. The number of healing patients is close to the number of new patients. Measures are the most powerful weapon we have. Let's be the winner of this struggle by fitting the measures together. https://t.co/rvlhe7786o</v>
      </c>
    </row>
    <row r="2149" spans="1:5" ht="15.75" customHeight="1" x14ac:dyDescent="0.25">
      <c r="A2149" s="1" t="s">
        <v>4297</v>
      </c>
      <c r="B2149" s="1">
        <v>32811</v>
      </c>
      <c r="C2149" s="3">
        <v>44105.503645833334</v>
      </c>
      <c r="D2149" s="1" t="s">
        <v>4298</v>
      </c>
      <c r="E2149" s="4" t="str">
        <f ca="1">IFERROR(__xludf.DUMMYFUNCTION("GOOGLETRANSLATE(A2149 , ""tr"" , ""en"")"),"Let's know that in the process of fighting out of the epidemic, our state maintains its national interests as well as the health of their people. Because epidemic affects all the areas of life. Some people who do not have their lirazen are not different f"&amp;"rom the lens to a point of the photo and seeking the stain.")</f>
        <v>Let's know that in the process of fighting out of the epidemic, our state maintains its national interests as well as the health of their people. Because epidemic affects all the areas of life. Some people who do not have their lirazen are not different from the lens to a point of the photo and seeking the stain.</v>
      </c>
    </row>
    <row r="2150" spans="1:5" ht="15.75" customHeight="1" x14ac:dyDescent="0.25">
      <c r="A2150" s="1" t="s">
        <v>4299</v>
      </c>
      <c r="B2150" s="1">
        <v>7956</v>
      </c>
      <c r="C2150" s="3">
        <v>44105.395914351851</v>
      </c>
      <c r="D2150" s="1" t="s">
        <v>4300</v>
      </c>
      <c r="E2150" s="4" t="str">
        <f ca="1">IFERROR(__xludf.DUMMYFUNCTION("GOOGLETRANSLATE(A2150 , ""tr"" , ""en"")"),"We have seen the results of regional interventions made in the last 3 weeks. We have achieved success in our many provinces we mentioned from the high increase. The most remarkable place was Ankara. The number of patients in Ankara has reduced halfway. It"&amp;" is also possible to understand that from the decrease in the density in our hospitals. https://t.co/txuj9znuou")</f>
        <v>We have seen the results of regional interventions made in the last 3 weeks. We have achieved success in our many provinces we mentioned from the high increase. The most remarkable place was Ankara. The number of patients in Ankara has reduced halfway. It is also possible to understand that from the decrease in the density in our hospitals. https://t.co/txuj9znuou</v>
      </c>
    </row>
    <row r="2151" spans="1:5" ht="15.75" customHeight="1" x14ac:dyDescent="0.25">
      <c r="A2151" s="1" t="s">
        <v>4301</v>
      </c>
      <c r="B2151" s="1">
        <v>13780</v>
      </c>
      <c r="C2151" s="3">
        <v>44105.368344907409</v>
      </c>
      <c r="D2151" s="1" t="s">
        <v>4302</v>
      </c>
      <c r="E2151" s="4" t="str">
        <f ca="1">IFERROR(__xludf.DUMMYFUNCTION("GOOGLETRANSLATE(A2151 , ""tr"" , ""en"")"),"Not every case is sick. In terms of epidemic, we cannot view as a priority problem in the epidemic positive positives, which are isolated and the test after average 1 week after average. The important is that the increasing patient is the power of our num"&amp;"ber and the power of the health system. https://t.co/agtdyyw0gc")</f>
        <v>Not every case is sick. In terms of epidemic, we cannot view as a priority problem in the epidemic positive positives, which are isolated and the test after average 1 week after average. The important is that the increasing patient is the power of our number and the power of the health system. https://t.co/agtdyyw0gc</v>
      </c>
    </row>
    <row r="2152" spans="1:5" ht="15.75" customHeight="1" x14ac:dyDescent="0.25">
      <c r="A2152" s="1" t="s">
        <v>4303</v>
      </c>
      <c r="B2152" s="1">
        <v>8516</v>
      </c>
      <c r="C2152" s="3">
        <v>44104.699560185189</v>
      </c>
      <c r="D2152" s="1" t="s">
        <v>4304</v>
      </c>
      <c r="E2152" s="4" t="str">
        <f ca="1">IFERROR(__xludf.DUMMYFUNCTION("GOOGLETRANSLATE(A2152 , ""tr"" , ""en"")"),"After our Science Board meeting, the latest developments on the coronavirus and the new measures we receive.
📍Public Ministry Bilkent Campus / Ankara
https://t.co/3l1aqcq4bx")</f>
        <v>After our Science Board meeting, the latest developments on the coronavirus and the new measures we receive.
📍Public Ministry Bilkent Campus / Ankara
https://t.co/3l1aqcq4bx</v>
      </c>
    </row>
    <row r="2153" spans="1:5" ht="15.75" customHeight="1" x14ac:dyDescent="0.25">
      <c r="A2153" s="1" t="s">
        <v>4305</v>
      </c>
      <c r="B2153" s="1">
        <v>16558</v>
      </c>
      <c r="C2153" s="3">
        <v>44104.483819444446</v>
      </c>
      <c r="D2153" s="1" t="s">
        <v>4306</v>
      </c>
      <c r="E2153" s="4" t="str">
        <f ca="1">IFERROR(__xludf.DUMMYFUNCTION("GOOGLETRANSLATE(A2153 , ""tr"" , ""en"")"),"Why should the isolation rule be followed? Virus carriers that do not have a sign-in-home-treating virus carriers should see themselves in terms of contemptibility of the treatment of COVID-19 patients in the hospital. No one outside has protective specia"&amp;"l clothes as in the hospital.")</f>
        <v>Why should the isolation rule be followed? Virus carriers that do not have a sign-in-home-treating virus carriers should see themselves in terms of contemptibility of the treatment of COVID-19 patients in the hospital. No one outside has protective special clothes as in the hospital.</v>
      </c>
    </row>
    <row r="2154" spans="1:5" ht="15.75" customHeight="1" x14ac:dyDescent="0.25">
      <c r="A2154" s="1" t="s">
        <v>4307</v>
      </c>
      <c r="B2154" s="1">
        <v>16299</v>
      </c>
      <c r="C2154" s="3">
        <v>44103.683842592596</v>
      </c>
      <c r="D2154" s="1" t="s">
        <v>4308</v>
      </c>
      <c r="E2154" s="4" t="str">
        <f ca="1">IFERROR(__xludf.DUMMYFUNCTION("GOOGLETRANSLATE(A2154 , ""tr"" , ""en"")"),"Our severe patient count is still static. We have 1,427 new patients identified today. Struggling with virus gives a result when done together. Conform to measures together with the power to the struggle. Support the challenge for the continuation of succ"&amp;"ess and continuity. https://t.co/rvlhe7786o")</f>
        <v>Our severe patient count is still static. We have 1,427 new patients identified today. Struggling with virus gives a result when done together. Conform to measures together with the power to the struggle. Support the challenge for the continuation of success and continuity. https://t.co/rvlhe7786o</v>
      </c>
    </row>
    <row r="2155" spans="1:5" ht="15.75" customHeight="1" x14ac:dyDescent="0.25">
      <c r="A2155" s="1" t="s">
        <v>4309</v>
      </c>
      <c r="B2155" s="1">
        <v>6639</v>
      </c>
      <c r="C2155" s="3">
        <v>44103.543738425928</v>
      </c>
      <c r="D2155" s="1" t="s">
        <v>4310</v>
      </c>
      <c r="E2155" s="4" t="str">
        <f ca="1">IFERROR(__xludf.DUMMYFUNCTION("GOOGLETRANSLATE(A2155 , ""tr"" , ""en"")"),"Do you have risks inside? The current coronavirus positive case warning is in hes for every place where you enter and exit. If you are not using, download the app immediately.
ANDROID: https://t.co/fyrvgtdccck
IOS: https://t.co/du40y5sf9f")</f>
        <v>Do you have risks inside? The current coronavirus positive case warning is in hes for every place where you enter and exit. If you are not using, download the app immediately.
ANDROID: https://t.co/fyrvgtdccck
IOS: https://t.co/du40y5sf9f</v>
      </c>
    </row>
    <row r="2156" spans="1:5" ht="15.75" customHeight="1" x14ac:dyDescent="0.25">
      <c r="A2156" s="1" t="s">
        <v>4311</v>
      </c>
      <c r="B2156" s="1">
        <v>78155</v>
      </c>
      <c r="C2156" s="3">
        <v>44103.45894675926</v>
      </c>
      <c r="D2156" s="1" t="s">
        <v>4312</v>
      </c>
      <c r="E2156" s="4" t="str">
        <f ca="1">IFERROR(__xludf.DUMMYFUNCTION("GOOGLETRANSLATE(A2156 , ""tr"" , ""en"")"),"Is isolated on the inside impudent wandering inside.")</f>
        <v>Is isolated on the inside impudent wandering inside.</v>
      </c>
    </row>
    <row r="2157" spans="1:5" ht="15.75" customHeight="1" x14ac:dyDescent="0.25">
      <c r="A2157" s="1" t="s">
        <v>4313</v>
      </c>
      <c r="B2157" s="1">
        <v>23441</v>
      </c>
      <c r="C2157" s="3">
        <v>44102.793240740742</v>
      </c>
      <c r="D2157" s="1" t="s">
        <v>4314</v>
      </c>
      <c r="E2157" s="4" t="str">
        <f ca="1">IFERROR(__xludf.DUMMYFUNCTION("GOOGLETRANSLATE(A2157 , ""tr"" , ""en"")"),"In Batman, a doctor who served on the filion team was attacked. The attacker was arrested at the next day of the event, yesterday. We condemn violent events of our health workers in the day and night with hate. We are next to our employees with the power "&amp;"of our state.")</f>
        <v>In Batman, a doctor who served on the filion team was attacked. The attacker was arrested at the next day of the event, yesterday. We condemn violent events of our health workers in the day and night with hate. We are next to our employees with the power of our state.</v>
      </c>
    </row>
    <row r="2158" spans="1:5" ht="15.75" customHeight="1" x14ac:dyDescent="0.25">
      <c r="A2158" s="1" t="s">
        <v>4315</v>
      </c>
      <c r="B2158" s="1">
        <v>14166</v>
      </c>
      <c r="C2158" s="3">
        <v>44102.743090277778</v>
      </c>
      <c r="D2158" s="1" t="s">
        <v>4316</v>
      </c>
      <c r="E2158" s="4" t="str">
        <f ca="1">IFERROR(__xludf.DUMMYFUNCTION("GOOGLETRANSLATE(A2158 , ""tr"" , ""en"")"),"Azerbaijan Health Minister Oktay We have a phone call with Şiraliyev. We mentioned the condemnation and sadness by Armenia's inhuman attack. We are next to the people of Azerbaijan. We are ready to help with all kinds of health needs. https://t.co/cnyhh4l"&amp;"9ql")</f>
        <v>Azerbaijan Health Minister Oktay We have a phone call with Şiraliyev. We mentioned the condemnation and sadness by Armenia's inhuman attack. We are next to the people of Azerbaijan. We are ready to help with all kinds of health needs. https://t.co/cnyhh4l9ql</v>
      </c>
    </row>
    <row r="2159" spans="1:5" ht="15.75" customHeight="1" x14ac:dyDescent="0.25">
      <c r="A2159" s="1" t="s">
        <v>4317</v>
      </c>
      <c r="B2159" s="1">
        <v>8764</v>
      </c>
      <c r="C2159" s="3">
        <v>44102.722685185188</v>
      </c>
      <c r="D2159" s="1" t="s">
        <v>4318</v>
      </c>
      <c r="E2159" s="4" t="str">
        <f ca="1">IFERROR(__xludf.DUMMYFUNCTION("GOOGLETRANSLATE(A2159 , ""tr"" , ""en"")"),"TRT WORLD, this Wednesday, with the documentary to publish, Turkey's COVID-19 offers the successful challenge to the world's attention. The shots took 2 months in our role in the fight against the epidemic. In the documentary, the world of important names"&amp;" are also included. We thank TRT. https://t.co/9rsyxıtdei")</f>
        <v>TRT WORLD, this Wednesday, with the documentary to publish, Turkey's COVID-19 offers the successful challenge to the world's attention. The shots took 2 months in our role in the fight against the epidemic. In the documentary, the world of important names are also included. We thank TRT. https://t.co/9rsyxıtdei</v>
      </c>
    </row>
    <row r="2160" spans="1:5" ht="15.75" customHeight="1" x14ac:dyDescent="0.25">
      <c r="A2160" s="1" t="s">
        <v>4319</v>
      </c>
      <c r="B2160" s="1">
        <v>65288</v>
      </c>
      <c r="C2160" s="3">
        <v>44102.698912037034</v>
      </c>
      <c r="D2160" s="1" t="s">
        <v>4320</v>
      </c>
      <c r="E2160" s="4" t="str">
        <f ca="1">IFERROR(__xludf.DUMMYFUNCTION("GOOGLETRANSLATE(A2160 , ""tr"" , ""en"")"),"The virus was captured and the patients had rely on most chances. Follow the measures.")</f>
        <v>The virus was captured and the patients had rely on most chances. Follow the measures.</v>
      </c>
    </row>
    <row r="2161" spans="1:5" ht="15.75" customHeight="1" x14ac:dyDescent="0.25">
      <c r="A2161" s="1" t="s">
        <v>4321</v>
      </c>
      <c r="B2161" s="1">
        <v>20074</v>
      </c>
      <c r="C2161" s="3">
        <v>44102.683229166665</v>
      </c>
      <c r="D2161" s="1" t="s">
        <v>4322</v>
      </c>
      <c r="E2161" s="4" t="str">
        <f ca="1">IFERROR(__xludf.DUMMYFUNCTION("GOOGLETRANSLATE(A2161 , ""tr"" , ""en"")"),"Today after a long break, our daily recovery patient is more than our new patients. There are 1,412 new patients identified today. Since the measures give it a sequence. Let's struggle together until the virus is eaten, let's fit in the measures. https://"&amp;"t.co/rvlhe7786o")</f>
        <v>Today after a long break, our daily recovery patient is more than our new patients. There are 1,412 new patients identified today. Since the measures give it a sequence. Let's struggle together until the virus is eaten, let's fit in the measures. https://t.co/rvlhe7786o</v>
      </c>
    </row>
    <row r="2162" spans="1:5" ht="15.75" customHeight="1" x14ac:dyDescent="0.25">
      <c r="A2162" s="1" t="s">
        <v>4323</v>
      </c>
      <c r="B2162" s="1">
        <v>52216</v>
      </c>
      <c r="C2162" s="3">
        <v>44101.874513888892</v>
      </c>
      <c r="D2162" s="1" t="s">
        <v>4324</v>
      </c>
      <c r="E2162" s="4" t="str">
        <f ca="1">IFERROR(__xludf.DUMMYFUNCTION("GOOGLETRANSLATE(A2162 , ""tr"" , ""en"")"),"Armenia was found in an attack on Azerbaijan. Intense bomber was a large number of injured and lost from civilians. We condemn the assumption of the state with the dignity and human values. We are at the side of Azerbaycan who has taken action for the leg"&amp;"itimate response.")</f>
        <v>Armenia was found in an attack on Azerbaijan. Intense bomber was a large number of injured and lost from civilians. We condemn the assumption of the state with the dignity and human values. We are at the side of Azerbaycan who has taken action for the legitimate response.</v>
      </c>
    </row>
    <row r="2163" spans="1:5" ht="15.75" customHeight="1" x14ac:dyDescent="0.25">
      <c r="A2163" s="1" t="s">
        <v>4325</v>
      </c>
      <c r="B2163" s="1">
        <v>11913</v>
      </c>
      <c r="C2163" s="3">
        <v>44101.760439814818</v>
      </c>
      <c r="D2163" s="1" t="s">
        <v>4326</v>
      </c>
      <c r="E2163" s="4" t="str">
        <f ca="1">IFERROR(__xludf.DUMMYFUNCTION("GOOGLETRANSLATE(A2163 , ""tr"" , ""en"")"),"Mild complaints and their treatment are at home or without symptoms, but some of the people who need to adhere to the isolation rule, we are taking knowledge that they do not comply with this rule. The person who poses the test should see himself as the p"&amp;"atient in the hospital in terms of inflexibility. https://t.co/AIGTS1ihro")</f>
        <v>Mild complaints and their treatment are at home or without symptoms, but some of the people who need to adhere to the isolation rule, we are taking knowledge that they do not comply with this rule. The person who poses the test should see himself as the patient in the hospital in terms of inflexibility. https://t.co/AIGTS1ihro</v>
      </c>
    </row>
    <row r="2164" spans="1:5" ht="15.75" customHeight="1" x14ac:dyDescent="0.25">
      <c r="A2164" s="1" t="s">
        <v>4327</v>
      </c>
      <c r="B2164" s="1">
        <v>41049</v>
      </c>
      <c r="C2164" s="3">
        <v>44101.690752314818</v>
      </c>
      <c r="D2164" s="1" t="s">
        <v>4328</v>
      </c>
      <c r="E2164" s="4" t="str">
        <f ca="1">IFERROR(__xludf.DUMMYFUNCTION("GOOGLETRANSLATE(A2164 , ""tr"" , ""en"")"),"We are us that gives the opportunity to spread the virus. How much warning of the challenge of the challenge is the more stretched.")</f>
        <v>We are us that gives the opportunity to spread the virus. How much warning of the challenge of the challenge is the more stretched.</v>
      </c>
    </row>
    <row r="2165" spans="1:5" ht="15.75" customHeight="1" x14ac:dyDescent="0.25">
      <c r="A2165" s="1" t="s">
        <v>4329</v>
      </c>
      <c r="B2165" s="1">
        <v>13884</v>
      </c>
      <c r="C2165" s="3">
        <v>44101.667222222219</v>
      </c>
      <c r="D2165" s="1" t="s">
        <v>4330</v>
      </c>
      <c r="E2165" s="4" t="str">
        <f ca="1">IFERROR(__xludf.DUMMYFUNCTION("GOOGLETRANSLATE(A2165 , ""tr"" , ""en"")"),"After a long break, our heavy patient has decreased. We have 1.583 heavy patients today. The pneumonial rate continues to fall. The number of new patients tends to decrease. It's an undisputable fact that the measures give. Let's defeat the virus by follo"&amp;"wing the measures. https://t.co/rvlhe7786o")</f>
        <v>After a long break, our heavy patient has decreased. We have 1.583 heavy patients today. The pneumonial rate continues to fall. The number of new patients tends to decrease. It's an undisputable fact that the measures give. Let's defeat the virus by following the measures. https://t.co/rvlhe7786o</v>
      </c>
    </row>
    <row r="2166" spans="1:5" ht="15.75" customHeight="1" x14ac:dyDescent="0.25">
      <c r="A2166" s="1" t="s">
        <v>4331</v>
      </c>
      <c r="B2166" s="1">
        <v>6550</v>
      </c>
      <c r="C2166" s="3">
        <v>44101.597824074073</v>
      </c>
      <c r="D2166" s="1" t="s">
        <v>4332</v>
      </c>
      <c r="E2166" s="4" t="str">
        <f ca="1">IFERROR(__xludf.DUMMYFUNCTION("GOOGLETRANSLATE(A2166 , ""tr"" , ""en"")"),"If you make concessions from the rules, it is inevitable to increase our patient count and meet new losses. Even if the filliation teams reach contacts in each case and ensure that positive persons are determined, we cannot get the desired result unless y"&amp;"ou are stable in this battle. Be determined in the measure. https://t.co/9cdsk5jolk")</f>
        <v>If you make concessions from the rules, it is inevitable to increase our patient count and meet new losses. Even if the filliation teams reach contacts in each case and ensure that positive persons are determined, we cannot get the desired result unless you are stable in this battle. Be determined in the measure. https://t.co/9cdsk5jolk</v>
      </c>
    </row>
    <row r="2167" spans="1:5" ht="15.75" customHeight="1" x14ac:dyDescent="0.25">
      <c r="A2167" s="1" t="s">
        <v>4333</v>
      </c>
      <c r="B2167" s="1">
        <v>10212</v>
      </c>
      <c r="C2167" s="3">
        <v>44101.583668981482</v>
      </c>
      <c r="D2167" s="1" t="s">
        <v>4334</v>
      </c>
      <c r="E2167" s="4" t="str">
        <f ca="1">IFERROR(__xludf.DUMMYFUNCTION("GOOGLETRANSLATE(A2167 , ""tr"" , ""en"")"),"We live the longest nights of our lives. We had our friends who were eaten in the virus when he was trying to keep their patients alive. Many friends returned to the struggle that improves. Our policlinics are open 24 hours. We are always available to the"&amp;" task for you. But the best solution is the measure. https://t.co/rhtsxlml2t")</f>
        <v>We live the longest nights of our lives. We had our friends who were eaten in the virus when he was trying to keep their patients alive. Many friends returned to the struggle that improves. Our policlinics are open 24 hours. We are always available to the task for you. But the best solution is the measure. https://t.co/rhtsxlml2t</v>
      </c>
    </row>
    <row r="2168" spans="1:5" ht="15.75" customHeight="1" x14ac:dyDescent="0.25">
      <c r="A2168" s="1" t="s">
        <v>4335</v>
      </c>
      <c r="B2168" s="1">
        <v>16689</v>
      </c>
      <c r="C2168" s="3">
        <v>44101.417592592596</v>
      </c>
      <c r="D2168" s="1" t="s">
        <v>4336</v>
      </c>
      <c r="E2168" s="4" t="str">
        <f ca="1">IFERROR(__xludf.DUMMYFUNCTION("GOOGLETRANSLATE(A2168 , ""tr"" , ""en"")"),"Dr. The Gülbahar Hırkük tells the story of a 40-year-old patient: the patient woke up in the respirator, he wanted paper. On paper, ""I love my wife so much, tell him"". We lost itself after 2 days. We did not give the paper to the wife, this place is an "&amp;"isolated part. We can't get anything out of the outside. https://t.co/imp9ckxjpx")</f>
        <v>Dr. The Gülbahar Hırkük tells the story of a 40-year-old patient: the patient woke up in the respirator, he wanted paper. On paper, "I love my wife so much, tell him". We lost itself after 2 days. We did not give the paper to the wife, this place is an isolated part. We can't get anything out of the outside. https://t.co/imp9ckxjpx</v>
      </c>
    </row>
    <row r="2169" spans="1:5" ht="15.75" customHeight="1" x14ac:dyDescent="0.25">
      <c r="A2169" s="1" t="s">
        <v>4337</v>
      </c>
      <c r="B2169" s="1">
        <v>23373</v>
      </c>
      <c r="C2169" s="3">
        <v>44101.33320601852</v>
      </c>
      <c r="D2169" s="1" t="s">
        <v>4338</v>
      </c>
      <c r="E2169" s="4" t="str">
        <f ca="1">IFERROR(__xludf.DUMMYFUNCTION("GOOGLETRANSLATE(A2169 , ""tr"" , ""en"")"),"What are we doing, what do we want? In the last week we raised our operation scale. Further influence in contact scan. We have increased our test numbers. We start the treatment early. We are implementing local measures. Our only request from you is that "&amp;"you protect yourself from the virus with the mask and distance rule.")</f>
        <v>What are we doing, what do we want? In the last week we raised our operation scale. Further influence in contact scan. We have increased our test numbers. We start the treatment early. We are implementing local measures. Our only request from you is that you protect yourself from the virus with the mask and distance rule.</v>
      </c>
    </row>
    <row r="2170" spans="1:5" ht="15.75" customHeight="1" x14ac:dyDescent="0.25">
      <c r="A2170" s="1" t="s">
        <v>4339</v>
      </c>
      <c r="B2170" s="1">
        <v>14523</v>
      </c>
      <c r="C2170" s="3">
        <v>44100.814722222225</v>
      </c>
      <c r="D2170" s="1" t="s">
        <v>4340</v>
      </c>
      <c r="E2170" s="4" t="str">
        <f ca="1">IFERROR(__xludf.DUMMYFUNCTION("GOOGLETRANSLATE(A2170 , ""tr"" , ""en"")"),"Violence to health worker is not only the subject of the victim and the subject of the law. Is the common problem of society. The friendly working environment is a qualified service assurance. The law and moral should make a cooperation. Moreover: The hea"&amp;"lth worker is under the war, even in the war. We must be one against violence.")</f>
        <v>Violence to health worker is not only the subject of the victim and the subject of the law. Is the common problem of society. The friendly working environment is a qualified service assurance. The law and moral should make a cooperation. Moreover: The health worker is under the war, even in the war. We must be one against violence.</v>
      </c>
    </row>
    <row r="2171" spans="1:5" ht="15.75" customHeight="1" x14ac:dyDescent="0.25">
      <c r="A2171" s="1" t="s">
        <v>4341</v>
      </c>
      <c r="B2171" s="1">
        <v>62359</v>
      </c>
      <c r="C2171" s="3">
        <v>44100.801990740743</v>
      </c>
      <c r="D2171" s="1" t="s">
        <v>4342</v>
      </c>
      <c r="E2171" s="4" t="str">
        <f ca="1">IFERROR(__xludf.DUMMYFUNCTION("GOOGLETRANSLATE(A2171 , ""tr"" , ""en"")"),"In the Faculty of Medicine, our patient caregiver in the Faculty of Medicine was imposed by the person he stimulated the mask towards the correctness and was taken to eye surgery. The aggressor was arrested in the Caglayan Courthouse, ""Deliberately injur"&amp;"ed"" was arrested to prison. We must be one against violence.")</f>
        <v>In the Faculty of Medicine, our patient caregiver in the Faculty of Medicine was imposed by the person he stimulated the mask towards the correctness and was taken to eye surgery. The aggressor was arrested in the Caglayan Courthouse, "Deliberately injured" was arrested to prison. We must be one against violence.</v>
      </c>
    </row>
    <row r="2172" spans="1:5" ht="15.75" customHeight="1" x14ac:dyDescent="0.25">
      <c r="A2172" s="1" t="s">
        <v>4343</v>
      </c>
      <c r="B2172" s="1">
        <v>6604</v>
      </c>
      <c r="C2172" s="3">
        <v>44100.772835648146</v>
      </c>
      <c r="D2172" s="1" t="s">
        <v>4344</v>
      </c>
      <c r="E2172" s="4" t="str">
        <f ca="1">IFERROR(__xludf.DUMMYFUNCTION("GOOGLETRANSLATE(A2172 , ""tr"" , ""en"")"),"We have established in the outbreak process in Istanbul. Dr. Feriha Self, Professor Dr. We visited Murat Dilmener Emergency Hospitals. We have reviewed the last situation in the fight with our colleagues. For better management of the situation under contr"&amp;"ol, let the measures apply uncompromisingly. https://t.co/lcnkoxjfhz")</f>
        <v>We have established in the outbreak process in Istanbul. Dr. Feriha Self, Professor Dr. We visited Murat Dilmener Emergency Hospitals. We have reviewed the last situation in the fight with our colleagues. For better management of the situation under control, let the measures apply uncompromisingly. https://t.co/lcnkoxjfhz</v>
      </c>
    </row>
    <row r="2173" spans="1:5" ht="15.75" customHeight="1" x14ac:dyDescent="0.25">
      <c r="A2173" s="1" t="s">
        <v>4345</v>
      </c>
      <c r="B2173" s="1">
        <v>16875</v>
      </c>
      <c r="C2173" s="3">
        <v>44100.692314814813</v>
      </c>
      <c r="D2173" s="1" t="s">
        <v>4346</v>
      </c>
      <c r="E2173" s="4" t="str">
        <f ca="1">IFERROR(__xludf.DUMMYFUNCTION("GOOGLETRANSLATE(A2173 , ""tr"" , ""en"")"),"We have 1,511 new patients identified today. The decline in the number of patients invites us to hold on to the measures more tightly. In our severe patients, the rate of increase in increase tends to decrease. Together with combat measures are possible b"&amp;"y fitting together. https://t.co/rvlhe7786o")</f>
        <v>We have 1,511 new patients identified today. The decline in the number of patients invites us to hold on to the measures more tightly. In our severe patients, the rate of increase in increase tends to decrease. Together with combat measures are possible by fitting together. https://t.co/rvlhe7786o</v>
      </c>
    </row>
    <row r="2174" spans="1:5" ht="15.75" customHeight="1" x14ac:dyDescent="0.25">
      <c r="A2174" s="1" t="s">
        <v>4347</v>
      </c>
      <c r="B2174" s="1">
        <v>70604</v>
      </c>
      <c r="C2174" s="3">
        <v>44099.77983796296</v>
      </c>
      <c r="D2174" s="1" t="s">
        <v>4348</v>
      </c>
      <c r="E2174" s="4" t="str">
        <f ca="1">IFERROR(__xludf.DUMMYFUNCTION("GOOGLETRANSLATE(A2174 , ""tr"" , ""en"")"),"Pandemide you have been medicine. World Pharmacists have a happy birthday.")</f>
        <v>Pandemide you have been medicine. World Pharmacists have a happy birthday.</v>
      </c>
    </row>
    <row r="2175" spans="1:5" ht="15.75" customHeight="1" x14ac:dyDescent="0.25">
      <c r="A2175" s="1" t="s">
        <v>4349</v>
      </c>
      <c r="B2175" s="1">
        <v>7519</v>
      </c>
      <c r="C2175" s="3">
        <v>44099.724861111114</v>
      </c>
      <c r="D2175" s="1" t="s">
        <v>4350</v>
      </c>
      <c r="E2175" s="4" t="str">
        <f ca="1">IFERROR(__xludf.DUMMYFUNCTION("GOOGLETRANSLATE(A2175 , ""tr"" , ""en"")"),"Samsun, Ordu, Corum, Amasya, Tokat, Sinop Provincial Health Directors, Hospital Specialists and Site Coordinators with provincial meetings and meetings. In the epidemic, we addressed its final status, filiation studies, needs, planned health investments. "&amp;"Our efforts find their worth. https://t.co/gfvwryuzms")</f>
        <v>Samsun, Ordu, Corum, Amasya, Tokat, Sinop Provincial Health Directors, Hospital Specialists and Site Coordinators with provincial meetings and meetings. In the epidemic, we addressed its final status, filiation studies, needs, planned health investments. Our efforts find their worth. https://t.co/gfvwryuzms</v>
      </c>
    </row>
    <row r="2176" spans="1:5" ht="15.75" customHeight="1" x14ac:dyDescent="0.25">
      <c r="A2176" s="1" t="s">
        <v>4351</v>
      </c>
      <c r="B2176" s="1">
        <v>13839</v>
      </c>
      <c r="C2176" s="3">
        <v>44099.712939814817</v>
      </c>
      <c r="D2176" s="1" t="s">
        <v>4352</v>
      </c>
      <c r="E2176" s="4" t="str">
        <f ca="1">IFERROR(__xludf.DUMMYFUNCTION("GOOGLETRANSLATE(A2176 , ""tr"" , ""en"")"),"We have 1,665 new patients identified today. We started to see the result of our regional work. In the coming days, I believe that the new patient numbers will indicate that we control the outbreak. Let's fight together with the virus. https://t.co/rvlhe7"&amp;"786o")</f>
        <v>We have 1,665 new patients identified today. We started to see the result of our regional work. In the coming days, I believe that the new patient numbers will indicate that we control the outbreak. Let's fight together with the virus. https://t.co/rvlhe7786o</v>
      </c>
    </row>
    <row r="2177" spans="1:5" ht="15.75" customHeight="1" x14ac:dyDescent="0.25">
      <c r="A2177" s="1" t="s">
        <v>4353</v>
      </c>
      <c r="B2177" s="1">
        <v>5712</v>
      </c>
      <c r="C2177" s="3">
        <v>44099.688935185186</v>
      </c>
      <c r="D2177" s="1" t="s">
        <v>4354</v>
      </c>
      <c r="E2177" s="4" t="str">
        <f ca="1">IFERROR(__xludf.DUMMYFUNCTION("GOOGLETRANSLATE(A2177 , ""tr"" , ""en"")"),"The final situation in Samsun, Ordu, Corum, Slap, Amasya and Sinop in the fight against the epidemics of Turkey and Turkey:
📍sunsun
https://t.co/2flmojfMGI")</f>
        <v>The final situation in Samsun, Ordu, Corum, Slap, Amasya and Sinop in the fight against the epidemics of Turkey and Turkey:
📍sunsun
https://t.co/2flmojfMGI</v>
      </c>
    </row>
    <row r="2178" spans="1:5" ht="15.75" customHeight="1" x14ac:dyDescent="0.25">
      <c r="A2178" s="1" t="s">
        <v>4355</v>
      </c>
      <c r="B2178" s="1">
        <v>9789</v>
      </c>
      <c r="C2178" s="3">
        <v>44099.523275462961</v>
      </c>
      <c r="D2178" s="1" t="s">
        <v>4356</v>
      </c>
      <c r="E2178" s="4" t="str">
        <f ca="1">IFERROR(__xludf.DUMMYFUNCTION("GOOGLETRANSLATE(A2178 , ""tr"" , ""en"")"),"SATI KÖKSAL, A study of our young nurses in Samsun, the nurse sister of our young nurses in Samsun. It has been a health problem these days. We have visited itself before the operation he spends. Will heal and return to the beginning of your job. We need "&amp;"your experience. https://t.co/2na2su5hdj")</f>
        <v>SATI KÖKSAL, A study of our young nurses in Samsun, the nurse sister of our young nurses in Samsun. It has been a health problem these days. We have visited itself before the operation he spends. Will heal and return to the beginning of your job. We need your experience. https://t.co/2na2su5hdj</v>
      </c>
    </row>
    <row r="2179" spans="1:5" ht="15.75" customHeight="1" x14ac:dyDescent="0.25">
      <c r="A2179" s="1" t="s">
        <v>4357</v>
      </c>
      <c r="B2179" s="1">
        <v>7858</v>
      </c>
      <c r="C2179" s="3">
        <v>44099.489861111113</v>
      </c>
      <c r="D2179" s="1" t="s">
        <v>4358</v>
      </c>
      <c r="E2179" s="4" t="str">
        <f ca="1">IFERROR(__xludf.DUMMYFUNCTION("GOOGLETRANSLATE(A2179 , ""tr"" , ""en"")"),"We visited our patients who treat our Samsun training and research hospital in the Hematology Department, our study friends. Our hospital successfully continues the fight against the outbreak with general health services. https://t.co/gvqrhpmd2f")</f>
        <v>We visited our patients who treat our Samsun training and research hospital in the Hematology Department, our study friends. Our hospital successfully continues the fight against the outbreak with general health services. https://t.co/gvqrhpmd2f</v>
      </c>
    </row>
    <row r="2180" spans="1:5" ht="15.75" customHeight="1" x14ac:dyDescent="0.25">
      <c r="A2180" s="1" t="s">
        <v>4359</v>
      </c>
      <c r="B2180" s="1">
        <v>7168</v>
      </c>
      <c r="C2180" s="3">
        <v>44099.394745370373</v>
      </c>
      <c r="D2180" s="1" t="s">
        <v>4360</v>
      </c>
      <c r="E2180" s="4" t="str">
        <f ca="1">IFERROR(__xludf.DUMMYFUNCTION("GOOGLETRANSLATE(A2180 , ""tr"" , ""en"")"),"We are in the Samsun. We will make our regional assessment meetings with the participation of the health managers and field coordinators of our Ordu, Corum, Tokat, Amasya, Sinop and Samsun provinces. We will succeed with fighting together. https://t.co/cg"&amp;"wauzgw8z")</f>
        <v>We are in the Samsun. We will make our regional assessment meetings with the participation of the health managers and field coordinators of our Ordu, Corum, Tokat, Amasya, Sinop and Samsun provinces. We will succeed with fighting together. https://t.co/cgwauzgw8z</v>
      </c>
    </row>
    <row r="2181" spans="1:5" ht="15.75" customHeight="1" x14ac:dyDescent="0.25">
      <c r="A2181" s="1" t="s">
        <v>4361</v>
      </c>
      <c r="B2181" s="1">
        <v>51309</v>
      </c>
      <c r="C2181" s="3">
        <v>44098.934166666666</v>
      </c>
      <c r="D2181" s="1" t="s">
        <v>4362</v>
      </c>
      <c r="E2181" s="4" t="str">
        <f ca="1">IFERROR(__xludf.DUMMYFUNCTION("GOOGLETRANSLATE(A2181 , ""tr"" , ""en"")"),"We all spill teri. Health workers are pouring into the tab from this teri hill in the epidemic. https://t.co/2bpazofpuu")</f>
        <v>We all spill teri. Health workers are pouring into the tab from this teri hill in the epidemic. https://t.co/2bpazofpuu</v>
      </c>
    </row>
    <row r="2182" spans="1:5" ht="15.75" customHeight="1" x14ac:dyDescent="0.25">
      <c r="A2182" s="1" t="s">
        <v>4363</v>
      </c>
      <c r="B2182" s="1">
        <v>9038</v>
      </c>
      <c r="C2182" s="3">
        <v>44098.851944444446</v>
      </c>
      <c r="D2182" s="1" t="s">
        <v>4364</v>
      </c>
      <c r="E2182" s="4" t="str">
        <f ca="1">IFERROR(__xludf.DUMMYFUNCTION("GOOGLETRANSLATE(A2182 , ""tr"" , ""en"")"),"11 We had a separate meeting with our city's health managers. In Ankara, Konya, Kayseri, Adana, Malatya, Van, Elazig, Adıyaman, Pain, Yozgat and Erzurum, we evaluated the current course of the epidemic, patient and carrier detection, treatments and additi"&amp;"onal measures to be taken. https://t.co/oarjmgjyqz")</f>
        <v>11 We had a separate meeting with our city's health managers. In Ankara, Konya, Kayseri, Adana, Malatya, Van, Elazig, Adıyaman, Pain, Yozgat and Erzurum, we evaluated the current course of the epidemic, patient and carrier detection, treatments and additional measures to be taken. https://t.co/oarjmgjyqz</v>
      </c>
    </row>
    <row r="2183" spans="1:5" ht="15.75" customHeight="1" x14ac:dyDescent="0.25">
      <c r="A2183" s="1" t="s">
        <v>4365</v>
      </c>
      <c r="B2183" s="1">
        <v>20568</v>
      </c>
      <c r="C2183" s="3">
        <v>44098.679814814815</v>
      </c>
      <c r="D2183" s="1" t="s">
        <v>4366</v>
      </c>
      <c r="E2183" s="4" t="str">
        <f ca="1">IFERROR(__xludf.DUMMYFUNCTION("GOOGLETRANSLATE(A2183 , ""tr"" , ""en"")"),"Our severe patient count reached 1.573. The pneumonia rate (6.6%) in patients continue to fall. Our new patient number identified today is 1.721. Our healthcareists are extremely selfless. Let's be next to our health workers by complying with the measures"&amp;". https://t.co/rvlhe7786o")</f>
        <v>Our severe patient count reached 1.573. The pneumonia rate (6.6%) in patients continue to fall. Our new patient number identified today is 1.721. Our healthcareists are extremely selfless. Let's be next to our health workers by complying with the measures. https://t.co/rvlhe7786o</v>
      </c>
    </row>
    <row r="2184" spans="1:5" ht="15.75" customHeight="1" x14ac:dyDescent="0.25">
      <c r="A2184" s="1" t="s">
        <v>4367</v>
      </c>
      <c r="B2184" s="1">
        <v>18990</v>
      </c>
      <c r="C2184" s="3">
        <v>44097.668900462966</v>
      </c>
      <c r="D2184" s="1" t="s">
        <v>4368</v>
      </c>
      <c r="E2184" s="4" t="str">
        <f ca="1">IFERROR(__xludf.DUMMYFUNCTION("GOOGLETRANSLATE(A2184 , ""tr"" , ""en"")"),"Our severe patient count increased to 1.561 today. Our active patient count continues to increase. We have 1,767 new patients identified today. Let us apply measures together for our health system sustainable and health workers can be served. https://t.co"&amp;"/rvlhe7786o")</f>
        <v>Our severe patient count increased to 1.561 today. Our active patient count continues to increase. We have 1,767 new patients identified today. Let us apply measures together for our health system sustainable and health workers can be served. https://t.co/rvlhe7786o</v>
      </c>
    </row>
    <row r="2185" spans="1:5" ht="15.75" customHeight="1" x14ac:dyDescent="0.25">
      <c r="A2185" s="1" t="s">
        <v>4369</v>
      </c>
      <c r="B2185" s="1">
        <v>15297</v>
      </c>
      <c r="C2185" s="3">
        <v>44096.917928240742</v>
      </c>
      <c r="D2185" s="1" t="s">
        <v>4370</v>
      </c>
      <c r="E2185" s="4" t="str">
        <f ca="1">IFERROR(__xludf.DUMMYFUNCTION("GOOGLETRANSLATE(A2185 , ""tr"" , ""en"")"),"In our visit to our Keçiören EA hospital, we evaluated the event that acts all the sensitives on the violence for our health care employees and evaluated with the witness and camera records. Message Net: Sacrifice, in our soul. Safety is our red line. htt"&amp;"ps://t.co/tbg93fhle3")</f>
        <v>In our visit to our Keçiören EA hospital, we evaluated the event that acts all the sensitives on the violence for our health care employees and evaluated with the witness and camera records. Message Net: Sacrifice, in our soul. Safety is our red line. https://t.co/tbg93fhle3</v>
      </c>
    </row>
    <row r="2186" spans="1:5" ht="15.75" customHeight="1" x14ac:dyDescent="0.25">
      <c r="A2186" s="1" t="s">
        <v>4371</v>
      </c>
      <c r="B2186" s="1">
        <v>21964</v>
      </c>
      <c r="C2186" s="3">
        <v>44096.784305555557</v>
      </c>
      <c r="D2186" s="1" t="s">
        <v>4372</v>
      </c>
      <c r="E2186" s="4" t="str">
        <f ca="1">IFERROR(__xludf.DUMMYFUNCTION("GOOGLETRANSLATE(A2186 , ""tr"" , ""en"")"),"I have visited my friends at Keçiören EAh emergency service. The camera records examined by our safety powers has revealed the solemnity of our friends the declaration of our friends. Our Prosecutor's Prosecutor's Prosecutor has initiated. We are sad as a"&amp;" healthcare community and committed in the follow-up of the subject. https://t.co/gpcasffzba")</f>
        <v>I have visited my friends at Keçiören EAh emergency service. The camera records examined by our safety powers has revealed the solemnity of our friends the declaration of our friends. Our Prosecutor's Prosecutor's Prosecutor has initiated. We are sad as a healthcare community and committed in the follow-up of the subject. https://t.co/gpcasffzba</v>
      </c>
    </row>
    <row r="2187" spans="1:5" ht="15.75" customHeight="1" x14ac:dyDescent="0.25">
      <c r="A2187" s="1" t="s">
        <v>4373</v>
      </c>
      <c r="B2187" s="1">
        <v>17626</v>
      </c>
      <c r="C2187" s="3">
        <v>44096.673483796294</v>
      </c>
      <c r="D2187" s="1" t="s">
        <v>4374</v>
      </c>
      <c r="E2187" s="4" t="str">
        <f ca="1">IFERROR(__xludf.DUMMYFUNCTION("GOOGLETRANSLATE(A2187 , ""tr"" , ""en"")"),"Our severe patient count has reached 1.522. Decline in pneumonia continues. We have 1,692 new patients today. By moving in accordance with the measures, let's support our health workers who work for us at night. We will achieve together. https://t.co/rvlh"&amp;"e7786o")</f>
        <v>Our severe patient count has reached 1.522. Decline in pneumonia continues. We have 1,692 new patients today. By moving in accordance with the measures, let's support our health workers who work for us at night. We will achieve together. https://t.co/rvlhe7786o</v>
      </c>
    </row>
    <row r="2188" spans="1:5" ht="15.75" customHeight="1" x14ac:dyDescent="0.2">
      <c r="A2188" s="5" t="s">
        <v>4375</v>
      </c>
      <c r="B2188" s="1">
        <v>17904</v>
      </c>
      <c r="C2188" s="3">
        <v>44096.36440972222</v>
      </c>
      <c r="D2188" s="1" t="s">
        <v>4376</v>
      </c>
      <c r="E2188" s="6" t="str">
        <f ca="1">IFERROR(__xludf.DUMMYFUNCTION("GOOGLETRANSLATE(A2188 , ""tr"" , ""en"")"),"https://t.co/3tt1w2fncx")</f>
        <v>https://t.co/3tt1w2fncx</v>
      </c>
    </row>
    <row r="2189" spans="1:5" ht="15.75" customHeight="1" x14ac:dyDescent="0.2">
      <c r="A2189" s="5" t="s">
        <v>4377</v>
      </c>
      <c r="B2189" s="1">
        <v>7618</v>
      </c>
      <c r="C2189" s="3">
        <v>44096.364363425928</v>
      </c>
      <c r="D2189" s="1" t="s">
        <v>4378</v>
      </c>
      <c r="E2189" s="6" t="str">
        <f ca="1">IFERROR(__xludf.DUMMYFUNCTION("GOOGLETRANSLATE(A2189 , ""tr"" , ""en"")"),"https://t.co/opth4noyee")</f>
        <v>https://t.co/opth4noyee</v>
      </c>
    </row>
    <row r="2190" spans="1:5" ht="15.75" customHeight="1" x14ac:dyDescent="0.2">
      <c r="A2190" s="5" t="s">
        <v>4379</v>
      </c>
      <c r="B2190" s="1">
        <v>9031</v>
      </c>
      <c r="C2190" s="3">
        <v>44096.364305555559</v>
      </c>
      <c r="D2190" s="1" t="s">
        <v>4380</v>
      </c>
      <c r="E2190" s="6" t="str">
        <f ca="1">IFERROR(__xludf.DUMMYFUNCTION("GOOGLETRANSLATE(A2190 , ""tr"" , ""en"")"),"https://t.co/3xvmjzccqj")</f>
        <v>https://t.co/3xvmjzccqj</v>
      </c>
    </row>
    <row r="2191" spans="1:5" ht="15.75" customHeight="1" x14ac:dyDescent="0.25">
      <c r="A2191" s="1" t="s">
        <v>4381</v>
      </c>
      <c r="B2191" s="1">
        <v>69116</v>
      </c>
      <c r="C2191" s="3">
        <v>44096.038263888891</v>
      </c>
      <c r="D2191" s="1" t="s">
        <v>4382</v>
      </c>
      <c r="E2191" s="4" t="str">
        <f ca="1">IFERROR(__xludf.DUMMYFUNCTION("GOOGLETRANSLATE(A2191 , ""tr"" , ""en"")"),"""Respect to Health Worker is a quality of humanity.""
(This is from our press statement to be published this morning.)")</f>
        <v>"Respect to Health Worker is a quality of humanity."
(This is from our press statement to be published this morning.)</v>
      </c>
    </row>
    <row r="2192" spans="1:5" ht="15.75" customHeight="1" x14ac:dyDescent="0.25">
      <c r="A2192" s="1" t="s">
        <v>4383</v>
      </c>
      <c r="B2192" s="1">
        <v>42835</v>
      </c>
      <c r="C2192" s="3">
        <v>44095.970763888887</v>
      </c>
      <c r="D2192" s="1" t="s">
        <v>4384</v>
      </c>
      <c r="E2192" s="4" t="str">
        <f ca="1">IFERROR(__xludf.DUMMYFUNCTION("GOOGLETRANSLATE(A2192 , ""tr"" , ""en"")"),"In the Kecioren EAh emergency department, a large number of people tried to see their relatives who are injured with firearms, despite interventions, forcing the rules. Our friends kept the door off, against the possibility of violence. Should not even ha"&amp;"ve the possibility of violence. The state will not give the passage! https://t.co/m3pbnz03ds")</f>
        <v>In the Kecioren EAh emergency department, a large number of people tried to see their relatives who are injured with firearms, despite interventions, forcing the rules. Our friends kept the door off, against the possibility of violence. Should not even have the possibility of violence. The state will not give the passage! https://t.co/m3pbnz03ds</v>
      </c>
    </row>
    <row r="2193" spans="1:5" ht="15.75" customHeight="1" x14ac:dyDescent="0.25">
      <c r="A2193" s="1" t="s">
        <v>4385</v>
      </c>
      <c r="B2193" s="1">
        <v>21136</v>
      </c>
      <c r="C2193" s="3">
        <v>44095.701388888891</v>
      </c>
      <c r="D2193" s="1" t="s">
        <v>4386</v>
      </c>
      <c r="E2193" s="4" t="str">
        <f ca="1">IFERROR(__xludf.DUMMYFUNCTION("GOOGLETRANSLATE(A2193 , ""tr"" , ""en"")"),"Today 1,743 new patients were detected. We have a 68 loss of life. Our severe patient count approached 1,500. We have to reduce their burden in order to continue their selfless work of our health workers. This can only take place by complying with measure"&amp;"s. https://t.co/rvlhe7786o")</f>
        <v>Today 1,743 new patients were detected. We have a 68 loss of life. Our severe patient count approached 1,500. We have to reduce their burden in order to continue their selfless work of our health workers. This can only take place by complying with measures. https://t.co/rvlhe7786o</v>
      </c>
    </row>
    <row r="2194" spans="1:5" ht="15.75" customHeight="1" x14ac:dyDescent="0.25">
      <c r="A2194" s="1" t="s">
        <v>4387</v>
      </c>
      <c r="B2194" s="1">
        <v>71788</v>
      </c>
      <c r="C2194" s="3">
        <v>44094.727256944447</v>
      </c>
      <c r="D2194" s="1" t="s">
        <v>4388</v>
      </c>
      <c r="E2194" s="4" t="str">
        <f ca="1">IFERROR(__xludf.DUMMYFUNCTION("GOOGLETRANSLATE(A2194 , ""tr"" , ""en"")"),"A nurse is our friend ""the flowers in our smile faded."" said. If you want selfless health personnel, take measures. May our patient load is reduced.")</f>
        <v>A nurse is our friend "the flowers in our smile faded." said. If you want selfless health personnel, take measures. May our patient load is reduced.</v>
      </c>
    </row>
    <row r="2195" spans="1:5" ht="15.75" customHeight="1" x14ac:dyDescent="0.25">
      <c r="A2195" s="1" t="s">
        <v>4389</v>
      </c>
      <c r="B2195" s="1">
        <v>15387</v>
      </c>
      <c r="C2195" s="3">
        <v>44094.666979166665</v>
      </c>
      <c r="D2195" s="1" t="s">
        <v>4390</v>
      </c>
      <c r="E2195" s="4" t="str">
        <f ca="1">IFERROR(__xludf.DUMMYFUNCTION("GOOGLETRANSLATE(A2195 , ""tr"" , ""en"")"),"Today, the severe patient count reached 1.456. While the increase speed is slow, we cannot be peaceful without decreasing this number. The most important force to beat the fighting virus together. Our health workers are the power union in our VEFA indicat"&amp;"or. https://t.co/rvlhe7786o")</f>
        <v>Today, the severe patient count reached 1.456. While the increase speed is slow, we cannot be peaceful without decreasing this number. The most important force to beat the fighting virus together. Our health workers are the power union in our VEFA indicator. https://t.co/rvlhe7786o</v>
      </c>
    </row>
    <row r="2196" spans="1:5" ht="15.75" customHeight="1" x14ac:dyDescent="0.25">
      <c r="A2196" s="1" t="s">
        <v>4391</v>
      </c>
      <c r="B2196" s="1">
        <v>26824</v>
      </c>
      <c r="C2196" s="3">
        <v>44094.551701388889</v>
      </c>
      <c r="D2196" s="1" t="s">
        <v>4392</v>
      </c>
      <c r="E2196" s="4" t="str">
        <f ca="1">IFERROR(__xludf.DUMMYFUNCTION("GOOGLETRANSLATE(A2196 , ""tr"" , ""en"")"),"Pessimism has not been in place of measures to date. Propose mask, distance and cleaning to the virus's power of virus.")</f>
        <v>Pessimism has not been in place of measures to date. Propose mask, distance and cleaning to the virus's power of virus.</v>
      </c>
    </row>
    <row r="2197" spans="1:5" ht="15.75" customHeight="1" x14ac:dyDescent="0.25">
      <c r="A2197" s="1" t="s">
        <v>4393</v>
      </c>
      <c r="B2197" s="1">
        <v>17151</v>
      </c>
      <c r="C2197" s="3">
        <v>44094.393125000002</v>
      </c>
      <c r="D2197" s="1" t="s">
        <v>4394</v>
      </c>
      <c r="E2197" s="4" t="str">
        <f ca="1">IFERROR(__xludf.DUMMYFUNCTION("GOOGLETRANSLATE(A2197 , ""tr"" , ""en"")"),"The cause of the flu influenza virus is transmitted in the same way as the coronavirus. Close up, the risk increases in the indoor environment. If we apply the three measures taken against the coronavirse, we also reduce flu cases. Please let's be more ca"&amp;"reful. Let's not have to fight with two viruses at the same time. https://t.co/fj5xi9cfkk")</f>
        <v>The cause of the flu influenza virus is transmitted in the same way as the coronavirus. Close up, the risk increases in the indoor environment. If we apply the three measures taken against the coronavirse, we also reduce flu cases. Please let's be more careful. Let's not have to fight with two viruses at the same time. https://t.co/fj5xi9cfkk</v>
      </c>
    </row>
    <row r="2198" spans="1:5" ht="15.75" customHeight="1" x14ac:dyDescent="0.25">
      <c r="A2198" s="1" t="s">
        <v>4395</v>
      </c>
      <c r="B2198" s="1">
        <v>32067</v>
      </c>
      <c r="C2198" s="3">
        <v>44093.925787037035</v>
      </c>
      <c r="D2198" s="1" t="s">
        <v>4396</v>
      </c>
      <c r="E2198" s="4" t="str">
        <f ca="1">IFERROR(__xludf.DUMMYFUNCTION("GOOGLETRANSLATE(A2198 , ""tr"" , ""en"")"),"SN. Slow,
Thank you. Covid positive and suspects are registered to the HEPP application; The information is open to the integration of the demanding institutions. The system is conducive to the risk of risk on in-city public transport. The State Teamlet s"&amp;"hould not be sacrificed to visibility. The struggle is possible together. https://t.co/kh4sogwidk")</f>
        <v>SN. Slow,
Thank you. Covid positive and suspects are registered to the HEPP application; The information is open to the integration of the demanding institutions. The system is conducive to the risk of risk on in-city public transport. The State Teamlet should not be sacrificed to visibility. The struggle is possible together. https://t.co/kh4sogwidk</v>
      </c>
    </row>
    <row r="2199" spans="1:5" ht="15.75" customHeight="1" x14ac:dyDescent="0.25">
      <c r="A2199" s="1" t="s">
        <v>4397</v>
      </c>
      <c r="B2199" s="1">
        <v>12338</v>
      </c>
      <c r="C2199" s="3">
        <v>44093.750694444447</v>
      </c>
      <c r="D2199" s="1" t="s">
        <v>4398</v>
      </c>
      <c r="E2199" s="4" t="str">
        <f ca="1">IFERROR(__xludf.DUMMYFUNCTION("GOOGLETRANSLATE(A2199 , ""tr"" , ""en"")"),"In the Spanish flu outbreak, the measure to be taken against the H1N1 virus in the same way as coronavirus was the same: mask, distance, cleanliness. These were not well known, widely not applied. The virus has been contammon on 500 million people. There "&amp;"was a loss of 50 to 100 million. Let's take measure lesson from that epidemic. https://t.co/9aii4sqwda")</f>
        <v>In the Spanish flu outbreak, the measure to be taken against the H1N1 virus in the same way as coronavirus was the same: mask, distance, cleanliness. These were not well known, widely not applied. The virus has been contammon on 500 million people. There was a loss of 50 to 100 million. Let's take measure lesson from that epidemic. https://t.co/9aii4sqwda</v>
      </c>
    </row>
    <row r="2200" spans="1:5" ht="15.75" customHeight="1" x14ac:dyDescent="0.25">
      <c r="A2200" s="1" t="s">
        <v>4399</v>
      </c>
      <c r="B2200" s="1">
        <v>36829</v>
      </c>
      <c r="C2200" s="3">
        <v>44093.739953703705</v>
      </c>
      <c r="D2200" s="1" t="s">
        <v>4400</v>
      </c>
      <c r="E2200" s="4" t="str">
        <f ca="1">IFERROR(__xludf.DUMMYFUNCTION("GOOGLETRANSLATE(A2200 , ""tr"" , ""en"")"),"100 years ago the world has experienced an epidemic. The Spanish flu has been a loss of 50-100 million in the outbreak. The H1N1 virus, which leads to the disease, was contaminated in the same way as today's coronavirus. Why do you think the loss of life "&amp;"was even more than in the World War I? A question worth thinking on it.")</f>
        <v>100 years ago the world has experienced an epidemic. The Spanish flu has been a loss of 50-100 million in the outbreak. The H1N1 virus, which leads to the disease, was contaminated in the same way as today's coronavirus. Why do you think the loss of life was even more than in the World War I? A question worth thinking on it.</v>
      </c>
    </row>
    <row r="2201" spans="1:5" ht="15.75" customHeight="1" x14ac:dyDescent="0.25">
      <c r="A2201" s="1" t="s">
        <v>4401</v>
      </c>
      <c r="B2201" s="1">
        <v>14685</v>
      </c>
      <c r="C2201" s="3">
        <v>44093.674050925925</v>
      </c>
      <c r="D2201" s="1" t="s">
        <v>4402</v>
      </c>
      <c r="E2201" s="4" t="str">
        <f ca="1">IFERROR(__xludf.DUMMYFUNCTION("GOOGLETRANSLATE(A2201 , ""tr"" , ""en"")"),"Today, the severe patient count reached 1.432. The greatest struggle of our health workers is intended to improve our severe patients. We have a heavy patient to reduce our number. These warnings should adequate us to obey the measures. Let's struggle tog"&amp;"ether. https://t.co/rvlhe7786o")</f>
        <v>Today, the severe patient count reached 1.432. The greatest struggle of our health workers is intended to improve our severe patients. We have a heavy patient to reduce our number. These warnings should adequate us to obey the measures. Let's struggle together. https://t.co/rvlhe7786o</v>
      </c>
    </row>
    <row r="2202" spans="1:5" ht="15.75" customHeight="1" x14ac:dyDescent="0.25">
      <c r="A2202" s="1" t="s">
        <v>4403</v>
      </c>
      <c r="B2202" s="1">
        <v>10734</v>
      </c>
      <c r="C2202" s="3">
        <v>44092.743287037039</v>
      </c>
      <c r="D2202" s="1" t="s">
        <v>4404</v>
      </c>
      <c r="E2202" s="4" t="str">
        <f ca="1">IFERROR(__xludf.DUMMYFUNCTION("GOOGLETRANSLATE(A2202 , ""tr"" , ""en"")"),"Izmir, Manisa, Aydın, Muğla, Usak, Denizli Provincial Provincial Health Directors, Hospital Specialists and Meetings with our site coordinators. In the epidemic, we addressed its final status, filion studies, completed and planned health investments. Prov"&amp;"ide support to our effort. https://t.co/lyc6iyuev")</f>
        <v>Izmir, Manisa, Aydın, Muğla, Usak, Denizli Provincial Provincial Health Directors, Hospital Specialists and Meetings with our site coordinators. In the epidemic, we addressed its final status, filion studies, completed and planned health investments. Provide support to our effort. https://t.co/lyc6iyuev</v>
      </c>
    </row>
    <row r="2203" spans="1:5" ht="15.75" customHeight="1" x14ac:dyDescent="0.25">
      <c r="A2203" s="1" t="s">
        <v>4405</v>
      </c>
      <c r="B2203" s="1">
        <v>15951</v>
      </c>
      <c r="C2203" s="3">
        <v>44092.686793981484</v>
      </c>
      <c r="D2203" s="1" t="s">
        <v>4406</v>
      </c>
      <c r="E2203" s="4" t="str">
        <f ca="1">IFERROR(__xludf.DUMMYFUNCTION("GOOGLETRANSLATE(A2203 , ""tr"" , ""en"")"),"The number of people caught in total disease was about 300,000. We have 62 life loss today. Fighting illness is possible with the combat association of measure. Let's struggle together. Our responsibility to reduce the load on the shoulders of our health "&amp;"workers. https://t.co/rvlhe7786o")</f>
        <v>The number of people caught in total disease was about 300,000. We have 62 life loss today. Fighting illness is possible with the combat association of measure. Let's struggle together. Our responsibility to reduce the load on the shoulders of our health workers. https://t.co/rvlhe7786o</v>
      </c>
    </row>
    <row r="2204" spans="1:5" ht="15.75" customHeight="1" x14ac:dyDescent="0.25">
      <c r="A2204" s="1" t="s">
        <v>4407</v>
      </c>
      <c r="B2204" s="1">
        <v>4789</v>
      </c>
      <c r="C2204" s="3">
        <v>44092.657222222224</v>
      </c>
      <c r="D2204" s="1" t="s">
        <v>4408</v>
      </c>
      <c r="E2204" s="4" t="str">
        <f ca="1">IFERROR(__xludf.DUMMYFUNCTION("GOOGLETRANSLATE(A2204 , ""tr"" , ""en"")"),"Latest situation in Izmir, Manisa, Aydin, Mugla, Uşak and Denizli in the fighting output:
📍ism is
https://t.co/1oh9shcr08")</f>
        <v>Latest situation in Izmir, Manisa, Aydin, Mugla, Uşak and Denizli in the fighting output:
📍ism is
https://t.co/1oh9shcr08</v>
      </c>
    </row>
    <row r="2205" spans="1:5" ht="15.75" customHeight="1" x14ac:dyDescent="0.25">
      <c r="A2205" s="1" t="s">
        <v>4409</v>
      </c>
      <c r="B2205" s="1">
        <v>6762</v>
      </c>
      <c r="C2205" s="3">
        <v>44092.641516203701</v>
      </c>
      <c r="D2205" s="1" t="s">
        <v>4410</v>
      </c>
      <c r="E2205" s="4" t="str">
        <f ca="1">IFERROR(__xludf.DUMMYFUNCTION("GOOGLETRANSLATE(A2205 , ""tr"" , ""en"")"),"İzmir's precious residents. We're together in the morning today. With my friends, Izmir and surrounding provinces have evaluated the latest situation in the outbreak of the provinces, new goals. The virus is stretched as the measure is spread. https://t.c"&amp;"o/p6vnjmnneh")</f>
        <v>İzmir's precious residents. We're together in the morning today. With my friends, Izmir and surrounding provinces have evaluated the latest situation in the outbreak of the provinces, new goals. The virus is stretched as the measure is spread. https://t.co/p6vnjmnneh</v>
      </c>
    </row>
    <row r="2206" spans="1:5" ht="15.75" customHeight="1" x14ac:dyDescent="0.25">
      <c r="A2206" s="1" t="s">
        <v>4411</v>
      </c>
      <c r="B2206" s="1">
        <v>13612</v>
      </c>
      <c r="C2206" s="3">
        <v>44092.568159722221</v>
      </c>
      <c r="D2206" s="1" t="s">
        <v>4412</v>
      </c>
      <c r="E2206" s="4" t="str">
        <f ca="1">IFERROR(__xludf.DUMMYFUNCTION("GOOGLETRANSLATE(A2206 , ""tr"" , ""en"")"),"83 million, we are proud of our failing teams. To say the virus, they are trailing as detectives. Their achievements are subject to world television. Which one of us would we like our door to steal our door? None of us. So let's fit the mask and distance "&amp;"rule. Let's stay away from contact. https://t.co/g9f3afbho5")</f>
        <v>83 million, we are proud of our failing teams. To say the virus, they are trailing as detectives. Their achievements are subject to world television. Which one of us would we like our door to steal our door? None of us. So let's fit the mask and distance rule. Let's stay away from contact. https://t.co/g9f3afbho5</v>
      </c>
    </row>
    <row r="2207" spans="1:5" ht="15.75" customHeight="1" x14ac:dyDescent="0.25">
      <c r="A2207" s="1" t="s">
        <v>4413</v>
      </c>
      <c r="B2207" s="1">
        <v>7032</v>
      </c>
      <c r="C2207" s="3">
        <v>44092.528078703705</v>
      </c>
      <c r="D2207" s="1" t="s">
        <v>4414</v>
      </c>
      <c r="E2207" s="4" t="str">
        <f ca="1">IFERROR(__xludf.DUMMYFUNCTION("GOOGLETRANSLATE(A2207 , ""tr"" , ""en"")"),"Previously, we have gone to Diyarbakır and Van, including the Environment Provinces, including 9 provinces. We are at Izmir today. First, we have visited our friends friends with patients who treated in the Cardiology Department of Kernip Çelebi Universit"&amp;"y Education Research Hospital. https://t.co/ap0l5jglp8")</f>
        <v>Previously, we have gone to Diyarbakır and Van, including the Environment Provinces, including 9 provinces. We are at Izmir today. First, we have visited our friends friends with patients who treated in the Cardiology Department of Kernip Çelebi University Education Research Hospital. https://t.co/ap0l5jglp8</v>
      </c>
    </row>
    <row r="2208" spans="1:5" ht="15.75" customHeight="1" x14ac:dyDescent="0.25">
      <c r="A2208" s="1" t="s">
        <v>4415</v>
      </c>
      <c r="B2208" s="1">
        <v>30013</v>
      </c>
      <c r="C2208" s="3">
        <v>44092.347326388888</v>
      </c>
      <c r="D2208" s="1" t="s">
        <v>4416</v>
      </c>
      <c r="E2208" s="4" t="str">
        <f ca="1">IFERROR(__xludf.DUMMYFUNCTION("GOOGLETRANSLATE(A2208 , ""tr"" , ""en"")"),"For the most fathers in us: If the test is positively, even the most fathers in us is too much. If nothing happens, at least 1 week is isolated from life. You think about the topic that says you wouldn't be anything. The measure has a benefit of 83 millio"&amp;"n and 1 million hundred thousand health workers.")</f>
        <v>For the most fathers in us: If the test is positively, even the most fathers in us is too much. If nothing happens, at least 1 week is isolated from life. You think about the topic that says you wouldn't be anything. The measure has a benefit of 83 million and 1 million hundred thousand health workers.</v>
      </c>
    </row>
    <row r="2209" spans="1:5" ht="15.75" customHeight="1" x14ac:dyDescent="0.25">
      <c r="A2209" s="1" t="s">
        <v>4417</v>
      </c>
      <c r="B2209" s="1">
        <v>7254</v>
      </c>
      <c r="C2209" s="3">
        <v>44092.336863425924</v>
      </c>
      <c r="D2209" s="1" t="s">
        <v>4418</v>
      </c>
      <c r="E2209" s="4" t="str">
        <f ca="1">IFERROR(__xludf.DUMMYFUNCTION("GOOGLETRANSLATE(A2209 , ""tr"" , ""en"")"),"Our citizen of our citizen to the health institution has been positive and we need to be isolated at home instead of sleeping in the hospital, we are extremely caring for the deposit to the house. There are provinces this is achieved. This is the target i"&amp;"n the provinces without success at the desired level. https://t.co/zarv9n8u89")</f>
        <v>Our citizen of our citizen to the health institution has been positive and we need to be isolated at home instead of sleeping in the hospital, we are extremely caring for the deposit to the house. There are provinces this is achieved. This is the target in the provinces without success at the desired level. https://t.co/zarv9n8u89</v>
      </c>
    </row>
    <row r="2210" spans="1:5" ht="15.75" customHeight="1" x14ac:dyDescent="0.25">
      <c r="A2210" s="1" t="s">
        <v>4419</v>
      </c>
      <c r="B2210" s="1">
        <v>4575</v>
      </c>
      <c r="C2210" s="3">
        <v>44091.91</v>
      </c>
      <c r="D2210" s="1" t="s">
        <v>4420</v>
      </c>
      <c r="E2210" s="4" t="str">
        <f ca="1">IFERROR(__xludf.DUMMYFUNCTION("GOOGLETRANSLATE(A2210 , ""tr"" , ""en"")"),"The DSÖ 70. The European Regional Committee Meeting General Assembly was held today. Director @hans_klige Turkey part of the agenda part of Syrian refugees stood around the health assistance. We suggested that 2021 was the year of health workers in the co"&amp;"nversation that we represent our country. https://t.co/1k1fxgw6a2")</f>
        <v>The DSÖ 70. The European Regional Committee Meeting General Assembly was held today. Director @hans_klige Turkey part of the agenda part of Syrian refugees stood around the health assistance. We suggested that 2021 was the year of health workers in the conversation that we represent our country. https://t.co/1k1fxgw6a2</v>
      </c>
    </row>
    <row r="2211" spans="1:5" ht="15.75" customHeight="1" x14ac:dyDescent="0.25">
      <c r="A2211" s="1" t="s">
        <v>4421</v>
      </c>
      <c r="B2211" s="1">
        <v>10512</v>
      </c>
      <c r="C2211" s="3">
        <v>44091.861550925925</v>
      </c>
      <c r="D2211" s="1" t="s">
        <v>4422</v>
      </c>
      <c r="E2211" s="4" t="str">
        <f ca="1">IFERROR(__xludf.DUMMYFUNCTION("GOOGLETRANSLATE(A2211 , ""tr"" , ""en"")"),"From experienced politicians of our country, we had a chance to chat with our Saadet Party Leader Basic Karamollaoğlu older brother. We talked about our last situation, health infrastructure and services in the coronavirus outbreak. The information I gave"&amp;" is supervised the heart. I am thankful for his visit. https://t.co/cw1xkxf603")</f>
        <v>From experienced politicians of our country, we had a chance to chat with our Saadet Party Leader Basic Karamollaoğlu older brother. We talked about our last situation, health infrastructure and services in the coronavirus outbreak. The information I gave is supervised the heart. I am thankful for his visit. https://t.co/cw1xkxf603</v>
      </c>
    </row>
    <row r="2212" spans="1:5" ht="15.75" customHeight="1" x14ac:dyDescent="0.25">
      <c r="A2212" s="1" t="s">
        <v>4423</v>
      </c>
      <c r="B2212" s="1">
        <v>9344</v>
      </c>
      <c r="C2212" s="3">
        <v>44091.855104166665</v>
      </c>
      <c r="D2212" s="1" t="s">
        <v>4424</v>
      </c>
      <c r="E2212" s="4" t="str">
        <f ca="1">IFERROR(__xludf.DUMMYFUNCTION("GOOGLETRANSLATE(A2212 , ""tr"" , ""en"")"),"ADNAN MENDERES, after 27 May the trial in the Court of Straight in the Court, ""I'm not undertaking for anything."" he said. We remember him with a deep sadness of two friends who are executed with himself. We will not forget about democracy and our natio"&amp;"n. https://t.co/iexlxzsbv4")</f>
        <v>ADNAN MENDERES, after 27 May the trial in the Court of Straight in the Court, "I'm not undertaking for anything." he said. We remember him with a deep sadness of two friends who are executed with himself. We will not forget about democracy and our nation. https://t.co/iexlxzsbv4</v>
      </c>
    </row>
    <row r="2213" spans="1:5" ht="15.75" customHeight="1" x14ac:dyDescent="0.25">
      <c r="A2213" s="1" t="s">
        <v>4425</v>
      </c>
      <c r="B2213" s="1">
        <v>5745</v>
      </c>
      <c r="C2213" s="3">
        <v>44091.843969907408</v>
      </c>
      <c r="D2213" s="1" t="s">
        <v>4426</v>
      </c>
      <c r="E2213" s="4" t="str">
        <f ca="1">IFERROR(__xludf.DUMMYFUNCTION("GOOGLETRANSLATE(A2213 , ""tr"" , ""en"")"),"We have established a strong diagnosis and warning system. We reach the contacts that are contacted with the filion, patients or carriers. We install each positive result in hes mobile app. This is a system that shows the epidemic with all dimensions. In "&amp;"the daily table, the main importance headings are highlighted. https://t.co/babnn5hzs8")</f>
        <v>We have established a strong diagnosis and warning system. We reach the contacts that are contacted with the filion, patients or carriers. We install each positive result in hes mobile app. This is a system that shows the epidemic with all dimensions. In the daily table, the main importance headings are highlighted. https://t.co/babnn5hzs8</v>
      </c>
    </row>
    <row r="2214" spans="1:5" ht="15.75" customHeight="1" x14ac:dyDescent="0.25">
      <c r="A2214" s="1" t="s">
        <v>4427</v>
      </c>
      <c r="B2214" s="1">
        <v>6695</v>
      </c>
      <c r="C2214" s="3">
        <v>44091.798414351855</v>
      </c>
      <c r="D2214" s="1" t="s">
        <v>4428</v>
      </c>
      <c r="E2214" s="4" t="str">
        <f ca="1">IFERROR(__xludf.DUMMYFUNCTION("GOOGLETRANSLATE(A2214 , ""tr"" , ""en"")"),"In the coming period, the number of people who do not have symptoms, only the number of carriers, unless they are listed on anyone else, has no significance. The important is the patients to be treated in the hospital environment and the number of them. W"&amp;"e talked about this at the Science Board. https://t.co/kusFIQBYMF")</f>
        <v>In the coming period, the number of people who do not have symptoms, only the number of carriers, unless they are listed on anyone else, has no significance. The important is the patients to be treated in the hospital environment and the number of them. We talked about this at the Science Board. https://t.co/kusFIQBYMF</v>
      </c>
    </row>
    <row r="2215" spans="1:5" ht="15.75" customHeight="1" x14ac:dyDescent="0.25">
      <c r="A2215" s="1" t="s">
        <v>4429</v>
      </c>
      <c r="B2215" s="1">
        <v>6936</v>
      </c>
      <c r="C2215" s="3">
        <v>44091.779247685183</v>
      </c>
      <c r="D2215" s="1" t="s">
        <v>4430</v>
      </c>
      <c r="E2215" s="4" t="str">
        <f ca="1">IFERROR(__xludf.DUMMYFUNCTION("GOOGLETRANSLATE(A2215 , ""tr"" , ""en"")"),"In any part of the world, contact scan and fast diagnosis, the drug does not start at the early time. In no part of the world, the pneumonia is not seen in this way. Our case load does not jerk the system due to this decline. If the pneumonia rate did not"&amp;" fall up to 75-80%, the system could not remove the load. https://t.co/bdm985qwks")</f>
        <v>In any part of the world, contact scan and fast diagnosis, the drug does not start at the early time. In no part of the world, the pneumonia is not seen in this way. Our case load does not jerk the system due to this decline. If the pneumonia rate did not fall up to 75-80%, the system could not remove the load. https://t.co/bdm985qwks</v>
      </c>
    </row>
    <row r="2216" spans="1:5" ht="15.75" customHeight="1" x14ac:dyDescent="0.25">
      <c r="A2216" s="1" t="s">
        <v>4431</v>
      </c>
      <c r="B2216" s="1">
        <v>29825</v>
      </c>
      <c r="C2216" s="3">
        <v>44091.772118055553</v>
      </c>
      <c r="D2216" s="1" t="s">
        <v>4432</v>
      </c>
      <c r="E2216" s="4" t="str">
        <f ca="1">IFERROR(__xludf.DUMMYFUNCTION("GOOGLETRANSLATE(A2216 , ""tr"" , ""en"")"),"We leave the test to the person who positively out of the vehicle. We make the scan of contacts within 15 hours. Looking for the isolated carrier, we bring it to hospital with 112 emergies if symptom is advanced. This system is applied in all provinces. T"&amp;"here is no such application in the world. https://t.co/JLNIGOKOBI")</f>
        <v>We leave the test to the person who positively out of the vehicle. We make the scan of contacts within 15 hours. Looking for the isolated carrier, we bring it to hospital with 112 emergies if symptom is advanced. This system is applied in all provinces. There is no such application in the world. https://t.co/JLNIGOKOBI</v>
      </c>
    </row>
    <row r="2217" spans="1:5" ht="15.75" customHeight="1" x14ac:dyDescent="0.25">
      <c r="A2217" s="1" t="s">
        <v>4433</v>
      </c>
      <c r="B2217" s="1">
        <v>13818</v>
      </c>
      <c r="C2217" s="3">
        <v>44091.694097222222</v>
      </c>
      <c r="D2217" s="1" t="s">
        <v>4434</v>
      </c>
      <c r="E2217" s="4" t="str">
        <f ca="1">IFERROR(__xludf.DUMMYFUNCTION("GOOGLETRANSLATE(A2217 , ""tr"" , ""en"")"),"Tested in total 9 million tests. We have 1,648 new patients today. We have to stop increases in our losses and severe patients. We will be successful in accordance with the measures. Add the power to the power of our health amendment by complying with the"&amp;" measures. https://t.co/rvlhe7786o")</f>
        <v>Tested in total 9 million tests. We have 1,648 new patients today. We have to stop increases in our losses and severe patients. We will be successful in accordance with the measures. Add the power to the power of our health amendment by complying with the measures. https://t.co/rvlhe7786o</v>
      </c>
    </row>
    <row r="2218" spans="1:5" ht="15.75" customHeight="1" x14ac:dyDescent="0.25">
      <c r="A2218" s="1" t="s">
        <v>4435</v>
      </c>
      <c r="B2218" s="1">
        <v>8489</v>
      </c>
      <c r="C2218" s="3">
        <v>44091.641550925924</v>
      </c>
      <c r="D2218" s="1" t="s">
        <v>4436</v>
      </c>
      <c r="E2218" s="4" t="str">
        <f ca="1">IFERROR(__xludf.DUMMYFUNCTION("GOOGLETRANSLATE(A2218 , ""tr"" , ""en"")"),"While the number is expressed with them, the Science Board has not considered the mask for the whole country. When the suspect, contacted or positive persons increased, it decides that everyone should think of itself as positive and to wear masks. The app"&amp;"lication was correct. There is no appealing this all over the world at the moment. https://t.co/mupheeh3gf")</f>
        <v>While the number is expressed with them, the Science Board has not considered the mask for the whole country. When the suspect, contacted or positive persons increased, it decides that everyone should think of itself as positive and to wear masks. The application was correct. There is no appealing this all over the world at the moment. https://t.co/mupheeh3gf</v>
      </c>
    </row>
    <row r="2219" spans="1:5" ht="15.75" customHeight="1" x14ac:dyDescent="0.25">
      <c r="A2219" s="1" t="s">
        <v>4437</v>
      </c>
      <c r="B2219" s="1">
        <v>51062</v>
      </c>
      <c r="C2219" s="3">
        <v>44091.374074074076</v>
      </c>
      <c r="D2219" s="1" t="s">
        <v>4438</v>
      </c>
      <c r="E2219" s="4" t="str">
        <f ca="1">IFERROR(__xludf.DUMMYFUNCTION("GOOGLETRANSLATE(A2219 , ""tr"" , ""en"")"),"Is measure strong threatening?
Wake up to the rules know the answer.")</f>
        <v>Is measure strong threatening?
Wake up to the rules know the answer.</v>
      </c>
    </row>
    <row r="2220" spans="1:5" ht="15.75" customHeight="1" x14ac:dyDescent="0.25">
      <c r="A2220" s="1" t="s">
        <v>4439</v>
      </c>
      <c r="B2220" s="1">
        <v>12869</v>
      </c>
      <c r="C2220" s="3">
        <v>44090.930150462962</v>
      </c>
      <c r="D2220" s="1" t="s">
        <v>4440</v>
      </c>
      <c r="E2220" s="4" t="str">
        <f ca="1">IFERROR(__xludf.DUMMYFUNCTION("GOOGLETRANSLATE(A2220 , ""tr"" , ""en"")"),"The science world believes that the results will be taken to the end of the year. There are 9 vaccines in phase 3 stages. The United Kingdom, Germany, China has passed to the front application. Turkey launched the procurement process. China Sinovac vaccin"&amp;"e was started today at Hacettepe University, 3 volunteer health workers. https://t.co/hof35iwj67")</f>
        <v>The science world believes that the results will be taken to the end of the year. There are 9 vaccines in phase 3 stages. The United Kingdom, Germany, China has passed to the front application. Turkey launched the procurement process. China Sinovac vaccine was started today at Hacettepe University, 3 volunteer health workers. https://t.co/hof35iwj67</v>
      </c>
    </row>
    <row r="2221" spans="1:5" ht="15.75" customHeight="1" x14ac:dyDescent="0.25">
      <c r="A2221" s="1" t="s">
        <v>4441</v>
      </c>
      <c r="B2221" s="1">
        <v>17347</v>
      </c>
      <c r="C2221" s="3">
        <v>44090.850972222222</v>
      </c>
      <c r="D2221" s="1" t="s">
        <v>4442</v>
      </c>
      <c r="E2221" s="4" t="str">
        <f ca="1">IFERROR(__xludf.DUMMYFUNCTION("GOOGLETRANSLATE(A2221 , ""tr"" , ""en"")"),"Compared to the first period, the load of our health workers increased four five times. Know that their front is people who are colliding to the chest for you. The only support you can give them in this challenge is your protection of yourself. Add streng"&amp;"th to our hospitals, not being caught in the disease. https://t.co/3tdencuw91")</f>
        <v>Compared to the first period, the load of our health workers increased four five times. Know that their front is people who are colliding to the chest for you. The only support you can give them in this challenge is your protection of yourself. Add strength to our hospitals, not being caught in the disease. https://t.co/3tdencuw91</v>
      </c>
    </row>
    <row r="2222" spans="1:5" ht="15.75" customHeight="1" x14ac:dyDescent="0.25">
      <c r="A2222" s="1" t="s">
        <v>4443</v>
      </c>
      <c r="B2222" s="1">
        <v>10030</v>
      </c>
      <c r="C2222" s="3">
        <v>44090.709085648145</v>
      </c>
      <c r="D2222" s="1" t="s">
        <v>4444</v>
      </c>
      <c r="E2222" s="4" t="str">
        <f ca="1">IFERROR(__xludf.DUMMYFUNCTION("GOOGLETRANSLATE(A2222 , ""tr"" , ""en"")"),"After our Science Board meeting, the latest developments on the coronavirus and the new measures we receive.
📍Public Ministry Bilkent Campus / Ankara
https://t.co/lpn3ymwsci")</f>
        <v>After our Science Board meeting, the latest developments on the coronavirus and the new measures we receive.
📍Public Ministry Bilkent Campus / Ankara
https://t.co/lpn3ymwsci</v>
      </c>
    </row>
    <row r="2223" spans="1:5" ht="15.75" customHeight="1" x14ac:dyDescent="0.25">
      <c r="A2223" s="1" t="s">
        <v>4445</v>
      </c>
      <c r="B2223" s="1">
        <v>46241</v>
      </c>
      <c r="C2223" s="3">
        <v>44089.711284722223</v>
      </c>
      <c r="D2223" s="1" t="s">
        <v>4446</v>
      </c>
      <c r="E2223" s="4" t="str">
        <f ca="1">IFERROR(__xludf.DUMMYFUNCTION("GOOGLETRANSLATE(A2223 , ""tr"" , ""en"")"),"It is difficult to remain in need of our healthy days not to comply with the rules. The sensitivity in the measure requires unity and draw in the struggle.")</f>
        <v>It is difficult to remain in need of our healthy days not to comply with the rules. The sensitivity in the measure requires unity and draw in the struggle.</v>
      </c>
    </row>
    <row r="2224" spans="1:5" ht="15.75" customHeight="1" x14ac:dyDescent="0.25">
      <c r="A2224" s="1" t="s">
        <v>4447</v>
      </c>
      <c r="B2224" s="1">
        <v>20498</v>
      </c>
      <c r="C2224" s="3">
        <v>44089.670046296298</v>
      </c>
      <c r="D2224" s="1" t="s">
        <v>4448</v>
      </c>
      <c r="E2224" s="4" t="str">
        <f ca="1">IFERROR(__xludf.DUMMYFUNCTION("GOOGLETRANSLATE(A2224 , ""tr"" , ""en"")"),"Our active patient count also continues to increase our severe patients. Our losses continue to burn. The number of our recovery can only pass the number of our losses only. We can beat the virus if we do the power association in the challenge. https://t."&amp;"co/rvlhe7786o")</f>
        <v>Our active patient count also continues to increase our severe patients. Our losses continue to burn. The number of our recovery can only pass the number of our losses only. We can beat the virus if we do the power association in the challenge. https://t.co/rvlhe7786o</v>
      </c>
    </row>
    <row r="2225" spans="1:5" ht="15.75" customHeight="1" x14ac:dyDescent="0.25">
      <c r="A2225" s="1" t="s">
        <v>4449</v>
      </c>
      <c r="B2225" s="1">
        <v>13116</v>
      </c>
      <c r="C2225" s="3">
        <v>44088.966145833336</v>
      </c>
      <c r="D2225" s="1" t="s">
        <v>4450</v>
      </c>
      <c r="E2225" s="4" t="str">
        <f ca="1">IFERROR(__xludf.DUMMYFUNCTION("GOOGLETRANSLATE(A2225 , ""tr"" , ""en"")"),"We met with Ankara, Izmir, Kayseri, Cankiri and Adiyaman's health managers individually. We addressed the causes of case increases, intensive care capacities and filiation rates. We have evaluated additional measures. Success is hidden in fighting togethe"&amp;"r. https://t.co/qf6uvrpn9t")</f>
        <v>We met with Ankara, Izmir, Kayseri, Cankiri and Adiyaman's health managers individually. We addressed the causes of case increases, intensive care capacities and filiation rates. We have evaluated additional measures. Success is hidden in fighting together. https://t.co/qf6uvrpn9t</v>
      </c>
    </row>
    <row r="2226" spans="1:5" ht="15.75" customHeight="1" x14ac:dyDescent="0.25">
      <c r="A2226" s="1" t="s">
        <v>4451</v>
      </c>
      <c r="B2226" s="1">
        <v>18814</v>
      </c>
      <c r="C2226" s="3">
        <v>44088.768483796295</v>
      </c>
      <c r="D2226" s="1" t="s">
        <v>4452</v>
      </c>
      <c r="E2226" s="4" t="str">
        <f ca="1">IFERROR(__xludf.DUMMYFUNCTION("GOOGLETRANSLATE(A2226 , ""tr"" , ""en"")"),"I would like to thank the Dear State Bahceli's support to our struggle with the epidemic, tenderness and health they show to our Order. This struggle can only achieve success. We will be able to make it together. https://t.co/yy7x1ea7fe")</f>
        <v>I would like to thank the Dear State Bahceli's support to our struggle with the epidemic, tenderness and health they show to our Order. This struggle can only achieve success. We will be able to make it together. https://t.co/yy7x1ea7fe</v>
      </c>
    </row>
    <row r="2227" spans="1:5" ht="15.75" customHeight="1" x14ac:dyDescent="0.25">
      <c r="A2227" s="1" t="s">
        <v>4453</v>
      </c>
      <c r="B2227" s="1">
        <v>14447</v>
      </c>
      <c r="C2227" s="3">
        <v>44088.758946759262</v>
      </c>
      <c r="D2227" s="1" t="s">
        <v>4454</v>
      </c>
      <c r="E2227" s="4" t="str">
        <f ca="1">IFERROR(__xludf.DUMMYFUNCTION("GOOGLETRANSLATE(A2227 , ""tr"" , ""en"")"),"Doctor Mehmet Ulusoy. Was born in Malatya. After graduating from Istanbul Faculty of Medicine, he served as a microbiologist as many years. It was a health worker in love with his profession and very loving sports. COVID-19 pluck him from us. We are grate"&amp;"ful for the challenge of Https://t.co/rvbq8f1c6z")</f>
        <v>Doctor Mehmet Ulusoy. Was born in Malatya. After graduating from Istanbul Faculty of Medicine, he served as a microbiologist as many years. It was a health worker in love with his profession and very loving sports. COVID-19 pluck him from us. We are grateful for the challenge of Https://t.co/rvbq8f1c6z</v>
      </c>
    </row>
    <row r="2228" spans="1:5" ht="15.75" customHeight="1" x14ac:dyDescent="0.25">
      <c r="A2228" s="1" t="s">
        <v>4455</v>
      </c>
      <c r="B2228" s="1">
        <v>28542</v>
      </c>
      <c r="C2228" s="3">
        <v>44088.692256944443</v>
      </c>
      <c r="D2228" s="1" t="s">
        <v>4456</v>
      </c>
      <c r="E2228" s="4" t="str">
        <f ca="1">IFERROR(__xludf.DUMMYFUNCTION("GOOGLETRANSLATE(A2228 , ""tr"" , ""en"")"),"There is no deceleration determined at the speed of the disease. We have 1,716 new patients caught in the disease today. The number of our losses is more than 60. We cannot struggle one by one but we can win together. Let's obey the measures together. htt"&amp;"ps://t.co/rvlhe7786o")</f>
        <v>There is no deceleration determined at the speed of the disease. We have 1,716 new patients caught in the disease today. The number of our losses is more than 60. We cannot struggle one by one but we can win together. Let's obey the measures together. https://t.co/rvlhe7786o</v>
      </c>
    </row>
    <row r="2229" spans="1:5" ht="15.75" customHeight="1" x14ac:dyDescent="0.25">
      <c r="A2229" s="1" t="s">
        <v>4457</v>
      </c>
      <c r="B2229" s="1">
        <v>18584</v>
      </c>
      <c r="C2229" s="3">
        <v>44088.5387962963</v>
      </c>
      <c r="D2229" s="1" t="s">
        <v>4458</v>
      </c>
      <c r="E2229" s="4" t="str">
        <f ca="1">IFERROR(__xludf.DUMMYFUNCTION("GOOGLETRANSLATE(A2229 , ""tr"" , ""en"")"),"As a result of the terrorists of terrorists in Syria, our 1 Redwood personnel were martyred, our 2 staff were injured. The first intervention of the injured was made to the Kilis State Hospital. I wish our meagie mercy from Allah, to our wounded emergency"&amp;" healing.")</f>
        <v>As a result of the terrorists of terrorists in Syria, our 1 Redwood personnel were martyred, our 2 staff were injured. The first intervention of the injured was made to the Kilis State Hospital. I wish our meagie mercy from Allah, to our wounded emergency healing.</v>
      </c>
    </row>
    <row r="2230" spans="1:5" ht="15.75" customHeight="1" x14ac:dyDescent="0.25">
      <c r="A2230" s="1" t="s">
        <v>4459</v>
      </c>
      <c r="B2230" s="1">
        <v>16992</v>
      </c>
      <c r="C2230" s="3">
        <v>44087.821527777778</v>
      </c>
      <c r="D2230" s="1" t="s">
        <v>4460</v>
      </c>
      <c r="E2230" s="4" t="str">
        <f ca="1">IFERROR(__xludf.DUMMYFUNCTION("GOOGLETRANSLATE(A2230 , ""tr"" , ""en"")"),"The number of severe patients requires us to fight against the virus against the virus. Our health workers are persistent to behave cautiously. Complying with the rules is also a responsibility. Individual irresponsibility shade to social victory. Let's n"&amp;"ot get away from our goal. https://t.co/chqbgt1vvv")</f>
        <v>The number of severe patients requires us to fight against the virus against the virus. Our health workers are persistent to behave cautiously. Complying with the rules is also a responsibility. Individual irresponsibility shade to social victory. Let's not get away from our goal. https://t.co/chqbgt1vvv</v>
      </c>
    </row>
    <row r="2231" spans="1:5" ht="15.75" customHeight="1" x14ac:dyDescent="0.25">
      <c r="A2231" s="1" t="s">
        <v>4461</v>
      </c>
      <c r="B2231" s="1">
        <v>25939</v>
      </c>
      <c r="C2231" s="3">
        <v>44087.690729166665</v>
      </c>
      <c r="D2231" s="1" t="s">
        <v>4462</v>
      </c>
      <c r="E2231" s="4" t="str">
        <f ca="1">IFERROR(__xludf.DUMMYFUNCTION("GOOGLETRANSLATE(A2231 , ""tr"" , ""en"")"),"57 Loss of life, 1.527 new patients. The virus is separating our loved ones from us. The union and the unity to say stop on this trend is struggling in the draw. Let's be union in the measure, let's not give an opportunity. https://t.co/rvlhe7786o")</f>
        <v>57 Loss of life, 1.527 new patients. The virus is separating our loved ones from us. The union and the unity to say stop on this trend is struggling in the draw. Let's be union in the measure, let's not give an opportunity. https://t.co/rvlhe7786o</v>
      </c>
    </row>
    <row r="2232" spans="1:5" ht="15.75" customHeight="1" x14ac:dyDescent="0.25">
      <c r="A2232" s="1" t="s">
        <v>4463</v>
      </c>
      <c r="B2232" s="1">
        <v>11399</v>
      </c>
      <c r="C2232" s="3">
        <v>44086.883020833331</v>
      </c>
      <c r="D2232" s="1" t="s">
        <v>4464</v>
      </c>
      <c r="E2232" s="4" t="str">
        <f ca="1">IFERROR(__xludf.DUMMYFUNCTION("GOOGLETRANSLATE(A2232 , ""tr"" , ""en"")"),"125,246 people trying to travel with public transportation vehicles are prevented because it is risky with a hes code. This number is the total blocked people since the date we start using a hes code. The combat association is the power that will save us "&amp;"all of the virus. https://t.co/5uoeh6ptcn")</f>
        <v>125,246 people trying to travel with public transportation vehicles are prevented because it is risky with a hes code. This number is the total blocked people since the date we start using a hes code. The combat association is the power that will save us all of the virus. https://t.co/5uoeh6ptcn</v>
      </c>
    </row>
    <row r="2233" spans="1:5" ht="15.75" customHeight="1" x14ac:dyDescent="0.25">
      <c r="A2233" s="1" t="s">
        <v>4465</v>
      </c>
      <c r="B2233" s="1">
        <v>17679</v>
      </c>
      <c r="C2233" s="3">
        <v>44086.831770833334</v>
      </c>
      <c r="D2233" s="1" t="s">
        <v>4466</v>
      </c>
      <c r="E2233" s="4" t="str">
        <f ca="1">IFERROR(__xludf.DUMMYFUNCTION("GOOGLETRANSLATE(A2233 , ""tr"" , ""en"")"),"The duty of all of us to fight out of outbreak. Let's struggle out of the outbreak not with each other. https://t.co/f5yepz6uqw")</f>
        <v>The duty of all of us to fight out of outbreak. Let's struggle out of the outbreak not with each other. https://t.co/f5yepz6uqw</v>
      </c>
    </row>
    <row r="2234" spans="1:5" ht="15.75" customHeight="1" x14ac:dyDescent="0.25">
      <c r="A2234" s="1" t="s">
        <v>4467</v>
      </c>
      <c r="B2234" s="1">
        <v>11269</v>
      </c>
      <c r="C2234" s="3">
        <v>44086.753472222219</v>
      </c>
      <c r="D2234" s="1" t="s">
        <v>4468</v>
      </c>
      <c r="E2234" s="4" t="str">
        <f ca="1">IFERROR(__xludf.DUMMYFUNCTION("GOOGLETRANSLATE(A2234 , ""tr"" , ""en"")"),"In this sensitive period, we have to be more sensitive than ever in this sensitive period. Let's be unity to be the winner of the struggle. https://t.co/3v1pxmis1q")</f>
        <v>In this sensitive period, we have to be more sensitive than ever in this sensitive period. Let's be unity to be the winner of the struggle. https://t.co/3v1pxmis1q</v>
      </c>
    </row>
    <row r="2235" spans="1:5" ht="15.75" customHeight="1" x14ac:dyDescent="0.25">
      <c r="A2235" s="1" t="s">
        <v>4469</v>
      </c>
      <c r="B2235" s="1">
        <v>18495</v>
      </c>
      <c r="C2235" s="3">
        <v>44086.686689814815</v>
      </c>
      <c r="D2235" s="1" t="s">
        <v>4470</v>
      </c>
      <c r="E2235" s="4" t="str">
        <f ca="1">IFERROR(__xludf.DUMMYFUNCTION("GOOGLETRANSLATE(A2235 , ""tr"" , ""en"")"),"With about 100 thousand new tests made today, 1,509 new patients were detected. The increase in severe patients continues to increase. The power to beat the virus is fighting together. https://t.co/rvlhe7786o")</f>
        <v>With about 100 thousand new tests made today, 1,509 new patients were detected. The increase in severe patients continues to increase. The power to beat the virus is fighting together. https://t.co/rvlhe7786o</v>
      </c>
    </row>
    <row r="2236" spans="1:5" ht="15.75" customHeight="1" x14ac:dyDescent="0.2">
      <c r="A2236" s="5" t="s">
        <v>4471</v>
      </c>
      <c r="B2236" s="1">
        <v>18780</v>
      </c>
      <c r="C2236" s="3">
        <v>44086.578599537039</v>
      </c>
      <c r="D2236" s="1" t="s">
        <v>4472</v>
      </c>
      <c r="E2236" s="6" t="str">
        <f ca="1">IFERROR(__xludf.DUMMYFUNCTION("GOOGLETRANSLATE(A2236 , ""tr"" , ""en"")"),"https://t.co/yzi25gedyp")</f>
        <v>https://t.co/yzi25gedyp</v>
      </c>
    </row>
    <row r="2237" spans="1:5" ht="15.75" customHeight="1" x14ac:dyDescent="0.25">
      <c r="A2237" s="1" t="s">
        <v>4473</v>
      </c>
      <c r="B2237" s="1">
        <v>12990</v>
      </c>
      <c r="C2237" s="3">
        <v>44086.412881944445</v>
      </c>
      <c r="D2237" s="1" t="s">
        <v>4474</v>
      </c>
      <c r="E2237" s="4" t="str">
        <f ca="1">IFERROR(__xludf.DUMMYFUNCTION("GOOGLETRANSLATE(A2237 , ""tr"" , ""en"")"),"We have received our democracy and freedom classes with very painful experiences. The traces are still unable to erase ""12 September pulses"" is only one of them. I'm curse of all kinds of ideology, movement and attempt that counts the will of the nation"&amp;" and nation.")</f>
        <v>We have received our democracy and freedom classes with very painful experiences. The traces are still unable to erase "12 September pulses" is only one of them. I'm curse of all kinds of ideology, movement and attempt that counts the will of the nation and nation.</v>
      </c>
    </row>
    <row r="2238" spans="1:5" ht="15.75" customHeight="1" x14ac:dyDescent="0.25">
      <c r="A2238" s="1" t="s">
        <v>4475</v>
      </c>
      <c r="B2238" s="1">
        <v>6198</v>
      </c>
      <c r="C2238" s="3">
        <v>44086.294293981482</v>
      </c>
      <c r="D2238" s="1" t="s">
        <v>4476</v>
      </c>
      <c r="E2238" s="4" t="str">
        <f ca="1">IFERROR(__xludf.DUMMYFUNCTION("GOOGLETRANSLATE(A2238 , ""tr"" , ""en"")"),"76% of severe patients in April were in our hospitals in Istanbul. However, in the last 1 month, the number of severe patients increased by 42% in Istanbul. We can destroy the risk in Istanbul together. Our struggle is to fit together with the measures.")</f>
        <v>76% of severe patients in April were in our hospitals in Istanbul. However, in the last 1 month, the number of severe patients increased by 42% in Istanbul. We can destroy the risk in Istanbul together. Our struggle is to fit together with the measures.</v>
      </c>
    </row>
    <row r="2239" spans="1:5" ht="15.75" customHeight="1" x14ac:dyDescent="0.25">
      <c r="A2239" s="1" t="s">
        <v>4477</v>
      </c>
      <c r="B2239" s="1">
        <v>14943</v>
      </c>
      <c r="C2239" s="3">
        <v>44086.293935185182</v>
      </c>
      <c r="D2239" s="1" t="s">
        <v>4478</v>
      </c>
      <c r="E2239" s="4" t="str">
        <f ca="1">IFERROR(__xludf.DUMMYFUNCTION("GOOGLETRANSLATE(A2239 , ""tr"" , ""en"")"),"65% of patients in April and 54% were in Istanbul. The number of patients with the measures we received, 72% decreased by 78%. The number of patients in September 11 is about twice the number of patients last month. Today we have increased our number of f"&amp;"ails team to 34%. Let's fit with the measures.")</f>
        <v>65% of patients in April and 54% were in Istanbul. The number of patients with the measures we received, 72% decreased by 78%. The number of patients in September 11 is about twice the number of patients last month. Today we have increased our number of fails team to 34%. Let's fit with the measures.</v>
      </c>
    </row>
    <row r="2240" spans="1:5" ht="15.75" customHeight="1" x14ac:dyDescent="0.25">
      <c r="A2240" s="1" t="s">
        <v>4479</v>
      </c>
      <c r="B2240" s="1">
        <v>170504</v>
      </c>
      <c r="C2240" s="3">
        <v>44085.911261574074</v>
      </c>
      <c r="D2240" s="1" t="s">
        <v>4480</v>
      </c>
      <c r="E2240" s="4" t="str">
        <f ca="1">IFERROR(__xludf.DUMMYFUNCTION("GOOGLETRANSLATE(A2240 , ""tr"" , ""en"")"),"They have the rules that know better than us. https://t.co/atvcv5mfiu")</f>
        <v>They have the rules that know better than us. https://t.co/atvcv5mfiu</v>
      </c>
    </row>
    <row r="2241" spans="1:5" ht="15.75" customHeight="1" x14ac:dyDescent="0.25">
      <c r="A2241" s="1" t="s">
        <v>4481</v>
      </c>
      <c r="B2241" s="1">
        <v>7154</v>
      </c>
      <c r="C2241" s="3">
        <v>44085.718888888892</v>
      </c>
      <c r="D2241" s="1" t="s">
        <v>4482</v>
      </c>
      <c r="E2241" s="4" t="str">
        <f ca="1">IFERROR(__xludf.DUMMYFUNCTION("GOOGLETRANSLATE(A2241 , ""tr"" , ""en"")"),"Başakşehir Pine and Sakura City of the City of Hospital, with the participation of the provincial health manager and the participation of the public; We have a detailed meeting we addressed the course of epidemic in Istanbul. The fight against the virus i"&amp;"s a social struggle. Let's fight together against the common enemy. https://t.co/ysdkrıor7v")</f>
        <v>Başakşehir Pine and Sakura City of the City of Hospital, with the participation of the provincial health manager and the participation of the public; We have a detailed meeting we addressed the course of epidemic in Istanbul. The fight against the virus is a social struggle. Let's fight together against the common enemy. https://t.co/ysdkrıor7v</v>
      </c>
    </row>
    <row r="2242" spans="1:5" ht="15.75" customHeight="1" x14ac:dyDescent="0.25">
      <c r="A2242" s="1" t="s">
        <v>4483</v>
      </c>
      <c r="B2242" s="1">
        <v>15126</v>
      </c>
      <c r="C2242" s="3">
        <v>44085.709351851852</v>
      </c>
      <c r="D2242" s="1" t="s">
        <v>4484</v>
      </c>
      <c r="E2242" s="4" t="str">
        <f ca="1">IFERROR(__xludf.DUMMYFUNCTION("GOOGLETRANSLATE(A2242 , ""tr"" , ""en"")"),"In Van, I wish for 3 homelands who were martyr in the conflict with terrorists. One soldier was treated at the Van Centenary University Hospital, closely following his status, I wish immediate healing. May the head of our nation be right. https://t.co/rpa"&amp;"jaub8b9")</f>
        <v>In Van, I wish for 3 homelands who were martyr in the conflict with terrorists. One soldier was treated at the Van Centenary University Hospital, closely following his status, I wish immediate healing. May the head of our nation be right. https://t.co/rpajaub8b9</v>
      </c>
    </row>
    <row r="2243" spans="1:5" ht="15.75" customHeight="1" x14ac:dyDescent="0.25">
      <c r="A2243" s="1" t="s">
        <v>4485</v>
      </c>
      <c r="B2243" s="1">
        <v>21364</v>
      </c>
      <c r="C2243" s="3">
        <v>44085.668888888889</v>
      </c>
      <c r="D2243" s="1" t="s">
        <v>4486</v>
      </c>
      <c r="E2243" s="4" t="str">
        <f ca="1">IFERROR(__xludf.DUMMYFUNCTION("GOOGLETRANSLATE(A2243 , ""tr"" , ""en"")"),"Today 56 can leave their loved ones behind and left us. We have to protect our loved ones to protect each other. However, we can achieve this with the fighting together. The effective struggle with the virus is only possible with the measure. https://t.co"&amp;"/rvlhe7786o")</f>
        <v>Today 56 can leave their loved ones behind and left us. We have to protect our loved ones to protect each other. However, we can achieve this with the fighting together. The effective struggle with the virus is only possible with the measure. https://t.co/rvlhe7786o</v>
      </c>
    </row>
    <row r="2244" spans="1:5" ht="15.75" customHeight="1" x14ac:dyDescent="0.25">
      <c r="A2244" s="1" t="s">
        <v>4487</v>
      </c>
      <c r="B2244" s="1">
        <v>68549</v>
      </c>
      <c r="C2244" s="3">
        <v>44084.861759259256</v>
      </c>
      <c r="D2244" s="1" t="s">
        <v>4488</v>
      </c>
      <c r="E2244" s="4" t="str">
        <f ca="1">IFERROR(__xludf.DUMMYFUNCTION("GOOGLETRANSLATE(A2244 , ""tr"" , ""en"")"),"The Faculty of Medicine, the last-year student is defeated to COVID-19, despite the age of the merve, the struggle and the young age. Would join us as a health worker like her mother. Our pain is great for each life we ​​lost. Our children, the youngsters"&amp;" and the bigger ones; Please let's comply with the measures. https://t.co/4lrz08sugj")</f>
        <v>The Faculty of Medicine, the last-year student is defeated to COVID-19, despite the age of the merve, the struggle and the young age. Would join us as a health worker like her mother. Our pain is great for each life we ​​lost. Our children, the youngsters and the bigger ones; Please let's comply with the measures. https://t.co/4lrz08sugj</v>
      </c>
    </row>
    <row r="2245" spans="1:5" ht="15.75" customHeight="1" x14ac:dyDescent="0.25">
      <c r="A2245" s="1" t="s">
        <v>4489</v>
      </c>
      <c r="B2245" s="1">
        <v>9740</v>
      </c>
      <c r="C2245" s="3">
        <v>44084.845925925925</v>
      </c>
      <c r="D2245" s="1" t="s">
        <v>4490</v>
      </c>
      <c r="E2245" s="4" t="str">
        <f ca="1">IFERROR(__xludf.DUMMYFUNCTION("GOOGLETRANSLATE(A2245 , ""tr"" , ""en"")"),"We met our staff at 112 Emergency Call Center in Van. Beginning with 24 Hours Uninterrupted Life, I offer my gratitude to all our employees who run to each call. https://t.co/nfbd1tp6f4")</f>
        <v>We met our staff at 112 Emergency Call Center in Van. Beginning with 24 Hours Uninterrupted Life, I offer my gratitude to all our employees who run to each call. https://t.co/nfbd1tp6f4</v>
      </c>
    </row>
    <row r="2246" spans="1:5" ht="15.75" customHeight="1" x14ac:dyDescent="0.25">
      <c r="A2246" s="1" t="s">
        <v>4491</v>
      </c>
      <c r="B2246" s="1">
        <v>19586</v>
      </c>
      <c r="C2246" s="3">
        <v>44084.71533564815</v>
      </c>
      <c r="D2246" s="1" t="s">
        <v>4492</v>
      </c>
      <c r="E2246" s="4" t="str">
        <f ca="1">IFERROR(__xludf.DUMMYFUNCTION("GOOGLETRANSLATE(A2246 , ""tr"" , ""en"")"),"The mean age of the age of active patients 42. The mean age of intensive care patients are the mean age of 65. Let the virus insist on complying with the measures to ensure that the virus does not separate our loved ones from us. Strong struggle with meas"&amp;"ure together. https://t.co/rvlhe7oIYM")</f>
        <v>The mean age of the age of active patients 42. The mean age of intensive care patients are the mean age of 65. Let the virus insist on complying with the measures to ensure that the virus does not separate our loved ones from us. Strong struggle with measure together. https://t.co/rvlhe7oIYM</v>
      </c>
    </row>
    <row r="2247" spans="1:5" ht="15.75" customHeight="1" x14ac:dyDescent="0.25">
      <c r="A2247" s="1" t="s">
        <v>4493</v>
      </c>
      <c r="B2247" s="1">
        <v>5508</v>
      </c>
      <c r="C2247" s="3">
        <v>44084.678726851853</v>
      </c>
      <c r="D2247" s="1" t="s">
        <v>4494</v>
      </c>
      <c r="E2247" s="4" t="str">
        <f ca="1">IFERROR(__xludf.DUMMYFUNCTION("GOOGLETRANSLATE(A2247 , ""tr"" , ""en"")"),"Our press statement following our evaluation meetings with our Van, Mus, Hakkari and Bitlis provinces;
📍Van
https://t.co/w3rqm0mq6I")</f>
        <v>Our press statement following our evaluation meetings with our Van, Mus, Hakkari and Bitlis provinces;
📍Van
https://t.co/w3rqm0mq6I</v>
      </c>
    </row>
    <row r="2248" spans="1:5" ht="15.75" customHeight="1" x14ac:dyDescent="0.25">
      <c r="A2248" s="1" t="s">
        <v>4495</v>
      </c>
      <c r="B2248" s="1">
        <v>8852</v>
      </c>
      <c r="C2248" s="3">
        <v>44084.633414351854</v>
      </c>
      <c r="D2248" s="1" t="s">
        <v>4496</v>
      </c>
      <c r="E2248" s="4" t="str">
        <f ca="1">IFERROR(__xludf.DUMMYFUNCTION("GOOGLETRANSLATE(A2248 , ""tr"" , ""en"")"),"In separate meetings with the health managers of our Van, Mus, Hakkari and Bitlis provinces; We have addressed the COVID-19 and our investments in these provinces. Our greatest strength to deal with the output is challenging together. https://t.co/p22cjuI"&amp;"ixf")</f>
        <v>In separate meetings with the health managers of our Van, Mus, Hakkari and Bitlis provinces; We have addressed the COVID-19 and our investments in these provinces. Our greatest strength to deal with the output is challenging together. https://t.co/p22cjuIixf</v>
      </c>
    </row>
    <row r="2249" spans="1:5" ht="15.75" customHeight="1" x14ac:dyDescent="0.25">
      <c r="A2249" s="1" t="s">
        <v>4497</v>
      </c>
      <c r="B2249" s="1">
        <v>5182</v>
      </c>
      <c r="C2249" s="3">
        <v>44084.527141203704</v>
      </c>
      <c r="D2249" s="1" t="s">
        <v>4498</v>
      </c>
      <c r="E2249" s="4" t="str">
        <f ca="1">IFERROR(__xludf.DUMMYFUNCTION("GOOGLETRANSLATE(A2249 , ""tr"" , ""en"")"),"We performed the opening of the DSÖ Istanbul Office with the European Region Director @hans_kluge. This office will be a guide for the district countries, including both the preparation and response to all the crises in the field of health in the field of"&amp;" health, including COVID-19. https://t.co/6onx0csxfm")</f>
        <v>We performed the opening of the DSÖ Istanbul Office with the European Region Director @hans_kluge. This office will be a guide for the district countries, including both the preparation and response to all the crises in the field of health in the field of health, including COVID-19. https://t.co/6onx0csxfm</v>
      </c>
    </row>
    <row r="2250" spans="1:5" ht="15.75" customHeight="1" x14ac:dyDescent="0.25">
      <c r="A2250" s="1" t="s">
        <v>4499</v>
      </c>
      <c r="B2250" s="1">
        <v>13344</v>
      </c>
      <c r="C2250" s="3">
        <v>44084.475370370368</v>
      </c>
      <c r="D2250" s="1" t="s">
        <v>4500</v>
      </c>
      <c r="E2250" s="4" t="str">
        <f ca="1">IFERROR(__xludf.DUMMYFUNCTION("GOOGLETRANSLATE(A2250 , ""tr"" , ""en"")"),"Our spoiled daughter is 16 years old and his treatment continues successfully. We have received promise to continue high school education from himself. The place is now ready in Biscellor's Vocational High School Pension. We should be very sensitive to ou"&amp;"r children's health and education. https://t.co/zqqmdlgm7n")</f>
        <v>Our spoiled daughter is 16 years old and his treatment continues successfully. We have received promise to continue high school education from himself. The place is now ready in Biscellor's Vocational High School Pension. We should be very sensitive to our children's health and education. https://t.co/zqqmdlgm7n</v>
      </c>
    </row>
    <row r="2251" spans="1:5" ht="15.75" customHeight="1" x14ac:dyDescent="0.25">
      <c r="A2251" s="1" t="s">
        <v>4501</v>
      </c>
      <c r="B2251" s="1">
        <v>8539</v>
      </c>
      <c r="C2251" s="3">
        <v>44084.447060185186</v>
      </c>
      <c r="D2251" s="1" t="s">
        <v>4502</v>
      </c>
      <c r="E2251" s="4" t="str">
        <f ca="1">IFERROR(__xludf.DUMMYFUNCTION("GOOGLETRANSLATE(A2251 , ""tr"" , ""en"")"),"In our Van Region training and research hospital, we visited our study friends and our children. We take care that the Pandemian process does not disrupt general health services. Our efforts will only make sense with your efforts. https://t.co/Ibpfmr89bn")</f>
        <v>In our Van Region training and research hospital, we visited our study friends and our children. We take care that the Pandemian process does not disrupt general health services. Our efforts will only make sense with your efforts. https://t.co/Ibpfmr89bn</v>
      </c>
    </row>
    <row r="2252" spans="1:5" ht="15.75" customHeight="1" x14ac:dyDescent="0.25">
      <c r="A2252" s="1" t="s">
        <v>4503</v>
      </c>
      <c r="B2252" s="1">
        <v>7800</v>
      </c>
      <c r="C2252" s="3">
        <v>44084.397523148145</v>
      </c>
      <c r="D2252" s="1" t="s">
        <v>4504</v>
      </c>
      <c r="E2252" s="4" t="str">
        <f ca="1">IFERROR(__xludf.DUMMYFUNCTION("GOOGLETRANSLATE(A2252 , ""tr"" , ""en"")"),"We are in our city today to evaluate our health investments, especially the pandemic process. https://t.co/vrdktjI3IC")</f>
        <v>We are in our city today to evaluate our health investments, especially the pandemic process. https://t.co/vrdktjI3IC</v>
      </c>
    </row>
    <row r="2253" spans="1:5" ht="15.75" customHeight="1" x14ac:dyDescent="0.25">
      <c r="A2253" s="1" t="s">
        <v>4505</v>
      </c>
      <c r="B2253" s="1">
        <v>16357</v>
      </c>
      <c r="C2253" s="3">
        <v>44084.346678240741</v>
      </c>
      <c r="D2253" s="1" t="s">
        <v>4506</v>
      </c>
      <c r="E2253" s="4" t="str">
        <f ca="1">IFERROR(__xludf.DUMMYFUNCTION("GOOGLETRANSLATE(A2253 , ""tr"" , ""en"")"),"We are in Van. We will review our completed and ongoing health investments in our region and evaluate our pandem fight in place. We are continuing in every corner of our country in our fight against the virus. https://t.co/ymhx2fw2yj")</f>
        <v>We are in Van. We will review our completed and ongoing health investments in our region and evaluate our pandem fight in place. We are continuing in every corner of our country in our fight against the virus. https://t.co/ymhx2fw2yj</v>
      </c>
    </row>
    <row r="2254" spans="1:5" ht="15.75" customHeight="1" x14ac:dyDescent="0.25">
      <c r="A2254" s="1" t="s">
        <v>4507</v>
      </c>
      <c r="B2254" s="1">
        <v>78845</v>
      </c>
      <c r="C2254" s="3">
        <v>44083.699652777781</v>
      </c>
      <c r="D2254" s="1" t="s">
        <v>4508</v>
      </c>
      <c r="E2254" s="4" t="str">
        <f ca="1">IFERROR(__xludf.DUMMYFUNCTION("GOOGLETRANSLATE(A2254 , ""tr"" , ""en"")"),"We don't see the two people chatting in the photo are just. We see the two responsible people who love his family, friend and country, who care about their health. Thank you to anyone showing this responsibility and tenderness. https://t.co/ntfyz3ejdd")</f>
        <v>We don't see the two people chatting in the photo are just. We see the two responsible people who love his family, friend and country, who care about their health. Thank you to anyone showing this responsibility and tenderness. https://t.co/ntfyz3ejdd</v>
      </c>
    </row>
    <row r="2255" spans="1:5" ht="15.75" customHeight="1" x14ac:dyDescent="0.25">
      <c r="A2255" s="1" t="s">
        <v>4509</v>
      </c>
      <c r="B2255" s="1">
        <v>19581</v>
      </c>
      <c r="C2255" s="3">
        <v>44083.667060185187</v>
      </c>
      <c r="D2255" s="1" t="s">
        <v>4510</v>
      </c>
      <c r="E2255" s="4" t="str">
        <f ca="1">IFERROR(__xludf.DUMMYFUNCTION("GOOGLETRANSLATE(A2255 , ""tr"" , ""en"")"),"Over 8 million tests in total. Today, we have a new diagnosed patients with 1.673 as a result of more than 110,000 tests. We will be stronger against the virus if we all support the measures. Support this power, let's keep our loved ones. https://t.co/rvl"&amp;"he7786o")</f>
        <v>Over 8 million tests in total. Today, we have a new diagnosed patients with 1.673 as a result of more than 110,000 tests. We will be stronger against the virus if we all support the measures. Support this power, let's keep our loved ones. https://t.co/rvlhe7786o</v>
      </c>
    </row>
    <row r="2256" spans="1:5" ht="15.75" customHeight="1" x14ac:dyDescent="0.2">
      <c r="A2256" s="5" t="s">
        <v>4511</v>
      </c>
      <c r="B2256" s="1">
        <v>22744</v>
      </c>
      <c r="C2256" s="3">
        <v>44083.400543981479</v>
      </c>
      <c r="D2256" s="1" t="s">
        <v>4512</v>
      </c>
      <c r="E2256" s="6" t="str">
        <f ca="1">IFERROR(__xludf.DUMMYFUNCTION("GOOGLETRANSLATE(A2256 , ""tr"" , ""en"")"),"https://t.co/kc9fhecgyf")</f>
        <v>https://t.co/kc9fhecgyf</v>
      </c>
    </row>
    <row r="2257" spans="1:5" ht="15.75" customHeight="1" x14ac:dyDescent="0.25">
      <c r="A2257" s="1" t="s">
        <v>4513</v>
      </c>
      <c r="B2257" s="1">
        <v>10194</v>
      </c>
      <c r="C2257" s="3">
        <v>44082.901099537034</v>
      </c>
      <c r="D2257" s="1" t="s">
        <v>4514</v>
      </c>
      <c r="E2257" s="4" t="str">
        <f ca="1">IFERROR(__xludf.DUMMYFUNCTION("GOOGLETRANSLATE(A2257 , ""tr"" , ""en"")"),"11 We have made a video conference call separately with the health managers of our provinces. The status of our provinces, the performance of the filion teams, have talked to the additional measures to be taken in our provinces with the use of early drug "&amp;"use and follow-up. We have two strengths: Measure, Treatment. Let's use our strength. https://t.co/x3tlsıohm0")</f>
        <v>11 We have made a video conference call separately with the health managers of our provinces. The status of our provinces, the performance of the filion teams, have talked to the additional measures to be taken in our provinces with the use of early drug use and follow-up. We have two strengths: Measure, Treatment. Let's use our strength. https://t.co/x3tlsıohm0</v>
      </c>
    </row>
    <row r="2258" spans="1:5" ht="15.75" customHeight="1" x14ac:dyDescent="0.25">
      <c r="A2258" s="1" t="s">
        <v>4515</v>
      </c>
      <c r="B2258" s="1">
        <v>17311</v>
      </c>
      <c r="C2258" s="3">
        <v>44082.809259259258</v>
      </c>
      <c r="D2258" s="1" t="s">
        <v>4516</v>
      </c>
      <c r="E2258" s="4" t="str">
        <f ca="1">IFERROR(__xludf.DUMMYFUNCTION("GOOGLETRANSLATE(A2258 , ""tr"" , ""en"")"),"Regular exercise and physical movement is the key to healthy life.
Our physiotherapists are active, independent movement and the assurance of a higher quality life. Health Members of our Order is a Happy World Physiotherapists Day of our physiotherapists."&amp;" https://t.co/dm8p0a10lc")</f>
        <v>Regular exercise and physical movement is the key to healthy life.
Our physiotherapists are active, independent movement and the assurance of a higher quality life. Health Members of our Order is a Happy World Physiotherapists Day of our physiotherapists. https://t.co/dm8p0a10lc</v>
      </c>
    </row>
    <row r="2259" spans="1:5" ht="15.75" customHeight="1" x14ac:dyDescent="0.25">
      <c r="A2259" s="1" t="s">
        <v>4517</v>
      </c>
      <c r="B2259" s="1">
        <v>29609</v>
      </c>
      <c r="C2259" s="3">
        <v>44082.681307870371</v>
      </c>
      <c r="D2259" s="1" t="s">
        <v>4518</v>
      </c>
      <c r="E2259" s="4" t="str">
        <f ca="1">IFERROR(__xludf.DUMMYFUNCTION("GOOGLETRANSLATE(A2259 , ""tr"" , ""en"")"),"Today more than 110,000 tests were performed and 1,761 new patients were detected. Our severe patient count continues to increase. Our losses are burning. It is to comply with measures to stop this situation. Power is in measure together. https://t.co/rvl"&amp;"he7786o")</f>
        <v>Today more than 110,000 tests were performed and 1,761 new patients were detected. Our severe patient count continues to increase. Our losses are burning. It is to comply with measures to stop this situation. Power is in measure together. https://t.co/rvlhe7786o</v>
      </c>
    </row>
    <row r="2260" spans="1:5" ht="15.75" customHeight="1" x14ac:dyDescent="0.25">
      <c r="A2260" s="1" t="s">
        <v>4519</v>
      </c>
      <c r="B2260" s="1">
        <v>29672</v>
      </c>
      <c r="C2260" s="3">
        <v>44081.731712962966</v>
      </c>
      <c r="D2260" s="1" t="s">
        <v>4520</v>
      </c>
      <c r="E2260" s="4" t="str">
        <f ca="1">IFERROR(__xludf.DUMMYFUNCTION("GOOGLETRANSLATE(A2260 , ""tr"" , ""en"")"),"The most patiently seen daily is Ankara. Turkey has not been increasing the pneumatic rate in the last week in Turkey. The number of severe patients still continues to rise. Together to measures will be the virus that ended up at the end. https://t.co/rvl"&amp;"he7786o")</f>
        <v>The most patiently seen daily is Ankara. Turkey has not been increasing the pneumatic rate in the last week in Turkey. The number of severe patients still continues to rise. Together to measures will be the virus that ended up at the end. https://t.co/rvlhe7786o</v>
      </c>
    </row>
    <row r="2261" spans="1:5" ht="15.75" customHeight="1" x14ac:dyDescent="0.25">
      <c r="A2261" s="1" t="s">
        <v>4521</v>
      </c>
      <c r="B2261" s="1">
        <v>40114</v>
      </c>
      <c r="C2261" s="3">
        <v>44080.776863425926</v>
      </c>
      <c r="D2261" s="1" t="s">
        <v>4522</v>
      </c>
      <c r="E2261" s="4" t="str">
        <f ca="1">IFERROR(__xludf.DUMMYFUNCTION("GOOGLETRANSLATE(A2261 , ""tr"" , ""en"")"),"40.1 in the last one month in the last month is 40.1 in 20-40 years of age. 11% of the pneumonia developing patients are again from this age group. Our teenagers should be an example of the measures to protect themselves and the largest. Our strength agai"&amp;"nst the virus together measure.")</f>
        <v>40.1 in the last one month in the last month is 40.1 in 20-40 years of age. 11% of the pneumonia developing patients are again from this age group. Our teenagers should be an example of the measures to protect themselves and the largest. Our strength against the virus together measure.</v>
      </c>
    </row>
    <row r="2262" spans="1:5" ht="15.75" customHeight="1" x14ac:dyDescent="0.25">
      <c r="A2262" s="1" t="s">
        <v>4523</v>
      </c>
      <c r="B2262" s="1">
        <v>26554</v>
      </c>
      <c r="C2262" s="3">
        <v>44080.669849537036</v>
      </c>
      <c r="D2262" s="1" t="s">
        <v>4524</v>
      </c>
      <c r="E2262" s="4" t="str">
        <f ca="1">IFERROR(__xludf.DUMMYFUNCTION("GOOGLETRANSLATE(A2262 , ""tr"" , ""en"")"),"Last week Number of daily patients is most increasing provinces; Van, Karaman, Erzincan, Cankiri and Kayseri. Our provinces that are the most severe patients; Istanbul, Ankara, Konya, Erzurum and Yozgat. We can be successful by complying with the measures"&amp;". Let's be cautious together. https://t.co/rvlhe7786o")</f>
        <v>Last week Number of daily patients is most increasing provinces; Van, Karaman, Erzincan, Cankiri and Kayseri. Our provinces that are the most severe patients; Istanbul, Ankara, Konya, Erzurum and Yozgat. We can be successful by complying with the measures. Let's be cautious together. https://t.co/rvlhe7786o</v>
      </c>
    </row>
    <row r="2263" spans="1:5" ht="15.75" customHeight="1" x14ac:dyDescent="0.25">
      <c r="A2263" s="1" t="s">
        <v>4525</v>
      </c>
      <c r="B2263" s="1">
        <v>51574</v>
      </c>
      <c r="C2263" s="3">
        <v>44080.398969907408</v>
      </c>
      <c r="D2263" s="1" t="s">
        <v>4526</v>
      </c>
      <c r="E2263" s="4" t="str">
        <f ca="1">IFERROR(__xludf.DUMMYFUNCTION("GOOGLETRANSLATE(A2263 , ""tr"" , ""en"")"),"The additional payment period made to our health workers is extended for 3 months due to the pandem. The provision of the struggle provided with life is, of course, I know.")</f>
        <v>The additional payment period made to our health workers is extended for 3 months due to the pandem. The provision of the struggle provided with life is, of course, I know.</v>
      </c>
    </row>
    <row r="2264" spans="1:5" ht="15.75" customHeight="1" x14ac:dyDescent="0.25">
      <c r="A2264" s="1" t="s">
        <v>4527</v>
      </c>
      <c r="B2264" s="1">
        <v>68964</v>
      </c>
      <c r="C2264" s="3">
        <v>44079.776712962965</v>
      </c>
      <c r="D2264" s="1" t="s">
        <v>4528</v>
      </c>
      <c r="E2264" s="4" t="str">
        <f ca="1">IFERROR(__xludf.DUMMYFUNCTION("GOOGLETRANSLATE(A2264 , ""tr"" , ""en"")"),"My young friends to take the KPSS exam! Your excitement is not to lead the measure to dispose of; Your dreams are not shadowed. I wish you all the best of luck.")</f>
        <v>My young friends to take the KPSS exam! Your excitement is not to lead the measure to dispose of; Your dreams are not shadowed. I wish you all the best of luck.</v>
      </c>
    </row>
    <row r="2265" spans="1:5" ht="15.75" customHeight="1" x14ac:dyDescent="0.25">
      <c r="A2265" s="1" t="s">
        <v>4529</v>
      </c>
      <c r="B2265" s="1">
        <v>0</v>
      </c>
      <c r="C2265" s="3">
        <v>44079.761689814812</v>
      </c>
      <c r="D2265" s="1" t="s">
        <v>4530</v>
      </c>
      <c r="E2265" s="4" t="str">
        <f ca="1">IFERROR(__xludf.DUMMYFUNCTION("GOOGLETRANSLATE(A2265 , ""tr"" , ""en"")"),"RT @rterdogan: We have been served todayTEPE Dr. Süleyman Yalçın City of our hospital to our country, the nation, to our city to our city, auspicious ...")</f>
        <v>RT @rterdogan: We have been served todayTEPE Dr. Süleyman Yalçın City of our hospital to our country, the nation, to our city to our city, auspicious ...</v>
      </c>
    </row>
    <row r="2266" spans="1:5" ht="15.75" customHeight="1" x14ac:dyDescent="0.25">
      <c r="A2266" s="1" t="s">
        <v>4531</v>
      </c>
      <c r="B2266" s="1">
        <v>21370</v>
      </c>
      <c r="C2266" s="3">
        <v>44079.681747685187</v>
      </c>
      <c r="D2266" s="1" t="s">
        <v>4532</v>
      </c>
      <c r="E2266" s="4" t="str">
        <f ca="1">IFERROR(__xludf.DUMMYFUNCTION("GOOGLETRANSLATE(A2266 , ""tr"" , ""en"")"),"We have to comply with the measures to protect our loved ones. This necessity is an assignment that we must comply with no one for every one of us. However we can beat the virus by struggling together. Our strength conforms to the measures together. https"&amp;"://t.co/rvlhe7786o")</f>
        <v>We have to comply with the measures to protect our loved ones. This necessity is an assignment that we must comply with no one for every one of us. However we can beat the virus by struggling together. Our strength conforms to the measures together. https://t.co/rvlhe7786o</v>
      </c>
    </row>
    <row r="2267" spans="1:5" ht="15.75" customHeight="1" x14ac:dyDescent="0.25">
      <c r="A2267" s="1" t="s">
        <v>4533</v>
      </c>
      <c r="B2267" s="1">
        <v>8319</v>
      </c>
      <c r="C2267" s="3">
        <v>44079.55096064815</v>
      </c>
      <c r="D2267" s="1" t="s">
        <v>4534</v>
      </c>
      <c r="E2267" s="4" t="str">
        <f ca="1">IFERROR(__xludf.DUMMYFUNCTION("GOOGLETRANSLATE(A2267 , ""tr"" , ""en"")"),"Göztepe Professor Dr. Süleyman Yalçın We opened our city hospital to our nation's service. https://t.co/rmxowzm3ng")</f>
        <v>Göztepe Professor Dr. Süleyman Yalçın We opened our city hospital to our nation's service. https://t.co/rmxowzm3ng</v>
      </c>
    </row>
    <row r="2268" spans="1:5" ht="15.75" customHeight="1" x14ac:dyDescent="0.25">
      <c r="A2268" s="1" t="s">
        <v>4535</v>
      </c>
      <c r="B2268" s="1">
        <v>13358</v>
      </c>
      <c r="C2268" s="3">
        <v>44079.541539351849</v>
      </c>
      <c r="D2268" s="1" t="s">
        <v>4536</v>
      </c>
      <c r="E2268" s="4" t="str">
        <f ca="1">IFERROR(__xludf.DUMMYFUNCTION("GOOGLETRANSLATE(A2268 , ""tr"" , ""en"")"),"We continue to strengthen our health system. PROF. Dr. Süleyman Yalçın City Hospital SN. Opened to service with the participation of our president. Our hospital has high capacity and technology. Turkey will continue to make the difference in the world wit"&amp;"h the health system. https://t.co/n3jkncxyif")</f>
        <v>We continue to strengthen our health system. PROF. Dr. Süleyman Yalçın City Hospital SN. Opened to service with the participation of our president. Our hospital has high capacity and technology. Turkey will continue to make the difference in the world with the health system. https://t.co/n3jkncxyif</v>
      </c>
    </row>
    <row r="2269" spans="1:5" ht="15.75" customHeight="1" x14ac:dyDescent="0.25">
      <c r="A2269" s="1" t="s">
        <v>4537</v>
      </c>
      <c r="B2269" s="1">
        <v>54138</v>
      </c>
      <c r="C2269" s="3">
        <v>44079.289756944447</v>
      </c>
      <c r="D2269" s="1" t="s">
        <v>4538</v>
      </c>
      <c r="E2269" s="4" t="str">
        <f ca="1">IFERROR(__xludf.DUMMYFUNCTION("GOOGLETRANSLATE(A2269 , ""tr"" , ""en"")"),"The salaries of family health workers will not be interrupted with family physicians who are unable to be affected by the epidemic. In addition, COVID-19 patients will be given additional payment for 3 months. Get auspicious to our health workers who are "&amp;"unrequited of their labor.")</f>
        <v>The salaries of family health workers will not be interrupted with family physicians who are unable to be affected by the epidemic. In addition, COVID-19 patients will be given additional payment for 3 months. Get auspicious to our health workers who are unrequited of their labor.</v>
      </c>
    </row>
    <row r="2270" spans="1:5" ht="15.75" customHeight="1" x14ac:dyDescent="0.25">
      <c r="A2270" s="1" t="s">
        <v>4539</v>
      </c>
      <c r="B2270" s="1">
        <v>23706</v>
      </c>
      <c r="C2270" s="3">
        <v>44078.873067129629</v>
      </c>
      <c r="D2270" s="1" t="s">
        <v>4540</v>
      </c>
      <c r="E2270" s="4" t="str">
        <f ca="1">IFERROR(__xludf.DUMMYFUNCTION("GOOGLETRANSLATE(A2270 , ""tr"" , ""en"")"),"With the high technological equipment and service capacity, we will be one of the most important health centers of Istanbul, Tektepe City Hospital Troll to 15.00 tomorrow. Our strong health infrastructure is our greatest security. Believe in this power. h"&amp;"ttps://t.co/jhsyvyg3tc")</f>
        <v>With the high technological equipment and service capacity, we will be one of the most important health centers of Istanbul, Tektepe City Hospital Troll to 15.00 tomorrow. Our strong health infrastructure is our greatest security. Believe in this power. https://t.co/jhsyvyg3tc</v>
      </c>
    </row>
    <row r="2271" spans="1:5" ht="15.75" customHeight="1" x14ac:dyDescent="0.25">
      <c r="A2271" s="1" t="s">
        <v>4541</v>
      </c>
      <c r="B2271" s="1">
        <v>25440</v>
      </c>
      <c r="C2271" s="3">
        <v>44078.682233796295</v>
      </c>
      <c r="D2271" s="1" t="s">
        <v>4542</v>
      </c>
      <c r="E2271" s="4" t="str">
        <f ca="1">IFERROR(__xludf.DUMMYFUNCTION("GOOGLETRANSLATE(A2271 , ""tr"" , ""en"")"),"There were 117.113 new tests in 200 laboratories today. The increase in severe patients continues to increase. Our recovering patient count is still less than our new patients. The period is the period of power to struggle and measure. Let's be unity. htt"&amp;"ps://t.co/rvlhe7786o")</f>
        <v>There were 117.113 new tests in 200 laboratories today. The increase in severe patients continues to increase. Our recovering patient count is still less than our new patients. The period is the period of power to struggle and measure. Let's be unity. https://t.co/rvlhe7786o</v>
      </c>
    </row>
    <row r="2272" spans="1:5" ht="15.75" customHeight="1" x14ac:dyDescent="0.25">
      <c r="A2272" s="1" t="s">
        <v>4543</v>
      </c>
      <c r="B2272" s="1">
        <v>6455</v>
      </c>
      <c r="C2272" s="3">
        <v>44078.659282407411</v>
      </c>
      <c r="D2272" s="1" t="s">
        <v>4544</v>
      </c>
      <c r="E2272" s="4" t="str">
        <f ca="1">IFERROR(__xludf.DUMMYFUNCTION("GOOGLETRANSLATE(A2272 , ""tr"" , ""en"")"),"Mardin, Şanlıurfa, Batman, Siirt, Şanıt and Diyarbakır have realized COVID-19 outbreak assessment meetings.
📍diyarbakır
https://t.co/hiksjgtu2u")</f>
        <v>Mardin, Şanlıurfa, Batman, Siirt, Şanıt and Diyarbakır have realized COVID-19 outbreak assessment meetings.
📍diyarbakır
https://t.co/hiksjgtu2u</v>
      </c>
    </row>
    <row r="2273" spans="1:5" ht="15.75" customHeight="1" x14ac:dyDescent="0.25">
      <c r="A2273" s="1" t="s">
        <v>4545</v>
      </c>
      <c r="B2273" s="1">
        <v>12004</v>
      </c>
      <c r="C2273" s="3">
        <v>44078.621168981481</v>
      </c>
      <c r="D2273" s="1" t="s">
        <v>4546</v>
      </c>
      <c r="E2273" s="4" t="str">
        <f ca="1">IFERROR(__xludf.DUMMYFUNCTION("GOOGLETRANSLATE(A2273 , ""tr"" , ""en"")"),"Mardin, Şanlıurfa, Batman, Siirt and the health managers of our Sirnak provinces and other senior health managers, we evaluated the course and planned health investments in these provinces. The period is the period of power in the struggle and measure. Le"&amp;"t's be unity. https://t.co/IMXllHrnly")</f>
        <v>Mardin, Şanlıurfa, Batman, Siirt and the health managers of our Sirnak provinces and other senior health managers, we evaluated the course and planned health investments in these provinces. The period is the period of power in the struggle and measure. Let's be unity. https://t.co/IMXllHrnly</v>
      </c>
    </row>
    <row r="2274" spans="1:5" ht="15.75" customHeight="1" x14ac:dyDescent="0.25">
      <c r="A2274" s="1" t="s">
        <v>4547</v>
      </c>
      <c r="B2274" s="1">
        <v>10466</v>
      </c>
      <c r="C2274" s="3">
        <v>44078.382789351854</v>
      </c>
      <c r="D2274" s="1" t="s">
        <v>4548</v>
      </c>
      <c r="E2274" s="4" t="str">
        <f ca="1">IFERROR(__xludf.DUMMYFUNCTION("GOOGLETRANSLATE(A2274 , ""tr"" , ""en"")"),"Diyarbakır Governor, our Provincial Health Manager, Field Coordinators, the participation of our hospital heads and the participation of our relevant chairiers, we realized our Diyarbakır provincial evaluation meeting. https://t.co/k8kk4ysvly")</f>
        <v>Diyarbakır Governor, our Provincial Health Manager, Field Coordinators, the participation of our hospital heads and the participation of our relevant chairiers, we realized our Diyarbakır provincial evaluation meeting. https://t.co/k8kk4ysvly</v>
      </c>
    </row>
    <row r="2275" spans="1:5" ht="15.75" customHeight="1" x14ac:dyDescent="0.25">
      <c r="A2275" s="1" t="s">
        <v>4549</v>
      </c>
      <c r="B2275" s="1">
        <v>16807</v>
      </c>
      <c r="C2275" s="3">
        <v>44078.348252314812</v>
      </c>
      <c r="D2275" s="1" t="s">
        <v>4550</v>
      </c>
      <c r="E2275" s="4" t="str">
        <f ca="1">IFERROR(__xludf.DUMMYFUNCTION("GOOGLETRANSLATE(A2275 , ""tr"" , ""en"")"),"We are in Diyarbakır to make evaluations on the course of the COVID-19 epidemic in the region. https://t.co/8p8o6jfdbg")</f>
        <v>We are in Diyarbakır to make evaluations on the course of the COVID-19 epidemic in the region. https://t.co/8p8o6jfdbg</v>
      </c>
    </row>
    <row r="2276" spans="1:5" ht="15.75" customHeight="1" x14ac:dyDescent="0.25">
      <c r="A2276" s="1" t="s">
        <v>4551</v>
      </c>
      <c r="B2276" s="1">
        <v>11043</v>
      </c>
      <c r="C2276" s="3">
        <v>44077.753252314818</v>
      </c>
      <c r="D2276" s="1" t="s">
        <v>4552</v>
      </c>
      <c r="E2276" s="4" t="str">
        <f ca="1">IFERROR(__xludf.DUMMYFUNCTION("GOOGLETRANSLATE(A2276 , ""tr"" , ""en"")"),"Head of Cassation with the beginning of the new judgment year. Mehmet Akar, Court Prosecutor SN. Bekir Hawk and Chairman of the Council of State sec. I presented my good wishes by visiting Clever Yiğit. https://t.co/4kxe4gz6it")</f>
        <v>Head of Cassation with the beginning of the new judgment year. Mehmet Akar, Court Prosecutor SN. Bekir Hawk and Chairman of the Council of State sec. I presented my good wishes by visiting Clever Yiğit. https://t.co/4kxe4gz6it</v>
      </c>
    </row>
    <row r="2277" spans="1:5" ht="15.75" customHeight="1" x14ac:dyDescent="0.25">
      <c r="A2277" s="1" t="s">
        <v>4553</v>
      </c>
      <c r="B2277" s="1">
        <v>27203</v>
      </c>
      <c r="C2277" s="3">
        <v>44077.675335648149</v>
      </c>
      <c r="D2277" s="1" t="s">
        <v>4554</v>
      </c>
      <c r="E2277" s="4" t="str">
        <f ca="1">IFERROR(__xludf.DUMMYFUNCTION("GOOGLETRANSLATE(A2277 , ""tr"" , ""en"")"),"Pneumonia rates in our five most patients; Ankara: 4.7%, Istanbul: 4.61%, Konya: 8.78%, Kayseri: 6.49%, Diyarbakır: 8.37%. The power is in a measure. https://t.co/rvlhe7786o")</f>
        <v>Pneumonia rates in our five most patients; Ankara: 4.7%, Istanbul: 4.61%, Konya: 8.78%, Kayseri: 6.49%, Diyarbakır: 8.37%. The power is in a measure. https://t.co/rvlhe7786o</v>
      </c>
    </row>
    <row r="2278" spans="1:5" ht="15.75" customHeight="1" x14ac:dyDescent="0.25">
      <c r="A2278" s="1" t="s">
        <v>4555</v>
      </c>
      <c r="B2278" s="1">
        <v>11809</v>
      </c>
      <c r="C2278" s="3">
        <v>44077.612511574072</v>
      </c>
      <c r="D2278" s="1" t="s">
        <v>4556</v>
      </c>
      <c r="E2278" s="4" t="str">
        <f ca="1">IFERROR(__xludf.DUMMYFUNCTION("GOOGLETRANSLATE(A2278 , ""tr"" , ""en"")"),"Our Health Employees do not remain at risking their lives in order to make their likes to loved the patients caught in coronavirus; They deprive themselves from their children, their families, loves and social circles. https://t.co/foesabl7fi")</f>
        <v>Our Health Employees do not remain at risking their lives in order to make their likes to loved the patients caught in coronavirus; They deprive themselves from their children, their families, loves and social circles. https://t.co/foesabl7fi</v>
      </c>
    </row>
    <row r="2279" spans="1:5" ht="15.75" customHeight="1" x14ac:dyDescent="0.25">
      <c r="A2279" s="1" t="s">
        <v>4557</v>
      </c>
      <c r="B2279" s="1">
        <v>44858</v>
      </c>
      <c r="C2279" s="3">
        <v>44077.531284722223</v>
      </c>
      <c r="D2279" s="1" t="s">
        <v>4558</v>
      </c>
      <c r="E2279" s="4" t="str">
        <f ca="1">IFERROR(__xludf.DUMMYFUNCTION("GOOGLETRANSLATE(A2279 , ""tr"" , ""en"")"),"Binali Yıldırım Bey and Precious Wife Semiha Hanim's COVID-19 tests were positive in our audit in Ankara city hospital. Currently, the situations were good and we have led themselves from our hospital for treatments at home. Our strength is enough to take"&amp;" measures and to protect our loved ones. https://t.co/LGZF1TGXFI")</f>
        <v>Binali Yıldırım Bey and Precious Wife Semiha Hanim's COVID-19 tests were positive in our audit in Ankara city hospital. Currently, the situations were good and we have led themselves from our hospital for treatments at home. Our strength is enough to take measures and to protect our loved ones. https://t.co/LGZF1TGXFI</v>
      </c>
    </row>
    <row r="2280" spans="1:5" ht="15.75" customHeight="1" x14ac:dyDescent="0.25">
      <c r="A2280" s="1" t="s">
        <v>4559</v>
      </c>
      <c r="B2280" s="1">
        <v>18066</v>
      </c>
      <c r="C2280" s="3">
        <v>44077.417233796295</v>
      </c>
      <c r="D2280" s="1" t="s">
        <v>4560</v>
      </c>
      <c r="E2280" s="4" t="str">
        <f ca="1">IFERROR(__xludf.DUMMYFUNCTION("GOOGLETRANSLATE(A2280 , ""tr"" , ""en"")"),"Our engagements and wedding, with the happiest moments of our lives, no cause of the condemnation. I believe in your understanding. https://t.co/awaoqmr0rr")</f>
        <v>Our engagements and wedding, with the happiest moments of our lives, no cause of the condemnation. I believe in your understanding. https://t.co/awaoqmr0rr</v>
      </c>
    </row>
    <row r="2281" spans="1:5" ht="15.75" customHeight="1" x14ac:dyDescent="0.25">
      <c r="A2281" s="1" t="s">
        <v>4561</v>
      </c>
      <c r="B2281" s="1">
        <v>9400</v>
      </c>
      <c r="C2281" s="3">
        <v>44077.385208333333</v>
      </c>
      <c r="D2281" s="1" t="s">
        <v>4562</v>
      </c>
      <c r="E2281" s="4" t="str">
        <f ca="1">IFERROR(__xludf.DUMMYFUNCTION("GOOGLETRANSLATE(A2281 , ""tr"" , ""en"")"),"Our HEPP Code and Filiation Practices are the most effective ways we use to follow and spread the ways that the virus is infected. Success will come with all of us with dedication and joint work. https://t.co/djjizmdoyc")</f>
        <v>Our HEPP Code and Filiation Practices are the most effective ways we use to follow and spread the ways that the virus is infected. Success will come with all of us with dedication and joint work. https://t.co/djjizmdoyc</v>
      </c>
    </row>
    <row r="2282" spans="1:5" ht="15.75" customHeight="1" x14ac:dyDescent="0.25">
      <c r="A2282" s="1" t="s">
        <v>4563</v>
      </c>
      <c r="B2282" s="1">
        <v>23310</v>
      </c>
      <c r="C2282" s="3">
        <v>44076.916724537034</v>
      </c>
      <c r="D2282" s="1" t="s">
        <v>4564</v>
      </c>
      <c r="E2282" s="4" t="str">
        <f ca="1">IFERROR(__xludf.DUMMYFUNCTION("GOOGLETRANSLATE(A2282 , ""tr"" , ""en"")"),"Each health personnel stand with their arms on the bridge between your life. Let us show the necessary respect, thank you to know a debt ... https://t.co/rocvgpx0aa")</f>
        <v>Each health personnel stand with their arms on the bridge between your life. Let us show the necessary respect, thank you to know a debt ... https://t.co/rocvgpx0aa</v>
      </c>
    </row>
    <row r="2283" spans="1:5" ht="15.75" customHeight="1" x14ac:dyDescent="0.25">
      <c r="A2283" s="1" t="s">
        <v>4565</v>
      </c>
      <c r="B2283" s="1">
        <v>29818</v>
      </c>
      <c r="C2283" s="3">
        <v>44076.723101851851</v>
      </c>
      <c r="D2283" s="1" t="s">
        <v>4566</v>
      </c>
      <c r="E2283" s="4" t="str">
        <f ca="1">IFERROR(__xludf.DUMMYFUNCTION("GOOGLETRANSLATE(A2283 , ""tr"" , ""en"")"),"Today our active case count increased 649. Our heavy patient count is over 1,000. We have to reduce our life losses and protect our loved ones. This is possible with the measure. The power is in a measure. https://t.co/rvlhe7786o")</f>
        <v>Today our active case count increased 649. Our heavy patient count is over 1,000. We have to reduce our life losses and protect our loved ones. This is possible with the measure. The power is in a measure. https://t.co/rvlhe7786o</v>
      </c>
    </row>
    <row r="2284" spans="1:5" ht="15.75" customHeight="1" x14ac:dyDescent="0.25">
      <c r="A2284" s="1" t="s">
        <v>4567</v>
      </c>
      <c r="B2284" s="1">
        <v>13282</v>
      </c>
      <c r="C2284" s="3">
        <v>44076.719872685186</v>
      </c>
      <c r="D2284" s="1" t="s">
        <v>4568</v>
      </c>
      <c r="E2284" s="4" t="str">
        <f ca="1">IFERROR(__xludf.DUMMYFUNCTION("GOOGLETRANSLATE(A2284 , ""tr"" , ""en"")"),"In terms of the proposal of our Community Sciences Board, you will be able to follow the daily and weekly more detailed information from HTTPS://t.co/rvlhe7786o. I will continue to share important developments with you.")</f>
        <v>In terms of the proposal of our Community Sciences Board, you will be able to follow the daily and weekly more detailed information from HTTPS://t.co/rvlhe7786o. I will continue to share important developments with you.</v>
      </c>
    </row>
    <row r="2285" spans="1:5" ht="15.75" customHeight="1" x14ac:dyDescent="0.25">
      <c r="A2285" s="1" t="s">
        <v>4569</v>
      </c>
      <c r="B2285" s="1">
        <v>9753</v>
      </c>
      <c r="C2285" s="3">
        <v>44076.71234953704</v>
      </c>
      <c r="D2285" s="1" t="s">
        <v>4570</v>
      </c>
      <c r="E2285" s="4" t="str">
        <f ca="1">IFERROR(__xludf.DUMMYFUNCTION("GOOGLETRANSLATE(A2285 , ""tr"" , ""en"")"),"After our Science Board meeting, the latest developments on the coronavirus and the new measures we receive.
📍Public Ministry Bilkent Campus / Ankara
https://t.co/txraeri7k0")</f>
        <v>After our Science Board meeting, the latest developments on the coronavirus and the new measures we receive.
📍Public Ministry Bilkent Campus / Ankara
https://t.co/txraeri7k0</v>
      </c>
    </row>
    <row r="2286" spans="1:5" ht="15.75" customHeight="1" x14ac:dyDescent="0.25">
      <c r="A2286" s="1" t="s">
        <v>4571</v>
      </c>
      <c r="B2286" s="1">
        <v>43286</v>
      </c>
      <c r="C2286" s="3">
        <v>44075.667037037034</v>
      </c>
      <c r="D2286" s="1" t="s">
        <v>4572</v>
      </c>
      <c r="E2286" s="4" t="str">
        <f ca="1">IFERROR(__xludf.DUMMYFUNCTION("GOOGLETRANSLATE(A2286 , ""tr"" , ""en"")"),"It is fully compliant with the measures that will also end the number of our losses and severe patients. Our active patient count continues to increase. We will be the winner of the measures. The power is in a measure. https://t.co/rvlhe7786o https://t.co"&amp;"/cvwuhe6pae")</f>
        <v>It is fully compliant with the measures that will also end the number of our losses and severe patients. Our active patient count continues to increase. We will be the winner of the measures. The power is in a measure. https://t.co/rvlhe7786o https://t.co/cvwuhe6pae</v>
      </c>
    </row>
    <row r="2287" spans="1:5" ht="15.75" customHeight="1" x14ac:dyDescent="0.25">
      <c r="A2287" s="1" t="s">
        <v>4573</v>
      </c>
      <c r="B2287" s="1">
        <v>19106</v>
      </c>
      <c r="C2287" s="3">
        <v>44075.631886574076</v>
      </c>
      <c r="D2287" s="1" t="s">
        <v>4574</v>
      </c>
      <c r="E2287" s="4" t="str">
        <f ca="1">IFERROR(__xludf.DUMMYFUNCTION("GOOGLETRANSLATE(A2287 , ""tr"" , ""en"")"),"""Sometimes that breath doesn't come back."" Alpaslan Ear on the experience of fighting the disease. HTTPS://T.CO/FK9NHG4SQI")</f>
        <v>"Sometimes that breath doesn't come back." Alpaslan Ear on the experience of fighting the disease. HTTPS://T.CO/FK9NHG4SQI</v>
      </c>
    </row>
    <row r="2288" spans="1:5" ht="15.75" customHeight="1" x14ac:dyDescent="0.25">
      <c r="A2288" s="1" t="s">
        <v>4575</v>
      </c>
      <c r="B2288" s="1">
        <v>40478</v>
      </c>
      <c r="C2288" s="3">
        <v>44074.666770833333</v>
      </c>
      <c r="D2288" s="1" t="s">
        <v>4576</v>
      </c>
      <c r="E2288" s="4" t="str">
        <f ca="1">IFERROR(__xludf.DUMMYFUNCTION("GOOGLETRANSLATE(A2288 , ""tr"" , ""en"")"),"We have reached the highest number of daily tests today. More than 110,000 tests were performed. 1,587 new patients were detected. The sadness of our life losses cannot express numbers as well. Our strength is enough to take measures and to protect our lo"&amp;"ved ones. The power is in a measure. https://t.co/rvlhe7786o https://t.co/lqyvq5h2sb")</f>
        <v>We have reached the highest number of daily tests today. More than 110,000 tests were performed. 1,587 new patients were detected. The sadness of our life losses cannot express numbers as well. Our strength is enough to take measures and to protect our loved ones. The power is in a measure. https://t.co/rvlhe7786o https://t.co/lqyvq5h2sb</v>
      </c>
    </row>
    <row r="2289" spans="1:5" ht="15.75" customHeight="1" x14ac:dyDescent="0.25">
      <c r="A2289" s="1" t="s">
        <v>4577</v>
      </c>
      <c r="B2289" s="1">
        <v>162088</v>
      </c>
      <c r="C2289" s="3">
        <v>44074.561168981483</v>
      </c>
      <c r="D2289" s="1" t="s">
        <v>4578</v>
      </c>
      <c r="E2289" s="4" t="str">
        <f ca="1">IFERROR(__xludf.DUMMYFUNCTION("GOOGLETRANSLATE(A2289 , ""tr"" , ""en"")"),"Büşra I've met with our daughter on the phone. May everyone know that our health workers and all women are next to the end of the rights. Our Union is our union, sharing and solidarity symbol. Endless thanks to everyone who lives this tradition.")</f>
        <v>Büşra I've met with our daughter on the phone. May everyone know that our health workers and all women are next to the end of the rights. Our Union is our union, sharing and solidarity symbol. Endless thanks to everyone who lives this tradition.</v>
      </c>
    </row>
    <row r="2290" spans="1:5" ht="15.75" customHeight="1" x14ac:dyDescent="0.25">
      <c r="A2290" s="1" t="s">
        <v>4579</v>
      </c>
      <c r="B2290" s="1">
        <v>41592</v>
      </c>
      <c r="C2290" s="3">
        <v>44073.671111111114</v>
      </c>
      <c r="D2290" s="1" t="s">
        <v>4580</v>
      </c>
      <c r="E2290" s="4" t="str">
        <f ca="1">IFERROR(__xludf.DUMMYFUNCTION("GOOGLETRANSLATE(A2290 , ""tr"" , ""en"")"),"Was less test demand for yesterday. However, although we have 1,482 new patients. Our severe patient count is increasing. This is also increasing the number of languages ​​we lost. We can achieve if we always carry out the challenge. The power is in a mea"&amp;"sure. https://t.co/rvlhe7786o https://t.co/pyx1uvptdg")</f>
        <v>Was less test demand for yesterday. However, although we have 1,482 new patients. Our severe patient count is increasing. This is also increasing the number of languages ​​we lost. We can achieve if we always carry out the challenge. The power is in a measure. https://t.co/rvlhe7786o https://t.co/pyx1uvptdg</v>
      </c>
    </row>
    <row r="2291" spans="1:5" ht="15.75" customHeight="1" x14ac:dyDescent="0.25">
      <c r="A2291" s="1" t="s">
        <v>4581</v>
      </c>
      <c r="B2291" s="1">
        <v>14842</v>
      </c>
      <c r="C2291" s="3">
        <v>44073.479467592595</v>
      </c>
      <c r="D2291" s="1" t="s">
        <v>4582</v>
      </c>
      <c r="E2291" s="4" t="str">
        <f ca="1">IFERROR(__xludf.DUMMYFUNCTION("GOOGLETRANSLATE(A2291 , ""tr"" , ""en"")"),"At # 30Ağustos Victory Day, we were in the spiritual peace of Gazi Mustafa Kemal Ataturk. We are grateful to all our martyrs and veterans that put out in homeland defendant. https://t.co/qsmdae2xdu")</f>
        <v>At # 30Ağustos Victory Day, we were in the spiritual peace of Gazi Mustafa Kemal Ataturk. We are grateful to all our martyrs and veterans that put out in homeland defendant. https://t.co/qsmdae2xdu</v>
      </c>
    </row>
    <row r="2292" spans="1:5" ht="15.75" customHeight="1" x14ac:dyDescent="0.25">
      <c r="A2292" s="1" t="s">
        <v>4583</v>
      </c>
      <c r="B2292" s="1">
        <v>22382</v>
      </c>
      <c r="C2292" s="3">
        <v>44073.420231481483</v>
      </c>
      <c r="D2292" s="1" t="s">
        <v>4584</v>
      </c>
      <c r="E2292" s="4" t="str">
        <f ca="1">IFERROR(__xludf.DUMMYFUNCTION("GOOGLETRANSLATE(A2292 , ""tr"" , ""en"")"),"30 August; Not only is the victory of a success earned with a gun. A nation, the most supreme human values ​​are the symbol of the history scene of the history scene under the leadership of the major control Gazi Mustafa Kemal Atatürk. I remember all of o"&amp;"ur veterans and martyrs. https://t.co/y74kdsxwin")</f>
        <v>30 August; Not only is the victory of a success earned with a gun. A nation, the most supreme human values ​​are the symbol of the history scene of the history scene under the leadership of the major control Gazi Mustafa Kemal Atatürk. I remember all of our veterans and martyrs. https://t.co/y74kdsxwin</v>
      </c>
    </row>
    <row r="2293" spans="1:5" ht="15.75" customHeight="1" x14ac:dyDescent="0.25">
      <c r="A2293" s="1" t="s">
        <v>4585</v>
      </c>
      <c r="B2293" s="1">
        <v>36362</v>
      </c>
      <c r="C2293" s="3">
        <v>44072.694687499999</v>
      </c>
      <c r="D2293" s="1" t="s">
        <v>4586</v>
      </c>
      <c r="E2293" s="4" t="str">
        <f ca="1">IFERROR(__xludf.DUMMYFUNCTION("GOOGLETRANSLATE(A2293 , ""tr"" , ""en"")"),"We tested a total of 7 million tests. 546 people added to the active patient count today. The patient number of ushell is over 6,000 in total. The increase in severe patients continues to increase. We cannot be loose in compliance with the measures. The p"&amp;"ower is in a measure. https://t.co/rvlhe7786o https://t.co/sabolentlv")</f>
        <v>We tested a total of 7 million tests. 546 people added to the active patient count today. The patient number of ushell is over 6,000 in total. The increase in severe patients continues to increase. We cannot be loose in compliance with the measures. The power is in a measure. https://t.co/rvlhe7786o https://t.co/sabolentlv</v>
      </c>
    </row>
    <row r="2294" spans="1:5" ht="15.75" customHeight="1" x14ac:dyDescent="0.25">
      <c r="A2294" s="1" t="s">
        <v>4587</v>
      </c>
      <c r="B2294" s="1">
        <v>14975</v>
      </c>
      <c r="C2294" s="3">
        <v>44071.844976851855</v>
      </c>
      <c r="D2294" s="1" t="s">
        <v>4588</v>
      </c>
      <c r="E2294" s="4" t="str">
        <f ca="1">IFERROR(__xludf.DUMMYFUNCTION("GOOGLETRANSLATE(A2294 , ""tr"" , ""en"")"),"In the provincial evaluation meetings; Rize, Van, Army, Kütahya, Eskisehir, Pain Governors, Provincial Health Directors, we met at 6 separate video conferences. The current situation addressed the causes of case increases. We instructed to be initiated ra"&amp;"pidly to filion and treatments. https://t.co/Aklfgkrolo")</f>
        <v>In the provincial evaluation meetings; Rize, Van, Army, Kütahya, Eskisehir, Pain Governors, Provincial Health Directors, we met at 6 separate video conferences. The current situation addressed the causes of case increases. We instructed to be initiated rapidly to filion and treatments. https://t.co/Aklfgkrolo</v>
      </c>
    </row>
    <row r="2295" spans="1:5" ht="15.75" customHeight="1" x14ac:dyDescent="0.25">
      <c r="A2295" s="1" t="s">
        <v>4589</v>
      </c>
      <c r="B2295" s="1">
        <v>16985</v>
      </c>
      <c r="C2295" s="3">
        <v>44071.773032407407</v>
      </c>
      <c r="D2295" s="1" t="s">
        <v>4590</v>
      </c>
      <c r="E2295" s="4" t="str">
        <f ca="1">IFERROR(__xludf.DUMMYFUNCTION("GOOGLETRANSLATE(A2295 , ""tr"" , ""en"")"),"COVID-19, a health worker who is eaten in our friend: ""I experienced both body health and psychologically. said. We are not only responsible for our own life in the fight against virus. https://t.co/vsuvyqwlwh")</f>
        <v>COVID-19, a health worker who is eaten in our friend: "I experienced both body health and psychologically. said. We are not only responsible for our own life in the fight against virus. https://t.co/vsuvyqwlwh</v>
      </c>
    </row>
    <row r="2296" spans="1:5" ht="15.75" customHeight="1" x14ac:dyDescent="0.25">
      <c r="A2296" s="1" t="s">
        <v>4591</v>
      </c>
      <c r="B2296" s="1">
        <v>43419</v>
      </c>
      <c r="C2296" s="3">
        <v>44071.674224537041</v>
      </c>
      <c r="D2296" s="1" t="s">
        <v>4592</v>
      </c>
      <c r="E2296" s="4" t="str">
        <f ca="1">IFERROR(__xludf.DUMMYFUNCTION("GOOGLETRANSLATE(A2296 , ""tr"" , ""en"")"),"We have more than 1,517 patients today. The number of recovery is over 1,000. Our active patient count also continues to increase our severe patients. We lost more than 36 more today. The number of patients also complies with the measures that will reduce"&amp;" life losses. https://t.co/rvlhe7786o https://t.co/4eexrlrueu")</f>
        <v>We have more than 1,517 patients today. The number of recovery is over 1,000. Our active patient count also continues to increase our severe patients. We lost more than 36 more today. The number of patients also complies with the measures that will reduce life losses. https://t.co/rvlhe7786o https://t.co/4eexrlrueu</v>
      </c>
    </row>
    <row r="2297" spans="1:5" ht="15.75" customHeight="1" x14ac:dyDescent="0.25">
      <c r="A2297" s="1" t="s">
        <v>4593</v>
      </c>
      <c r="B2297" s="1">
        <v>39128</v>
      </c>
      <c r="C2297" s="3">
        <v>44071.467916666668</v>
      </c>
      <c r="D2297" s="1" t="s">
        <v>4594</v>
      </c>
      <c r="E2297" s="4" t="str">
        <f ca="1">IFERROR(__xludf.DUMMYFUNCTION("GOOGLETRANSLATE(A2297 , ""tr"" , ""en"")"),"Do not step out of the house.
Our patients who should be positively out of the test result and do not go out at home for 14 days. Note that the virus can cause severe disease processes and even deaths by infecting others. https://t.co/emd2ytzwra")</f>
        <v>Do not step out of the house.
Our patients who should be positively out of the test result and do not go out at home for 14 days. Note that the virus can cause severe disease processes and even deaths by infecting others. https://t.co/emd2ytzwra</v>
      </c>
    </row>
    <row r="2298" spans="1:5" ht="15.75" customHeight="1" x14ac:dyDescent="0.25">
      <c r="A2298" s="1" t="s">
        <v>4595</v>
      </c>
      <c r="B2298" s="1">
        <v>14125</v>
      </c>
      <c r="C2298" s="3">
        <v>44070.86546296296</v>
      </c>
      <c r="D2298" s="1" t="s">
        <v>4596</v>
      </c>
      <c r="E2298" s="4" t="str">
        <f ca="1">IFERROR(__xludf.DUMMYFUNCTION("GOOGLETRANSLATE(A2298 , ""tr"" , ""en"")"),"Today, we had a meeting with 18 provinces. We met with health managers individually in the conference. New developments related to the epidemic have addressed the causes of the case increase and the measures to be taken in the provinces. We have shared ne"&amp;"w approaches in diagnosis and treatment. https://t.co/at889b8UVI")</f>
        <v>Today, we had a meeting with 18 provinces. We met with health managers individually in the conference. New developments related to the epidemic have addressed the causes of the case increase and the measures to be taken in the provinces. We have shared new approaches in diagnosis and treatment. https://t.co/at889b8UVI</v>
      </c>
    </row>
    <row r="2299" spans="1:5" ht="15.75" customHeight="1" x14ac:dyDescent="0.25">
      <c r="A2299" s="1" t="s">
        <v>4597</v>
      </c>
      <c r="B2299" s="1">
        <v>37935</v>
      </c>
      <c r="C2299" s="3">
        <v>44070.672071759262</v>
      </c>
      <c r="D2299" s="1" t="s">
        <v>4598</v>
      </c>
      <c r="E2299" s="4" t="str">
        <f ca="1">IFERROR(__xludf.DUMMYFUNCTION("GOOGLETRANSLATE(A2299 , ""tr"" , ""en"")"),"Our recent number of patients recently improved less than our new patients. The way to keep the active patient count at the controlled limit, reduce the new number of patients. For today, the most applicable way to reduce the number of active patients is "&amp;"the measure. Will eventually be the virus that was eaten. https://t.co/rvlhe7786o https://t.co/4qoqduppzm")</f>
        <v>Our recent number of patients recently improved less than our new patients. The way to keep the active patient count at the controlled limit, reduce the new number of patients. For today, the most applicable way to reduce the number of active patients is the measure. Will eventually be the virus that was eaten. https://t.co/rvlhe7786o https://t.co/4qoqduppzm</v>
      </c>
    </row>
    <row r="2300" spans="1:5" ht="15.75" customHeight="1" x14ac:dyDescent="0.25">
      <c r="A2300" s="1" t="s">
        <v>4599</v>
      </c>
      <c r="B2300" s="1">
        <v>19842</v>
      </c>
      <c r="C2300" s="3">
        <v>44070.603877314818</v>
      </c>
      <c r="D2300" s="1" t="s">
        <v>4600</v>
      </c>
      <c r="E2300" s="4" t="str">
        <f ca="1">IFERROR(__xludf.DUMMYFUNCTION("GOOGLETRANSLATE(A2300 , ""tr"" , ""en"")"),"COVID-19 are the most important factor, measures that determine the test results. We will beat the virus by applying the rules of the mask, distance and hygiene. https://t.co/zgmncfwvsc")</f>
        <v>COVID-19 are the most important factor, measures that determine the test results. We will beat the virus by applying the rules of the mask, distance and hygiene. https://t.co/zgmncfwvsc</v>
      </c>
    </row>
    <row r="2301" spans="1:5" ht="15.75" customHeight="1" x14ac:dyDescent="0.25">
      <c r="A2301" s="1" t="s">
        <v>4601</v>
      </c>
      <c r="B2301" s="1">
        <v>23671</v>
      </c>
      <c r="C2301" s="3">
        <v>44070.41847222222</v>
      </c>
      <c r="D2301" s="1" t="s">
        <v>4602</v>
      </c>
      <c r="E2301" s="4" t="str">
        <f ca="1">IFERROR(__xludf.DUMMYFUNCTION("GOOGLETRANSLATE(A2301 , ""tr"" , ""en"")"),"In Tokat, a doctor friend who eats COVID-19, tells the disease process with the following statements: ""Your bones are hurting as if your bones are going to explode."" Let's not give the opportunity to find the human health in all conditions. The rules ar"&amp;"e our most powerful shield. https://t.co/cw39ycwzt5")</f>
        <v>In Tokat, a doctor friend who eats COVID-19, tells the disease process with the following statements: "Your bones are hurting as if your bones are going to explode." Let's not give the opportunity to find the human health in all conditions. The rules are our most powerful shield. https://t.co/cw39ycwzt5</v>
      </c>
    </row>
    <row r="2302" spans="1:5" ht="15.75" customHeight="1" x14ac:dyDescent="0.25">
      <c r="A2302" s="1" t="s">
        <v>4603</v>
      </c>
      <c r="B2302" s="1">
        <v>13349</v>
      </c>
      <c r="C2302" s="3">
        <v>44069.960393518515</v>
      </c>
      <c r="D2302" s="1" t="s">
        <v>4604</v>
      </c>
      <c r="E2302" s="4" t="str">
        <f ca="1">IFERROR(__xludf.DUMMYFUNCTION("GOOGLETRANSLATE(A2302 , ""tr"" , ""en"")"),"August 26 Provincial Evaluation Meetings. 6 We have made a separate meeting with the health managers of our provinces. New measures have addressed the needs on the field. Fast movement in the patient and contact detection, we instructed the treatment to s"&amp;"tart rapidly. https://t.co/kuj6caev4o")</f>
        <v>August 26 Provincial Evaluation Meetings. 6 We have made a separate meeting with the health managers of our provinces. New measures have addressed the needs on the field. Fast movement in the patient and contact detection, we instructed the treatment to start rapidly. https://t.co/kuj6caev4o</v>
      </c>
    </row>
    <row r="2303" spans="1:5" ht="15.75" customHeight="1" x14ac:dyDescent="0.25">
      <c r="A2303" s="1" t="s">
        <v>4605</v>
      </c>
      <c r="B2303" s="1">
        <v>16395</v>
      </c>
      <c r="C2303" s="3">
        <v>44069.692048611112</v>
      </c>
      <c r="D2303" s="1" t="s">
        <v>4606</v>
      </c>
      <c r="E2303" s="4" t="str">
        <f ca="1">IFERROR(__xludf.DUMMYFUNCTION("GOOGLETRANSLATE(A2303 , ""tr"" , ""en"")"),"Youth! You will not only build your own career with the knowledge, culture and training you will win at the university, you will also make directions to the fate of all humanity. Our young people who don't get the result they expect on this exam! Don't be"&amp;" grabbed at despair, trust yourself and your very much. You are us tomorrow https://t.co/fjIvzmexzk")</f>
        <v>Youth! You will not only build your own career with the knowledge, culture and training you will win at the university, you will also make directions to the fate of all humanity. Our young people who don't get the result they expect on this exam! Don't be grabbed at despair, trust yourself and your very much. You are us tomorrow https://t.co/fjIvzmexzk</v>
      </c>
    </row>
    <row r="2304" spans="1:5" ht="15.75" customHeight="1" x14ac:dyDescent="0.25">
      <c r="A2304" s="1" t="s">
        <v>4607</v>
      </c>
      <c r="B2304" s="1">
        <v>44763</v>
      </c>
      <c r="C2304" s="3">
        <v>44069.671909722223</v>
      </c>
      <c r="D2304" s="1" t="s">
        <v>4608</v>
      </c>
      <c r="E2304" s="4" t="str">
        <f ca="1">IFERROR(__xludf.DUMMYFUNCTION("GOOGLETRANSLATE(A2304 , ""tr"" , ""en"")"),"We had over 100 thousand tests today. We have 1,313 new patients as a result of these tests. We had to take special measures in some of our provinces. We can be successful in accordance with the measures. Will eventually be the virus that was eaten. https"&amp;"://t.co/rvlhe7786o https://t.co/o08g5t0swz")</f>
        <v>We had over 100 thousand tests today. We have 1,313 new patients as a result of these tests. We had to take special measures in some of our provinces. We can be successful in accordance with the measures. Will eventually be the virus that was eaten. https://t.co/rvlhe7786o https://t.co/o08g5t0swz</v>
      </c>
    </row>
    <row r="2305" spans="1:5" ht="15.75" customHeight="1" x14ac:dyDescent="0.25">
      <c r="A2305" s="1" t="s">
        <v>4609</v>
      </c>
      <c r="B2305" s="1">
        <v>40649</v>
      </c>
      <c r="C2305" s="3">
        <v>44068.724363425928</v>
      </c>
      <c r="D2305" s="1" t="s">
        <v>4610</v>
      </c>
      <c r="E2305" s="4" t="str">
        <f ca="1">IFERROR(__xludf.DUMMYFUNCTION("GOOGLETRANSLATE(A2305 , ""tr"" , ""en"")"),"We decorated each corner of these lands entrusted with Malazgirt victory with separate beauty. What is happy to know the asset of these lands we live in ... https://t.co/g0qw172dpo")</f>
        <v>We decorated each corner of these lands entrusted with Malazgirt victory with separate beauty. What is happy to know the asset of these lands we live in ... https://t.co/g0qw172dpo</v>
      </c>
    </row>
    <row r="2306" spans="1:5" ht="15.75" customHeight="1" x14ac:dyDescent="0.25">
      <c r="A2306" s="1" t="s">
        <v>4611</v>
      </c>
      <c r="B2306" s="1">
        <v>39031</v>
      </c>
      <c r="C2306" s="3">
        <v>44068.692627314813</v>
      </c>
      <c r="D2306" s="1" t="s">
        <v>4612</v>
      </c>
      <c r="E2306" s="4" t="str">
        <f ca="1">IFERROR(__xludf.DUMMYFUNCTION("GOOGLETRANSLATE(A2306 , ""tr"" , ""en"")"),"Today we have passed 6.5 million tests in total. We have more than 1,500 patients identified. To lower the new number of patients the most important goal of our challenge. This goal is to compliance with the measures to contribute. Will eventually be the "&amp;"virus that was eaten. https://t.co/rvlhe7786o https://t.co/8g59tkqgxn")</f>
        <v>Today we have passed 6.5 million tests in total. We have more than 1,500 patients identified. To lower the new number of patients the most important goal of our challenge. This goal is to compliance with the measures to contribute. Will eventually be the virus that was eaten. https://t.co/rvlhe7786o https://t.co/8g59tkqgxn</v>
      </c>
    </row>
    <row r="2307" spans="1:5" ht="15.75" customHeight="1" x14ac:dyDescent="0.25">
      <c r="A2307" s="1" t="s">
        <v>4613</v>
      </c>
      <c r="B2307" s="1">
        <v>72128</v>
      </c>
      <c r="C2307" s="3">
        <v>44068.57</v>
      </c>
      <c r="D2307" s="1" t="s">
        <v>4614</v>
      </c>
      <c r="E2307" s="4" t="str">
        <f ca="1">IFERROR(__xludf.DUMMYFUNCTION("GOOGLETRANSLATE(A2307 , ""tr"" , ""en"")"),"In the year of the Malazgirt victory, which made Anatolia for the Turks, we are in the year of Ecılın in Ahlat. https://t.co/1owfzlwerv")</f>
        <v>In the year of the Malazgirt victory, which made Anatolia for the Turks, we are in the year of Ecılın in Ahlat. https://t.co/1owfzlwerv</v>
      </c>
    </row>
    <row r="2308" spans="1:5" ht="15.75" customHeight="1" x14ac:dyDescent="0.25">
      <c r="A2308" s="1" t="s">
        <v>4615</v>
      </c>
      <c r="B2308" s="1">
        <v>0</v>
      </c>
      <c r="C2308" s="3">
        <v>44067.862650462965</v>
      </c>
      <c r="D2308" s="1" t="s">
        <v>4616</v>
      </c>
      <c r="E2308" s="4" t="str">
        <f ca="1">IFERROR(__xludf.DUMMYFUNCTION("GOOGLETRANSLATE(A2308 , ""tr"" , ""en"")"),"RT @Fahrettinaltun: For us #broving is great and strong in Turkey. Happy 15th of July from Malazgirt to the Happy National Walk of the Epes ...")</f>
        <v>RT @Fahrettinaltun: For us #broving is great and strong in Turkey. Happy 15th of July from Malazgirt to the Happy National Walk of the Epes ...</v>
      </c>
    </row>
    <row r="2309" spans="1:5" ht="15.75" customHeight="1" x14ac:dyDescent="0.25">
      <c r="A2309" s="1" t="s">
        <v>4617</v>
      </c>
      <c r="B2309" s="1">
        <v>0</v>
      </c>
      <c r="C2309" s="3">
        <v>44067.707569444443</v>
      </c>
      <c r="D2309" s="1" t="s">
        <v>4618</v>
      </c>
      <c r="E2309" s="4" t="str">
        <f ca="1">IFERROR(__xludf.DUMMYFUNCTION("GOOGLETRANSLATE(A2309 , ""tr"" , ""en"")"),"RT @rterdogan: Shouting Nation after Cabinet Meeting https://t.co/luurnln2nw")</f>
        <v>RT @rterdogan: Shouting Nation after Cabinet Meeting https://t.co/luurnln2nw</v>
      </c>
    </row>
    <row r="2310" spans="1:5" ht="15.75" customHeight="1" x14ac:dyDescent="0.25">
      <c r="A2310" s="1" t="s">
        <v>4619</v>
      </c>
      <c r="B2310" s="1">
        <v>40969</v>
      </c>
      <c r="C2310" s="3">
        <v>44067.68917824074</v>
      </c>
      <c r="D2310" s="1" t="s">
        <v>4620</v>
      </c>
      <c r="E2310" s="4" t="str">
        <f ca="1">IFERROR(__xludf.DUMMYFUNCTION("GOOGLETRANSLATE(A2310 , ""tr"" , ""en"")"),"Approximately 96 thousand tests today was 1.443 new patients were detected. Our severe patient count is around 800. Our health workers are trying to improve our patients with the power. The patient is the measures to reduce our number. Will eventually be "&amp;"the virus that was eaten. https://t.co/rvlhe7786o https://t.co/rz06ocxikx")</f>
        <v>Approximately 96 thousand tests today was 1.443 new patients were detected. Our severe patient count is around 800. Our health workers are trying to improve our patients with the power. The patient is the measures to reduce our number. Will eventually be the virus that was eaten. https://t.co/rvlhe7786o https://t.co/rz06ocxikx</v>
      </c>
    </row>
    <row r="2311" spans="1:5" ht="15.75" customHeight="1" x14ac:dyDescent="0.25">
      <c r="A2311" s="1" t="s">
        <v>4621</v>
      </c>
      <c r="B2311" s="1">
        <v>31952</v>
      </c>
      <c r="C2311" s="3">
        <v>44066.755937499998</v>
      </c>
      <c r="D2311" s="1" t="s">
        <v>4622</v>
      </c>
      <c r="E2311" s="4" t="str">
        <f ca="1">IFERROR(__xludf.DUMMYFUNCTION("GOOGLETRANSLATE(A2311 , ""tr"" , ""en"")"),"Due to the flood disaster in Giresun, I wish our sisters who lost their life from Allah to our wounded hurts. 112 Emergency and Umke teams, our helicopter ambulance is at the scene. Our state is next to all the facilities and our nation.")</f>
        <v>Due to the flood disaster in Giresun, I wish our sisters who lost their life from Allah to our wounded hurts. 112 Emergency and Umke teams, our helicopter ambulance is at the scene. Our state is next to all the facilities and our nation.</v>
      </c>
    </row>
    <row r="2312" spans="1:5" ht="15.75" customHeight="1" x14ac:dyDescent="0.25">
      <c r="A2312" s="1" t="s">
        <v>4623</v>
      </c>
      <c r="B2312" s="1">
        <v>30370</v>
      </c>
      <c r="C2312" s="3">
        <v>44066.739004629628</v>
      </c>
      <c r="D2312" s="1" t="s">
        <v>4624</v>
      </c>
      <c r="E2312" s="4" t="str">
        <f ca="1">IFERROR(__xludf.DUMMYFUNCTION("GOOGLETRANSLATE(A2312 , ""tr"" , ""en"")"),"More than 80,000 new tests were performed today. 1.217 The new patients were detected. In our severe patients, the increase in https://t.co/czcaqnosmhömononi The rate is at the control limit. Our strength is up to our measures. Will eventually be the viru"&amp;"s that was eaten. https://t.co/rvlhe7786o https://t.co/cdt13mwmmq")</f>
        <v>More than 80,000 new tests were performed today. 1.217 The new patients were detected. In our severe patients, the increase in https://t.co/czcaqnosmhömononi The rate is at the control limit. Our strength is up to our measures. Will eventually be the virus that was eaten. https://t.co/rvlhe7786o https://t.co/cdt13mwmmq</v>
      </c>
    </row>
    <row r="2313" spans="1:5" ht="15.75" customHeight="1" x14ac:dyDescent="0.25">
      <c r="A2313" s="1" t="s">
        <v>4625</v>
      </c>
      <c r="B2313" s="1">
        <v>45634</v>
      </c>
      <c r="C2313" s="3">
        <v>44065.829942129632</v>
      </c>
      <c r="D2313" s="1" t="s">
        <v>4626</v>
      </c>
      <c r="E2313" s="4" t="str">
        <f ca="1">IFERROR(__xludf.DUMMYFUNCTION("GOOGLETRANSLATE(A2313 , ""tr"" , ""en"")"),"Our X-ray technician was in the horizon Saka, when the fire went out. Understood to be COVID-19. The wife, our nurse is a positive out of our friend Tülay's test. They fought with disease as a patient. And they return to their duties. You have numerous he"&amp;"alth workers who do the same thing. https://t.co/laye3If9uz")</f>
        <v>Our X-ray technician was in the horizon Saka, when the fire went out. Understood to be COVID-19. The wife, our nurse is a positive out of our friend Tülay's test. They fought with disease as a patient. And they return to their duties. You have numerous health workers who do the same thing. https://t.co/laye3If9uz</v>
      </c>
    </row>
    <row r="2314" spans="1:5" ht="15.75" customHeight="1" x14ac:dyDescent="0.25">
      <c r="A2314" s="1" t="s">
        <v>4627</v>
      </c>
      <c r="B2314" s="1">
        <v>34156</v>
      </c>
      <c r="C2314" s="3">
        <v>44065.71638888889</v>
      </c>
      <c r="D2314" s="1" t="s">
        <v>4628</v>
      </c>
      <c r="E2314" s="4" t="str">
        <f ca="1">IFERROR(__xludf.DUMMYFUNCTION("GOOGLETRANSLATE(A2314 , ""tr"" , ""en"")"),"The number of patients diagnosed with, for a long time, more than heals. Failure to observe the rules; The disease is caught in disease, disease, cause one's heavy disease, causing the intensity in health services. Let's take measures. Will be the virus t"&amp;"hat was eaten. https://t.co/rvlhe7786o https://t.co/hfqinfnv3f")</f>
        <v>The number of patients diagnosed with, for a long time, more than heals. Failure to observe the rules; The disease is caught in disease, disease, cause one's heavy disease, causing the intensity in health services. Let's take measures. Will be the virus that was eaten. https://t.co/rvlhe7786o https://t.co/hfqinfnv3f</v>
      </c>
    </row>
    <row r="2315" spans="1:5" ht="15.75" customHeight="1" x14ac:dyDescent="0.25">
      <c r="A2315" s="1" t="s">
        <v>4629</v>
      </c>
      <c r="B2315" s="1">
        <v>15820</v>
      </c>
      <c r="C2315" s="3">
        <v>44065.648993055554</v>
      </c>
      <c r="D2315" s="1" t="s">
        <v>4630</v>
      </c>
      <c r="E2315" s="4" t="str">
        <f ca="1">IFERROR(__xludf.DUMMYFUNCTION("GOOGLETRANSLATE(A2315 , ""tr"" , ""en"")"),"Today, the death year anniversary of the Poet Turgut Family. We respect him with respect for our clearness, power that gives strength to our language. The master poet, which brings rooted changes to the poetry with a group of friends, he defended the mast"&amp;"ery of the mastery. To try and always stay in the fight. https://t.co/3uvtyh8gv7")</f>
        <v>Today, the death year anniversary of the Poet Turgut Family. We respect him with respect for our clearness, power that gives strength to our language. The master poet, which brings rooted changes to the poetry with a group of friends, he defended the mastery of the mastery. To try and always stay in the fight. https://t.co/3uvtyh8gv7</v>
      </c>
    </row>
    <row r="2316" spans="1:5" ht="15.75" customHeight="1" x14ac:dyDescent="0.25">
      <c r="A2316" s="1" t="s">
        <v>4631</v>
      </c>
      <c r="B2316" s="1">
        <v>39518</v>
      </c>
      <c r="C2316" s="3">
        <v>44065.441562499997</v>
      </c>
      <c r="D2316" s="1" t="s">
        <v>4632</v>
      </c>
      <c r="E2316" s="4" t="str">
        <f ca="1">IFERROR(__xludf.DUMMYFUNCTION("GOOGLETRANSLATE(A2316 , ""tr"" , ""en"")"),"""I think that my mother's virus is grabbed from the wedding. Because where he went to the wedding, they have been quarantined with many homes. No one is taking into account. He is currently going to the wedding to the funeral and condolence. But did this"&amp;" heart burn, nothing else is changed. ""
I. Grass https://t.co/dercgy4wst")</f>
        <v>"I think that my mother's virus is grabbed from the wedding. Because where he went to the wedding, they have been quarantined with many homes. No one is taking into account. He is currently going to the wedding to the funeral and condolence. But did this heart burn, nothing else is changed. "
I. Grass https://t.co/dercgy4wst</v>
      </c>
    </row>
    <row r="2317" spans="1:5" ht="15.75" customHeight="1" x14ac:dyDescent="0.25">
      <c r="A2317" s="1" t="s">
        <v>4633</v>
      </c>
      <c r="B2317" s="1">
        <v>18007</v>
      </c>
      <c r="C2317" s="3">
        <v>44064.793981481482</v>
      </c>
      <c r="D2317" s="1" t="s">
        <v>4634</v>
      </c>
      <c r="E2317" s="4" t="str">
        <f ca="1">IFERROR(__xludf.DUMMYFUNCTION("GOOGLETRANSLATE(A2317 , ""tr"" , ""en"")"),"Virus is not a live with strategy to spread and disease. Mask, distance, not complying with cleaning rules; We are the virus that we fosters each other. Let's live our daily lives controlled against the opportunities of the virus to spread. Let's seek sol"&amp;"utions to risks. Will be coronavirus eaten. https://t.co/I9hfijvn8x")</f>
        <v>Virus is not a live with strategy to spread and disease. Mask, distance, not complying with cleaning rules; We are the virus that we fosters each other. Let's live our daily lives controlled against the opportunities of the virus to spread. Let's seek solutions to risks. Will be coronavirus eaten. https://t.co/I9hfijvn8x</v>
      </c>
    </row>
    <row r="2318" spans="1:5" ht="15.75" customHeight="1" x14ac:dyDescent="0.25">
      <c r="A2318" s="1" t="s">
        <v>4635</v>
      </c>
      <c r="B2318" s="1">
        <v>31730</v>
      </c>
      <c r="C2318" s="3">
        <v>44064.726527777777</v>
      </c>
      <c r="D2318" s="1" t="s">
        <v>4636</v>
      </c>
      <c r="E2318" s="4" t="str">
        <f ca="1">IFERROR(__xludf.DUMMYFUNCTION("GOOGLETRANSLATE(A2318 , ""tr"" , ""en"")"),"Our new patient count is low by yesterday. Our recovering patient count is less than new patients. The rise in the number of severe patients continues. Patient has no struggle to have been achieved by treating. The great struggle is given in a measure. Le"&amp;"t's take measures. Will be coronavirus eaten. https://t.co/rvlhe7786o https://t.co/xwmboazavb")</f>
        <v>Our new patient count is low by yesterday. Our recovering patient count is less than new patients. The rise in the number of severe patients continues. Patient has no struggle to have been achieved by treating. The great struggle is given in a measure. Let's take measures. Will be coronavirus eaten. https://t.co/rvlhe7786o https://t.co/xwmboazavb</v>
      </c>
    </row>
    <row r="2319" spans="1:5" ht="15.75" customHeight="1" x14ac:dyDescent="0.25">
      <c r="A2319" s="1" t="s">
        <v>4637</v>
      </c>
      <c r="B2319" s="1">
        <v>18198</v>
      </c>
      <c r="C2319" s="3">
        <v>44064.696886574071</v>
      </c>
      <c r="D2319" s="1" t="s">
        <v>4638</v>
      </c>
      <c r="E2319" s="4" t="str">
        <f ca="1">IFERROR(__xludf.DUMMYFUNCTION("GOOGLETRANSLATE(A2319 , ""tr"" , ""en"")"),"The event you will read the summary is the story of a person with symptoms, as a result of the not observance of the rules, the number of 32 cases and quarantine. Let's be the agenda with good news. Every closeness does not end with happy ending. https://"&amp;"t.co/tvoidddoug")</f>
        <v>The event you will read the summary is the story of a person with symptoms, as a result of the not observance of the rules, the number of 32 cases and quarantine. Let's be the agenda with good news. Every closeness does not end with happy ending. https://t.co/tvoidddoug</v>
      </c>
    </row>
    <row r="2320" spans="1:5" ht="15.75" customHeight="1" x14ac:dyDescent="0.25">
      <c r="A2320" s="1" t="s">
        <v>4639</v>
      </c>
      <c r="B2320" s="1">
        <v>58269</v>
      </c>
      <c r="C2320" s="3">
        <v>44064.589606481481</v>
      </c>
      <c r="D2320" s="1" t="s">
        <v>4640</v>
      </c>
      <c r="E2320" s="4" t="str">
        <f ca="1">IFERROR(__xludf.DUMMYFUNCTION("GOOGLETRANSLATE(A2320 , ""tr"" , ""en"")"),"Our President gave the gospel of 320 billion cubic meters of natural gas in the Shouting Speech to the Nation. We celebrate the roster with the labor of the turning point in the national project. This development will be the motivation to the epidemic of "&amp;"our people with excitement. We will make it in every area.")</f>
        <v>Our President gave the gospel of 320 billion cubic meters of natural gas in the Shouting Speech to the Nation. We celebrate the roster with the labor of the turning point in the national project. This development will be the motivation to the epidemic of our people with excitement. We will make it in every area.</v>
      </c>
    </row>
    <row r="2321" spans="1:5" ht="15.75" customHeight="1" x14ac:dyDescent="0.25">
      <c r="A2321" s="1" t="s">
        <v>4641</v>
      </c>
      <c r="B2321" s="1">
        <v>0</v>
      </c>
      <c r="C2321" s="3">
        <v>44064.504837962966</v>
      </c>
      <c r="D2321" s="1" t="s">
        <v>4642</v>
      </c>
      <c r="E2321" s="4" t="str">
        <f ca="1">IFERROR(__xludf.DUMMYFUNCTION("GOOGLETRANSLATE(A2321 , ""tr"" , ""en"")"),"RT @rterdogan: NATIONS Shouting #Wireless Https://t.co/hfnvppwo9c")</f>
        <v>RT @rterdogan: NATIONS Shouting #Wireless Https://t.co/hfnvppwo9c</v>
      </c>
    </row>
    <row r="2322" spans="1:5" ht="15.75" customHeight="1" x14ac:dyDescent="0.25">
      <c r="A2322" s="1" t="s">
        <v>4643</v>
      </c>
      <c r="B2322" s="1">
        <v>16409</v>
      </c>
      <c r="C2322" s="3">
        <v>44064.458969907406</v>
      </c>
      <c r="D2322" s="1" t="s">
        <v>4644</v>
      </c>
      <c r="E2322" s="4" t="str">
        <f ca="1">IFERROR(__xludf.DUMMYFUNCTION("GOOGLETRANSLATE(A2322 , ""tr"" , ""en"")"),"We had a new test of 92.301 yesterday. The total number of tests we do since the beginning of the process 6.061.390. Millions of people know that it is not easy to give the sample of the sample of the blade. It's not like you're out of your tongue and say"&amp;" a. But if the test result is positive, the main difficulty begins with life isolated. https://t.co/flqum3r5n1")</f>
        <v>We had a new test of 92.301 yesterday. The total number of tests we do since the beginning of the process 6.061.390. Millions of people know that it is not easy to give the sample of the sample of the blade. It's not like you're out of your tongue and say a. But if the test result is positive, the main difficulty begins with life isolated. https://t.co/flqum3r5n1</v>
      </c>
    </row>
    <row r="2323" spans="1:5" ht="15.75" customHeight="1" x14ac:dyDescent="0.25">
      <c r="A2323" s="1" t="s">
        <v>4645</v>
      </c>
      <c r="B2323" s="1">
        <v>25265</v>
      </c>
      <c r="C2323" s="3">
        <v>44064.407511574071</v>
      </c>
      <c r="D2323" s="1" t="s">
        <v>4646</v>
      </c>
      <c r="E2323" s="4" t="str">
        <f ca="1">IFERROR(__xludf.DUMMYFUNCTION("GOOGLETRANSLATE(A2323 , ""tr"" , ""en"")"),"How to struggle with outbreaks? Patient has no epidemic struggle treated by treating. Diagnosis, patient isolation, accelerating treatment physician task; is the gun against the epidemic. The epidemic continues until the last patient is recovered. The gre"&amp;"at struggle is given the actual measure. Take measures.")</f>
        <v>How to struggle with outbreaks? Patient has no epidemic struggle treated by treating. Diagnosis, patient isolation, accelerating treatment physician task; is the gun against the epidemic. The epidemic continues until the last patient is recovered. The great struggle is given the actual measure. Take measures.</v>
      </c>
    </row>
    <row r="2324" spans="1:5" ht="15.75" customHeight="1" x14ac:dyDescent="0.25">
      <c r="A2324" s="1" t="s">
        <v>4647</v>
      </c>
      <c r="B2324" s="1">
        <v>14975</v>
      </c>
      <c r="C2324" s="3">
        <v>44064.254212962966</v>
      </c>
      <c r="D2324" s="1" t="s">
        <v>4648</v>
      </c>
      <c r="E2324" s="4" t="str">
        <f ca="1">IFERROR(__xludf.DUMMYFUNCTION("GOOGLETRANSLATE(A2324 , ""tr"" , ""en"")"),"The most important indicator is the number of severe patients in terms of the outcome of the epidemic. Heavy patients come to the stage to give up everything, for one of the breaths that we are not even aware of. This is that most patients are shaking eno"&amp;"ugh to forget the fact that COVID-19 lives slightly. https://t.co/jt5fxz07ms")</f>
        <v>The most important indicator is the number of severe patients in terms of the outcome of the epidemic. Heavy patients come to the stage to give up everything, for one of the breaths that we are not even aware of. This is that most patients are shaking enough to forget the fact that COVID-19 lives slightly. https://t.co/jt5fxz07ms</v>
      </c>
    </row>
    <row r="2325" spans="1:5" ht="15.75" customHeight="1" x14ac:dyDescent="0.25">
      <c r="A2325" s="1" t="s">
        <v>4649</v>
      </c>
      <c r="B2325" s="1">
        <v>16578</v>
      </c>
      <c r="C2325" s="3">
        <v>44063.852789351855</v>
      </c>
      <c r="D2325" s="1" t="s">
        <v>4650</v>
      </c>
      <c r="E2325" s="4" t="str">
        <f ca="1">IFERROR(__xludf.DUMMYFUNCTION("GOOGLETRANSLATE(A2325 , ""tr"" , ""en"")"),"We have meeting this evening with the health manager of 81 provinces. In the 4-hour meeting, the measures to be taken in the provinces where the case increase is intensive; We addressed new approaches in diagnosis and treatment. Fast movement in the patie"&amp;"nt and contact detection, we instructed the treatment to start rapidly. https://t.co/q2qwse3bkm")</f>
        <v>We have meeting this evening with the health manager of 81 provinces. In the 4-hour meeting, the measures to be taken in the provinces where the case increase is intensive; We addressed new approaches in diagnosis and treatment. Fast movement in the patient and contact detection, we instructed the treatment to start rapidly. https://t.co/q2qwse3bkm</v>
      </c>
    </row>
    <row r="2326" spans="1:5" ht="15.75" customHeight="1" x14ac:dyDescent="0.25">
      <c r="A2326" s="1" t="s">
        <v>4651</v>
      </c>
      <c r="B2326" s="1">
        <v>42336</v>
      </c>
      <c r="C2326" s="3">
        <v>44063.731400462966</v>
      </c>
      <c r="D2326" s="1" t="s">
        <v>4652</v>
      </c>
      <c r="E2326" s="4" t="str">
        <f ca="1">IFERROR(__xludf.DUMMYFUNCTION("GOOGLETRANSLATE(A2326 , ""tr"" , ""en"")"),"Our new case number of 1,245 in the last 1 week has passed 1.400. Again, the daily test number of 41 thousand on August 3 is over 92 thousand. The number of the Filiation Team has reached 9.344. Our rate reaching contacts is 98.9%. Let's drop the cases al"&amp;"l together. https://t.co/rvlhe7786o https://t.co/apzsh4I7f1")</f>
        <v>Our new case number of 1,245 in the last 1 week has passed 1.400. Again, the daily test number of 41 thousand on August 3 is over 92 thousand. The number of the Filiation Team has reached 9.344. Our rate reaching contacts is 98.9%. Let's drop the cases all together. https://t.co/rvlhe7786o https://t.co/apzsh4I7f1</v>
      </c>
    </row>
    <row r="2327" spans="1:5" ht="15.75" customHeight="1" x14ac:dyDescent="0.25">
      <c r="A2327" s="1" t="s">
        <v>4653</v>
      </c>
      <c r="B2327" s="1">
        <v>18850</v>
      </c>
      <c r="C2327" s="3">
        <v>44063.695555555554</v>
      </c>
      <c r="D2327" s="1" t="s">
        <v>4654</v>
      </c>
      <c r="E2327" s="4" t="str">
        <f ca="1">IFERROR(__xludf.DUMMYFUNCTION("GOOGLETRANSLATE(A2327 , ""tr"" , ""en"")"),"On July 1, 7.507, we have increased our number of Filiation Team to 9.344, we have established 1.837 new filios teams. We appointed a physician in our every team. The rate of reaching people in contact with the contact is 98.9% in the last 45 days. Filiat"&amp;"ion is our success lasting. Will be the virus that was eaten. https://t.co/ugo8jcehoz")</f>
        <v>On July 1, 7.507, we have increased our number of Filiation Team to 9.344, we have established 1.837 new filios teams. We appointed a physician in our every team. The rate of reaching people in contact with the contact is 98.9% in the last 45 days. Filiation is our success lasting. Will be the virus that was eaten. https://t.co/ugo8jcehoz</v>
      </c>
    </row>
    <row r="2328" spans="1:5" ht="15.75" customHeight="1" x14ac:dyDescent="0.25">
      <c r="A2328" s="1" t="s">
        <v>4655</v>
      </c>
      <c r="B2328" s="1">
        <v>17284</v>
      </c>
      <c r="C2328" s="3">
        <v>44062.868831018517</v>
      </c>
      <c r="D2328" s="1" t="s">
        <v>4656</v>
      </c>
      <c r="E2328" s="4" t="str">
        <f ca="1">IFERROR(__xludf.DUMMYFUNCTION("GOOGLETRANSLATE(A2328 , ""tr"" , ""en"")"),"While we get services from health workers, our confidence is to be full of respect. The load they fall under is not an easy load to be carried. Many of them are struggling for their patients. You can't see that in another occupation. Unique sacrifice cont"&amp;"inues for our people. https://t.co/5ızbcobgh")</f>
        <v>While we get services from health workers, our confidence is to be full of respect. The load they fall under is not an easy load to be carried. Many of them are struggling for their patients. You can't see that in another occupation. Unique sacrifice continues for our people. https://t.co/5ızbcobgh</v>
      </c>
    </row>
    <row r="2329" spans="1:5" ht="15.75" customHeight="1" x14ac:dyDescent="0.25">
      <c r="A2329" s="1" t="s">
        <v>4657</v>
      </c>
      <c r="B2329" s="1">
        <v>17447</v>
      </c>
      <c r="C2329" s="3">
        <v>44062.847754629627</v>
      </c>
      <c r="D2329" s="1" t="s">
        <v>4658</v>
      </c>
      <c r="E2329" s="4" t="str">
        <f ca="1">IFERROR(__xludf.DUMMYFUNCTION("GOOGLETRANSLATE(A2329 , ""tr"" , ""en"")"),"COVID-19 with patients; In the polyclinic, the service, in intensive care (etc.) and the family physicians with all health workers will receive an additional payment in the 3-month time period from 1 August. For other physicians and health workers, it is "&amp;"also scheduled to pay based on the January. https://t.co/6vvr3moyt1")</f>
        <v>COVID-19 with patients; In the polyclinic, the service, in intensive care (etc.) and the family physicians with all health workers will receive an additional payment in the 3-month time period from 1 August. For other physicians and health workers, it is also scheduled to pay based on the January. https://t.co/6vvr3moyt1</v>
      </c>
    </row>
    <row r="2330" spans="1:5" ht="15.75" customHeight="1" x14ac:dyDescent="0.25">
      <c r="A2330" s="1" t="s">
        <v>4659</v>
      </c>
      <c r="B2330" s="1">
        <v>31745</v>
      </c>
      <c r="C2330" s="3">
        <v>44062.731249999997</v>
      </c>
      <c r="D2330" s="1" t="s">
        <v>4660</v>
      </c>
      <c r="E2330" s="4" t="str">
        <f ca="1">IFERROR(__xludf.DUMMYFUNCTION("GOOGLETRANSLATE(A2330 , ""tr"" , ""en"")"),"Our case count appeared over 1,300. In comparison to yesterday, our positive diagnosis is 40 more than. Control of the increase is all dependent on us together. Be uncompromised on mask, distance and cleanliness. Note that this table is determined by the "&amp;"omissions and measures.
https://t.co/rvlhe7786o https://t.co/kgeqryem79")</f>
        <v>Our case count appeared over 1,300. In comparison to yesterday, our positive diagnosis is 40 more than. Control of the increase is all dependent on us together. Be uncompromised on mask, distance and cleanliness. Note that this table is determined by the omissions and measures.
https://t.co/rvlhe7786o https://t.co/kgeqryem79</v>
      </c>
    </row>
    <row r="2331" spans="1:5" ht="15.75" customHeight="1" x14ac:dyDescent="0.25">
      <c r="A2331" s="1" t="s">
        <v>4661</v>
      </c>
      <c r="B2331" s="1">
        <v>6895</v>
      </c>
      <c r="C2331" s="3">
        <v>44062.72079861111</v>
      </c>
      <c r="D2331" s="1" t="s">
        <v>4662</v>
      </c>
      <c r="E2331" s="4" t="str">
        <f ca="1">IFERROR(__xludf.DUMMYFUNCTION("GOOGLETRANSLATE(A2331 , ""tr"" , ""en"")"),"After our Science Board meeting, the latest developments on the coronavirus and the new measures we receive.
📍Public Ministry Bilkent Campus / Ankara
https://t.co/tvdp1lh9a0")</f>
        <v>After our Science Board meeting, the latest developments on the coronavirus and the new measures we receive.
📍Public Ministry Bilkent Campus / Ankara
https://t.co/tvdp1lh9a0</v>
      </c>
    </row>
    <row r="2332" spans="1:5" ht="15.75" customHeight="1" x14ac:dyDescent="0.25">
      <c r="A2332" s="1" t="s">
        <v>4663</v>
      </c>
      <c r="B2332" s="1">
        <v>11139</v>
      </c>
      <c r="C2332" s="3">
        <v>44062.680023148147</v>
      </c>
      <c r="D2332" s="1" t="s">
        <v>4664</v>
      </c>
      <c r="E2332" s="4" t="str">
        <f ca="1">IFERROR(__xludf.DUMMYFUNCTION("GOOGLETRANSLATE(A2332 , ""tr"" , ""en"")"),"The coronavirus receives its power from the environments we do not comply with the struggle rules of the epidemic. According to the rules of the mask, distance and cleanliness, the number of cases is easily controlled; We can beat the illness tomorrow. Le"&amp;"t's trust the science, let's obey the rules. There is no end-out epidemic in history. https://t.co/ygv0scwqov")</f>
        <v>The coronavirus receives its power from the environments we do not comply with the struggle rules of the epidemic. According to the rules of the mask, distance and cleanliness, the number of cases is easily controlled; We can beat the illness tomorrow. Let's trust the science, let's obey the rules. There is no end-out epidemic in history. https://t.co/ygv0scwqov</v>
      </c>
    </row>
    <row r="2333" spans="1:5" ht="15.75" customHeight="1" x14ac:dyDescent="0.25">
      <c r="A2333" s="1" t="s">
        <v>4665</v>
      </c>
      <c r="B2333" s="1">
        <v>7689</v>
      </c>
      <c r="C2333" s="3">
        <v>44062.679699074077</v>
      </c>
      <c r="D2333" s="1" t="s">
        <v>4666</v>
      </c>
      <c r="E2333" s="4" t="str">
        <f ca="1">IFERROR(__xludf.DUMMYFUNCTION("GOOGLETRANSLATE(A2333 , ""tr"" , ""en"")"),"The coronavirus receives its power from the environments we do not comply with the struggle rules of the epidemic. According to the rules of the mask, distance and cleanliness, the number of cases is easily controlled; We can beat the illness tomorrow. Le"&amp;"t's trust the science, let's obey the rules. There is no end-out epidemic in history. https://t.co/vrzmb8hhfc")</f>
        <v>The coronavirus receives its power from the environments we do not comply with the struggle rules of the epidemic. According to the rules of the mask, distance and cleanliness, the number of cases is easily controlled; We can beat the illness tomorrow. Let's trust the science, let's obey the rules. There is no end-out epidemic in history. https://t.co/vrzmb8hhfc</v>
      </c>
    </row>
    <row r="2334" spans="1:5" ht="15.75" customHeight="1" x14ac:dyDescent="0.25">
      <c r="A2334" s="1" t="s">
        <v>4667</v>
      </c>
      <c r="B2334" s="1">
        <v>8337</v>
      </c>
      <c r="C2334" s="3">
        <v>44062.673807870371</v>
      </c>
      <c r="D2334" s="1" t="s">
        <v>4668</v>
      </c>
      <c r="E2334" s="4" t="str">
        <f ca="1">IFERROR(__xludf.DUMMYFUNCTION("GOOGLETRANSLATE(A2334 , ""tr"" , ""en"")"),"The coronavirus receives its power from the environments we do not comply with the struggle rules of the epidemic. According to the rules of the mask, distance and cleanliness, the number of cases is easily controlled; We can beat the illness tomorrow. Le"&amp;"t's trust the science, let's obey the rules. There is no end-out epidemic in history. https://t.co/1ntf5znbkg")</f>
        <v>The coronavirus receives its power from the environments we do not comply with the struggle rules of the epidemic. According to the rules of the mask, distance and cleanliness, the number of cases is easily controlled; We can beat the illness tomorrow. Let's trust the science, let's obey the rules. There is no end-out epidemic in history. https://t.co/1ntf5znbkg</v>
      </c>
    </row>
    <row r="2335" spans="1:5" ht="15.75" customHeight="1" x14ac:dyDescent="0.25">
      <c r="A2335" s="1" t="s">
        <v>4669</v>
      </c>
      <c r="B2335" s="1">
        <v>10902</v>
      </c>
      <c r="C2335" s="3">
        <v>44062.673344907409</v>
      </c>
      <c r="D2335" s="1" t="s">
        <v>4670</v>
      </c>
      <c r="E2335" s="4" t="str">
        <f ca="1">IFERROR(__xludf.DUMMYFUNCTION("GOOGLETRANSLATE(A2335 , ""tr"" , ""en"")"),"The coronavirus receives its power from the environments we do not comply with the struggle rules of the epidemic. According to the rules of the mask, distance and cleanliness, the number of cases is easily controlled; We can beat the illness tomorrow. Le"&amp;"t's trust the science, let's obey the rules. There is no end-out epidemic in history. https://t.co/4qjywywr9g")</f>
        <v>The coronavirus receives its power from the environments we do not comply with the struggle rules of the epidemic. According to the rules of the mask, distance and cleanliness, the number of cases is easily controlled; We can beat the illness tomorrow. Let's trust the science, let's obey the rules. There is no end-out epidemic in history. https://t.co/4qjywywr9g</v>
      </c>
    </row>
    <row r="2336" spans="1:5" ht="15.75" customHeight="1" x14ac:dyDescent="0.25">
      <c r="A2336" s="1" t="s">
        <v>4671</v>
      </c>
      <c r="B2336" s="1">
        <v>51947</v>
      </c>
      <c r="C2336" s="3">
        <v>44062.105694444443</v>
      </c>
      <c r="D2336" s="1" t="s">
        <v>4672</v>
      </c>
      <c r="E2336" s="4" t="str">
        <f ca="1">IFERROR(__xludf.DUMMYFUNCTION("GOOGLETRANSLATE(A2336 , ""tr"" , ""en"")"),"The Mayor of the Covid-19, the COVID-19 has seen COVID-19 treatment in Konya Selçuk University Faculty of Medicine. Young but the disease is from living heavy. I wish himself from Allah to the mercy, their condolences. Let's reduce the bitter news by comp"&amp;"lying with the rules.")</f>
        <v>The Mayor of the Covid-19, the COVID-19 has seen COVID-19 treatment in Konya Selçuk University Faculty of Medicine. Young but the disease is from living heavy. I wish himself from Allah to the mercy, their condolences. Let's reduce the bitter news by complying with the rules.</v>
      </c>
    </row>
    <row r="2337" spans="1:5" ht="15.75" customHeight="1" x14ac:dyDescent="0.25">
      <c r="A2337" s="1" t="s">
        <v>4673</v>
      </c>
      <c r="B2337" s="1">
        <v>14001</v>
      </c>
      <c r="C2337" s="3">
        <v>44061.804965277777</v>
      </c>
      <c r="D2337" s="1" t="s">
        <v>4674</v>
      </c>
      <c r="E2337" s="4" t="str">
        <f ca="1">IFERROR(__xludf.DUMMYFUNCTION("GOOGLETRANSLATE(A2337 , ""tr"" , ""en"")"),"The zero point of the epidemic is forgotten Wuhan. The whole world has to struggle as if the secretion is the center. There are countries with heavy defeat in battle. We are among the best ones. Believe in the power of science and measures, let's fight in"&amp;" solidarity with our health amendment. Will be the virus that was eaten. https://t.co/vfbzcwor57")</f>
        <v>The zero point of the epidemic is forgotten Wuhan. The whole world has to struggle as if the secretion is the center. There are countries with heavy defeat in battle. We are among the best ones. Believe in the power of science and measures, let's fight in solidarity with our health amendment. Will be the virus that was eaten. https://t.co/vfbzcwor57</v>
      </c>
    </row>
    <row r="2338" spans="1:5" ht="15.75" customHeight="1" x14ac:dyDescent="0.25">
      <c r="A2338" s="1" t="s">
        <v>4675</v>
      </c>
      <c r="B2338" s="1">
        <v>11543</v>
      </c>
      <c r="C2338" s="3">
        <v>44061.80133101852</v>
      </c>
      <c r="D2338" s="1" t="s">
        <v>4676</v>
      </c>
      <c r="E2338" s="4" t="str">
        <f ca="1">IFERROR(__xludf.DUMMYFUNCTION("GOOGLETRANSLATE(A2338 , ""tr"" , ""en"")"),"The zero point of the epidemic is forgotten Wuhan. The whole world has to struggle as if the secretion is the center. There are countries with heavy defeat in battle. We are among the best ones. Believe in the power of science and measures, let's fight in"&amp;" solidarity with our health amendment. Will be the virus that was eaten. https://t.co/mzzj5cdlz4")</f>
        <v>The zero point of the epidemic is forgotten Wuhan. The whole world has to struggle as if the secretion is the center. There are countries with heavy defeat in battle. We are among the best ones. Believe in the power of science and measures, let's fight in solidarity with our health amendment. Will be the virus that was eaten. https://t.co/mzzj5cdlz4</v>
      </c>
    </row>
    <row r="2339" spans="1:5" ht="15.75" customHeight="1" x14ac:dyDescent="0.25">
      <c r="A2339" s="1" t="s">
        <v>4677</v>
      </c>
      <c r="B2339" s="1">
        <v>22472</v>
      </c>
      <c r="C2339" s="3">
        <v>44061.797500000001</v>
      </c>
      <c r="D2339" s="1" t="s">
        <v>4678</v>
      </c>
      <c r="E2339" s="4" t="str">
        <f ca="1">IFERROR(__xludf.DUMMYFUNCTION("GOOGLETRANSLATE(A2339 , ""tr"" , ""en"")"),"The zero point of the epidemic is forgotten Wuhan. The whole world has to struggle as if the secretion is the center. There are countries with heavy defeat in battle. We are among the best ones. Believe in the power of science and measures, let's fight in"&amp;" solidarity with our health amendment. Will be the virus that was eaten. https://t.co/67wfcfnjj4")</f>
        <v>The zero point of the epidemic is forgotten Wuhan. The whole world has to struggle as if the secretion is the center. There are countries with heavy defeat in battle. We are among the best ones. Believe in the power of science and measures, let's fight in solidarity with our health amendment. Will be the virus that was eaten. https://t.co/67wfcfnjj4</v>
      </c>
    </row>
    <row r="2340" spans="1:5" ht="15.75" customHeight="1" x14ac:dyDescent="0.25">
      <c r="A2340" s="1" t="s">
        <v>4679</v>
      </c>
      <c r="B2340" s="1">
        <v>37444</v>
      </c>
      <c r="C2340" s="3">
        <v>44061.693356481483</v>
      </c>
      <c r="D2340" s="1" t="s">
        <v>4680</v>
      </c>
      <c r="E2340" s="4" t="str">
        <f ca="1">IFERROR(__xludf.DUMMYFUNCTION("GOOGLETRANSLATE(A2340 , ""tr"" , ""en"")"),"In this table, the coronavirus test results described every day show the an average of 10 days ago. According to the results, the average 10 days ago, the virus has been contammon more than 1,263 people in environments. If we are committed, we may not rec"&amp;"ognize this power to the virus. https://t.co/rvlhe7786o https://t.co/mtyxxozahi")</f>
        <v>In this table, the coronavirus test results described every day show the an average of 10 days ago. According to the results, the average 10 days ago, the virus has been contammon more than 1,263 people in environments. If we are committed, we may not recognize this power to the virus. https://t.co/rvlhe7786o https://t.co/mtyxxozahi</v>
      </c>
    </row>
    <row r="2341" spans="1:5" ht="15.75" customHeight="1" x14ac:dyDescent="0.25">
      <c r="A2341" s="1" t="s">
        <v>4681</v>
      </c>
      <c r="B2341" s="1">
        <v>22245</v>
      </c>
      <c r="C2341" s="3">
        <v>44061.293425925927</v>
      </c>
      <c r="D2341" s="1" t="s">
        <v>4682</v>
      </c>
      <c r="E2341" s="4" t="str">
        <f ca="1">IFERROR(__xludf.DUMMYFUNCTION("GOOGLETRANSLATE(A2341 , ""tr"" , ""en"")"),"Children, teenagers; He is doing their best to the epidemic for their schools and its elders. If the guidelines are not observed they know how life is the contrary. Let's be prepared for September 21 to start face-to-face training: Let's not recognize the"&amp;" chance to spread the virus. Do you have to see the children so much? https://t.co/uajx2rp9qa")</f>
        <v>Children, teenagers; He is doing their best to the epidemic for their schools and its elders. If the guidelines are not observed they know how life is the contrary. Let's be prepared for September 21 to start face-to-face training: Let's not recognize the chance to spread the virus. Do you have to see the children so much? https://t.co/uajx2rp9qa</v>
      </c>
    </row>
    <row r="2342" spans="1:5" ht="15.75" customHeight="1" x14ac:dyDescent="0.25">
      <c r="A2342" s="1" t="s">
        <v>4683</v>
      </c>
      <c r="B2342" s="1">
        <v>31550</v>
      </c>
      <c r="C2342" s="3">
        <v>44060.747453703705</v>
      </c>
      <c r="D2342" s="1" t="s">
        <v>4684</v>
      </c>
      <c r="E2342" s="4" t="str">
        <f ca="1">IFERROR(__xludf.DUMMYFUNCTION("GOOGLETRANSLATE(A2342 , ""tr"" , ""en"")"),"Since March 11, our total number of patients diagnosed have passed 250 thousand. Isolated active patients with potential to spread disease 12.575. The majority of new patients can be recovered easily. However, the propagation is increasing the number of h"&amp;"eavy patients with difficult treatment. https://t.co/rvlhe7786o https://t.co/n7IPSJUJTK")</f>
        <v>Since March 11, our total number of patients diagnosed have passed 250 thousand. Isolated active patients with potential to spread disease 12.575. The majority of new patients can be recovered easily. However, the propagation is increasing the number of heavy patients with difficult treatment. https://t.co/rvlhe7786o https://t.co/n7IPSJUJTK</v>
      </c>
    </row>
    <row r="2343" spans="1:5" ht="15.75" customHeight="1" x14ac:dyDescent="0.25">
      <c r="A2343" s="1" t="s">
        <v>4685</v>
      </c>
      <c r="B2343" s="1">
        <v>39864</v>
      </c>
      <c r="C2343" s="3">
        <v>44060.669212962966</v>
      </c>
      <c r="D2343" s="1" t="s">
        <v>4686</v>
      </c>
      <c r="E2343" s="4" t="str">
        <f ca="1">IFERROR(__xludf.DUMMYFUNCTION("GOOGLETRANSLATE(A2343 , ""tr"" , ""en"")"),"""You declare the United Nations and declare the curfew in the world."" A flyers see the epidemic struggle in this mindset. Other flys; The illness, death says not inhabitant. Measures make both of the outbreaks and the fighting is possible.")</f>
        <v>"You declare the United Nations and declare the curfew in the world." A flyers see the epidemic struggle in this mindset. Other flys; The illness, death says not inhabitant. Measures make both of the outbreaks and the fighting is possible.</v>
      </c>
    </row>
    <row r="2344" spans="1:5" ht="15.75" customHeight="1" x14ac:dyDescent="0.25">
      <c r="A2344" s="1" t="s">
        <v>4687</v>
      </c>
      <c r="B2344" s="1">
        <v>22330</v>
      </c>
      <c r="C2344" s="3">
        <v>44060.418414351851</v>
      </c>
      <c r="D2344" s="1" t="s">
        <v>4688</v>
      </c>
      <c r="E2344" s="4" t="str">
        <f ca="1">IFERROR(__xludf.DUMMYFUNCTION("GOOGLETRANSLATE(A2344 , ""tr"" , ""en"")"),"A healthy adult breathes average 12 times per minute. Without even aware of. If the COVID-19 is the patient caused by pneumonia in the lung, even if they are spending all its energy to breathe. The patient is given to the oxygen to survive it with intubat"&amp;"ion that is a difficult method. https://t.co/IMU3x5ZQSV")</f>
        <v>A healthy adult breathes average 12 times per minute. Without even aware of. If the COVID-19 is the patient caused by pneumonia in the lung, even if they are spending all its energy to breathe. The patient is given to the oxygen to survive it with intubation that is a difficult method. https://t.co/IMU3x5ZQSV</v>
      </c>
    </row>
    <row r="2345" spans="1:5" ht="15.75" customHeight="1" x14ac:dyDescent="0.25">
      <c r="A2345" s="1" t="s">
        <v>4689</v>
      </c>
      <c r="B2345" s="1">
        <v>45519</v>
      </c>
      <c r="C2345" s="3">
        <v>44060.313460648147</v>
      </c>
      <c r="D2345" s="1" t="s">
        <v>4690</v>
      </c>
      <c r="E2345" s="4" t="str">
        <f ca="1">IFERROR(__xludf.DUMMYFUNCTION("GOOGLETRANSLATE(A2345 , ""tr"" , ""en"")"),"Where is our mask? https://t.co/rcmxqwdiud")</f>
        <v>Where is our mask? https://t.co/rcmxqwdiud</v>
      </c>
    </row>
    <row r="2346" spans="1:5" ht="15.75" customHeight="1" x14ac:dyDescent="0.25">
      <c r="A2346" s="1" t="s">
        <v>4691</v>
      </c>
      <c r="B2346" s="1">
        <v>24491</v>
      </c>
      <c r="C2346" s="3">
        <v>44060.23060185185</v>
      </c>
      <c r="D2346" s="1" t="s">
        <v>4692</v>
      </c>
      <c r="E2346" s="4" t="str">
        <f ca="1">IFERROR(__xludf.DUMMYFUNCTION("GOOGLETRANSLATE(A2346 , ""tr"" , ""en"")"),"Children and teens; their school is doing their best to success toward their big and outbreak. If the rules are not observed, however the greatest witness of life is right now they are. Let's reunify 83 million, let's move on from where we stayed in the w"&amp;"ar. Let's reduce the big little risk. Do we have? https://t.co/dguu0udozq")</f>
        <v>Children and teens; their school is doing their best to success toward their big and outbreak. If the rules are not observed, however the greatest witness of life is right now they are. Let's reunify 83 million, let's move on from where we stayed in the war. Let's reduce the big little risk. Do we have? https://t.co/dguu0udozq</v>
      </c>
    </row>
    <row r="2347" spans="1:5" ht="15.75" customHeight="1" x14ac:dyDescent="0.25">
      <c r="A2347" s="1" t="s">
        <v>4693</v>
      </c>
      <c r="B2347" s="1">
        <v>59024</v>
      </c>
      <c r="C2347" s="3">
        <v>44059.810844907406</v>
      </c>
      <c r="D2347" s="1" t="s">
        <v>4694</v>
      </c>
      <c r="E2347" s="4" t="str">
        <f ca="1">IFERROR(__xludf.DUMMYFUNCTION("GOOGLETRANSLATE(A2347 , ""tr"" , ""en"")"),"When it is stimulated because he did not wear his mask, ""You won't be in the human if you don't trust yourself."" There is already saying. Their themselves will be reviewed today tomorrow, under treatment, isolation or disease of the disease. When there "&amp;"is a reciprocal rule, what you need! https://t.co/wmtrvc63zk")</f>
        <v>When it is stimulated because he did not wear his mask, "You won't be in the human if you don't trust yourself." There is already saying. Their themselves will be reviewed today tomorrow, under treatment, isolation or disease of the disease. When there is a reciprocal rule, what you need! https://t.co/wmtrvc63zk</v>
      </c>
    </row>
    <row r="2348" spans="1:5" ht="15.75" customHeight="1" x14ac:dyDescent="0.25">
      <c r="A2348" s="1" t="s">
        <v>4695</v>
      </c>
      <c r="B2348" s="1">
        <v>33487</v>
      </c>
      <c r="C2348" s="3">
        <v>44059.729398148149</v>
      </c>
      <c r="D2348" s="1" t="s">
        <v>4696</v>
      </c>
      <c r="E2348" s="4" t="str">
        <f ca="1">IFERROR(__xludf.DUMMYFUNCTION("GOOGLETRANSLATE(A2348 , ""tr"" , ""en"")"),"Our new diagnostic count is less than the last one. 12,366 people are currently active patient: ie, has the potential to spread the virus. These and contacts are in isolation. Attention, if we keep ourselves from the outside risk, we succeed in faster. ht"&amp;"tps://t.co/rvlhe7786o https://t.co/whfnawtymy")</f>
        <v>Our new diagnostic count is less than the last one. 12,366 people are currently active patient: ie, has the potential to spread the virus. These and contacts are in isolation. Attention, if we keep ourselves from the outside risk, we succeed in faster. https://t.co/rvlhe7786o https://t.co/whfnawtymy</v>
      </c>
    </row>
    <row r="2349" spans="1:5" ht="15.75" customHeight="1" x14ac:dyDescent="0.25">
      <c r="A2349" s="1" t="s">
        <v>4697</v>
      </c>
      <c r="B2349" s="1">
        <v>68837</v>
      </c>
      <c r="C2349" s="3">
        <v>44059.545671296299</v>
      </c>
      <c r="D2349" s="1" t="s">
        <v>4698</v>
      </c>
      <c r="E2349" s="4" t="str">
        <f ca="1">IFERROR(__xludf.DUMMYFUNCTION("GOOGLETRANSLATE(A2349 , ""tr"" , ""en"")"),"Rule. Hope. Devotion. Lets. Let's return to the fight normal.")</f>
        <v>Rule. Hope. Devotion. Lets. Let's return to the fight normal.</v>
      </c>
    </row>
    <row r="2350" spans="1:5" ht="15.75" customHeight="1" x14ac:dyDescent="0.25">
      <c r="A2350" s="1" t="s">
        <v>4699</v>
      </c>
      <c r="B2350" s="1">
        <v>17564</v>
      </c>
      <c r="C2350" s="3">
        <v>44059.532361111109</v>
      </c>
      <c r="D2350" s="1" t="s">
        <v>4700</v>
      </c>
      <c r="E2350" s="4" t="str">
        <f ca="1">IFERROR(__xludf.DUMMYFUNCTION("GOOGLETRANSLATE(A2350 , ""tr"" , ""en"")"),"Children and teens; their school is doing their best to success toward their big and outbreak. If the rules are not observed, however the greatest witness of life is right now they are. Let's reunify 83 million, let's move on from where we stayed in the w"&amp;"ar. Let's reduce the big little risk. Do we have? https://t.co/wy55bwl6pk")</f>
        <v>Children and teens; their school is doing their best to success toward their big and outbreak. If the rules are not observed, however the greatest witness of life is right now they are. Let's reunify 83 million, let's move on from where we stayed in the war. Let's reduce the big little risk. Do we have? https://t.co/wy55bwl6pk</v>
      </c>
    </row>
    <row r="2351" spans="1:5" ht="15.75" customHeight="1" x14ac:dyDescent="0.25">
      <c r="A2351" s="1" t="s">
        <v>4701</v>
      </c>
      <c r="B2351" s="1">
        <v>59462</v>
      </c>
      <c r="C2351" s="3">
        <v>44059.251574074071</v>
      </c>
      <c r="D2351" s="1" t="s">
        <v>4702</v>
      </c>
      <c r="E2351" s="4" t="str">
        <f ca="1">IFERROR(__xludf.DUMMYFUNCTION("GOOGLETRANSLATE(A2351 , ""tr"" , ""en"")"),"Yesterday, we explained the highest number of cases of the last 45 days. We were expecting this result. Each of us, in the power unity, remember that we have received when we fight as a member of the outbreak of the social army. The virus-dependent virus "&amp;"against the measures cannot dissivate us. Are we together again in this battle?")</f>
        <v>Yesterday, we explained the highest number of cases of the last 45 days. We were expecting this result. Each of us, in the power unity, remember that we have received when we fight as a member of the outbreak of the social army. The virus-dependent virus against the measures cannot dissivate us. Are we together again in this battle?</v>
      </c>
    </row>
    <row r="2352" spans="1:5" ht="15.75" customHeight="1" x14ac:dyDescent="0.25">
      <c r="A2352" s="1" t="s">
        <v>4703</v>
      </c>
      <c r="B2352" s="1">
        <v>29025</v>
      </c>
      <c r="C2352" s="3">
        <v>44058.833993055552</v>
      </c>
      <c r="D2352" s="1" t="s">
        <v>4704</v>
      </c>
      <c r="E2352" s="4" t="str">
        <f ca="1">IFERROR(__xludf.DUMMYFUNCTION("GOOGLETRANSLATE(A2352 , ""tr"" , ""en"")"),"""Coronavirus I beat after 1 month of treatment. The spirit is very frustrating. The most powerful feeling I felt was loneliness. The man needs a hug as soon as he feels powerless. Should nobody forget Covid is a disease that has been done. You have to st"&amp;"ruggle in a room. "" https://t.co/pugxygyigz")</f>
        <v>"Coronavirus I beat after 1 month of treatment. The spirit is very frustrating. The most powerful feeling I felt was loneliness. The man needs a hug as soon as he feels powerless. Should nobody forget Covid is a disease that has been done. You have to struggle in a room. " https://t.co/pugxygyigz</v>
      </c>
    </row>
    <row r="2353" spans="1:5" ht="15.75" customHeight="1" x14ac:dyDescent="0.25">
      <c r="A2353" s="1" t="s">
        <v>4705</v>
      </c>
      <c r="B2353" s="1">
        <v>21014</v>
      </c>
      <c r="C2353" s="3">
        <v>44058.760358796295</v>
      </c>
      <c r="D2353" s="1" t="s">
        <v>4706</v>
      </c>
      <c r="E2353" s="4" t="str">
        <f ca="1">IFERROR(__xludf.DUMMYFUNCTION("GOOGLETRANSLATE(A2353 , ""tr"" , ""en"")"),"The intubation is a term of most of us learned from the case table; The process applied to severe patients who treats COVID-19. It is not easy for the patient but not the tube placed in the breathing path can't get enough oxygen to keep it alive. It is ve"&amp;"ry difficult not to breathe. Intubation is agitated. https://t.co/hatdvloh8x")</f>
        <v>The intubation is a term of most of us learned from the case table; The process applied to severe patients who treats COVID-19. It is not easy for the patient but not the tube placed in the breathing path can't get enough oxygen to keep it alive. It is very difficult not to breathe. Intubation is agitated. https://t.co/hatdvloh8x</v>
      </c>
    </row>
    <row r="2354" spans="1:5" ht="15.75" customHeight="1" x14ac:dyDescent="0.25">
      <c r="A2354" s="1" t="s">
        <v>4707</v>
      </c>
      <c r="B2354" s="1">
        <v>29492</v>
      </c>
      <c r="C2354" s="3">
        <v>44058.738287037035</v>
      </c>
      <c r="D2354" s="1" t="s">
        <v>4708</v>
      </c>
      <c r="E2354" s="4" t="str">
        <f ca="1">IFERROR(__xludf.DUMMYFUNCTION("GOOGLETRANSLATE(A2354 , ""tr"" , ""en"")"),"We have reached the highest positive diagnosis of the last 45 days. The number of severe patients with our critical indicator is usually in the risk group and are increasing with those who are caught in the disease. Let's reduce the number of new patients"&amp;", the number of severe patients, life losses together. https://t.co/rvlhe7786o https://t.co/g4r2aretju")</f>
        <v>We have reached the highest positive diagnosis of the last 45 days. The number of severe patients with our critical indicator is usually in the risk group and are increasing with those who are caught in the disease. Let's reduce the number of new patients, the number of severe patients, life losses together. https://t.co/rvlhe7786o https://t.co/g4r2aretju</v>
      </c>
    </row>
    <row r="2355" spans="1:5" ht="15.75" customHeight="1" x14ac:dyDescent="0.25">
      <c r="A2355" s="1" t="s">
        <v>4709</v>
      </c>
      <c r="B2355" s="1">
        <v>69814</v>
      </c>
      <c r="C2355" s="3">
        <v>44058.720312500001</v>
      </c>
      <c r="D2355" s="1" t="s">
        <v>4710</v>
      </c>
      <c r="E2355" s="4" t="str">
        <f ca="1">IFERROR(__xludf.DUMMYFUNCTION("GOOGLETRANSLATE(A2355 , ""tr"" , ""en"")"),"The virus is not spreading while standing and standing. With those who says nothing to me, it is spreading with the support of those who don't hurt anyone else. Some of us are seriously ill. And many of us are losing their closest life.")</f>
        <v>The virus is not spreading while standing and standing. With those who says nothing to me, it is spreading with the support of those who don't hurt anyone else. Some of us are seriously ill. And many of us are losing their closest life.</v>
      </c>
    </row>
    <row r="2356" spans="1:5" ht="15.75" customHeight="1" x14ac:dyDescent="0.25">
      <c r="A2356" s="1" t="s">
        <v>4711</v>
      </c>
      <c r="B2356" s="1">
        <v>72427</v>
      </c>
      <c r="C2356" s="3">
        <v>44058.544074074074</v>
      </c>
      <c r="D2356" s="1" t="s">
        <v>4712</v>
      </c>
      <c r="E2356" s="4" t="str">
        <f ca="1">IFERROR(__xludf.DUMMYFUNCTION("GOOGLETRANSLATE(A2356 , ""tr"" , ""en"")"),"The world is tired. Not only you. Don't give up on a hug in life. One day, necessarily will be the last day of the epidemic. This epidemic will end up with all the outbreaks experienced by humanity. Experience your social life controlled. Fighting COVID-1"&amp;"9, let life be an indispensable part of our struggle.")</f>
        <v>The world is tired. Not only you. Don't give up on a hug in life. One day, necessarily will be the last day of the epidemic. This epidemic will end up with all the outbreaks experienced by humanity. Experience your social life controlled. Fighting COVID-19, let life be an indispensable part of our struggle.</v>
      </c>
    </row>
    <row r="2357" spans="1:5" ht="15.75" customHeight="1" x14ac:dyDescent="0.25">
      <c r="A2357" s="1" t="s">
        <v>4713</v>
      </c>
      <c r="B2357" s="1">
        <v>20065</v>
      </c>
      <c r="C2357" s="3">
        <v>44058.419444444444</v>
      </c>
      <c r="D2357" s="1" t="s">
        <v>4714</v>
      </c>
      <c r="E2357" s="4" t="str">
        <f ca="1">IFERROR(__xludf.DUMMYFUNCTION("GOOGLETRANSLATE(A2357 , ""tr"" , ""en"")"),"The middle of the August. Weekend. If we have a little resting from the hot, let's accept the beginning: where the coronavirus is not in the old days. Be the distance with everyone you don't live in the same house. The mask is not very condition if there "&amp;"is no stranger in the vicinity. Crowded vacation? Is risky since March. https://t.co/hp9erjjtmr")</f>
        <v>The middle of the August. Weekend. If we have a little resting from the hot, let's accept the beginning: where the coronavirus is not in the old days. Be the distance with everyone you don't live in the same house. The mask is not very condition if there is no stranger in the vicinity. Crowded vacation? Is risky since March. https://t.co/hp9erjjtmr</v>
      </c>
    </row>
    <row r="2358" spans="1:5" ht="15.75" customHeight="1" x14ac:dyDescent="0.2">
      <c r="A2358" s="5" t="s">
        <v>4715</v>
      </c>
      <c r="B2358" s="1">
        <v>20810</v>
      </c>
      <c r="C2358" s="3">
        <v>44058.375636574077</v>
      </c>
      <c r="D2358" s="1" t="s">
        <v>4716</v>
      </c>
      <c r="E2358" s="6" t="str">
        <f ca="1">IFERROR(__xludf.DUMMYFUNCTION("GOOGLETRANSLATE(A2358 , ""tr"" , ""en"")"),"https://t.co/lisztqqikv")</f>
        <v>https://t.co/lisztqqikv</v>
      </c>
    </row>
    <row r="2359" spans="1:5" ht="15.75" customHeight="1" x14ac:dyDescent="0.2">
      <c r="A2359" s="5" t="s">
        <v>4717</v>
      </c>
      <c r="B2359" s="1">
        <v>21801</v>
      </c>
      <c r="C2359" s="3">
        <v>44058.334143518521</v>
      </c>
      <c r="D2359" s="1" t="s">
        <v>4718</v>
      </c>
      <c r="E2359" s="6" t="str">
        <f ca="1">IFERROR(__xludf.DUMMYFUNCTION("GOOGLETRANSLATE(A2359 , ""tr"" , ""en"")"),"https://t.co/Ikcnlntgyz")</f>
        <v>https://t.co/Ikcnlntgyz</v>
      </c>
    </row>
    <row r="2360" spans="1:5" ht="15.75" customHeight="1" x14ac:dyDescent="0.25">
      <c r="A2360" s="1" t="s">
        <v>4719</v>
      </c>
      <c r="B2360" s="1">
        <v>39228</v>
      </c>
      <c r="C2360" s="3">
        <v>44058.246886574074</v>
      </c>
      <c r="D2360" s="1" t="s">
        <v>4720</v>
      </c>
      <c r="E2360" s="4" t="str">
        <f ca="1">IFERROR(__xludf.DUMMYFUNCTION("GOOGLETRANSLATE(A2360 , ""tr"" , ""en"")"),"Number of new patients yesterday: 1.226
Number of severe patients: 656
The virus of severe patients usually pass through the illness of the disease or without lacking. You don't know what severe patients live, without living. Although warm, insert your ma"&amp;"sk, try to obey the distance rule if you are forced.")</f>
        <v>Number of new patients yesterday: 1.226
Number of severe patients: 656
The virus of severe patients usually pass through the illness of the disease or without lacking. You don't know what severe patients live, without living. Although warm, insert your mask, try to obey the distance rule if you are forced.</v>
      </c>
    </row>
    <row r="2361" spans="1:5" ht="15.75" customHeight="1" x14ac:dyDescent="0.25">
      <c r="A2361" s="1" t="s">
        <v>4721</v>
      </c>
      <c r="B2361" s="1">
        <v>48733</v>
      </c>
      <c r="C2361" s="3">
        <v>44057.8674537037</v>
      </c>
      <c r="D2361" s="1" t="s">
        <v>4722</v>
      </c>
      <c r="E2361" s="4" t="str">
        <f ca="1">IFERROR(__xludf.DUMMYFUNCTION("GOOGLETRANSLATE(A2361 , ""tr"" , ""en"")"),"Let's think about all the possible ones these days. https://t.co/4voc0ca0pw")</f>
        <v>Let's think about all the possible ones these days. https://t.co/4voc0ca0pw</v>
      </c>
    </row>
    <row r="2362" spans="1:5" ht="15.75" customHeight="1" x14ac:dyDescent="0.25">
      <c r="A2362" s="1" t="s">
        <v>4723</v>
      </c>
      <c r="B2362" s="1">
        <v>9534</v>
      </c>
      <c r="C2362" s="3">
        <v>44057.822222222225</v>
      </c>
      <c r="D2362" s="1" t="s">
        <v>4724</v>
      </c>
      <c r="E2362" s="4" t="str">
        <f ca="1">IFERROR(__xludf.DUMMYFUNCTION("GOOGLETRANSLATE(A2362 , ""tr"" , ""en"")"),"August 14 Provincial Evaluation Meetings. 15 We have a meeting individually with the health managers of our provinces. We have addressed the case increases, new measures in the field. The subject that doesn't change in the interviews, what do you think? T"&amp;"he patients are caught in the illness for simple reasons. https://t.co/mdnz0ushoc")</f>
        <v>August 14 Provincial Evaluation Meetings. 15 We have a meeting individually with the health managers of our provinces. We have addressed the case increases, new measures in the field. The subject that doesn't change in the interviews, what do you think? The patients are caught in the illness for simple reasons. https://t.co/mdnz0ushoc</v>
      </c>
    </row>
    <row r="2363" spans="1:5" ht="15.75" customHeight="1" x14ac:dyDescent="0.25">
      <c r="A2363" s="1" t="s">
        <v>4725</v>
      </c>
      <c r="B2363" s="1">
        <v>59466</v>
      </c>
      <c r="C2363" s="3">
        <v>44057.784583333334</v>
      </c>
      <c r="D2363" s="1" t="s">
        <v>4726</v>
      </c>
      <c r="E2363" s="4" t="str">
        <f ca="1">IFERROR(__xludf.DUMMYFUNCTION("GOOGLETRANSLATE(A2363 , ""tr"" , ""en"")"),"The nurse serving in Corum has lost Fatma Fatma, four children in the fire where five people have lost in the 4-year-old daughter Elif and his 8 year old son Yusuf. We can't find the words that will relieve this pain. We feel the pain in our heart as heal"&amp;"th workers.")</f>
        <v>The nurse serving in Corum has lost Fatma Fatma, four children in the fire where five people have lost in the 4-year-old daughter Elif and his 8 year old son Yusuf. We can't find the words that will relieve this pain. We feel the pain in our heart as health workers.</v>
      </c>
    </row>
    <row r="2364" spans="1:5" ht="15.75" customHeight="1" x14ac:dyDescent="0.2">
      <c r="A2364" s="5" t="s">
        <v>4727</v>
      </c>
      <c r="B2364" s="1">
        <v>18538</v>
      </c>
      <c r="C2364" s="3">
        <v>44057.750543981485</v>
      </c>
      <c r="D2364" s="1" t="s">
        <v>4728</v>
      </c>
      <c r="E2364" s="6" t="str">
        <f ca="1">IFERROR(__xludf.DUMMYFUNCTION("GOOGLETRANSLATE(A2364 , ""tr"" , ""en"")"),"https://t.co/aeeyxpiya1")</f>
        <v>https://t.co/aeeyxpiya1</v>
      </c>
    </row>
    <row r="2365" spans="1:5" ht="15.75" customHeight="1" x14ac:dyDescent="0.25">
      <c r="A2365" s="1" t="s">
        <v>4729</v>
      </c>
      <c r="B2365" s="1">
        <v>27190</v>
      </c>
      <c r="C2365" s="3">
        <v>44057.718449074076</v>
      </c>
      <c r="D2365" s="1" t="s">
        <v>4730</v>
      </c>
      <c r="E2365" s="4" t="str">
        <f ca="1">IFERROR(__xludf.DUMMYFUNCTION("GOOGLETRANSLATE(A2365 , ""tr"" , ""en"")"),"We have reached the highest number of tests. Our severe patient number increased to 656. The data is in the risk group due to the age or disease and shows that the number of caught in COVID-19 is increased. Take risks on the outside and do not carry it ho"&amp;"me. 1 patient means a sick family. https://t.co/rvlhe7786o https://t.co/kgun3jt4jn")</f>
        <v>We have reached the highest number of tests. Our severe patient number increased to 656. The data is in the risk group due to the age or disease and shows that the number of caught in COVID-19 is increased. Take risks on the outside and do not carry it home. 1 patient means a sick family. https://t.co/rvlhe7786o https://t.co/kgun3jt4jn</v>
      </c>
    </row>
    <row r="2366" spans="1:5" ht="15.75" customHeight="1" x14ac:dyDescent="0.25">
      <c r="A2366" s="1" t="s">
        <v>4731</v>
      </c>
      <c r="B2366" s="1">
        <v>33192</v>
      </c>
      <c r="C2366" s="3">
        <v>44057.657268518517</v>
      </c>
      <c r="D2366" s="1" t="s">
        <v>4732</v>
      </c>
      <c r="E2366" s="4" t="str">
        <f ca="1">IFERROR(__xludf.DUMMYFUNCTION("GOOGLETRANSLATE(A2366 , ""tr"" , ""en"")"),"It is difficult to struggle with the virus, instead of taking measures at the beginning, after being caught in the illness. At the moment, we have 647 heavy patients who closely knows how difficult it is.")</f>
        <v>It is difficult to struggle with the virus, instead of taking measures at the beginning, after being caught in the illness. At the moment, we have 647 heavy patients who closely knows how difficult it is.</v>
      </c>
    </row>
    <row r="2367" spans="1:5" ht="15.75" customHeight="1" x14ac:dyDescent="0.25">
      <c r="A2367" s="1" t="s">
        <v>4733</v>
      </c>
      <c r="B2367" s="1">
        <v>51340</v>
      </c>
      <c r="C2367" s="3">
        <v>44057.634525462963</v>
      </c>
      <c r="D2367" s="1" t="s">
        <v>4734</v>
      </c>
      <c r="E2367" s="4" t="str">
        <f ca="1">IFERROR(__xludf.DUMMYFUNCTION("GOOGLETRANSLATE(A2367 , ""tr"" , ""en"")"),"We are not difficult to protect ourselidism. It is easy because the rules are certain. What is hard? Let's think together. My answer is half an hour later.")</f>
        <v>We are not difficult to protect ourselidism. It is easy because the rules are certain. What is hard? Let's think together. My answer is half an hour later.</v>
      </c>
    </row>
    <row r="2368" spans="1:5" ht="15.75" customHeight="1" x14ac:dyDescent="0.25">
      <c r="A2368" s="1" t="s">
        <v>4735</v>
      </c>
      <c r="B2368" s="1">
        <v>19688</v>
      </c>
      <c r="C2368" s="3">
        <v>44057.480023148149</v>
      </c>
      <c r="D2368" s="1" t="s">
        <v>4736</v>
      </c>
      <c r="E2368" s="4" t="str">
        <f ca="1">IFERROR(__xludf.DUMMYFUNCTION("GOOGLETRANSLATE(A2368 , ""tr"" , ""en"")"),"Our children make sacrifices from our youth lives. Do not leave this unrequited. Follow the letters to the measures. In September 21, when the school is moved to face to face in school, the cases are reduced. Let's offer more secure conditions. We are as "&amp;"sensitive as parents, our son .. https://t.co/gdzp1nu42y")</f>
        <v>Our children make sacrifices from our youth lives. Do not leave this unrequited. Follow the letters to the measures. In September 21, when the school is moved to face to face in school, the cases are reduced. Let's offer more secure conditions. We are as sensitive as parents, our son .. https://t.co/gdzp1nu42y</v>
      </c>
    </row>
    <row r="2369" spans="1:5" ht="15.75" customHeight="1" x14ac:dyDescent="0.25">
      <c r="A2369" s="1" t="s">
        <v>4737</v>
      </c>
      <c r="B2369" s="1">
        <v>10598</v>
      </c>
      <c r="C2369" s="3">
        <v>44057.479895833334</v>
      </c>
      <c r="D2369" s="1" t="s">
        <v>4738</v>
      </c>
      <c r="E2369" s="4" t="str">
        <f ca="1">IFERROR(__xludf.DUMMYFUNCTION("GOOGLETRANSLATE(A2369 , ""tr"" , ""en"")"),"Our children make sacrifices from our youth lives. Do not leave this unrequited. Follow the letters to the measures. In September 21, when the school is moved to face to face in school, the cases are reduced. Let's offer more secure conditions. We're pare"&amp;"nts, as sensitive to our son .. https://t.co/1fg40s1i1u")</f>
        <v>Our children make sacrifices from our youth lives. Do not leave this unrequited. Follow the letters to the measures. In September 21, when the school is moved to face to face in school, the cases are reduced. Let's offer more secure conditions. We're parents, as sensitive to our son .. https://t.co/1fg40s1i1u</v>
      </c>
    </row>
    <row r="2370" spans="1:5" ht="15.75" customHeight="1" x14ac:dyDescent="0.25">
      <c r="A2370" s="1" t="s">
        <v>4739</v>
      </c>
      <c r="B2370" s="1">
        <v>15990</v>
      </c>
      <c r="C2370" s="3">
        <v>44057.314849537041</v>
      </c>
      <c r="D2370" s="1" t="s">
        <v>4740</v>
      </c>
      <c r="E2370" s="4" t="str">
        <f ca="1">IFERROR(__xludf.DUMMYFUNCTION("GOOGLETRANSLATE(A2370 , ""tr"" , ""en"")"),"Our children make sacrifices from our youth lives. Do not leave this unrequited. Follow the letters to the measures. In September 21, when the school is moved to face to face in school, the cases are reduced. Let's offer more secure conditions. We are as "&amp;"sensitive as our parents, our son .. https://t.co/5tndoptlzf")</f>
        <v>Our children make sacrifices from our youth lives. Do not leave this unrequited. Follow the letters to the measures. In September 21, when the school is moved to face to face in school, the cases are reduced. Let's offer more secure conditions. We are as sensitive as our parents, our son .. https://t.co/5tndoptlzf</v>
      </c>
    </row>
    <row r="2371" spans="1:5" ht="15.75" customHeight="1" x14ac:dyDescent="0.25">
      <c r="A2371" s="1" t="s">
        <v>4741</v>
      </c>
      <c r="B2371" s="1">
        <v>20880</v>
      </c>
      <c r="C2371" s="3">
        <v>44057.314733796295</v>
      </c>
      <c r="D2371" s="1" t="s">
        <v>4742</v>
      </c>
      <c r="E2371" s="4" t="str">
        <f ca="1">IFERROR(__xludf.DUMMYFUNCTION("GOOGLETRANSLATE(A2371 , ""tr"" , ""en"")"),"Our children make sacrifices from our youth lives. Do not leave this unrequited. Follow the letters to the measures. In September 21, when the school is moved to face to face in school, the cases are reduced. Let's offer more secure conditions. We are as "&amp;"sensitive as parents, our son .. https://t.co/ohkkmdhyva")</f>
        <v>Our children make sacrifices from our youth lives. Do not leave this unrequited. Follow the letters to the measures. In September 21, when the school is moved to face to face in school, the cases are reduced. Let's offer more secure conditions. We are as sensitive as parents, our son .. https://t.co/ohkkmdhyva</v>
      </c>
    </row>
    <row r="2372" spans="1:5" ht="15.75" customHeight="1" x14ac:dyDescent="0.25">
      <c r="A2372" s="1" t="s">
        <v>4743</v>
      </c>
      <c r="B2372" s="1">
        <v>95992</v>
      </c>
      <c r="C2372" s="3">
        <v>44056.761099537034</v>
      </c>
      <c r="D2372" s="1" t="s">
        <v>4744</v>
      </c>
      <c r="E2372" s="4" t="str">
        <f ca="1">IFERROR(__xludf.DUMMYFUNCTION("GOOGLETRANSLATE(A2372 , ""tr"" , ""en"")"),"The COVID-19 test has a positive friend who is going to visit the visit. Though he had not gone, the number of new patients will be 1.243 instead of 1.243. To 1 person itself infected. It is not very difficult to fight COVID-19. Enough that let's obey the"&amp;" rules.")</f>
        <v>The COVID-19 test has a positive friend who is going to visit the visit. Though he had not gone, the number of new patients will be 1.243 instead of 1.243. To 1 person itself infected. It is not very difficult to fight COVID-19. Enough that let's obey the rules.</v>
      </c>
    </row>
    <row r="2373" spans="1:5" ht="15.75" customHeight="1" x14ac:dyDescent="0.25">
      <c r="A2373" s="1" t="s">
        <v>4745</v>
      </c>
      <c r="B2373" s="1">
        <v>39748</v>
      </c>
      <c r="C2373" s="3">
        <v>44056.708796296298</v>
      </c>
      <c r="D2373" s="1" t="s">
        <v>4746</v>
      </c>
      <c r="E2373" s="4" t="str">
        <f ca="1">IFERROR(__xludf.DUMMYFUNCTION("GOOGLETRANSLATE(A2373 , ""tr"" , ""en"")"),"The patient has started to gain continuity in our number. There are 15 rises if the heavy patient is in our number. 5.807 Our Filliation Team is contacted scan. Number of contact scanning between August 6-13 349.003. To our health ormit, support the rules"&amp;". https://t.co/rvlhe7786o https://t.co/iipeuuaguk")</f>
        <v>The patient has started to gain continuity in our number. There are 15 rises if the heavy patient is in our number. 5.807 Our Filliation Team is contacted scan. Number of contact scanning between August 6-13 349.003. To our health ormit, support the rules. https://t.co/rvlhe7786o https://t.co/iipeuuaguk</v>
      </c>
    </row>
    <row r="2374" spans="1:5" ht="15.75" customHeight="1" x14ac:dyDescent="0.25">
      <c r="A2374" s="1" t="s">
        <v>4747</v>
      </c>
      <c r="B2374" s="1">
        <v>0</v>
      </c>
      <c r="C2374" s="3">
        <v>44056.666701388887</v>
      </c>
      <c r="D2374" s="1" t="s">
        <v>4748</v>
      </c>
      <c r="E2374" s="4" t="str">
        <f ca="1">IFERROR(__xludf.DUMMYFUNCTION("GOOGLETRANSLATE(A2374 , ""tr"" , ""en"")"),"RT @rterdogan: AK Party 19. Organization Year Current # Aksevda19")</f>
        <v>RT @rterdogan: AK Party 19. Organization Year Current # Aksevda19</v>
      </c>
    </row>
    <row r="2375" spans="1:5" ht="15.75" customHeight="1" x14ac:dyDescent="0.2">
      <c r="A2375" s="5" t="s">
        <v>4749</v>
      </c>
      <c r="B2375" s="1">
        <v>47652</v>
      </c>
      <c r="C2375" s="3">
        <v>44056.5862037037</v>
      </c>
      <c r="D2375" s="1" t="s">
        <v>4750</v>
      </c>
      <c r="E2375" s="6" t="str">
        <f ca="1">IFERROR(__xludf.DUMMYFUNCTION("GOOGLETRANSLATE(A2375 , ""tr"" , ""en"")"),"https://t.co/pa26hqmvmt")</f>
        <v>https://t.co/pa26hqmvmt</v>
      </c>
    </row>
    <row r="2376" spans="1:5" ht="15.75" customHeight="1" x14ac:dyDescent="0.25">
      <c r="A2376" s="1" t="s">
        <v>4751</v>
      </c>
      <c r="B2376" s="1">
        <v>67812</v>
      </c>
      <c r="C2376" s="3">
        <v>44056.335486111115</v>
      </c>
      <c r="D2376" s="1" t="s">
        <v>4752</v>
      </c>
      <c r="E2376" s="4" t="str">
        <f ca="1">IFERROR(__xludf.DUMMYFUNCTION("GOOGLETRANSLATE(A2376 , ""tr"" , ""en"")"),"Dear children and teens. Schools will first be opened with distance education first. Face-to-face training is on September 21. The cause of coronavirus. This virus is able to get you too. It impairs his health when you pass on your grew. Follow the rules."&amp;" Alert those who do not comply with my school. https://t.co/l2yphyz8po")</f>
        <v>Dear children and teens. Schools will first be opened with distance education first. Face-to-face training is on September 21. The cause of coronavirus. This virus is able to get you too. It impairs his health when you pass on your grew. Follow the rules. Alert those who do not comply with my school. https://t.co/l2yphyz8po</v>
      </c>
    </row>
    <row r="2377" spans="1:5" ht="15.75" customHeight="1" x14ac:dyDescent="0.25">
      <c r="A2377" s="1" t="s">
        <v>4753</v>
      </c>
      <c r="B2377" s="1">
        <v>16657</v>
      </c>
      <c r="C2377" s="3">
        <v>44055.857546296298</v>
      </c>
      <c r="D2377" s="1" t="s">
        <v>4754</v>
      </c>
      <c r="E2377" s="4" t="str">
        <f ca="1">IFERROR(__xludf.DUMMYFUNCTION("GOOGLETRANSLATE(A2377 , ""tr"" , ""en"")"),"COVID-19 epidemic all over the world, affects life in every area. Health, the most dramatic side of the epidemic. We are tired. But if we give up, we should know that what we are scared can come to our head. As in all outbreaks in history, humanity will g"&amp;"ain this war. Let's be among the winners. https://t.co/zyu5cmcouq")</f>
        <v>COVID-19 epidemic all over the world, affects life in every area. Health, the most dramatic side of the epidemic. We are tired. But if we give up, we should know that what we are scared can come to our head. As in all outbreaks in history, humanity will gain this war. Let's be among the winners. https://t.co/zyu5cmcouq</v>
      </c>
    </row>
    <row r="2378" spans="1:5" ht="15.75" customHeight="1" x14ac:dyDescent="0.2">
      <c r="A2378" s="5" t="s">
        <v>4755</v>
      </c>
      <c r="B2378" s="1">
        <v>21676</v>
      </c>
      <c r="C2378" s="3">
        <v>44055.824895833335</v>
      </c>
      <c r="D2378" s="1" t="s">
        <v>4756</v>
      </c>
      <c r="E2378" s="6" t="str">
        <f ca="1">IFERROR(__xludf.DUMMYFUNCTION("GOOGLETRANSLATE(A2378 , ""tr"" , ""en"")"),"https://t.co/txbwfz8vol")</f>
        <v>https://t.co/txbwfz8vol</v>
      </c>
    </row>
    <row r="2379" spans="1:5" ht="15.75" customHeight="1" x14ac:dyDescent="0.25">
      <c r="A2379" s="1" t="s">
        <v>4757</v>
      </c>
      <c r="B2379" s="1">
        <v>36333</v>
      </c>
      <c r="C2379" s="3">
        <v>44055.784398148149</v>
      </c>
      <c r="D2379" s="1" t="s">
        <v>4758</v>
      </c>
      <c r="E2379" s="4" t="str">
        <f ca="1">IFERROR(__xludf.DUMMYFUNCTION("GOOGLETRANSLATE(A2379 , ""tr"" , ""en"")"),"From March 2, we reached the maximum number of tests in the last 24 hours. There are 15 rises in our severe patients number. The propagation of the disease is fast in constant environments, for example in the family. A patient means a family caught in the"&amp;" disease. Let each of us take measures for all of us. https://t.co/rvlhe7786o https://t.co/53ppsmqygk")</f>
        <v>From March 2, we reached the maximum number of tests in the last 24 hours. There are 15 rises in our severe patients number. The propagation of the disease is fast in constant environments, for example in the family. A patient means a family caught in the disease. Let each of us take measures for all of us. https://t.co/rvlhe7786o https://t.co/53ppsmqygk</v>
      </c>
    </row>
    <row r="2380" spans="1:5" ht="15.75" customHeight="1" x14ac:dyDescent="0.2">
      <c r="A2380" s="5" t="s">
        <v>4759</v>
      </c>
      <c r="B2380" s="1">
        <v>41411</v>
      </c>
      <c r="C2380" s="3">
        <v>44055.694837962961</v>
      </c>
      <c r="D2380" s="1" t="s">
        <v>4760</v>
      </c>
      <c r="E2380" s="6" t="str">
        <f ca="1">IFERROR(__xludf.DUMMYFUNCTION("GOOGLETRANSLATE(A2380 , ""tr"" , ""en"")"),"https://t.co/jzimdpn5os")</f>
        <v>https://t.co/jzimdpn5os</v>
      </c>
    </row>
    <row r="2381" spans="1:5" ht="15.75" customHeight="1" x14ac:dyDescent="0.2">
      <c r="A2381" s="5" t="s">
        <v>4761</v>
      </c>
      <c r="B2381" s="1">
        <v>16967</v>
      </c>
      <c r="C2381" s="3">
        <v>44055.584930555553</v>
      </c>
      <c r="D2381" s="1" t="s">
        <v>4762</v>
      </c>
      <c r="E2381" s="6" t="str">
        <f ca="1">IFERROR(__xludf.DUMMYFUNCTION("GOOGLETRANSLATE(A2381 , ""tr"" , ""en"")"),"https://t.co/wdccxu71bc")</f>
        <v>https://t.co/wdccxu71bc</v>
      </c>
    </row>
    <row r="2382" spans="1:5" ht="15.75" customHeight="1" x14ac:dyDescent="0.2">
      <c r="A2382" s="5" t="s">
        <v>4763</v>
      </c>
      <c r="B2382" s="1">
        <v>32021</v>
      </c>
      <c r="C2382" s="3">
        <v>44055.336759259262</v>
      </c>
      <c r="D2382" s="1" t="s">
        <v>4764</v>
      </c>
      <c r="E2382" s="6" t="str">
        <f ca="1">IFERROR(__xludf.DUMMYFUNCTION("GOOGLETRANSLATE(A2382 , ""tr"" , ""en"")"),"https://t.co/aab2kpshkg")</f>
        <v>https://t.co/aab2kpshkg</v>
      </c>
    </row>
    <row r="2383" spans="1:5" ht="15.75" customHeight="1" x14ac:dyDescent="0.25">
      <c r="A2383" s="1" t="s">
        <v>4765</v>
      </c>
      <c r="B2383" s="1">
        <v>56446</v>
      </c>
      <c r="C2383" s="3">
        <v>44054.756805555553</v>
      </c>
      <c r="D2383" s="1" t="s">
        <v>4766</v>
      </c>
      <c r="E2383" s="4" t="str">
        <f ca="1">IFERROR(__xludf.DUMMYFUNCTION("GOOGLETRANSLATE(A2383 , ""tr"" , ""en"")"),"A study at Pain Dogubayazit State Hospital is attacked yesterday. The attack was on the warning of the social distance near the patient with the suspicion of COVID-19. Health workers are ready for all kinds of sacrifice. But it is not. https://t.co/zjl2gs"&amp;"t4o7")</f>
        <v>A study at Pain Dogubayazit State Hospital is attacked yesterday. The attack was on the warning of the social distance near the patient with the suspicion of COVID-19. Health workers are ready for all kinds of sacrifice. But it is not. https://t.co/zjl2gst4o7</v>
      </c>
    </row>
    <row r="2384" spans="1:5" ht="15.75" customHeight="1" x14ac:dyDescent="0.25">
      <c r="A2384" s="1" t="s">
        <v>4767</v>
      </c>
      <c r="B2384" s="1">
        <v>33367</v>
      </c>
      <c r="C2384" s="3">
        <v>44054.717534722222</v>
      </c>
      <c r="D2384" s="1" t="s">
        <v>4768</v>
      </c>
      <c r="E2384" s="4" t="str">
        <f ca="1">IFERROR(__xludf.DUMMYFUNCTION("GOOGLETRANSLATE(A2384 , ""tr"" , ""en"")"),"There are 32% reduction in hospitalization in the last 3 days. However, the number of severe patients with one of the most important indicators of the process continues to increase. Our first 5 provinces seen in the last 3 days: Istanbul, Ankara, Konya, D"&amp;"iyarbakir, Şanlıurfa. https://t.co/rvlhe7786o https://t.co/lnIahorczz")</f>
        <v>There are 32% reduction in hospitalization in the last 3 days. However, the number of severe patients with one of the most important indicators of the process continues to increase. Our first 5 provinces seen in the last 3 days: Istanbul, Ankara, Konya, Diyarbakir, Şanlıurfa. https://t.co/rvlhe7786o https://t.co/lnIahorczz</v>
      </c>
    </row>
    <row r="2385" spans="1:5" ht="15.75" customHeight="1" x14ac:dyDescent="0.2">
      <c r="A2385" s="5" t="s">
        <v>4769</v>
      </c>
      <c r="B2385" s="1">
        <v>16433</v>
      </c>
      <c r="C2385" s="3">
        <v>44054.585798611108</v>
      </c>
      <c r="D2385" s="1" t="s">
        <v>4770</v>
      </c>
      <c r="E2385" s="6" t="str">
        <f ca="1">IFERROR(__xludf.DUMMYFUNCTION("GOOGLETRANSLATE(A2385 , ""tr"" , ""en"")"),"https://t.co/v29bshbmtr")</f>
        <v>https://t.co/v29bshbmtr</v>
      </c>
    </row>
    <row r="2386" spans="1:5" ht="15.75" customHeight="1" x14ac:dyDescent="0.2">
      <c r="A2386" s="5" t="s">
        <v>4771</v>
      </c>
      <c r="B2386" s="1">
        <v>27358</v>
      </c>
      <c r="C2386" s="3">
        <v>44054.458298611113</v>
      </c>
      <c r="D2386" s="1" t="s">
        <v>4772</v>
      </c>
      <c r="E2386" s="6" t="str">
        <f ca="1">IFERROR(__xludf.DUMMYFUNCTION("GOOGLETRANSLATE(A2386 , ""tr"" , ""en"")"),"https://t.co/ryjk9o2ksd")</f>
        <v>https://t.co/ryjk9o2ksd</v>
      </c>
    </row>
    <row r="2387" spans="1:5" ht="15.75" customHeight="1" x14ac:dyDescent="0.2">
      <c r="A2387" s="5" t="s">
        <v>4773</v>
      </c>
      <c r="B2387" s="1">
        <v>38809</v>
      </c>
      <c r="C2387" s="3">
        <v>44054.271168981482</v>
      </c>
      <c r="D2387" s="1" t="s">
        <v>4774</v>
      </c>
      <c r="E2387" s="6" t="str">
        <f ca="1">IFERROR(__xludf.DUMMYFUNCTION("GOOGLETRANSLATE(A2387 , ""tr"" , ""en"")"),"https://t.co/dbydrujaac")</f>
        <v>https://t.co/dbydrujaac</v>
      </c>
    </row>
    <row r="2388" spans="1:5" ht="15.75" customHeight="1" x14ac:dyDescent="0.2">
      <c r="A2388" s="5" t="s">
        <v>4775</v>
      </c>
      <c r="B2388" s="1">
        <v>26595</v>
      </c>
      <c r="C2388" s="3">
        <v>44053.906851851854</v>
      </c>
      <c r="D2388" s="1" t="s">
        <v>4776</v>
      </c>
      <c r="E2388" s="6" t="str">
        <f ca="1">IFERROR(__xludf.DUMMYFUNCTION("GOOGLETRANSLATE(A2388 , ""tr"" , ""en"")"),"https://t.co/IDhckyohwq")</f>
        <v>https://t.co/IDhckyohwq</v>
      </c>
    </row>
    <row r="2389" spans="1:5" ht="15.75" customHeight="1" x14ac:dyDescent="0.2">
      <c r="A2389" s="5" t="s">
        <v>4777</v>
      </c>
      <c r="B2389" s="1">
        <v>29698</v>
      </c>
      <c r="C2389" s="3">
        <v>44053.861076388886</v>
      </c>
      <c r="D2389" s="1" t="s">
        <v>4778</v>
      </c>
      <c r="E2389" s="6" t="str">
        <f ca="1">IFERROR(__xludf.DUMMYFUNCTION("GOOGLETRANSLATE(A2389 , ""tr"" , ""en"")"),"https://t.co/pfl3th4s4l")</f>
        <v>https://t.co/pfl3th4s4l</v>
      </c>
    </row>
    <row r="2390" spans="1:5" ht="15.75" customHeight="1" x14ac:dyDescent="0.2">
      <c r="A2390" s="5" t="s">
        <v>4779</v>
      </c>
      <c r="B2390" s="1">
        <v>12894</v>
      </c>
      <c r="C2390" s="3">
        <v>44053.859375</v>
      </c>
      <c r="D2390" s="1" t="s">
        <v>4780</v>
      </c>
      <c r="E2390" s="6" t="str">
        <f ca="1">IFERROR(__xludf.DUMMYFUNCTION("GOOGLETRANSLATE(A2390 , ""tr"" , ""en"")"),"https://t.co/fv08okp27b")</f>
        <v>https://t.co/fv08okp27b</v>
      </c>
    </row>
    <row r="2391" spans="1:5" ht="15.75" customHeight="1" x14ac:dyDescent="0.2">
      <c r="A2391" s="5" t="s">
        <v>4781</v>
      </c>
      <c r="B2391" s="1">
        <v>37671</v>
      </c>
      <c r="C2391" s="3">
        <v>44053.781921296293</v>
      </c>
      <c r="D2391" s="1" t="s">
        <v>4782</v>
      </c>
      <c r="E2391" s="6" t="str">
        <f ca="1">IFERROR(__xludf.DUMMYFUNCTION("GOOGLETRANSLATE(A2391 , ""tr"" , ""en"")"),"https://t.co/hycffznahx")</f>
        <v>https://t.co/hycffznahx</v>
      </c>
    </row>
    <row r="2392" spans="1:5" ht="15.75" customHeight="1" x14ac:dyDescent="0.2">
      <c r="A2392" s="5" t="s">
        <v>4783</v>
      </c>
      <c r="B2392" s="1">
        <v>15216</v>
      </c>
      <c r="C2392" s="3">
        <v>44053.772118055553</v>
      </c>
      <c r="D2392" s="1" t="s">
        <v>4784</v>
      </c>
      <c r="E2392" s="6" t="str">
        <f ca="1">IFERROR(__xludf.DUMMYFUNCTION("GOOGLETRANSLATE(A2392 , ""tr"" , ""en"")"),"https://t.co/btv4zsruoq")</f>
        <v>https://t.co/btv4zsruoq</v>
      </c>
    </row>
    <row r="2393" spans="1:5" ht="15.75" customHeight="1" x14ac:dyDescent="0.25">
      <c r="A2393" s="1" t="s">
        <v>4785</v>
      </c>
      <c r="B2393" s="1">
        <v>32309</v>
      </c>
      <c r="C2393" s="3">
        <v>44053.747384259259</v>
      </c>
      <c r="D2393" s="1" t="s">
        <v>4786</v>
      </c>
      <c r="E2393" s="4" t="str">
        <f ca="1">IFERROR(__xludf.DUMMYFUNCTION("GOOGLETRANSLATE(A2393 , ""tr"" , ""en"")"),"The test count is close to the level where it is the highest throughout the epidemic. The ratio of active patients aged 60 years and older in the total patient is in the range of the country in 20-25%. Gumushane and Usak has the highest rate in this respe"&amp;"ct with 35%. https://t.co/rvlhe7786o https://t.co/z1bua9ttaw")</f>
        <v>The test count is close to the level where it is the highest throughout the epidemic. The ratio of active patients aged 60 years and older in the total patient is in the range of the country in 20-25%. Gumushane and Usak has the highest rate in this respect with 35%. https://t.co/rvlhe7786o https://t.co/z1bua9ttaw</v>
      </c>
    </row>
    <row r="2394" spans="1:5" ht="15.75" customHeight="1" x14ac:dyDescent="0.2">
      <c r="A2394" s="5" t="s">
        <v>4787</v>
      </c>
      <c r="B2394" s="1">
        <v>29579</v>
      </c>
      <c r="C2394" s="3">
        <v>44053.343101851853</v>
      </c>
      <c r="D2394" s="1" t="s">
        <v>4788</v>
      </c>
      <c r="E2394" s="6" t="str">
        <f ca="1">IFERROR(__xludf.DUMMYFUNCTION("GOOGLETRANSLATE(A2394 , ""tr"" , ""en"")"),"https://t.co/yqvwecq6pe")</f>
        <v>https://t.co/yqvwecq6pe</v>
      </c>
    </row>
    <row r="2395" spans="1:5" ht="15.75" customHeight="1" x14ac:dyDescent="0.25">
      <c r="A2395" s="1" t="s">
        <v>4789</v>
      </c>
      <c r="B2395" s="1">
        <v>13388</v>
      </c>
      <c r="C2395" s="3">
        <v>44052.900034722225</v>
      </c>
      <c r="D2395" s="1" t="s">
        <v>4790</v>
      </c>
      <c r="E2395" s="4" t="str">
        <f ca="1">IFERROR(__xludf.DUMMYFUNCTION("GOOGLETRANSLATE(A2395 , ""tr"" , ""en"")"),"We opened the opening of Kocaeli University health facilities and research centers. https://t.co/vyyflq2vr0")</f>
        <v>We opened the opening of Kocaeli University health facilities and research centers. https://t.co/vyyflq2vr0</v>
      </c>
    </row>
    <row r="2396" spans="1:5" ht="15.75" customHeight="1" x14ac:dyDescent="0.25">
      <c r="A2396" s="1" t="s">
        <v>4791</v>
      </c>
      <c r="B2396" s="1">
        <v>33560</v>
      </c>
      <c r="C2396" s="3">
        <v>44052.744606481479</v>
      </c>
      <c r="D2396" s="1" t="s">
        <v>4792</v>
      </c>
      <c r="E2396" s="4" t="str">
        <f ca="1">IFERROR(__xludf.DUMMYFUNCTION("GOOGLETRANSLATE(A2396 , ""tr"" , ""en"")"),"Our test count is slightly below yesterday's level where it is highlight throughout the epidemic. In Gaziantep, in the last week, average case numbers fell 10% in the last week. We have no intubated patients in our 25 provinces. https://t.co/rvlhe7786o ht"&amp;"tps://t.co/of37jg0cvh")</f>
        <v>Our test count is slightly below yesterday's level where it is highlight throughout the epidemic. In Gaziantep, in the last week, average case numbers fell 10% in the last week. We have no intubated patients in our 25 provinces. https://t.co/rvlhe7786o https://t.co/of37jg0cvh</v>
      </c>
    </row>
    <row r="2397" spans="1:5" ht="15.75" customHeight="1" x14ac:dyDescent="0.25">
      <c r="A2397" s="1" t="s">
        <v>4793</v>
      </c>
      <c r="B2397" s="1">
        <v>41159</v>
      </c>
      <c r="C2397" s="3">
        <v>44052.666689814818</v>
      </c>
      <c r="D2397" s="1" t="s">
        <v>4794</v>
      </c>
      <c r="E2397" s="4" t="str">
        <f ca="1">IFERROR(__xludf.DUMMYFUNCTION("GOOGLETRANSLATE(A2397 , ""tr"" , ""en"")"),"The rates of contacted people into positive cases compared to May 1.3 times increased in Turkey. Examples of an increase in provinces: Şanlıurfa 1.7, Ankara 1.6, Diyarbakır 1,4, Gaziantep 1.3 times. The result you need to remove these data; Mask is the di"&amp;"stance, cleaning alert.")</f>
        <v>The rates of contacted people into positive cases compared to May 1.3 times increased in Turkey. Examples of an increase in provinces: Şanlıurfa 1.7, Ankara 1.6, Diyarbakır 1,4, Gaziantep 1.3 times. The result you need to remove these data; Mask is the distance, cleaning alert.</v>
      </c>
    </row>
    <row r="2398" spans="1:5" ht="15.75" customHeight="1" x14ac:dyDescent="0.25">
      <c r="A2398" s="1" t="s">
        <v>4795</v>
      </c>
      <c r="B2398" s="1">
        <v>8214</v>
      </c>
      <c r="C2398" s="3">
        <v>44052.563437500001</v>
      </c>
      <c r="D2398" s="1" t="s">
        <v>4796</v>
      </c>
      <c r="E2398" s="4" t="str">
        <f ca="1">IFERROR(__xludf.DUMMYFUNCTION("GOOGLETRANSLATE(A2398 , ""tr"" , ""en"")"),"Turkey Reached The Highest Daily Test Numbers with 63.842 TESTS YESTERDAY During The Pandemic. The Number of New Cases are Below 1200. Pneumonia Rate Dropped within the patients. Number of hospitalized and discharged patients are very close to Each Other."&amp;" https://t.co/siag8asfub")</f>
        <v>Turkey Reached The Highest Daily Test Numbers with 63.842 TESTS YESTERDAY During The Pandemic. The Number of New Cases are Below 1200. Pneumonia Rate Dropped within the patients. Number of hospitalized and discharged patients are very close to Each Other. https://t.co/siag8asfub</v>
      </c>
    </row>
    <row r="2399" spans="1:5" ht="15.75" customHeight="1" x14ac:dyDescent="0.25">
      <c r="A2399" s="1" t="s">
        <v>4797</v>
      </c>
      <c r="B2399" s="1">
        <v>34649</v>
      </c>
      <c r="C2399" s="3">
        <v>44052.531122685185</v>
      </c>
      <c r="D2399" s="1" t="s">
        <v>4798</v>
      </c>
      <c r="E2399" s="4" t="str">
        <f ca="1">IFERROR(__xludf.DUMMYFUNCTION("GOOGLETRANSLATE(A2399 , ""tr"" , ""en"")"),"Covid-19 is the viral infection. In the lungs, the fierce inflammation we call pneumonia. The inflammation prevents enough oxygen transportation to the blood and the dumping of carbon dioxide. It is very difficult to breathe with this reason. Covid-19 is "&amp;"a difficult disease. Take measures against risk. https://t.co/Unx2JNoIsy")</f>
        <v>Covid-19 is the viral infection. In the lungs, the fierce inflammation we call pneumonia. The inflammation prevents enough oxygen transportation to the blood and the dumping of carbon dioxide. It is very difficult to breathe with this reason. Covid-19 is a difficult disease. Take measures against risk. https://t.co/Unx2JNoIsy</v>
      </c>
    </row>
    <row r="2400" spans="1:5" ht="15.75" customHeight="1" x14ac:dyDescent="0.25">
      <c r="A2400" s="1" t="s">
        <v>4799</v>
      </c>
      <c r="B2400" s="1">
        <v>71533</v>
      </c>
      <c r="C2400" s="3">
        <v>44052.471180555556</v>
      </c>
      <c r="D2400" s="1" t="s">
        <v>4800</v>
      </c>
      <c r="E2400" s="4" t="str">
        <f ca="1">IFERROR(__xludf.DUMMYFUNCTION("GOOGLETRANSLATE(A2400 , ""tr"" , ""en"")"),"Give you a measure message from your profile today. Prepare a message that reminds the mask, distance, cleaning rules against the epidemic and share with your followers. Get as effective as you can for those who know and do not fit.")</f>
        <v>Give you a measure message from your profile today. Prepare a message that reminds the mask, distance, cleaning rules against the epidemic and share with your followers. Get as effective as you can for those who know and do not fit.</v>
      </c>
    </row>
    <row r="2401" spans="1:5" ht="15.75" customHeight="1" x14ac:dyDescent="0.25">
      <c r="A2401" s="1" t="s">
        <v>4801</v>
      </c>
      <c r="B2401" s="1">
        <v>39713</v>
      </c>
      <c r="C2401" s="3">
        <v>44051.755613425928</v>
      </c>
      <c r="D2401" s="1" t="s">
        <v>4802</v>
      </c>
      <c r="E2401" s="4" t="str">
        <f ca="1">IFERROR(__xludf.DUMMYFUNCTION("GOOGLETRANSLATE(A2401 , ""tr"" , ""en"")"),"Pneumonia has fallen in all in Turkey. We stepped in 64 thousand in the number of daily tests. The highest number was approximately 58. In our hospital occupancy rates, there is no change due to the fact that patients with newly lying and discharge are in"&amp;" close numbers. Good result depends on strict measure. https://t.co/rvlhe7786o https://t.co/jvzwpIzgjy")</f>
        <v>Pneumonia has fallen in all in Turkey. We stepped in 64 thousand in the number of daily tests. The highest number was approximately 58. In our hospital occupancy rates, there is no change due to the fact that patients with newly lying and discharge are in close numbers. Good result depends on strict measure. https://t.co/rvlhe7786o https://t.co/jvzwpIzgjy</v>
      </c>
    </row>
    <row r="2402" spans="1:5" ht="15.75" customHeight="1" x14ac:dyDescent="0.25">
      <c r="A2402" s="1" t="s">
        <v>4803</v>
      </c>
      <c r="B2402" s="1">
        <v>118535</v>
      </c>
      <c r="C2402" s="3">
        <v>44051.645856481482</v>
      </c>
      <c r="D2402" s="1" t="s">
        <v>4804</v>
      </c>
      <c r="E2402" s="4" t="str">
        <f ca="1">IFERROR(__xludf.DUMMYFUNCTION("GOOGLETRANSLATE(A2402 , ""tr"" , ""en"")"),"Immediately undo the concise of the measure.")</f>
        <v>Immediately undo the concise of the measure.</v>
      </c>
    </row>
    <row r="2403" spans="1:5" ht="15.75" customHeight="1" x14ac:dyDescent="0.2">
      <c r="A2403" s="5" t="s">
        <v>4805</v>
      </c>
      <c r="B2403" s="1">
        <v>67493</v>
      </c>
      <c r="C2403" s="3">
        <v>44051.524062500001</v>
      </c>
      <c r="D2403" s="1" t="s">
        <v>4806</v>
      </c>
      <c r="E2403" s="6" t="str">
        <f ca="1">IFERROR(__xludf.DUMMYFUNCTION("GOOGLETRANSLATE(A2403 , ""tr"" , ""en"")"),"https://t.co/eyw0cxhqs1")</f>
        <v>https://t.co/eyw0cxhqs1</v>
      </c>
    </row>
    <row r="2404" spans="1:5" ht="15.75" customHeight="1" x14ac:dyDescent="0.2">
      <c r="A2404" s="5" t="s">
        <v>4807</v>
      </c>
      <c r="B2404" s="1">
        <v>24367</v>
      </c>
      <c r="C2404" s="3">
        <v>44051.475405092591</v>
      </c>
      <c r="D2404" s="1" t="s">
        <v>4808</v>
      </c>
      <c r="E2404" s="6" t="str">
        <f ca="1">IFERROR(__xludf.DUMMYFUNCTION("GOOGLETRANSLATE(A2404 , ""tr"" , ""en"")"),"https://t.co/ehmowgk6nj")</f>
        <v>https://t.co/ehmowgk6nj</v>
      </c>
    </row>
    <row r="2405" spans="1:5" ht="15.75" customHeight="1" x14ac:dyDescent="0.25">
      <c r="A2405" s="1" t="s">
        <v>4809</v>
      </c>
      <c r="B2405" s="1">
        <v>67789</v>
      </c>
      <c r="C2405" s="3">
        <v>44051.334097222221</v>
      </c>
      <c r="D2405" s="1" t="s">
        <v>4810</v>
      </c>
      <c r="E2405" s="4" t="str">
        <f ca="1">IFERROR(__xludf.DUMMYFUNCTION("GOOGLETRANSLATE(A2405 , ""tr"" , ""en"")"),"Be the Precision. The rule is sick at the first opportunity.")</f>
        <v>Be the Precision. The rule is sick at the first opportunity.</v>
      </c>
    </row>
    <row r="2406" spans="1:5" ht="15.75" customHeight="1" x14ac:dyDescent="0.25">
      <c r="A2406" s="1" t="s">
        <v>4811</v>
      </c>
      <c r="B2406" s="1">
        <v>85636</v>
      </c>
      <c r="C2406" s="3">
        <v>44051.271064814813</v>
      </c>
      <c r="D2406" s="1" t="s">
        <v>4812</v>
      </c>
      <c r="E2406" s="4" t="str">
        <f ca="1">IFERROR(__xludf.DUMMYFUNCTION("GOOGLETRANSLATE(A2406 , ""tr"" , ""en"")"),"Mask, distance, cleanliness. Is there no ruled won battle?")</f>
        <v>Mask, distance, cleanliness. Is there no ruled won battle?</v>
      </c>
    </row>
    <row r="2407" spans="1:5" ht="15.75" customHeight="1" x14ac:dyDescent="0.25">
      <c r="A2407" s="1" t="s">
        <v>4813</v>
      </c>
      <c r="B2407" s="1">
        <v>56782</v>
      </c>
      <c r="C2407" s="3">
        <v>44051.229675925926</v>
      </c>
      <c r="D2407" s="1" t="s">
        <v>4814</v>
      </c>
      <c r="E2407" s="4" t="str">
        <f ca="1">IFERROR(__xludf.DUMMYFUNCTION("GOOGLETRANSLATE(A2407 , ""tr"" , ""en"")"),"Including the virus fighting today's life struggle.")</f>
        <v>Including the virus fighting today's life struggle.</v>
      </c>
    </row>
    <row r="2408" spans="1:5" ht="15.75" customHeight="1" x14ac:dyDescent="0.25">
      <c r="A2408" s="1" t="s">
        <v>4815</v>
      </c>
      <c r="B2408" s="1">
        <v>39122</v>
      </c>
      <c r="C2408" s="3">
        <v>44050.828020833331</v>
      </c>
      <c r="D2408" s="1" t="s">
        <v>4816</v>
      </c>
      <c r="E2408" s="4" t="str">
        <f ca="1">IFERROR(__xludf.DUMMYFUNCTION("GOOGLETRANSLATE(A2408 , ""tr"" , ""en"")"),"Precious nurses. My friends from 38 health branches. While the Sky News channel mentioned our success in the epidemic struggle, ""With our physicians, let's be proud of our health system."" Due to the shaped phrase, is the true campaign you have started t"&amp;"he campaign about me today? https://t.co/hfdatomrzb")</f>
        <v>Precious nurses. My friends from 38 health branches. While the Sky News channel mentioned our success in the epidemic struggle, "With our physicians, let's be proud of our health system." Due to the shaped phrase, is the true campaign you have started the campaign about me today? https://t.co/hfdatomrzb</v>
      </c>
    </row>
    <row r="2409" spans="1:5" ht="15.75" customHeight="1" x14ac:dyDescent="0.25">
      <c r="A2409" s="1" t="s">
        <v>4817</v>
      </c>
      <c r="B2409" s="1">
        <v>8022</v>
      </c>
      <c r="C2409" s="3">
        <v>44050.808472222219</v>
      </c>
      <c r="D2409" s="1" t="s">
        <v>4818</v>
      </c>
      <c r="E2409" s="4" t="str">
        <f ca="1">IFERROR(__xludf.DUMMYFUNCTION("GOOGLETRANSLATE(A2409 , ""tr"" , ""en"")"),"The Republic of Kazakhstan Deputy Prime Minister SN. Native Tugzhanov, Health Minister SN. Visited our Ministry with Alexy Tsoy. In our country thanked for the help of Kazakhstan, we were addressed against COVID-19, cooperation in the field of health. htt"&amp;"ps://t.co/kxiz3p9jsx")</f>
        <v>The Republic of Kazakhstan Deputy Prime Minister SN. Native Tugzhanov, Health Minister SN. Visited our Ministry with Alexy Tsoy. In our country thanked for the help of Kazakhstan, we were addressed against COVID-19, cooperation in the field of health. https://t.co/kxiz3p9jsx</v>
      </c>
    </row>
    <row r="2410" spans="1:5" ht="15.75" customHeight="1" x14ac:dyDescent="0.25">
      <c r="A2410" s="1" t="s">
        <v>4819</v>
      </c>
      <c r="B2410" s="1">
        <v>10602</v>
      </c>
      <c r="C2410" s="3">
        <v>44050.800358796296</v>
      </c>
      <c r="D2410" s="1" t="s">
        <v>4820</v>
      </c>
      <c r="E2410" s="4" t="str">
        <f ca="1">IFERROR(__xludf.DUMMYFUNCTION("GOOGLETRANSLATE(A2410 , ""tr"" , ""en"")"),"We have made provincial evaluation meetings with Samsun, Sakarya, Sivas and Kocaeli governors. We have evaluated the necessary case increases, needs and necessary measures. In the meetings, the President of the Provincial HIFZISSHA President of the Provin"&amp;"cial Health Directorates of the Provincial Health Directorates were provided. https://t.co/fbuI7fjmyi")</f>
        <v>We have made provincial evaluation meetings with Samsun, Sakarya, Sivas and Kocaeli governors. We have evaluated the necessary case increases, needs and necessary measures. In the meetings, the President of the Provincial HIFZISSHA President of the Provincial Health Directorates of the Provincial Health Directorates were provided. https://t.co/fbuI7fjmyi</v>
      </c>
    </row>
    <row r="2411" spans="1:5" ht="15.75" customHeight="1" x14ac:dyDescent="0.2">
      <c r="A2411" s="5" t="s">
        <v>4821</v>
      </c>
      <c r="B2411" s="1">
        <v>23610</v>
      </c>
      <c r="C2411" s="3">
        <v>44050.769537037035</v>
      </c>
      <c r="D2411" s="1" t="s">
        <v>4822</v>
      </c>
      <c r="E2411" s="6" t="str">
        <f ca="1">IFERROR(__xludf.DUMMYFUNCTION("GOOGLETRANSLATE(A2411 , ""tr"" , ""en"")"),"https://t.co/grnd12yzty")</f>
        <v>https://t.co/grnd12yzty</v>
      </c>
    </row>
    <row r="2412" spans="1:5" ht="15.75" customHeight="1" x14ac:dyDescent="0.25">
      <c r="A2412" s="1" t="s">
        <v>4823</v>
      </c>
      <c r="B2412" s="1">
        <v>33222</v>
      </c>
      <c r="C2412" s="3">
        <v>44050.72859953704</v>
      </c>
      <c r="D2412" s="1" t="s">
        <v>4824</v>
      </c>
      <c r="E2412" s="4" t="str">
        <f ca="1">IFERROR(__xludf.DUMMYFUNCTION("GOOGLETRANSLATE(A2412 , ""tr"" , ""en"")"),"The increase in the new patients continues to increase. Our recovering patient count is less than the number of new patients, as it is yesterday. If the test count is increasing. We must be a configuration in the measure until they accomplish the number o"&amp;"f cases. Good news, strict measure. https://t.co/rvlhe7786o https://t.co/xw2cpkhfus")</f>
        <v>The increase in the new patients continues to increase. Our recovering patient count is less than the number of new patients, as it is yesterday. If the test count is increasing. We must be a configuration in the measure until they accomplish the number of cases. Good news, strict measure. https://t.co/rvlhe7786o https://t.co/xw2cpkhfus</v>
      </c>
    </row>
    <row r="2413" spans="1:5" ht="15.75" customHeight="1" x14ac:dyDescent="0.25">
      <c r="A2413" s="1" t="s">
        <v>4825</v>
      </c>
      <c r="B2413" s="1">
        <v>6126</v>
      </c>
      <c r="C2413" s="3">
        <v>44050.61681712963</v>
      </c>
      <c r="D2413" s="1" t="s">
        <v>4826</v>
      </c>
      <c r="E2413" s="4" t="str">
        <f ca="1">IFERROR(__xludf.DUMMYFUNCTION("GOOGLETRANSLATE(A2413 , ""tr"" , ""en"")"),"Thank You Mr Director-General @DrTedros for your Message. I Urge All Countries to Wear A Mask, Practice Social Distancing and Follow Hygiene Rules. My Dear Friend @hans_kluge, I Know you are with us #wearamask https://t.co/b3309dpfg2")</f>
        <v>Thank You Mr Director-General @DrTedros for your Message. I Urge All Countries to Wear A Mask, Practice Social Distancing and Follow Hygiene Rules. My Dear Friend @hans_kluge, I Know you are with us #wearamask https://t.co/b3309dpfg2</v>
      </c>
    </row>
    <row r="2414" spans="1:5" ht="15.75" customHeight="1" x14ac:dyDescent="0.25">
      <c r="A2414" s="1" t="s">
        <v>4827</v>
      </c>
      <c r="B2414" s="1">
        <v>33530</v>
      </c>
      <c r="C2414" s="3">
        <v>44050.612523148149</v>
      </c>
      <c r="D2414" s="1" t="s">
        <v>4828</v>
      </c>
      <c r="E2414" s="4" t="str">
        <f ca="1">IFERROR(__xludf.DUMMYFUNCTION("GOOGLETRANSLATE(A2414 , ""tr"" , ""en"")"),"Reactions, rarely contains bidding. In the new conditions of the world, he should respect those under severe responsibility. Fighting in the hopping of the hard days is my friend # Beratalbayrakınan")</f>
        <v>Reactions, rarely contains bidding. In the new conditions of the world, he should respect those under severe responsibility. Fighting in the hopping of the hard days is my friend # Beratalbayrakınan</v>
      </c>
    </row>
    <row r="2415" spans="1:5" ht="15.75" customHeight="1" x14ac:dyDescent="0.25">
      <c r="A2415" s="1" t="s">
        <v>4829</v>
      </c>
      <c r="B2415" s="1">
        <v>111177</v>
      </c>
      <c r="C2415" s="3">
        <v>44050.375069444446</v>
      </c>
      <c r="D2415" s="1" t="s">
        <v>4830</v>
      </c>
      <c r="E2415" s="4" t="str">
        <f ca="1">IFERROR(__xludf.DUMMYFUNCTION("GOOGLETRANSLATE(A2415 , ""tr"" , ""en"")"),"Today, he can see the real face of Covid-19 tomorrow, not wearing the mask.")</f>
        <v>Today, he can see the real face of Covid-19 tomorrow, not wearing the mask.</v>
      </c>
    </row>
    <row r="2416" spans="1:5" ht="15.75" customHeight="1" x14ac:dyDescent="0.25">
      <c r="A2416" s="1" t="s">
        <v>4831</v>
      </c>
      <c r="B2416" s="1">
        <v>92341</v>
      </c>
      <c r="C2416" s="3">
        <v>44050.333356481482</v>
      </c>
      <c r="D2416" s="1" t="s">
        <v>4832</v>
      </c>
      <c r="E2416" s="4" t="str">
        <f ca="1">IFERROR(__xludf.DUMMYFUNCTION("GOOGLETRANSLATE(A2416 , ""tr"" , ""en"")"),"In this speed, the close distance is not friendly. What is the lung of water, if only they could tell!")</f>
        <v>In this speed, the close distance is not friendly. What is the lung of water, if only they could tell!</v>
      </c>
    </row>
    <row r="2417" spans="1:5" ht="15.75" customHeight="1" x14ac:dyDescent="0.25">
      <c r="A2417" s="1" t="s">
        <v>4833</v>
      </c>
      <c r="B2417" s="1">
        <v>45208</v>
      </c>
      <c r="C2417" s="3">
        <v>44050.29451388889</v>
      </c>
      <c r="D2417" s="1" t="s">
        <v>4834</v>
      </c>
      <c r="E2417" s="4" t="str">
        <f ca="1">IFERROR(__xludf.DUMMYFUNCTION("GOOGLETRANSLATE(A2417 , ""tr"" , ""en"")"),"Will we leave the administration of our lives, or we will check out the epidemic with measures? We can succeed. We want a configuration in the measure.")</f>
        <v>Will we leave the administration of our lives, or we will check out the epidemic with measures? We can succeed. We want a configuration in the measure.</v>
      </c>
    </row>
    <row r="2418" spans="1:5" ht="15.75" customHeight="1" x14ac:dyDescent="0.25">
      <c r="A2418" s="1" t="s">
        <v>4835</v>
      </c>
      <c r="B2418" s="1">
        <v>34408</v>
      </c>
      <c r="C2418" s="3">
        <v>44049.802152777775</v>
      </c>
      <c r="D2418" s="1" t="s">
        <v>4836</v>
      </c>
      <c r="E2418" s="4" t="str">
        <f ca="1">IFERROR(__xludf.DUMMYFUNCTION("GOOGLETRANSLATE(A2418 , ""tr"" , ""en"")"),"Sky News from England's leading TV channels, Turkey's epidemic struggle, he carried the agenda with his private news. In the news; It is emphasized that our Fillio teams are working as a detective in the follow-up of the disease, early and intense interve"&amp;"ntion brings success in the treatment. https://t.co/Iwq4cbrqhp")</f>
        <v>Sky News from England's leading TV channels, Turkey's epidemic struggle, he carried the agenda with his private news. In the news; It is emphasized that our Fillio teams are working as a detective in the follow-up of the disease, early and intense intervention brings success in the treatment. https://t.co/Iwq4cbrqhp</v>
      </c>
    </row>
    <row r="2419" spans="1:5" ht="15.75" customHeight="1" x14ac:dyDescent="0.25">
      <c r="A2419" s="1" t="s">
        <v>4837</v>
      </c>
      <c r="B2419" s="1">
        <v>52454</v>
      </c>
      <c r="C2419" s="3">
        <v>44049.801493055558</v>
      </c>
      <c r="D2419" s="1" t="s">
        <v>4838</v>
      </c>
      <c r="E2419" s="4" t="str">
        <f ca="1">IFERROR(__xludf.DUMMYFUNCTION("GOOGLETRANSLATE(A2419 , ""tr"" , ""en"")"),"Throughout the epidemic, when some of our achievements as the country, some of them, to these achievements ""Turkish Propaganda against Türkçi Turkish!"" said. A little bit of British British will watch the Propaganda of Turkey. With our physicians, let's"&amp;" be proud of our health system.")</f>
        <v>Throughout the epidemic, when some of our achievements as the country, some of them, to these achievements "Turkish Propaganda against Türkçi Turkish!" said. A little bit of British British will watch the Propaganda of Turkey. With our physicians, let's be proud of our health system.</v>
      </c>
    </row>
    <row r="2420" spans="1:5" ht="15.75" customHeight="1" x14ac:dyDescent="0.25">
      <c r="A2420" s="1" t="s">
        <v>4839</v>
      </c>
      <c r="B2420" s="1">
        <v>33221</v>
      </c>
      <c r="C2420" s="3">
        <v>44049.727465277778</v>
      </c>
      <c r="D2420" s="1" t="s">
        <v>4840</v>
      </c>
      <c r="E2420" s="4" t="str">
        <f ca="1">IFERROR(__xludf.DUMMYFUNCTION("GOOGLETRANSLATE(A2420 , ""tr"" , ""en"")"),"Our new patient, death and severe patient numbers, pneumonized patient ratio; less than yesterdays with some differences. However, none of these data provides guarantee about the results of tomorrow or a week. Only tight measures can be based on good news"&amp;". https://t.co/rvlhe7786o https://t.co/kjjsapbtij")</f>
        <v>Our new patient, death and severe patient numbers, pneumonized patient ratio; less than yesterdays with some differences. However, none of these data provides guarantee about the results of tomorrow or a week. Only tight measures can be based on good news. https://t.co/rvlhe7786o https://t.co/kjjsapbtij</v>
      </c>
    </row>
    <row r="2421" spans="1:5" ht="15.75" customHeight="1" x14ac:dyDescent="0.25">
      <c r="A2421" s="1" t="s">
        <v>4841</v>
      </c>
      <c r="B2421" s="1">
        <v>18352</v>
      </c>
      <c r="C2421" s="3">
        <v>44049.687997685185</v>
      </c>
      <c r="D2421" s="1" t="s">
        <v>4842</v>
      </c>
      <c r="E2421" s="4" t="str">
        <f ca="1">IFERROR(__xludf.DUMMYFUNCTION("GOOGLETRANSLATE(A2421 , ""tr"" , ""en"")"),"Contrary To False Allegations, Note A Single City is Overflowing with Patients or A Hospital Full To Capacity Due to COVID-19 in TURKEY. Please Give Credence Only to Official Statements by The Ministry of Health.")</f>
        <v>Contrary To False Allegations, Note A Single City is Overflowing with Patients or A Hospital Full To Capacity Due to COVID-19 in TURKEY. Please Give Credence Only to Official Statements by The Ministry of Health.</v>
      </c>
    </row>
    <row r="2422" spans="1:5" ht="15.75" customHeight="1" x14ac:dyDescent="0.25">
      <c r="A2422" s="1" t="s">
        <v>4843</v>
      </c>
      <c r="B2422" s="1">
        <v>13476</v>
      </c>
      <c r="C2422" s="3">
        <v>44049.686076388891</v>
      </c>
      <c r="D2422" s="1" t="s">
        <v>4844</v>
      </c>
      <c r="E2422" s="4" t="str">
        <f ca="1">IFERROR(__xludf.DUMMYFUNCTION("GOOGLETRANSLATE(A2422 , ""tr"" , ""en"")"),"Konya Province: Ward Bed Occancancy Rate is 48%, ICU Occancancy is 76% and Mechanical Ventilator Use is 42%. Allegations of 100% Occappancy / Use are 100% ill-intentioned. Pay No Attention to Those Who Underrate The Disease and Those Who Portray Hospitals"&amp;" As Desperate.")</f>
        <v>Konya Province: Ward Bed Occancancy Rate is 48%, ICU Occancancy is 76% and Mechanical Ventilator Use is 42%. Allegations of 100% Occappancy / Use are 100% ill-intentioned. Pay No Attention to Those Who Underrate The Disease and Those Who Portray Hospitals As Desperate.</v>
      </c>
    </row>
    <row r="2423" spans="1:5" ht="15.75" customHeight="1" x14ac:dyDescent="0.25">
      <c r="A2423" s="1" t="s">
        <v>4845</v>
      </c>
      <c r="B2423" s="1">
        <v>64953</v>
      </c>
      <c r="C2423" s="3">
        <v>44049.643321759257</v>
      </c>
      <c r="D2423" s="1" t="s">
        <v>4846</v>
      </c>
      <c r="E2423" s="4" t="str">
        <f ca="1">IFERROR(__xludf.DUMMYFUNCTION("GOOGLETRANSLATE(A2423 , ""tr"" , ""en"")"),"There are no mountains among us. Set the distance. The illness is separated only from uncomplied by the rules.")</f>
        <v>There are no mountains among us. Set the distance. The illness is separated only from uncomplied by the rules.</v>
      </c>
    </row>
    <row r="2424" spans="1:5" ht="15.75" customHeight="1" x14ac:dyDescent="0.25">
      <c r="A2424" s="1" t="s">
        <v>4847</v>
      </c>
      <c r="B2424" s="1">
        <v>54133</v>
      </c>
      <c r="C2424" s="3">
        <v>44049.567349537036</v>
      </c>
      <c r="D2424" s="1" t="s">
        <v>4848</v>
      </c>
      <c r="E2424" s="4" t="str">
        <f ca="1">IFERROR(__xludf.DUMMYFUNCTION("GOOGLETRANSLATE(A2424 , ""tr"" , ""en"")"),"Should be 64 years of age and six two times. One large, for themselves.")</f>
        <v>Should be 64 years of age and six two times. One large, for themselves.</v>
      </c>
    </row>
    <row r="2425" spans="1:5" ht="15.75" customHeight="1" x14ac:dyDescent="0.2">
      <c r="A2425" s="5" t="s">
        <v>4849</v>
      </c>
      <c r="B2425" s="1">
        <v>22775</v>
      </c>
      <c r="C2425" s="3">
        <v>44049.465092592596</v>
      </c>
      <c r="D2425" s="1" t="s">
        <v>4850</v>
      </c>
      <c r="E2425" s="6" t="str">
        <f ca="1">IFERROR(__xludf.DUMMYFUNCTION("GOOGLETRANSLATE(A2425 , ""tr"" , ""en"")"),"https://t.co/ts3cmrwyun")</f>
        <v>https://t.co/ts3cmrwyun</v>
      </c>
    </row>
    <row r="2426" spans="1:5" ht="15.75" customHeight="1" x14ac:dyDescent="0.25">
      <c r="A2426" s="1" t="s">
        <v>4851</v>
      </c>
      <c r="B2426" s="1">
        <v>51337</v>
      </c>
      <c r="C2426" s="3">
        <v>44049.41951388889</v>
      </c>
      <c r="D2426" s="1" t="s">
        <v>4852</v>
      </c>
      <c r="E2426" s="4" t="str">
        <f ca="1">IFERROR(__xludf.DUMMYFUNCTION("GOOGLETRANSLATE(A2426 , ""tr"" , ""en"")"),"I invite to behave in charge: Mask, distance, cleaning rule, teenage old, peasant urban everyone should meet. I invite to take responsibility: Despite the course of the outpatient, the risk of COVID-19 is overrated, the purpose should give up on non-healt"&amp;"h suggestions.")</f>
        <v>I invite to behave in charge: Mask, distance, cleaning rule, teenage old, peasant urban everyone should meet. I invite to take responsibility: Despite the course of the outpatient, the risk of COVID-19 is overrated, the purpose should give up on non-health suggestions.</v>
      </c>
    </row>
    <row r="2427" spans="1:5" ht="15.75" customHeight="1" x14ac:dyDescent="0.25">
      <c r="A2427" s="1" t="s">
        <v>4853</v>
      </c>
      <c r="B2427" s="1">
        <v>6516</v>
      </c>
      <c r="C2427" s="3">
        <v>44049.311203703706</v>
      </c>
      <c r="D2427" s="1" t="s">
        <v>4854</v>
      </c>
      <c r="E2427" s="4" t="str">
        <f ca="1">IFERROR(__xludf.DUMMYFUNCTION("GOOGLETRANSLATE(A2427 , ""tr"" , ""en"")"),"In the meetings, we evaluated the case situation and measures, and we have planned against the epidemic. We have provided coordination in the works of our provincial health directorates with the president of the provincial HIFZISSIHHA boards. We appreciat"&amp;"e our interior minister, governors, health personnel.")</f>
        <v>In the meetings, we evaluated the case situation and measures, and we have planned against the epidemic. We have provided coordination in the works of our provincial health directorates with the president of the provincial HIFZISSIHHA boards. We appreciate our interior minister, governors, health personnel.</v>
      </c>
    </row>
    <row r="2428" spans="1:5" ht="15.75" customHeight="1" x14ac:dyDescent="0.25">
      <c r="A2428" s="1" t="s">
        <v>4855</v>
      </c>
      <c r="B2428" s="1">
        <v>12264</v>
      </c>
      <c r="C2428" s="3">
        <v>44049.310717592591</v>
      </c>
      <c r="D2428" s="1" t="s">
        <v>4856</v>
      </c>
      <c r="E2428" s="4" t="str">
        <f ca="1">IFERROR(__xludf.DUMMYFUNCTION("GOOGLETRANSLATE(A2428 , ""tr"" , ""en"")"),"In the provincial evaluation meetings, Istanbul, Ankara, Izmir, Adana, Konya, Gaziantep, Kayseri, Malatya, Diyarbakır, Bursa, Erzurum, Sanliurfa, Mardin, Batman Governors, Provincial Health Directors, Batman, Provincial Health Directors, 14 separate video"&amp;"conference in 14 separate videoconference in 14 separate videoconference at 14 separate videoconference we came. https://t.co/m64dxsijzk")</f>
        <v>In the provincial evaluation meetings, Istanbul, Ankara, Izmir, Adana, Konya, Gaziantep, Kayseri, Malatya, Diyarbakır, Bursa, Erzurum, Sanliurfa, Mardin, Batman Governors, Provincial Health Directors, Batman, Provincial Health Directors, 14 separate videoconference in 14 separate videoconference in 14 separate videoconference at 14 separate videoconference we came. https://t.co/m64dxsijzk</v>
      </c>
    </row>
    <row r="2429" spans="1:5" ht="15.75" customHeight="1" x14ac:dyDescent="0.25">
      <c r="A2429" s="1" t="s">
        <v>4857</v>
      </c>
      <c r="B2429" s="1">
        <v>66210</v>
      </c>
      <c r="C2429" s="3">
        <v>44049.298090277778</v>
      </c>
      <c r="D2429" s="1" t="s">
        <v>4858</v>
      </c>
      <c r="E2429" s="4" t="str">
        <f ca="1">IFERROR(__xludf.DUMMYFUNCTION("GOOGLETRANSLATE(A2429 , ""tr"" , ""en"")"),"COVID-19 is due to our hospital full of hospitals, even the capacity is not completely full of hospital. The claims are unfounded. May the owners of these unsung claims take measures as hospitals are filled. Perhaps this way to the society of allegations.")</f>
        <v>COVID-19 is due to our hospital full of hospitals, even the capacity is not completely full of hospital. The claims are unfounded. May the owners of these unsung claims take measures as hospitals are filled. Perhaps this way to the society of allegations.</v>
      </c>
    </row>
    <row r="2430" spans="1:5" ht="15.75" customHeight="1" x14ac:dyDescent="0.25">
      <c r="A2430" s="1" t="s">
        <v>4859</v>
      </c>
      <c r="B2430" s="1">
        <v>50715</v>
      </c>
      <c r="C2430" s="3">
        <v>44048.753622685188</v>
      </c>
      <c r="D2430" s="1" t="s">
        <v>4860</v>
      </c>
      <c r="E2430" s="4" t="str">
        <f ca="1">IFERROR(__xludf.DUMMYFUNCTION("GOOGLETRANSLATE(A2430 , ""tr"" , ""en"")"),"Konya: Our service bed occupancy rate is 48%, our intensive care occupancy rate is 76%, our ventilator occupancy rate is 42%. Hundred percent occupancy claims carry a percentage intention to face. Do not consider the allegations of desperate showing hospi"&amp;"tals with disease insignificant.")</f>
        <v>Konya: Our service bed occupancy rate is 48%, our intensive care occupancy rate is 76%, our ventilator occupancy rate is 42%. Hundred percent occupancy claims carry a percentage intention to face. Do not consider the allegations of desperate showing hospitals with disease insignificant.</v>
      </c>
    </row>
    <row r="2431" spans="1:5" ht="15.75" customHeight="1" x14ac:dyDescent="0.25">
      <c r="A2431" s="1" t="s">
        <v>4861</v>
      </c>
      <c r="B2431" s="1">
        <v>76733</v>
      </c>
      <c r="C2431" s="3">
        <v>44048.733402777776</v>
      </c>
      <c r="D2431" s="1" t="s">
        <v>4862</v>
      </c>
      <c r="E2431" s="4" t="str">
        <f ca="1">IFERROR(__xludf.DUMMYFUNCTION("GOOGLETRANSLATE(A2431 , ""tr"" , ""en"")"),"CLOSE against COVID-19: Put the distance between you!")</f>
        <v>CLOSE against COVID-19: Put the distance between you!</v>
      </c>
    </row>
    <row r="2432" spans="1:5" ht="15.75" customHeight="1" x14ac:dyDescent="0.25">
      <c r="A2432" s="1" t="s">
        <v>4863</v>
      </c>
      <c r="B2432" s="1">
        <v>41313</v>
      </c>
      <c r="C2432" s="3">
        <v>44048.71675925926</v>
      </c>
      <c r="D2432" s="1" t="s">
        <v>4864</v>
      </c>
      <c r="E2432" s="4" t="str">
        <f ca="1">IFERROR(__xludf.DUMMYFUNCTION("GOOGLETRANSLATE(A2432 , ""tr"" , ""en"")"),"Our new number of patients is 88 compared to the previous day yesterday, today increased by 95 for today. Our test count in the last 24 hours is about 54,000. The total number of tests has passed 5 million. We must prevent the risk on holiday and holiday "&amp;"to lead to new results. We need an union in the measure. https://t.co/rvlhe7786o https://t.co/7k9fxbuvuc")</f>
        <v>Our new number of patients is 88 compared to the previous day yesterday, today increased by 95 for today. Our test count in the last 24 hours is about 54,000. The total number of tests has passed 5 million. We must prevent the risk on holiday and holiday to lead to new results. We need an union in the measure. https://t.co/rvlhe7786o https://t.co/7k9fxbuvuc</v>
      </c>
    </row>
    <row r="2433" spans="1:5" ht="15.75" customHeight="1" x14ac:dyDescent="0.25">
      <c r="A2433" s="1" t="s">
        <v>4865</v>
      </c>
      <c r="B2433" s="1">
        <v>30250</v>
      </c>
      <c r="C2433" s="3">
        <v>44048.70888888889</v>
      </c>
      <c r="D2433" s="1" t="s">
        <v>4866</v>
      </c>
      <c r="E2433" s="4" t="str">
        <f ca="1">IFERROR(__xludf.DUMMYFUNCTION("GOOGLETRANSLATE(A2433 , ""tr"" , ""en"")"),"Lebanonic Minister of Health Due to Bang in Beirut We made a phone call with Hamad Hasan. In Afad coordination, we would send medical and humanitarian aid to Lebanon, for the treatment of the injured, we would move our specialist physician team to move to"&amp;" Lebanon today.")</f>
        <v>Lebanonic Minister of Health Due to Bang in Beirut We made a phone call with Hamad Hasan. In Afad coordination, we would send medical and humanitarian aid to Lebanon, for the treatment of the injured, we would move our specialist physician team to move to Lebanon today.</v>
      </c>
    </row>
    <row r="2434" spans="1:5" ht="15.75" customHeight="1" x14ac:dyDescent="0.25">
      <c r="A2434" s="1" t="s">
        <v>4867</v>
      </c>
      <c r="B2434" s="1">
        <v>129831</v>
      </c>
      <c r="C2434" s="3">
        <v>44048.57435185185</v>
      </c>
      <c r="D2434" s="1" t="s">
        <v>4868</v>
      </c>
      <c r="E2434" s="4" t="str">
        <f ca="1">IFERROR(__xludf.DUMMYFUNCTION("GOOGLETRANSLATE(A2434 , ""tr"" , ""en"")"),"On holidays and in the feast, the ones in the nest with everyone are withdrawn 1.5 m.")</f>
        <v>On holidays and in the feast, the ones in the nest with everyone are withdrawn 1.5 m.</v>
      </c>
    </row>
    <row r="2435" spans="1:5" ht="15.75" customHeight="1" x14ac:dyDescent="0.25">
      <c r="A2435" s="1" t="s">
        <v>4869</v>
      </c>
      <c r="B2435" s="1">
        <v>17713</v>
      </c>
      <c r="C2435" s="3">
        <v>44048.567233796297</v>
      </c>
      <c r="D2435" s="1" t="s">
        <v>4870</v>
      </c>
      <c r="E2435" s="4" t="str">
        <f ca="1">IFERROR(__xludf.DUMMYFUNCTION("GOOGLETRANSLATE(A2435 , ""tr"" , ""en"")"),"Our Konya city hospital started acceptance. COVID-19 will take care of the treatment of diseases, to reduce the burden of other hospitals in Konya in terms of bed and patient density, will be completely started at the end of the month in all branches in a"&amp;"ll branches in the first stage of the hospital 838 beds. https://t.co/qkhhdplwh4")</f>
        <v>Our Konya city hospital started acceptance. COVID-19 will take care of the treatment of diseases, to reduce the burden of other hospitals in Konya in terms of bed and patient density, will be completely started at the end of the month in all branches in all branches in the first stage of the hospital 838 beds. https://t.co/qkhhdplwh4</v>
      </c>
    </row>
    <row r="2436" spans="1:5" ht="15.75" customHeight="1" x14ac:dyDescent="0.25">
      <c r="A2436" s="1" t="s">
        <v>4871</v>
      </c>
      <c r="B2436" s="1">
        <v>59820</v>
      </c>
      <c r="C2436" s="3">
        <v>44048.505671296298</v>
      </c>
      <c r="D2436" s="1" t="s">
        <v>4872</v>
      </c>
      <c r="E2436" s="4" t="str">
        <f ca="1">IFERROR(__xludf.DUMMYFUNCTION("GOOGLETRANSLATE(A2436 , ""tr"" , ""en"")"),"Do not leave the challenge of COVID-19 to the disease caught. Take measures.")</f>
        <v>Do not leave the challenge of COVID-19 to the disease caught. Take measures.</v>
      </c>
    </row>
    <row r="2437" spans="1:5" ht="15.75" customHeight="1" x14ac:dyDescent="0.2">
      <c r="A2437" s="5" t="s">
        <v>4873</v>
      </c>
      <c r="B2437" s="1">
        <v>39678</v>
      </c>
      <c r="C2437" s="3">
        <v>44048.215405092589</v>
      </c>
      <c r="D2437" s="1" t="s">
        <v>4874</v>
      </c>
      <c r="E2437" s="6" t="str">
        <f ca="1">IFERROR(__xludf.DUMMYFUNCTION("GOOGLETRANSLATE(A2437 , ""tr"" , ""en"")"),"https://t.co/bnj6lcrsnz")</f>
        <v>https://t.co/bnj6lcrsnz</v>
      </c>
    </row>
    <row r="2438" spans="1:5" ht="15.75" customHeight="1" x14ac:dyDescent="0.25">
      <c r="A2438" s="1" t="s">
        <v>4875</v>
      </c>
      <c r="B2438" s="1">
        <v>76859</v>
      </c>
      <c r="C2438" s="3">
        <v>44048.208425925928</v>
      </c>
      <c r="D2438" s="1" t="s">
        <v>4876</v>
      </c>
      <c r="E2438" s="4" t="str">
        <f ca="1">IFERROR(__xludf.DUMMYFUNCTION("GOOGLETRANSLATE(A2438 , ""tr"" , ""en"")"),"Set the risk distance on each step.")</f>
        <v>Set the risk distance on each step.</v>
      </c>
    </row>
    <row r="2439" spans="1:5" ht="15.75" customHeight="1" x14ac:dyDescent="0.25">
      <c r="A2439" s="1" t="s">
        <v>4877</v>
      </c>
      <c r="B2439" s="1">
        <v>133526</v>
      </c>
      <c r="C2439" s="3">
        <v>44047.785763888889</v>
      </c>
      <c r="D2439" s="1" t="s">
        <v>4878</v>
      </c>
      <c r="E2439" s="4" t="str">
        <f ca="1">IFERROR(__xludf.DUMMYFUNCTION("GOOGLETRANSLATE(A2439 , ""tr"" , ""en"")"),"If we escape the coke we live together. Take measures.")</f>
        <v>If we escape the coke we live together. Take measures.</v>
      </c>
    </row>
    <row r="2440" spans="1:5" ht="15.75" customHeight="1" x14ac:dyDescent="0.25">
      <c r="A2440" s="1" t="s">
        <v>4879</v>
      </c>
      <c r="B2440" s="1">
        <v>58625</v>
      </c>
      <c r="C2440" s="3">
        <v>44047.723923611113</v>
      </c>
      <c r="D2440" s="1" t="s">
        <v>4880</v>
      </c>
      <c r="E2440" s="4" t="str">
        <f ca="1">IFERROR(__xludf.DUMMYFUNCTION("GOOGLETRANSLATE(A2440 , ""tr"" , ""en"")"),"The rise in the number of new patients is serious. The difference between two days, the first time is so prominent for the first time. We must prevent the contact media on holiday and holiday to lead to severe results. We all are responsible for each othe"&amp;"r. We need an union in the measure. https://t.co/rvlhe7786o https://t.co/dvarrl90gd")</f>
        <v>The rise in the number of new patients is serious. The difference between two days, the first time is so prominent for the first time. We must prevent the contact media on holiday and holiday to lead to severe results. We all are responsible for each other. We need an union in the measure. https://t.co/rvlhe7786o https://t.co/dvarrl90gd</v>
      </c>
    </row>
    <row r="2441" spans="1:5" ht="15.75" customHeight="1" x14ac:dyDescent="0.25">
      <c r="A2441" s="1" t="s">
        <v>4881</v>
      </c>
      <c r="B2441" s="1">
        <v>53244</v>
      </c>
      <c r="C2441" s="3">
        <v>44046.685902777775</v>
      </c>
      <c r="D2441" s="1" t="s">
        <v>4882</v>
      </c>
      <c r="E2441" s="4" t="str">
        <f ca="1">IFERROR(__xludf.DUMMYFUNCTION("GOOGLETRANSLATE(A2441 , ""tr"" , ""en"")"),"In the holidays, holiday locations, the epidemic factor is not sufficiently considered. Previously, we are concerned that the case increases are limited to some provinces to spread the country over the next days. We need a power union in the measure. http"&amp;"s://t.co/rvlhe7786o https://t.co/81cff287an")</f>
        <v>In the holidays, holiday locations, the epidemic factor is not sufficiently considered. Previously, we are concerned that the case increases are limited to some provinces to spread the country over the next days. We need a power union in the measure. https://t.co/rvlhe7786o https://t.co/81cff287an</v>
      </c>
    </row>
    <row r="2442" spans="1:5" ht="15.75" customHeight="1" x14ac:dyDescent="0.25">
      <c r="A2442" s="1" t="s">
        <v>4883</v>
      </c>
      <c r="B2442" s="1">
        <v>35408</v>
      </c>
      <c r="C2442" s="3">
        <v>44045.686851851853</v>
      </c>
      <c r="D2442" s="1" t="s">
        <v>4884</v>
      </c>
      <c r="E2442" s="4" t="str">
        <f ca="1">IFERROR(__xludf.DUMMYFUNCTION("GOOGLETRANSLATE(A2442 , ""tr"" , ""en"")"),"In the last 3 days, the pneumatic rate in the provinces of our new patient numbers remained the same. Our severe patient numbers across the country seem to be under control. The lack of measures on the sacrifice and holiday is anxiety in terms of the resu"&amp;"lts of the coming days. https://t.co/rvlhe7oIYM https://t.co/koshdnavdl")</f>
        <v>In the last 3 days, the pneumatic rate in the provinces of our new patient numbers remained the same. Our severe patient numbers across the country seem to be under control. The lack of measures on the sacrifice and holiday is anxiety in terms of the results of the coming days. https://t.co/rvlhe7oIYM https://t.co/koshdnavdl</v>
      </c>
    </row>
    <row r="2443" spans="1:5" ht="15.75" customHeight="1" x14ac:dyDescent="0.2">
      <c r="A2443" s="5" t="s">
        <v>4885</v>
      </c>
      <c r="B2443" s="1">
        <v>39568</v>
      </c>
      <c r="C2443" s="3">
        <v>44045.585752314815</v>
      </c>
      <c r="D2443" s="1" t="s">
        <v>4886</v>
      </c>
      <c r="E2443" s="6" t="str">
        <f ca="1">IFERROR(__xludf.DUMMYFUNCTION("GOOGLETRANSLATE(A2443 , ""tr"" , ""en"")"),"https://t.co/pql3wyplbm")</f>
        <v>https://t.co/pql3wyplbm</v>
      </c>
    </row>
    <row r="2444" spans="1:5" ht="15.75" customHeight="1" x14ac:dyDescent="0.2">
      <c r="A2444" s="5" t="s">
        <v>4887</v>
      </c>
      <c r="B2444" s="1">
        <v>39575</v>
      </c>
      <c r="C2444" s="3">
        <v>44045.563078703701</v>
      </c>
      <c r="D2444" s="1" t="s">
        <v>4888</v>
      </c>
      <c r="E2444" s="6" t="str">
        <f ca="1">IFERROR(__xludf.DUMMYFUNCTION("GOOGLETRANSLATE(A2444 , ""tr"" , ""en"")"),"https://t.co/qyyvwnvmmk")</f>
        <v>https://t.co/qyyvwnvmmk</v>
      </c>
    </row>
    <row r="2445" spans="1:5" ht="15.75" customHeight="1" x14ac:dyDescent="0.2">
      <c r="A2445" s="5" t="s">
        <v>4889</v>
      </c>
      <c r="B2445" s="1">
        <v>26406</v>
      </c>
      <c r="C2445" s="3">
        <v>44045.562939814816</v>
      </c>
      <c r="D2445" s="1" t="s">
        <v>4890</v>
      </c>
      <c r="E2445" s="6" t="str">
        <f ca="1">IFERROR(__xludf.DUMMYFUNCTION("GOOGLETRANSLATE(A2445 , ""tr"" , ""en"")"),"https://t.co/j1nfegedaw")</f>
        <v>https://t.co/j1nfegedaw</v>
      </c>
    </row>
    <row r="2446" spans="1:5" ht="15.75" customHeight="1" x14ac:dyDescent="0.2">
      <c r="A2446" s="5" t="s">
        <v>4891</v>
      </c>
      <c r="B2446" s="1">
        <v>74408</v>
      </c>
      <c r="C2446" s="3">
        <v>44045.562858796293</v>
      </c>
      <c r="D2446" s="1" t="s">
        <v>4892</v>
      </c>
      <c r="E2446" s="6" t="str">
        <f ca="1">IFERROR(__xludf.DUMMYFUNCTION("GOOGLETRANSLATE(A2446 , ""tr"" , ""en"")"),"https://t.co/5aiaawtzpc")</f>
        <v>https://t.co/5aiaawtzpc</v>
      </c>
    </row>
    <row r="2447" spans="1:5" ht="15.75" customHeight="1" x14ac:dyDescent="0.25">
      <c r="A2447" s="1" t="s">
        <v>4893</v>
      </c>
      <c r="B2447" s="1">
        <v>128666</v>
      </c>
      <c r="C2447" s="3">
        <v>44045.432349537034</v>
      </c>
      <c r="D2447" s="1" t="s">
        <v>4894</v>
      </c>
      <c r="E2447" s="4" t="str">
        <f ca="1">IFERROR(__xludf.DUMMYFUNCTION("GOOGLETRANSLATE(A2447 , ""tr"" , ""en"")"),"The first wave landed on the beaches. Let's be careful on vacation.")</f>
        <v>The first wave landed on the beaches. Let's be careful on vacation.</v>
      </c>
    </row>
    <row r="2448" spans="1:5" ht="15.75" customHeight="1" x14ac:dyDescent="0.25">
      <c r="A2448" s="1" t="s">
        <v>4895</v>
      </c>
      <c r="B2448" s="1">
        <v>12554</v>
      </c>
      <c r="C2448" s="3">
        <v>44044.778437499997</v>
      </c>
      <c r="D2448" s="1" t="s">
        <v>4896</v>
      </c>
      <c r="E2448" s="4" t="str">
        <f ca="1">IFERROR(__xludf.DUMMYFUNCTION("GOOGLETRANSLATE(A2448 , ""tr"" , ""en"")"),"On the second day of the holiday, we met all our cities in video conference with provincial health managers. New developments related to epidemics have addressed the course of COVID-19. We had realized our previous video conferencing on July 29th with our"&amp;" provincial health managers. https://t.co/mth1lyz758")</f>
        <v>On the second day of the holiday, we met all our cities in video conference with provincial health managers. New developments related to epidemics have addressed the course of COVID-19. We had realized our previous video conferencing on July 29th with our provincial health managers. https://t.co/mth1lyz758</v>
      </c>
    </row>
    <row r="2449" spans="1:5" ht="15.75" customHeight="1" x14ac:dyDescent="0.25">
      <c r="A2449" s="1" t="s">
        <v>4897</v>
      </c>
      <c r="B2449" s="1">
        <v>12425</v>
      </c>
      <c r="C2449" s="3">
        <v>44044.758726851855</v>
      </c>
      <c r="D2449" s="1" t="s">
        <v>4898</v>
      </c>
      <c r="E2449" s="4" t="str">
        <f ca="1">IFERROR(__xludf.DUMMYFUNCTION("GOOGLETRANSLATE(A2449 , ""tr"" , ""en"")"),"We visited our patients and health personnel in Basaksehir Pine and Sakura city hospital and holiday. With a first feature of being a first in Turkey with 1.2 Tesla Open MRI device with claustrophobia or we are serving our patients who could not be shoote"&amp;"d due to obesity. https://t.co/53pe5shw44")</f>
        <v>We visited our patients and health personnel in Basaksehir Pine and Sakura city hospital and holiday. With a first feature of being a first in Turkey with 1.2 Tesla Open MRI device with claustrophobia or we are serving our patients who could not be shooted due to obesity. https://t.co/53pe5shw44</v>
      </c>
    </row>
    <row r="2450" spans="1:5" ht="15.75" customHeight="1" x14ac:dyDescent="0.25">
      <c r="A2450" s="1" t="s">
        <v>4899</v>
      </c>
      <c r="B2450" s="1">
        <v>42601</v>
      </c>
      <c r="C2450" s="3">
        <v>44044.740578703706</v>
      </c>
      <c r="D2450" s="1" t="s">
        <v>4900</v>
      </c>
      <c r="E2450" s="4" t="str">
        <f ca="1">IFERROR(__xludf.DUMMYFUNCTION("GOOGLETRANSLATE(A2450 , ""tr"" , ""en"")"),"Measure is needed: Daily new patient number is at the limit of 1,000. We had a 33 days of effort to get below this number. Provinces that the new patient numbers tend to increase: Ankara, Mardin, Diyarbakir, Gaziantep, Konya. In our 36 provinces, we have "&amp;"not been a new severe patient for 3 days. https://t.co/ffg1cu6zps")</f>
        <v>Measure is needed: Daily new patient number is at the limit of 1,000. We had a 33 days of effort to get below this number. Provinces that the new patient numbers tend to increase: Ankara, Mardin, Diyarbakir, Gaziantep, Konya. In our 36 provinces, we have not been a new severe patient for 3 days. https://t.co/ffg1cu6zps</v>
      </c>
    </row>
    <row r="2451" spans="1:5" ht="15.75" customHeight="1" x14ac:dyDescent="0.2">
      <c r="A2451" s="5" t="s">
        <v>4901</v>
      </c>
      <c r="B2451" s="1">
        <v>39061</v>
      </c>
      <c r="C2451" s="3">
        <v>44044.652581018519</v>
      </c>
      <c r="D2451" s="1" t="s">
        <v>4902</v>
      </c>
      <c r="E2451" s="6" t="str">
        <f ca="1">IFERROR(__xludf.DUMMYFUNCTION("GOOGLETRANSLATE(A2451 , ""tr"" , ""en"")"),"https://t.co/rhjyfstdd8")</f>
        <v>https://t.co/rhjyfstdd8</v>
      </c>
    </row>
    <row r="2452" spans="1:5" ht="15.75" customHeight="1" x14ac:dyDescent="0.25">
      <c r="A2452" s="1" t="s">
        <v>4903</v>
      </c>
      <c r="B2452" s="1">
        <v>31526</v>
      </c>
      <c r="C2452" s="3">
        <v>44043.730162037034</v>
      </c>
      <c r="D2452" s="1" t="s">
        <v>4904</v>
      </c>
      <c r="E2452" s="4" t="str">
        <f ca="1">IFERROR(__xludf.DUMMYFUNCTION("GOOGLETRANSLATE(A2452 , ""tr"" , ""en"")"),"The number of severe patients in the last three days is the most increasing cities: Istanbul, Ankara, Konya, Gaziantep, Diyarbakır. In the 27 cities, we did not have new severe patients in the last three days. In our pneumonia patient, the decline in our "&amp;"patient rate has a growth trend in our new diagnosed patients. https://t.co/rvlhe7oIYM https://t.co/80vizxattf")</f>
        <v>The number of severe patients in the last three days is the most increasing cities: Istanbul, Ankara, Konya, Gaziantep, Diyarbakır. In the 27 cities, we did not have new severe patients in the last three days. In our pneumonia patient, the decline in our patient rate has a growth trend in our new diagnosed patients. https://t.co/rvlhe7oIYM https://t.co/80vizxattf</v>
      </c>
    </row>
    <row r="2453" spans="1:5" ht="15.75" customHeight="1" x14ac:dyDescent="0.25">
      <c r="A2453" s="1" t="s">
        <v>4905</v>
      </c>
      <c r="B2453" s="1">
        <v>136716</v>
      </c>
      <c r="C2453" s="3">
        <v>44043.467824074076</v>
      </c>
      <c r="D2453" s="1" t="s">
        <v>4906</v>
      </c>
      <c r="E2453" s="4" t="str">
        <f ca="1">IFERROR(__xludf.DUMMYFUNCTION("GOOGLETRANSLATE(A2453 , ""tr"" , ""en"")"),"Let's not kiss the hand, let's kiss the hand. Big little, let's do our best.")</f>
        <v>Let's not kiss the hand, let's kiss the hand. Big little, let's do our best.</v>
      </c>
    </row>
    <row r="2454" spans="1:5" ht="15.75" customHeight="1" x14ac:dyDescent="0.2">
      <c r="A2454" s="5" t="s">
        <v>4907</v>
      </c>
      <c r="B2454" s="1">
        <v>75773</v>
      </c>
      <c r="C2454" s="3">
        <v>44043.394872685189</v>
      </c>
      <c r="D2454" s="1" t="s">
        <v>4908</v>
      </c>
      <c r="E2454" s="6" t="str">
        <f ca="1">IFERROR(__xludf.DUMMYFUNCTION("GOOGLETRANSLATE(A2454 , ""tr"" , ""en"")"),"https://t.co/b36iearzzu")</f>
        <v>https://t.co/b36iearzzu</v>
      </c>
    </row>
    <row r="2455" spans="1:5" ht="15.75" customHeight="1" x14ac:dyDescent="0.25">
      <c r="A2455" s="1" t="s">
        <v>4909</v>
      </c>
      <c r="B2455" s="1">
        <v>34945</v>
      </c>
      <c r="C2455" s="3">
        <v>44043.249432870369</v>
      </c>
      <c r="D2455" s="1" t="s">
        <v>4910</v>
      </c>
      <c r="E2455" s="4" t="str">
        <f ca="1">IFERROR(__xludf.DUMMYFUNCTION("GOOGLETRANSLATE(A2455 , ""tr"" , ""en"")"),"Let our country and human to human beings be able to strengthen our sister feelings and our sacrifice of the sacrifice. Let's take the measures to be taken against the epidemic to be peaceful and healthy in the coming days. May our days watching the holid"&amp;"ay well.")</f>
        <v>Let our country and human to human beings be able to strengthen our sister feelings and our sacrifice of the sacrifice. Let's take the measures to be taken against the epidemic to be peaceful and healthy in the coming days. May our days watching the holiday well.</v>
      </c>
    </row>
    <row r="2456" spans="1:5" ht="15.75" customHeight="1" x14ac:dyDescent="0.25">
      <c r="A2456" s="1" t="s">
        <v>4911</v>
      </c>
      <c r="B2456" s="1">
        <v>9703</v>
      </c>
      <c r="C2456" s="3">
        <v>44042.752847222226</v>
      </c>
      <c r="D2456" s="1" t="s">
        <v>4912</v>
      </c>
      <c r="E2456" s="4" t="str">
        <f ca="1">IFERROR(__xludf.DUMMYFUNCTION("GOOGLETRANSLATE(A2456 , ""tr"" , ""en"")"),"Prof. We are currently serving as Pandemia Hospital. Dr. Prof. Dr. Murat Dilmener with Emergency Hospital Prof. Dr. We visited Feriha self-emergency hospital. We have received information about our patients. I respect our two teachers with this occasion. "&amp;"https://t.co/hk0ssssruu6")</f>
        <v>Prof. We are currently serving as Pandemia Hospital. Dr. Prof. Dr. Murat Dilmener with Emergency Hospital Prof. Dr. We visited Feriha self-emergency hospital. We have received information about our patients. I respect our two teachers with this occasion. https://t.co/hk0ssssruu6</v>
      </c>
    </row>
    <row r="2457" spans="1:5" ht="15.75" customHeight="1" x14ac:dyDescent="0.25">
      <c r="A2457" s="1" t="s">
        <v>4913</v>
      </c>
      <c r="B2457" s="1">
        <v>28795</v>
      </c>
      <c r="C2457" s="3">
        <v>44042.730266203704</v>
      </c>
      <c r="D2457" s="1" t="s">
        <v>4914</v>
      </c>
      <c r="E2457" s="4" t="str">
        <f ca="1">IFERROR(__xludf.DUMMYFUNCTION("GOOGLETRANSLATE(A2457 , ""tr"" , ""en"")"),"Our severe patients with 542 yesterday has increased to 561. In over the last 24 hours, more than 43,000 tests were more disasteful in 967 people. Our new patient descending towards 900 a period is increasing. Our new patient count with our recovering pat"&amp;"ients is close to each other. https://t.co/rvlhe7786o https://t.co/5k9wixin6z")</f>
        <v>Our severe patients with 542 yesterday has increased to 561. In over the last 24 hours, more than 43,000 tests were more disasteful in 967 people. Our new patient descending towards 900 a period is increasing. Our new patient count with our recovering patients is close to each other. https://t.co/rvlhe7786o https://t.co/5k9wixin6z</v>
      </c>
    </row>
    <row r="2458" spans="1:5" ht="15.75" customHeight="1" x14ac:dyDescent="0.25">
      <c r="A2458" s="1" t="s">
        <v>4915</v>
      </c>
      <c r="B2458" s="1">
        <v>9249</v>
      </c>
      <c r="C2458" s="3">
        <v>44042.539641203701</v>
      </c>
      <c r="D2458" s="1" t="s">
        <v>4916</v>
      </c>
      <c r="E2458" s="4" t="str">
        <f ca="1">IFERROR(__xludf.DUMMYFUNCTION("GOOGLETRANSLATE(A2458 , ""tr"" , ""en"")"),"We have made a video conference call with 81 provinces to evaluate the preparations of victim feast. We addressed the completion of planning and needs. We reminded that the provincial HIFZISSIHHA boards are authorized to receive radical measures if necess"&amp;"ary. https://t.co/lcm7ugw3n3")</f>
        <v>We have made a video conference call with 81 provinces to evaluate the preparations of victim feast. We addressed the completion of planning and needs. We reminded that the provincial HIFZISSIHHA boards are authorized to receive radical measures if necessary. https://t.co/lcm7ugw3n3</v>
      </c>
    </row>
    <row r="2459" spans="1:5" ht="15.75" customHeight="1" x14ac:dyDescent="0.25">
      <c r="A2459" s="1" t="s">
        <v>4917</v>
      </c>
      <c r="B2459" s="1">
        <v>10460</v>
      </c>
      <c r="C2459" s="3">
        <v>44042.405856481484</v>
      </c>
      <c r="D2459" s="1" t="s">
        <v>4918</v>
      </c>
      <c r="E2459" s="4" t="str">
        <f ca="1">IFERROR(__xludf.DUMMYFUNCTION("GOOGLETRANSLATE(A2459 , ""tr"" , ""en"")"),"Let's not forget the importance of this holiday. Let's compromise the mask, distance, cleaning rule. Let's be able to return to the old holidays. I'm already celebrating your holiday. Our reminders will continue in the feast. After the holiday we are look"&amp;"ing forward to good news from you. https://t.co/eep2xwhlcg")</f>
        <v>Let's not forget the importance of this holiday. Let's compromise the mask, distance, cleaning rule. Let's be able to return to the old holidays. I'm already celebrating your holiday. Our reminders will continue in the feast. After the holiday we are looking forward to good news from you. https://t.co/eep2xwhlcg</v>
      </c>
    </row>
    <row r="2460" spans="1:5" ht="15.75" customHeight="1" x14ac:dyDescent="0.25">
      <c r="A2460" s="1" t="s">
        <v>4919</v>
      </c>
      <c r="B2460" s="1">
        <v>7478</v>
      </c>
      <c r="C2460" s="3">
        <v>44042.39135416667</v>
      </c>
      <c r="D2460" s="1" t="s">
        <v>4920</v>
      </c>
      <c r="E2460" s="4" t="str">
        <f ca="1">IFERROR(__xludf.DUMMYFUNCTION("GOOGLETRANSLATE(A2460 , ""tr"" , ""en"")"),"The field research is finished with the TURK. In accidental tests, the COVID-19 positivity rate is 26 in 10,000. So 26 people in 10 thousand people are positively walking around us. No signs. He has been applicant to the complaint of the disease. The immu"&amp;"ne rate is 8 per thousand. https://t.co/bnk6prdvh8")</f>
        <v>The field research is finished with the TURK. In accidental tests, the COVID-19 positivity rate is 26 in 10,000. So 26 people in 10 thousand people are positively walking around us. No signs. He has been applicant to the complaint of the disease. The immune rate is 8 per thousand. https://t.co/bnk6prdvh8</v>
      </c>
    </row>
    <row r="2461" spans="1:5" ht="15.75" customHeight="1" x14ac:dyDescent="0.25">
      <c r="A2461" s="1" t="s">
        <v>4921</v>
      </c>
      <c r="B2461" s="1">
        <v>6667</v>
      </c>
      <c r="C2461" s="3">
        <v>44041.889803240738</v>
      </c>
      <c r="D2461" s="1" t="s">
        <v>4922</v>
      </c>
      <c r="E2461" s="4" t="str">
        <f ca="1">IFERROR(__xludf.DUMMYFUNCTION("GOOGLETRANSLATE(A2461 , ""tr"" , ""en"")"),"Our laboratory in Public Health is an international reference laboratory. The ECDC EVC Lab network is one of 70 laboratories in Europe. The ECDC EVC Lab Network is a member of the laboratories. According to the audit conducted on June 15, the correct resu"&amp;"lt rate of the kits is 91.66%. https://t.co/twuhaufuqx")</f>
        <v>Our laboratory in Public Health is an international reference laboratory. The ECDC EVC Lab network is one of 70 laboratories in Europe. The ECDC EVC Lab Network is a member of the laboratories. According to the audit conducted on June 15, the correct result rate of the kits is 91.66%. https://t.co/twuhaufuqx</v>
      </c>
    </row>
    <row r="2462" spans="1:5" ht="15.75" customHeight="1" x14ac:dyDescent="0.25">
      <c r="A2462" s="1" t="s">
        <v>4923</v>
      </c>
      <c r="B2462" s="1">
        <v>15343</v>
      </c>
      <c r="C2462" s="3">
        <v>44041.864340277774</v>
      </c>
      <c r="D2462" s="1" t="s">
        <v>4924</v>
      </c>
      <c r="E2462" s="4" t="str">
        <f ca="1">IFERROR(__xludf.DUMMYFUNCTION("GOOGLETRANSLATE(A2462 , ""tr"" , ""en"")"),"I underline: on the first days, the kit we received from China to $ 8.75, the kits were not taken at the price above 9.8 pounds. 9.8 pounds and is ready to take the ministry if they give below. The global firms are known to be done through Turkey extensio"&amp;"ns of Turkey. https://t.co/lvxazr3vho")</f>
        <v>I underline: on the first days, the kit we received from China to $ 8.75, the kits were not taken at the price above 9.8 pounds. 9.8 pounds and is ready to take the ministry if they give below. The global firms are known to be done through Turkey extensions of Turkey. https://t.co/lvxazr3vho</v>
      </c>
    </row>
    <row r="2463" spans="1:5" ht="15.75" customHeight="1" x14ac:dyDescent="0.25">
      <c r="A2463" s="1" t="s">
        <v>4925</v>
      </c>
      <c r="B2463" s="1">
        <v>10234</v>
      </c>
      <c r="C2463" s="3">
        <v>44041.83693287037</v>
      </c>
      <c r="D2463" s="1" t="s">
        <v>4926</v>
      </c>
      <c r="E2463" s="4" t="str">
        <f ca="1">IFERROR(__xludf.DUMMYFUNCTION("GOOGLETRANSLATE(A2463 , ""tr"" , ""en"")"),"We are collecting the 3 groups that we need to comply with the feast of the victim. The measures in the first group, the sacrificial intake and sacrifice, the second group in the feast and Friday prayer, third groups are related to how the feast is spent."&amp;" All in the 5-minute video listed in substances. https://t.co/ydnt0kcep7")</f>
        <v>We are collecting the 3 groups that we need to comply with the feast of the victim. The measures in the first group, the sacrificial intake and sacrifice, the second group in the feast and Friday prayer, third groups are related to how the feast is spent. All in the 5-minute video listed in substances. https://t.co/ydnt0kcep7</v>
      </c>
    </row>
    <row r="2464" spans="1:5" ht="15.75" customHeight="1" x14ac:dyDescent="0.25">
      <c r="A2464" s="1" t="s">
        <v>4927</v>
      </c>
      <c r="B2464" s="1">
        <v>9415</v>
      </c>
      <c r="C2464" s="3">
        <v>44041.82984953704</v>
      </c>
      <c r="D2464" s="1" t="s">
        <v>4928</v>
      </c>
      <c r="E2464" s="4" t="str">
        <f ca="1">IFERROR(__xludf.DUMMYFUNCTION("GOOGLETRANSLATE(A2464 , ""tr"" , ""en"")"),"Ramadan Feast, the measures were kept very tight and the crunch was passed. There are things that have changed since the rest of the restrictions. We learned the relationship between the measures and the relationship from daily life. In the current condit"&amp;"ions of this holiday, we know the way to live closely to your soul. https://t.co/jp8bxb2eIy")</f>
        <v>Ramadan Feast, the measures were kept very tight and the crunch was passed. There are things that have changed since the rest of the restrictions. We learned the relationship between the measures and the relationship from daily life. In the current conditions of this holiday, we know the way to live closely to your soul. https://t.co/jp8bxb2eIy</v>
      </c>
    </row>
    <row r="2465" spans="1:5" ht="15.75" customHeight="1" x14ac:dyDescent="0.25">
      <c r="A2465" s="1" t="s">
        <v>4929</v>
      </c>
      <c r="B2465" s="1">
        <v>31686</v>
      </c>
      <c r="C2465" s="3">
        <v>44041.682187500002</v>
      </c>
      <c r="D2465" s="1" t="s">
        <v>4930</v>
      </c>
      <c r="E2465" s="4" t="str">
        <f ca="1">IFERROR(__xludf.DUMMYFUNCTION("GOOGLETRANSLATE(A2465 , ""tr"" , ""en"")"),"In the daily daily coronavirus table, after that, the number of severe patients will be given in accordance with the international standard throughout the epidemic. In addition to the number of new and total patients, the pneumonian rate will be displayed"&amp;" to provide detailed information on the cruise. https://t.co/rvlhe7786o https://t.co/mmex47amnj")</f>
        <v>In the daily daily coronavirus table, after that, the number of severe patients will be given in accordance with the international standard throughout the epidemic. In addition to the number of new and total patients, the pneumonian rate will be displayed to provide detailed information on the cruise. https://t.co/rvlhe7786o https://t.co/mmex47amnj</v>
      </c>
    </row>
    <row r="2466" spans="1:5" ht="15.75" customHeight="1" x14ac:dyDescent="0.25">
      <c r="A2466" s="1" t="s">
        <v>4931</v>
      </c>
      <c r="B2466" s="1">
        <v>7081</v>
      </c>
      <c r="C2466" s="3">
        <v>44041.588009259256</v>
      </c>
      <c r="D2466" s="1" t="s">
        <v>4932</v>
      </c>
      <c r="E2466" s="4" t="str">
        <f ca="1">IFERROR(__xludf.DUMMYFUNCTION("GOOGLETRANSLATE(A2466 , ""tr"" , ""en"")"),"After our Science Board meeting, the latest developments on the coronavirus and the new measures we receive.
📍Public Ministry Bilkent Campus / Ankara
https://t.co/zun00vmgt6")</f>
        <v>After our Science Board meeting, the latest developments on the coronavirus and the new measures we receive.
📍Public Ministry Bilkent Campus / Ankara
https://t.co/zun00vmgt6</v>
      </c>
    </row>
    <row r="2467" spans="1:5" ht="15.75" customHeight="1" x14ac:dyDescent="0.25">
      <c r="A2467" s="1" t="s">
        <v>4933</v>
      </c>
      <c r="B2467" s="1">
        <v>16644</v>
      </c>
      <c r="C2467" s="3">
        <v>44040.747615740744</v>
      </c>
      <c r="D2467" s="1" t="s">
        <v>4934</v>
      </c>
      <c r="E2467" s="4" t="str">
        <f ca="1">IFERROR(__xludf.DUMMYFUNCTION("GOOGLETRANSLATE(A2467 , ""tr"" , ""en"")"),"Our Minister of Interior is sec. In the comprehensive discussion of Süleyman noble today, we evaluate the current situation in the world and the course in the world and our country. The inter-ministries coordination has reviewed the necessary practices in"&amp;" the sacrifice. https://t.co/vaxeqdavpd")</f>
        <v>Our Minister of Interior is sec. In the comprehensive discussion of Süleyman noble today, we evaluate the current situation in the world and the course in the world and our country. The inter-ministries coordination has reviewed the necessary practices in the sacrifice. https://t.co/vaxeqdavpd</v>
      </c>
    </row>
    <row r="2468" spans="1:5" ht="15.75" customHeight="1" x14ac:dyDescent="0.25">
      <c r="A2468" s="1" t="s">
        <v>4935</v>
      </c>
      <c r="B2468" s="1">
        <v>32408</v>
      </c>
      <c r="C2468" s="3">
        <v>44040.733587962961</v>
      </c>
      <c r="D2468" s="1" t="s">
        <v>4936</v>
      </c>
      <c r="E2468" s="4" t="str">
        <f ca="1">IFERROR(__xludf.DUMMYFUNCTION("GOOGLETRANSLATE(A2468 , ""tr"" , ""en"")"),"Our test count, resulting in contact scan, has 47,500 in two days. In our new case, there are 64 increments compared to yesterday. Our number of passfat in the last 24 hours has occurred as 15 days after 15 days. In our new recovering patients, there is a"&amp;"n increase in yesterday. https://t.co/rvlhe7786o https://t.co/1kxywvejsq")</f>
        <v>Our test count, resulting in contact scan, has 47,500 in two days. In our new case, there are 64 increments compared to yesterday. Our number of passfat in the last 24 hours has occurred as 15 days after 15 days. In our new recovering patients, there is an increase in yesterday. https://t.co/rvlhe7786o https://t.co/1kxywvejsq</v>
      </c>
    </row>
    <row r="2469" spans="1:5" ht="15.75" customHeight="1" x14ac:dyDescent="0.25">
      <c r="A2469" s="1" t="s">
        <v>4937</v>
      </c>
      <c r="B2469" s="1">
        <v>29059</v>
      </c>
      <c r="C2469" s="3">
        <v>44039.789490740739</v>
      </c>
      <c r="D2469" s="1" t="s">
        <v>4938</v>
      </c>
      <c r="E2469" s="4" t="str">
        <f ca="1">IFERROR(__xludf.DUMMYFUNCTION("GOOGLETRANSLATE(A2469 , ""tr"" , ""en"")"),"In the mut-Karaman road, it is the martyr of our 2 soldiers, 6 of the civilians lost in the case of 6 civilians, the treatment of our 27 injuries in the accident, total 27 injuries continues in Mersin University, Mersin City Hospital, Silifke State Hospit"&amp;"al and Mut State Hospital. May the head of our nation be right.")</f>
        <v>In the mut-Karaman road, it is the martyr of our 2 soldiers, 6 of the civilians lost in the case of 6 civilians, the treatment of our 27 injuries in the accident, total 27 injuries continues in Mersin University, Mersin City Hospital, Silifke State Hospital and Mut State Hospital. May the head of our nation be right.</v>
      </c>
    </row>
    <row r="2470" spans="1:5" ht="15.75" customHeight="1" x14ac:dyDescent="0.25">
      <c r="A2470" s="1" t="s">
        <v>4939</v>
      </c>
      <c r="B2470" s="1">
        <v>30570</v>
      </c>
      <c r="C2470" s="3">
        <v>44039.720462962963</v>
      </c>
      <c r="D2470" s="1" t="s">
        <v>4940</v>
      </c>
      <c r="E2470" s="4" t="str">
        <f ca="1">IFERROR(__xludf.DUMMYFUNCTION("GOOGLETRANSLATE(A2470 , ""tr"" , ""en"")"),"The number of tests is above 45,000. The last 3 days of the intensive care number proportionally most increasing provinces: Istanbul, Ankara, Konya, Gaziantep, Diyarbakir. At least increasing provinces: Sivas, Isparta, Mugla, Balikesir, Bayburt. In our 21"&amp;" provinces, we have not had intense care patients in the last 3 days. https://t.co/rvlhe7786o https://t.co/Iirusd1uqh")</f>
        <v>The number of tests is above 45,000. The last 3 days of the intensive care number proportionally most increasing provinces: Istanbul, Ankara, Konya, Gaziantep, Diyarbakir. At least increasing provinces: Sivas, Isparta, Mugla, Balikesir, Bayburt. In our 21 provinces, we have not had intense care patients in the last 3 days. https://t.co/rvlhe7786o https://t.co/Iirusd1uqh</v>
      </c>
    </row>
    <row r="2471" spans="1:5" ht="15.75" customHeight="1" x14ac:dyDescent="0.25">
      <c r="A2471" s="1" t="s">
        <v>4941</v>
      </c>
      <c r="B2471" s="1">
        <v>34661</v>
      </c>
      <c r="C2471" s="3">
        <v>44038.727534722224</v>
      </c>
      <c r="D2471" s="1" t="s">
        <v>4942</v>
      </c>
      <c r="E2471" s="4" t="str">
        <f ca="1">IFERROR(__xludf.DUMMYFUNCTION("GOOGLETRANSLATE(A2471 , ""tr"" , ""en"")"),"Our new case count is in the average in the final days. The difference between our recovering patient count is close to our number of new cases. Intensive care, intubation and the number of patients in the risky group is approximately the same level of th"&amp;"e vain numbers are taking place close to each other. https://t.co/rvlhe7786o https://t.co/qngql6r82s")</f>
        <v>Our new case count is in the average in the final days. The difference between our recovering patient count is close to our number of new cases. Intensive care, intubation and the number of patients in the risky group is approximately the same level of the vain numbers are taking place close to each other. https://t.co/rvlhe7786o https://t.co/qngql6r82s</v>
      </c>
    </row>
    <row r="2472" spans="1:5" ht="15.75" customHeight="1" x14ac:dyDescent="0.25">
      <c r="A2472" s="1" t="s">
        <v>4943</v>
      </c>
      <c r="B2472" s="1">
        <v>12461</v>
      </c>
      <c r="C2472" s="3">
        <v>44037.722951388889</v>
      </c>
      <c r="D2472" s="1" t="s">
        <v>4944</v>
      </c>
      <c r="E2472" s="4" t="str">
        <f ca="1">IFERROR(__xludf.DUMMYFUNCTION("GOOGLETRANSLATE(A2472 , ""tr"" , ""en"")"),"We have examined the latest preparations in our hospital, which is renewed, the capacity is enlarged in Göztepe training and research. The structure is durable with earthquake insulators, the first stage of our hospital with high-tech hospital, 758 bed, w"&amp;"ill be served soon with 27 operating rooms. https://t.co/n7lmdcxleg")</f>
        <v>We have examined the latest preparations in our hospital, which is renewed, the capacity is enlarged in Göztepe training and research. The structure is durable with earthquake insulators, the first stage of our hospital with high-tech hospital, 758 bed, will be served soon with 27 operating rooms. https://t.co/n7lmdcxleg</v>
      </c>
    </row>
    <row r="2473" spans="1:5" ht="15.75" customHeight="1" x14ac:dyDescent="0.25">
      <c r="A2473" s="1" t="s">
        <v>4945</v>
      </c>
      <c r="B2473" s="1">
        <v>37304</v>
      </c>
      <c r="C2473" s="3">
        <v>44037.710682870369</v>
      </c>
      <c r="D2473" s="1" t="s">
        <v>4946</v>
      </c>
      <c r="E2473" s="4" t="str">
        <f ca="1">IFERROR(__xludf.DUMMYFUNCTION("GOOGLETRANSLATE(A2473 , ""tr"" , ""en"")"),"The rate of patients with pneumonia in the last 1 week is the most diminished provinces: Artvin, Mus, Denizli, Düzce, Erzurum. Our most increasing provinces: Isparta, Kocaeli, Mardin, Karaman. Whateverever you are the reason, the negligence of others shou"&amp;"ld not be accepted to the abandonment of measures. https://t.co/rvlhe7786o https://t.co/tc4p7wa4nr")</f>
        <v>The rate of patients with pneumonia in the last 1 week is the most diminished provinces: Artvin, Mus, Denizli, Düzce, Erzurum. Our most increasing provinces: Isparta, Kocaeli, Mardin, Karaman. Whateverever you are the reason, the negligence of others should not be accepted to the abandonment of measures. https://t.co/rvlhe7786o https://t.co/tc4p7wa4nr</v>
      </c>
    </row>
    <row r="2474" spans="1:5" ht="15.75" customHeight="1" x14ac:dyDescent="0.25">
      <c r="A2474" s="1" t="s">
        <v>4947</v>
      </c>
      <c r="B2474" s="1">
        <v>9551</v>
      </c>
      <c r="C2474" s="3">
        <v>44037.704942129632</v>
      </c>
      <c r="D2474" s="1" t="s">
        <v>4948</v>
      </c>
      <c r="E2474" s="4" t="str">
        <f ca="1">IFERROR(__xludf.DUMMYFUNCTION("GOOGLETRANSLATE(A2474 , ""tr"" , ""en"")"),"Haydarpaşa sample training and research hospital dr. Siamese Ersek Breast Heart and Vascular Surgery Education and Research Hospital have made our meeting on renewal projects. We have made evaluations on the health complex where two hospitals will be comb"&amp;"ined. https://t.co/yx7ov5BWQI")</f>
        <v>Haydarpaşa sample training and research hospital dr. Siamese Ersek Breast Heart and Vascular Surgery Education and Research Hospital have made our meeting on renewal projects. We have made evaluations on the health complex where two hospitals will be combined. https://t.co/yx7ov5BWQI</v>
      </c>
    </row>
    <row r="2475" spans="1:5" ht="15.75" customHeight="1" x14ac:dyDescent="0.25">
      <c r="A2475" s="1" t="s">
        <v>4949</v>
      </c>
      <c r="B2475" s="1">
        <v>32918</v>
      </c>
      <c r="C2475" s="3">
        <v>44036.668807870374</v>
      </c>
      <c r="D2475" s="1" t="s">
        <v>4950</v>
      </c>
      <c r="E2475" s="4" t="str">
        <f ca="1">IFERROR(__xludf.DUMMYFUNCTION("GOOGLETRANSLATE(A2475 , ""tr"" , ""en"")"),"Our total test count approached 4.5 million. With our recovering patient count, the difference between our new case count decreased by yesterday. Intensive care and intubate patients; Early diagnosis, age, decline and rise depending on chronic disease and"&amp;" similar situations. https://t.co/rvlhe7786o https://t.co/ersgzl9xey")</f>
        <v>Our total test count approached 4.5 million. With our recovering patient count, the difference between our new case count decreased by yesterday. Intensive care and intubate patients; Early diagnosis, age, decline and rise depending on chronic disease and similar situations. https://t.co/rvlhe7786o https://t.co/ersgzl9xey</v>
      </c>
    </row>
    <row r="2476" spans="1:5" ht="15.75" customHeight="1" x14ac:dyDescent="0.25">
      <c r="A2476" s="1" t="s">
        <v>4951</v>
      </c>
      <c r="B2476" s="1">
        <v>203998</v>
      </c>
      <c r="C2476" s="3">
        <v>44036.344502314816</v>
      </c>
      <c r="D2476" s="1" t="s">
        <v>4952</v>
      </c>
      <c r="E2476" s="4" t="str">
        <f ca="1">IFERROR(__xludf.DUMMYFUNCTION("GOOGLETRANSLATE(A2476 , ""tr"" , ""en"")"),"Measure before, then the one. Have a good Friday.")</f>
        <v>Measure before, then the one. Have a good Friday.</v>
      </c>
    </row>
    <row r="2477" spans="1:5" ht="15.75" customHeight="1" x14ac:dyDescent="0.25">
      <c r="A2477" s="1" t="s">
        <v>4953</v>
      </c>
      <c r="B2477" s="1">
        <v>22422</v>
      </c>
      <c r="C2477" s="3">
        <v>44036.326701388891</v>
      </c>
      <c r="D2477" s="1" t="s">
        <v>4954</v>
      </c>
      <c r="E2477" s="4" t="str">
        <f ca="1">IFERROR(__xludf.DUMMYFUNCTION("GOOGLETRANSLATE(A2477 , ""tr"" , ""en"")"),"In the scan study in Istanbul where 46% of the cases was detected, it was positive in 2.9 of each of the 1,000 tested in the scan study, which was randomly tested. This ratio is 13.8% higher than Turkey. Let's be careful about the good of all of us. Life "&amp;"is not to be defeated at risk.")</f>
        <v>In the scan study in Istanbul where 46% of the cases was detected, it was positive in 2.9 of each of the 1,000 tested in the scan study, which was randomly tested. This ratio is 13.8% higher than Turkey. Let's be careful about the good of all of us. Life is not to be defeated at risk.</v>
      </c>
    </row>
    <row r="2478" spans="1:5" ht="15.75" customHeight="1" x14ac:dyDescent="0.25">
      <c r="A2478" s="1" t="s">
        <v>4955</v>
      </c>
      <c r="B2478" s="1">
        <v>35573</v>
      </c>
      <c r="C2478" s="3">
        <v>44036.321018518516</v>
      </c>
      <c r="D2478" s="1" t="s">
        <v>4956</v>
      </c>
      <c r="E2478" s="4" t="str">
        <f ca="1">IFERROR(__xludf.DUMMYFUNCTION("GOOGLETRANSLATE(A2478 , ""tr"" , ""en"")"),"The total number of cases throughout the epidemic is 223.315. 46% of cases were detected in Istanbul. 50.2% of COVID-19 welded passages has been in Istanbul again. Let's be careful about the good of all of us. Life is not to be defeated at risk.")</f>
        <v>The total number of cases throughout the epidemic is 223.315. 46% of cases were detected in Istanbul. 50.2% of COVID-19 welded passages has been in Istanbul again. Let's be careful about the good of all of us. Life is not to be defeated at risk.</v>
      </c>
    </row>
    <row r="2479" spans="1:5" ht="15.75" customHeight="1" x14ac:dyDescent="0.25">
      <c r="A2479" s="1" t="s">
        <v>4957</v>
      </c>
      <c r="B2479" s="1">
        <v>25987</v>
      </c>
      <c r="C2479" s="3">
        <v>44036.311539351853</v>
      </c>
      <c r="D2479" s="1" t="s">
        <v>4958</v>
      </c>
      <c r="E2479" s="4" t="str">
        <f ca="1">IFERROR(__xludf.DUMMYFUNCTION("GOOGLETRANSLATE(A2479 , ""tr"" , ""en"")"),"In Turkey, in Turkey, the COVID-19 Scan Study with approximately 150,000 people in COVID-19 scanning, 2,5 of every 1,000 tested in the COVID-19 scan was positive in 2.5 of every 1,000. Let's be careful about the good of all of us. Life is not to be defeat"&amp;"ed at risk.")</f>
        <v>In Turkey, in Turkey, the COVID-19 Scan Study with approximately 150,000 people in COVID-19 scanning, 2,5 of every 1,000 tested in the COVID-19 scan was positive in 2.5 of every 1,000. Let's be careful about the good of all of us. Life is not to be defeated at risk.</v>
      </c>
    </row>
    <row r="2480" spans="1:5" ht="15.75" customHeight="1" x14ac:dyDescent="0.25">
      <c r="A2480" s="1" t="s">
        <v>4959</v>
      </c>
      <c r="B2480" s="1">
        <v>42641</v>
      </c>
      <c r="C2480" s="3">
        <v>44035.856041666666</v>
      </c>
      <c r="D2480" s="1" t="s">
        <v>4960</v>
      </c>
      <c r="E2480" s="4" t="str">
        <f ca="1">IFERROR(__xludf.DUMMYFUNCTION("GOOGLETRANSLATE(A2480 , ""tr"" , ""en"")"),"In the Friday Prayer to be made in Ayasofia, we hope that our people will not leave the measures with the excitement of living the historical moment. The information reached so far shows that the largest crowd throughout the epidemic will occur during the"&amp;" opening of the Hagia Sophia. Let's take an example of cautious Friday. https://t.co/ntujmv07mt")</f>
        <v>In the Friday Prayer to be made in Ayasofia, we hope that our people will not leave the measures with the excitement of living the historical moment. The information reached so far shows that the largest crowd throughout the epidemic will occur during the opening of the Hagia Sophia. Let's take an example of cautious Friday. https://t.co/ntujmv07mt</v>
      </c>
    </row>
    <row r="2481" spans="1:5" ht="15.75" customHeight="1" x14ac:dyDescent="0.25">
      <c r="A2481" s="1" t="s">
        <v>4961</v>
      </c>
      <c r="B2481" s="1">
        <v>38083</v>
      </c>
      <c r="C2481" s="3">
        <v>44035.708483796298</v>
      </c>
      <c r="D2481" s="1" t="s">
        <v>4962</v>
      </c>
      <c r="E2481" s="4" t="str">
        <f ca="1">IFERROR(__xludf.DUMMYFUNCTION("GOOGLETRANSLATE(A2481 , ""tr"" , ""en"")"),"238 more than the number of cases of recovery. COVID-19, the number of people at 1.043 patients lost by COVID-19. https://t.co/rvlhe7786o https://t.co/6ho4gsuu2u")</f>
        <v>238 more than the number of cases of recovery. COVID-19, the number of people at 1.043 patients lost by COVID-19. https://t.co/rvlhe7786o https://t.co/6ho4gsuu2u</v>
      </c>
    </row>
    <row r="2482" spans="1:5" ht="15.75" customHeight="1" x14ac:dyDescent="0.25">
      <c r="A2482" s="1" t="s">
        <v>4963</v>
      </c>
      <c r="B2482" s="1">
        <v>50676</v>
      </c>
      <c r="C2482" s="3">
        <v>44034.706400462965</v>
      </c>
      <c r="D2482" s="1" t="s">
        <v>4964</v>
      </c>
      <c r="E2482" s="4" t="str">
        <f ca="1">IFERROR(__xludf.DUMMYFUNCTION("GOOGLETRANSLATE(A2482 , ""tr"" , ""en"")"),"The first time in the days is the first time, the number of patients healing is 300 than the number of cases. Number of new cases, 44 days after 900 border. Many cities have become widespread; Life is entering a promising order. We expect to take care of "&amp;"the provinces with weight in case numbers. https://t.co/rvlhe7786o https://t.co/315ldycsuk")</f>
        <v>The first time in the days is the first time, the number of patients healing is 300 than the number of cases. Number of new cases, 44 days after 900 border. Many cities have become widespread; Life is entering a promising order. We expect to take care of the provinces with weight in case numbers. https://t.co/rvlhe7786o https://t.co/315ldycsuk</v>
      </c>
    </row>
    <row r="2483" spans="1:5" ht="15.75" customHeight="1" x14ac:dyDescent="0.25">
      <c r="A2483" s="1" t="s">
        <v>4965</v>
      </c>
      <c r="B2483" s="1">
        <v>14647</v>
      </c>
      <c r="C2483" s="3">
        <v>44034.66511574074</v>
      </c>
      <c r="D2483" s="1" t="s">
        <v>4966</v>
      </c>
      <c r="E2483" s="4" t="str">
        <f ca="1">IFERROR(__xludf.DUMMYFUNCTION("GOOGLETRANSLATE(A2483 , ""tr"" , ""en"")"),"HTTPS://T.CO/08HSBXL9UV Link to the daily case table message on a regular basis. Detailed graph showing the course of the outbreak; Our page containing daily and weekly status reports were visited 270 million times. We always wait for the correct informat"&amp;"ion: https://t.co/rvlhe7786o")</f>
        <v>HTTPS://T.CO/08HSBXL9UV Link to the daily case table message on a regular basis. Detailed graph showing the course of the outbreak; Our page containing daily and weekly status reports were visited 270 million times. We always wait for the correct information: https://t.co/rvlhe7786o</v>
      </c>
    </row>
    <row r="2484" spans="1:5" ht="15.75" customHeight="1" x14ac:dyDescent="0.25">
      <c r="A2484" s="1" t="s">
        <v>4967</v>
      </c>
      <c r="B2484" s="1">
        <v>42416</v>
      </c>
      <c r="C2484" s="3">
        <v>44033.742858796293</v>
      </c>
      <c r="D2484" s="1" t="s">
        <v>4968</v>
      </c>
      <c r="E2484" s="4" t="str">
        <f ca="1">IFERROR(__xludf.DUMMYFUNCTION("GOOGLETRANSLATE(A2484 , ""tr"" , ""en"")"),"In our last three days, pneumonated case numbers decreased in our 161 provinces, 21 in our 21 provinces have no intense care patients. Detailed graphics, daily and weekly COVID-19 status reports and other important information in which the disease is show"&amp;"n in our country of view of our country: https://t.co/rvlhe7786o https://t.co/q4yg4zcxn8")</f>
        <v>In our last three days, pneumonated case numbers decreased in our 161 provinces, 21 in our 21 provinces have no intense care patients. Detailed graphics, daily and weekly COVID-19 status reports and other important information in which the disease is shown in our country of view of our country: https://t.co/rvlhe7786o https://t.co/q4yg4zcxn8</v>
      </c>
    </row>
    <row r="2485" spans="1:5" ht="15.75" customHeight="1" x14ac:dyDescent="0.25">
      <c r="A2485" s="1" t="s">
        <v>4969</v>
      </c>
      <c r="B2485" s="1">
        <v>0</v>
      </c>
      <c r="C2485" s="3">
        <v>44033.520937499998</v>
      </c>
      <c r="D2485" s="1" t="s">
        <v>4970</v>
      </c>
      <c r="E2485" s="4" t="str">
        <f ca="1">IFERROR(__xludf.DUMMYFUNCTION("GOOGLETRANSLATE(A2485 , ""tr"" , ""en"")"),"RT @rterdogan: Presidential government system 🇹🇷 | Health 🩺
# REFORMICRAATGE IF IT HTTPS://T.CO/DBIAWZMJBZ")</f>
        <v>RT @rterdogan: Presidential government system 🇹🇷 | Health 🩺
# REFORMICRAATGE IF IT HTTPS://T.CO/DBIAWZMJBZ</v>
      </c>
    </row>
    <row r="2486" spans="1:5" ht="15.75" customHeight="1" x14ac:dyDescent="0.25">
      <c r="A2486" s="1" t="s">
        <v>4971</v>
      </c>
      <c r="B2486" s="1">
        <v>0</v>
      </c>
      <c r="C2486" s="3">
        <v>44033.478263888886</v>
      </c>
      <c r="D2486" s="1" t="s">
        <v>4972</v>
      </c>
      <c r="E2486" s="4" t="str">
        <f ca="1">IFERROR(__xludf.DUMMYFUNCTION("GOOGLETRANSLATE(A2486 , ""tr"" , ""en"")"),"RT @rterdogan: Presidential government cabinet two years assessment meeting https://t.co/9ohwkwroe0")</f>
        <v>RT @rterdogan: Presidential government cabinet two years assessment meeting https://t.co/9ohwkwroe0</v>
      </c>
    </row>
    <row r="2487" spans="1:5" ht="15.75" customHeight="1" x14ac:dyDescent="0.25">
      <c r="A2487" s="1" t="s">
        <v>4973</v>
      </c>
      <c r="B2487" s="1">
        <v>33425</v>
      </c>
      <c r="C2487" s="3">
        <v>44033.374837962961</v>
      </c>
      <c r="D2487" s="1" t="s">
        <v>4974</v>
      </c>
      <c r="E2487" s="4" t="str">
        <f ca="1">IFERROR(__xludf.DUMMYFUNCTION("GOOGLETRANSLATE(A2487 , ""tr"" , ""en"")"),"Let's not leave the fight against COVID-19 to the disease. About this, let's not insist on the wrong place. According to the world's current experience, epidemic; Social class, social status, rich poor, corner writer, newspaper read, amir, officers, folk,"&amp;" the owner does not separate.")</f>
        <v>Let's not leave the fight against COVID-19 to the disease. About this, let's not insist on the wrong place. According to the world's current experience, epidemic; Social class, social status, rich poor, corner writer, newspaper read, amir, officers, folk, the owner does not separate.</v>
      </c>
    </row>
    <row r="2488" spans="1:5" ht="15.75" customHeight="1" x14ac:dyDescent="0.25">
      <c r="A2488" s="1" t="s">
        <v>4975</v>
      </c>
      <c r="B2488" s="1">
        <v>35659</v>
      </c>
      <c r="C2488" s="3">
        <v>44032.891469907408</v>
      </c>
      <c r="D2488" s="1" t="s">
        <v>4976</v>
      </c>
      <c r="E2488" s="4" t="str">
        <f ca="1">IFERROR(__xludf.DUMMYFUNCTION("GOOGLETRANSLATE(A2488 , ""tr"" , ""en"")"),"In the 46th anniversary of the Cyprus Peace Operation, we remember our veterans by gratitude and gratefully.")</f>
        <v>In the 46th anniversary of the Cyprus Peace Operation, we remember our veterans by gratitude and gratefully.</v>
      </c>
    </row>
    <row r="2489" spans="1:5" ht="15.75" customHeight="1" x14ac:dyDescent="0.25">
      <c r="A2489" s="1" t="s">
        <v>4977</v>
      </c>
      <c r="B2489" s="1">
        <v>71180</v>
      </c>
      <c r="C2489" s="3">
        <v>44032.765474537038</v>
      </c>
      <c r="D2489" s="1" t="s">
        <v>4978</v>
      </c>
      <c r="E2489" s="4" t="str">
        <f ca="1">IFERROR(__xludf.DUMMYFUNCTION("GOOGLETRANSLATE(A2489 , ""tr"" , ""en"")"),"In Diyarbakır from the provinces where cases are most commonly seen in Diyarbakır, 70 people were learned that 70 people suffer from arm coke and maskless halay. In Trabzon, 35 people participating in a Henna Night, including the bridal, was quarantined; "&amp;"The wedding is delayed. You are watching the weddings, intensive care.")</f>
        <v>In Diyarbakır from the provinces where cases are most commonly seen in Diyarbakır, 70 people were learned that 70 people suffer from arm coke and maskless halay. In Trabzon, 35 people participating in a Henna Night, including the bridal, was quarantined; The wedding is delayed. You are watching the weddings, intensive care.</v>
      </c>
    </row>
    <row r="2490" spans="1:5" ht="15.75" customHeight="1" x14ac:dyDescent="0.25">
      <c r="A2490" s="1" t="s">
        <v>4979</v>
      </c>
      <c r="B2490" s="1">
        <v>39750</v>
      </c>
      <c r="C2490" s="3">
        <v>44032.722986111112</v>
      </c>
      <c r="D2490" s="1" t="s">
        <v>4980</v>
      </c>
      <c r="E2490" s="4" t="str">
        <f ca="1">IFERROR(__xludf.DUMMYFUNCTION("GOOGLETRANSLATE(A2490 , ""tr"" , ""en"")"),"The average daily case for the last three days is the highest five provinces: Istanbul, Ankara, Gaziantep, Şanlıurfa, Bursa. Our lowest 5 provinces: Artvin, Bilecik, Tunceli, Edirne, Bayburt. If there are Tunceli, Nevsehir, Kastamonu, Artvin and Aksaray, "&amp;"we do not have pneumonated patients right now. https://t.co/rvlhe7786o https://t.co/4jfzkl9l8x")</f>
        <v>The average daily case for the last three days is the highest five provinces: Istanbul, Ankara, Gaziantep, Şanlıurfa, Bursa. Our lowest 5 provinces: Artvin, Bilecik, Tunceli, Edirne, Bayburt. If there are Tunceli, Nevsehir, Kastamonu, Artvin and Aksaray, we do not have pneumonated patients right now. https://t.co/rvlhe7786o https://t.co/4jfzkl9l8x</v>
      </c>
    </row>
    <row r="2491" spans="1:5" ht="15.75" customHeight="1" x14ac:dyDescent="0.25">
      <c r="A2491" s="1" t="s">
        <v>4981</v>
      </c>
      <c r="B2491" s="1">
        <v>58352</v>
      </c>
      <c r="C2491" s="3">
        <v>44031.853506944448</v>
      </c>
      <c r="D2491" s="1" t="s">
        <v>4982</v>
      </c>
      <c r="E2491" s="4" t="str">
        <f ca="1">IFERROR(__xludf.DUMMYFUNCTION("GOOGLETRANSLATE(A2491 , ""tr"" , ""en"")"),"We celebrate the Basaksehirspor who guarantees the Championship in the Super League and the Championship in Super League. We expect the two clubs to be in style that celebrates the community health of the celebrations. In COVID-19 terms, the fan should al"&amp;"so change.")</f>
        <v>We celebrate the Basaksehirspor who guarantees the Championship in the Super League and the Championship in Super League. We expect the two clubs to be in style that celebrates the community health of the celebrations. In COVID-19 terms, the fan should also change.</v>
      </c>
    </row>
    <row r="2492" spans="1:5" ht="15.75" customHeight="1" x14ac:dyDescent="0.25">
      <c r="A2492" s="1" t="s">
        <v>4983</v>
      </c>
      <c r="B2492" s="1">
        <v>34141</v>
      </c>
      <c r="C2492" s="3">
        <v>44031.791145833333</v>
      </c>
      <c r="D2492" s="1" t="s">
        <v>4984</v>
      </c>
      <c r="E2492" s="4" t="str">
        <f ca="1">IFERROR(__xludf.DUMMYFUNCTION("GOOGLETRANSLATE(A2492 , ""tr"" , ""en"")"),"Başaksehirspor- Kayserispor played in Istanbul, Trabzonspor- Konyaspor games played in Trabzon, we are inviting to comply with the epidemic measures at the end of the match. In COVID-19, the mask, distance and community health was added to the rules of ge"&amp;"ntlusion. Enjoy watching.")</f>
        <v>Başaksehirspor- Kayserispor played in Istanbul, Trabzonspor- Konyaspor games played in Trabzon, we are inviting to comply with the epidemic measures at the end of the match. In COVID-19, the mask, distance and community health was added to the rules of gentlusion. Enjoy watching.</v>
      </c>
    </row>
    <row r="2493" spans="1:5" ht="15.75" customHeight="1" x14ac:dyDescent="0.25">
      <c r="A2493" s="1" t="s">
        <v>4985</v>
      </c>
      <c r="B2493" s="1">
        <v>44481</v>
      </c>
      <c r="C2493" s="3">
        <v>44031.712824074071</v>
      </c>
      <c r="D2493" s="1" t="s">
        <v>4986</v>
      </c>
      <c r="E2493" s="4" t="str">
        <f ca="1">IFERROR(__xludf.DUMMYFUNCTION("GOOGLETRANSLATE(A2493 , ""tr"" , ""en"")"),"Every day we are close to 1000 patients healing, our new cases are close to 1000. If we can stop new cases the active case number will be quickly reduced. Our goal; Increase in the number of recovery, decrease in new cases. Good news, depending on the mea"&amp;"sures we will get. https://t.co/rvlhe7786o https://t.co/vpruguegzswc")</f>
        <v>Every day we are close to 1000 patients healing, our new cases are close to 1000. If we can stop new cases the active case number will be quickly reduced. Our goal; Increase in the number of recovery, decrease in new cases. Good news, depending on the measures we will get. https://t.co/rvlhe7786o https://t.co/vpruguegzswc</v>
      </c>
    </row>
    <row r="2494" spans="1:5" ht="15.75" customHeight="1" x14ac:dyDescent="0.25">
      <c r="A2494" s="1" t="s">
        <v>4987</v>
      </c>
      <c r="B2494" s="1">
        <v>52162</v>
      </c>
      <c r="C2494" s="3">
        <v>44030.753657407404</v>
      </c>
      <c r="D2494" s="1" t="s">
        <v>4988</v>
      </c>
      <c r="E2494" s="4" t="str">
        <f ca="1">IFERROR(__xludf.DUMMYFUNCTION("GOOGLETRANSLATE(A2494 , ""tr"" , ""en"")"),"Erzurumspor- Koronavirus encounter began. I invite the gentleman to be gentlemanly from the crowded scene. May the case in the city is under control. https://t.co/fnzaxkxkmr")</f>
        <v>Erzurumspor- Koronavirus encounter began. I invite the gentleman to be gentlemanly from the crowded scene. May the case in the city is under control. https://t.co/fnzaxkxkmr</v>
      </c>
    </row>
    <row r="2495" spans="1:5" ht="15.75" customHeight="1" x14ac:dyDescent="0.25">
      <c r="A2495" s="1" t="s">
        <v>4989</v>
      </c>
      <c r="B2495" s="1">
        <v>0</v>
      </c>
      <c r="C2495" s="3">
        <v>44030.749756944446</v>
      </c>
      <c r="D2495" s="1" t="s">
        <v>4990</v>
      </c>
      <c r="E2495" s="4" t="str">
        <f ca="1">IFERROR(__xludf.DUMMYFUNCTION("GOOGLETRANSLATE(A2495 , ""tr"" , ""en"")"),"RT @rterdogan: Today, Togg Engineering, Design and Production Center starts to convert our 60 years of dream to reality.")</f>
        <v>RT @rterdogan: Today, Togg Engineering, Design and Production Center starts to convert our 60 years of dream to reality.</v>
      </c>
    </row>
    <row r="2496" spans="1:5" ht="15.75" customHeight="1" x14ac:dyDescent="0.25">
      <c r="A2496" s="1" t="s">
        <v>4991</v>
      </c>
      <c r="B2496" s="1">
        <v>36913</v>
      </c>
      <c r="C2496" s="3">
        <v>44030.714143518519</v>
      </c>
      <c r="D2496" s="1" t="s">
        <v>4992</v>
      </c>
      <c r="E2496" s="4" t="str">
        <f ca="1">IFERROR(__xludf.DUMMYFUNCTION("GOOGLETRANSLATE(A2496 , ""tr"" , ""en"")"),"Compared to the most recent day on top of 1,000, our new case count has decreased 90 today. Our most cases seen in the last 3 days: Istanbul, Ankara, Gaziantep, Konya, Diyarbakir. Our five lies seen in the least case: Artvin, Tunceli, Bayburt, Kırklareli,"&amp;" Bartin. https://t.co/rvlhe7786o https://t.co/reifcmnckw")</f>
        <v>Compared to the most recent day on top of 1,000, our new case count has decreased 90 today. Our most cases seen in the last 3 days: Istanbul, Ankara, Gaziantep, Konya, Diyarbakir. Our five lies seen in the least case: Artvin, Tunceli, Bayburt, Kırklareli, Bartin. https://t.co/rvlhe7786o https://t.co/reifcmnckw</v>
      </c>
    </row>
    <row r="2497" spans="1:5" ht="15.75" customHeight="1" x14ac:dyDescent="0.25">
      <c r="A2497" s="1" t="s">
        <v>4993</v>
      </c>
      <c r="B2497" s="1">
        <v>55860</v>
      </c>
      <c r="C2497" s="3">
        <v>44030.694444444445</v>
      </c>
      <c r="D2497" s="1" t="s">
        <v>4994</v>
      </c>
      <c r="E2497" s="4" t="str">
        <f ca="1">IFERROR(__xludf.DUMMYFUNCTION("GOOGLETRANSLATE(A2497 , ""tr"" , ""en"")"),"We celebrate the Erzurumspor that comes out of the Super Lig. We believe that the Erzurumspor community will celebrate this success by taking into account the outbreak conditions. COVID-19 Case numbers in the city are under control. Let's not drop shadow "&amp;"into this success with imprudent celebrations.")</f>
        <v>We celebrate the Erzurumspor that comes out of the Super Lig. We believe that the Erzurumspor community will celebrate this success by taking into account the outbreak conditions. COVID-19 Case numbers in the city are under control. Let's not drop shadow into this success with imprudent celebrations.</v>
      </c>
    </row>
    <row r="2498" spans="1:5" ht="15.75" customHeight="1" x14ac:dyDescent="0.25">
      <c r="A2498" s="1" t="s">
        <v>4995</v>
      </c>
      <c r="B2498" s="1">
        <v>125419</v>
      </c>
      <c r="C2498" s="3">
        <v>44029.818229166667</v>
      </c>
      <c r="D2498" s="1" t="s">
        <v>4996</v>
      </c>
      <c r="E2498" s="4" t="str">
        <f ca="1">IFERROR(__xludf.DUMMYFUNCTION("GOOGLETRANSLATE(A2498 , ""tr"" , ""en"")"),"In the SURVIVOR 2020 final program, COVID-19 has led to the reactions. The reactions are right. The wedding location, marketplace, filled place warnings are included in the purpose of showing media much more. The famous people with fans who do not comply "&amp;"with the measures should be a little isolated. https://t.co/ebtzlcslsq")</f>
        <v>In the SURVIVOR 2020 final program, COVID-19 has led to the reactions. The reactions are right. The wedding location, marketplace, filled place warnings are included in the purpose of showing media much more. The famous people with fans who do not comply with the measures should be a little isolated. https://t.co/ebtzlcslsq</v>
      </c>
    </row>
    <row r="2499" spans="1:5" ht="15.75" customHeight="1" x14ac:dyDescent="0.25">
      <c r="A2499" s="1" t="s">
        <v>4997</v>
      </c>
      <c r="B2499" s="1">
        <v>40808</v>
      </c>
      <c r="C2499" s="3">
        <v>44029.73096064815</v>
      </c>
      <c r="D2499" s="1" t="s">
        <v>4998</v>
      </c>
      <c r="E2499" s="4" t="str">
        <f ca="1">IFERROR(__xludf.DUMMYFUNCTION("GOOGLETRANSLATE(A2499 , ""tr"" , ""en"")"),"Intensive maintenance and intubate patients, there is an increase of continuing treatments. Within the last 35 days, our lowest passage number was on 13 June, 14. The contact scan is trying to further reduce the number of passages with the chance of early"&amp;" diagnosis and treatment. https://t.co/rvlhe7786o https://t.co/9vqibmlh4v")</f>
        <v>Intensive maintenance and intubate patients, there is an increase of continuing treatments. Within the last 35 days, our lowest passage number was on 13 June, 14. The contact scan is trying to further reduce the number of passages with the chance of early diagnosis and treatment. https://t.co/rvlhe7786o https://t.co/9vqibmlh4v</v>
      </c>
    </row>
    <row r="2500" spans="1:5" ht="15.75" customHeight="1" x14ac:dyDescent="0.25">
      <c r="A2500" s="1" t="s">
        <v>4999</v>
      </c>
      <c r="B2500" s="1">
        <v>30159</v>
      </c>
      <c r="C2500" s="3">
        <v>44029.548541666663</v>
      </c>
      <c r="D2500" s="1" t="s">
        <v>5000</v>
      </c>
      <c r="E2500" s="4" t="str">
        <f ca="1">IFERROR(__xludf.DUMMYFUNCTION("GOOGLETRANSLATE(A2500 , ""tr"" , ""en"")"),"Droplet event on the pool and beaches: Coronavirus is contaminated with droplets. The number of risky drops, the pool and beaches as well as in other environments, the human intensity increases. Measures are valid in all parts of the third person. If the "&amp;"rules are observed, the quality of the holiday increases.")</f>
        <v>Droplet event on the pool and beaches: Coronavirus is contaminated with droplets. The number of risky drops, the pool and beaches as well as in other environments, the human intensity increases. Measures are valid in all parts of the third person. If the rules are observed, the quality of the holiday increases.</v>
      </c>
    </row>
    <row r="2501" spans="1:5" ht="15.75" customHeight="1" x14ac:dyDescent="0.25">
      <c r="A2501" s="1" t="s">
        <v>5001</v>
      </c>
      <c r="B2501" s="1">
        <v>14517</v>
      </c>
      <c r="C2501" s="3">
        <v>44029.527685185189</v>
      </c>
      <c r="D2501" s="1" t="s">
        <v>5002</v>
      </c>
      <c r="E2501" s="4" t="str">
        <f ca="1">IFERROR(__xludf.DUMMYFUNCTION("GOOGLETRANSLATE(A2501 , ""tr"" , ""en"")"),"In the van, the discovery aircraft accident is the Komiser Assistant Samet, and the Police Officer Mustafa Keskin was the last journey. I wish the other five other sawn in the same accident. https://t.co/l8r1kvbwxe")</f>
        <v>In the van, the discovery aircraft accident is the Komiser Assistant Samet, and the Police Officer Mustafa Keskin was the last journey. I wish the other five other sawn in the same accident. https://t.co/l8r1kvbwxe</v>
      </c>
    </row>
    <row r="2502" spans="1:5" ht="15.75" customHeight="1" x14ac:dyDescent="0.25">
      <c r="A2502" s="1" t="s">
        <v>5003</v>
      </c>
      <c r="B2502" s="1">
        <v>85542</v>
      </c>
      <c r="C2502" s="3">
        <v>44029.50408564815</v>
      </c>
      <c r="D2502" s="1" t="s">
        <v>5004</v>
      </c>
      <c r="E2502" s="4" t="str">
        <f ca="1">IFERROR(__xludf.DUMMYFUNCTION("GOOGLETRANSLATE(A2502 , ""tr"" , ""en"")"),"Holiday Plans Slogan: Away from the crowd like sand!")</f>
        <v>Holiday Plans Slogan: Away from the crowd like sand!</v>
      </c>
    </row>
    <row r="2503" spans="1:5" ht="15.75" customHeight="1" x14ac:dyDescent="0.25">
      <c r="A2503" s="1" t="s">
        <v>5005</v>
      </c>
      <c r="B2503" s="1">
        <v>27957</v>
      </c>
      <c r="C2503" s="3">
        <v>44029.377187500002</v>
      </c>
      <c r="D2503" s="1" t="s">
        <v>5006</v>
      </c>
      <c r="E2503" s="4" t="str">
        <f ca="1">IFERROR(__xludf.DUMMYFUNCTION("GOOGLETRANSLATE(A2503 , ""tr"" , ""en"")"),"Risk Analysts Search: What time the bus is less crowded? Who is at least the hairdresser in Is it risky to send little expensive gift or go to the wedding? By rearranging their work hours, is he only invested in health? We must be a risk analyst against C"&amp;"OVID-19.")</f>
        <v>Risk Analysts Search: What time the bus is less crowded? Who is at least the hairdresser in Is it risky to send little expensive gift or go to the wedding? By rearranging their work hours, is he only invested in health? We must be a risk analyst against COVID-19.</v>
      </c>
    </row>
    <row r="2504" spans="1:5" ht="15.75" customHeight="1" x14ac:dyDescent="0.25">
      <c r="A2504" s="1" t="s">
        <v>5007</v>
      </c>
      <c r="B2504" s="1">
        <v>51881</v>
      </c>
      <c r="C2504" s="3">
        <v>44029.325381944444</v>
      </c>
      <c r="D2504" s="1" t="s">
        <v>5008</v>
      </c>
      <c r="E2504" s="4" t="str">
        <f ca="1">IFERROR(__xludf.DUMMYFUNCTION("GOOGLETRANSLATE(A2504 , ""tr"" , ""en"")"),"I talked to our 3 patients in intensive care. Their treatments give good results. Insists on abide by measures. Let's have a successful day by keeping each other. Good work.")</f>
        <v>I talked to our 3 patients in intensive care. Their treatments give good results. Insists on abide by measures. Let's have a successful day by keeping each other. Good work.</v>
      </c>
    </row>
    <row r="2505" spans="1:5" ht="15.75" customHeight="1" x14ac:dyDescent="0.25">
      <c r="A2505" s="1" t="s">
        <v>5009</v>
      </c>
      <c r="B2505" s="1">
        <v>48553</v>
      </c>
      <c r="C2505" s="3">
        <v>44028.713935185187</v>
      </c>
      <c r="D2505" s="1" t="s">
        <v>5010</v>
      </c>
      <c r="E2505" s="4" t="str">
        <f ca="1">IFERROR(__xludf.DUMMYFUNCTION("GOOGLETRANSLATE(A2505 , ""tr"" , ""en"")"),"More tests, more cases detect. The relationship between the number of tests is not one to one. The day we reached the number of 1,592 cases on June 15, our test count was 42,000. The number of tests varies according to the need. Is the measure that determ"&amp;"ines the result. https://t.co/rvlhe7786o https://t.co/vp6rvd6rmk")</f>
        <v>More tests, more cases detect. The relationship between the number of tests is not one to one. The day we reached the number of 1,592 cases on June 15, our test count was 42,000. The number of tests varies according to the need. Is the measure that determines the result. https://t.co/rvlhe7786o https://t.co/vp6rvd6rmk</v>
      </c>
    </row>
    <row r="2506" spans="1:5" ht="15.75" customHeight="1" x14ac:dyDescent="0.25">
      <c r="A2506" s="1" t="s">
        <v>5011</v>
      </c>
      <c r="B2506" s="1">
        <v>318556</v>
      </c>
      <c r="C2506" s="3">
        <v>44028.574537037035</v>
      </c>
      <c r="D2506" s="1" t="s">
        <v>5012</v>
      </c>
      <c r="E2506" s="4" t="str">
        <f ca="1">IFERROR(__xludf.DUMMYFUNCTION("GOOGLETRANSLATE(A2506 , ""tr"" , ""en"")"),"Let's get distracted immediately when we get ready.")</f>
        <v>Let's get distracted immediately when we get ready.</v>
      </c>
    </row>
    <row r="2507" spans="1:5" ht="15.75" customHeight="1" x14ac:dyDescent="0.25">
      <c r="A2507" s="1" t="s">
        <v>5013</v>
      </c>
      <c r="B2507" s="1">
        <v>30010</v>
      </c>
      <c r="C2507" s="3">
        <v>44028.534236111111</v>
      </c>
      <c r="D2507" s="1" t="s">
        <v>5014</v>
      </c>
      <c r="E2507" s="4" t="str">
        <f ca="1">IFERROR(__xludf.DUMMYFUNCTION("GOOGLETRANSLATE(A2507 , ""tr"" , ""en"")"),"We are the theory of us at work. This theory is wrong as ""scientific"". We are not us at work. We are together as people with countless people contact. Let's keep the distance mutually. Let's not lower the mask unless you stay alone.")</f>
        <v>We are the theory of us at work. This theory is wrong as "scientific". We are not us at work. We are together as people with countless people contact. Let's keep the distance mutually. Let's not lower the mask unless you stay alone.</v>
      </c>
    </row>
    <row r="2508" spans="1:5" ht="15.75" customHeight="1" x14ac:dyDescent="0.25">
      <c r="A2508" s="1" t="s">
        <v>5015</v>
      </c>
      <c r="B2508" s="1">
        <v>25953</v>
      </c>
      <c r="C2508" s="3">
        <v>44028.493831018517</v>
      </c>
      <c r="D2508" s="1" t="s">
        <v>5016</v>
      </c>
      <c r="E2508" s="4" t="str">
        <f ca="1">IFERROR(__xludf.DUMMYFUNCTION("GOOGLETRANSLATE(A2508 , ""tr"" , ""en"")"),"A reconnaissance plane connected to our safety dropped by hit by the mountain of artos during the van-Hakkari task flight. 7 We have the martyrdom. 112 emergency ambulances were unfortunately assigned to the incident instead of the scene. I wish our condo"&amp;"lences to our nation.")</f>
        <v>A reconnaissance plane connected to our safety dropped by hit by the mountain of artos during the van-Hakkari task flight. 7 We have the martyrdom. 112 emergency ambulances were unfortunately assigned to the incident instead of the scene. I wish our condolences to our nation.</v>
      </c>
    </row>
    <row r="2509" spans="1:5" ht="15.75" customHeight="1" x14ac:dyDescent="0.25">
      <c r="A2509" s="1" t="s">
        <v>5017</v>
      </c>
      <c r="B2509" s="1">
        <v>37482</v>
      </c>
      <c r="C2509" s="3">
        <v>44027.863703703704</v>
      </c>
      <c r="D2509" s="1" t="s">
        <v>5018</v>
      </c>
      <c r="E2509" s="4" t="str">
        <f ca="1">IFERROR(__xludf.DUMMYFUNCTION("GOOGLETRANSLATE(A2509 , ""tr"" , ""en"")"),"The sections of the soap structure, water and oil are easy-soluble parts, coronavirus two-layer lipids in the coronavirus. The oil membrane resolved virus is ineffective. Let's wash our hands more often as we can be a virus on the surfaces we touch. Clean"&amp;"liness is a strong measure against COVID-19. https://t.co/37v4tm5hlb")</f>
        <v>The sections of the soap structure, water and oil are easy-soluble parts, coronavirus two-layer lipids in the coronavirus. The oil membrane resolved virus is ineffective. Let's wash our hands more often as we can be a virus on the surfaces we touch. Cleanliness is a strong measure against COVID-19. https://t.co/37v4tm5hlb</v>
      </c>
    </row>
    <row r="2510" spans="1:5" ht="15.75" customHeight="1" x14ac:dyDescent="0.25">
      <c r="A2510" s="1" t="s">
        <v>5019</v>
      </c>
      <c r="B2510" s="1">
        <v>40533</v>
      </c>
      <c r="C2510" s="3">
        <v>44027.767002314817</v>
      </c>
      <c r="D2510" s="1" t="s">
        <v>5020</v>
      </c>
      <c r="E2510" s="4" t="str">
        <f ca="1">IFERROR(__xludf.DUMMYFUNCTION("GOOGLETRANSLATE(A2510 , ""tr"" , ""en"")"),"The 15th of July Martyrs were held in the murkers, we met Hiranur in the memorial program. Hiranur, our Martyr sister Emrah Fast-and-a-half-year-old daughter. The sweetiest of the world. He knows his father from their photos. May Allah don't have any othe"&amp;"r bitter families. https://t.co/jhj2ctmxye")</f>
        <v>The 15th of July Martyrs were held in the murkers, we met Hiranur in the memorial program. Hiranur, our Martyr sister Emrah Fast-and-a-half-year-old daughter. The sweetiest of the world. He knows his father from their photos. May Allah don't have any other bitter families. https://t.co/jhj2ctmxye</v>
      </c>
    </row>
    <row r="2511" spans="1:5" ht="15.75" customHeight="1" x14ac:dyDescent="0.25">
      <c r="A2511" s="1" t="s">
        <v>5021</v>
      </c>
      <c r="B2511" s="1">
        <v>57538</v>
      </c>
      <c r="C2511" s="3">
        <v>44027.739814814813</v>
      </c>
      <c r="D2511" s="1" t="s">
        <v>5022</v>
      </c>
      <c r="E2511" s="4" t="str">
        <f ca="1">IFERROR(__xludf.DUMMYFUNCTION("GOOGLETRANSLATE(A2511 , ""tr"" , ""en"")"),"Our second day below 1,000. Our newly recovering patient count is more than the number of new cases. Malatya, Trabzon, Kilis, Yalova, Bayburt and 3 days in Ardahan have never been found in pneumonia. New case data shows that our severity is increased in r"&amp;"ecent days. https://t.co/rvlhe7786o https://t.co/mvjfyowwhf")</f>
        <v>Our second day below 1,000. Our newly recovering patient count is more than the number of new cases. Malatya, Trabzon, Kilis, Yalova, Bayburt and 3 days in Ardahan have never been found in pneumonia. New case data shows that our severity is increased in recent days. https://t.co/rvlhe7786o https://t.co/mvjfyowwhf</v>
      </c>
    </row>
    <row r="2512" spans="1:5" ht="15.75" customHeight="1" x14ac:dyDescent="0.25">
      <c r="A2512" s="1" t="s">
        <v>5023</v>
      </c>
      <c r="B2512" s="1">
        <v>81382</v>
      </c>
      <c r="C2512" s="3">
        <v>44027.548009259262</v>
      </c>
      <c r="D2512" s="1" t="s">
        <v>5024</v>
      </c>
      <c r="E2512" s="4" t="str">
        <f ca="1">IFERROR(__xludf.DUMMYFUNCTION("GOOGLETRANSLATE(A2512 , ""tr"" , ""en"")"),"I need to get out, I have work. What hours do we do not equate ourselves to the crowd? Make an account book, weaken the risk.")</f>
        <v>I need to get out, I have work. What hours do we do not equate ourselves to the crowd? Make an account book, weaken the risk.</v>
      </c>
    </row>
    <row r="2513" spans="1:5" ht="15.75" customHeight="1" x14ac:dyDescent="0.25">
      <c r="A2513" s="1" t="s">
        <v>5025</v>
      </c>
      <c r="B2513" s="1">
        <v>58891</v>
      </c>
      <c r="C2513" s="3">
        <v>44026.996018518519</v>
      </c>
      <c r="D2513" s="1" t="s">
        <v>5026</v>
      </c>
      <c r="E2513" s="4" t="str">
        <f ca="1">IFERROR(__xludf.DUMMYFUNCTION("GOOGLETRANSLATE(A2513 , ""tr"" , ""en"")"),"A glory like July 15 could have gained a public holding the flag in his hand even in the hospital it went injured. We remember our martyrs with mercy, we offer our gratitude to our veterans. Under our flag, we are always one and strong with faith in democ"&amp;"racy. https://t.co/j7oqvfsu7x")</f>
        <v>A glory like July 15 could have gained a public holding the flag in his hand even in the hospital it went injured. We remember our martyrs with mercy, we offer our gratitude to our veterans. Under our flag, we are always one and strong with faith in democracy. https://t.co/j7oqvfsu7x</v>
      </c>
    </row>
    <row r="2514" spans="1:5" ht="15.75" customHeight="1" x14ac:dyDescent="0.25">
      <c r="A2514" s="1" t="s">
        <v>5027</v>
      </c>
      <c r="B2514" s="1">
        <v>121169</v>
      </c>
      <c r="C2514" s="3">
        <v>44026.790034722224</v>
      </c>
      <c r="D2514" s="1" t="s">
        <v>5028</v>
      </c>
      <c r="E2514" s="4" t="str">
        <f ca="1">IFERROR(__xludf.DUMMYFUNCTION("GOOGLETRANSLATE(A2514 , ""tr"" , ""en"")"),"You don't get into environments like the main father's day.")</f>
        <v>You don't get into environments like the main father's day.</v>
      </c>
    </row>
    <row r="2515" spans="1:5" ht="15.75" customHeight="1" x14ac:dyDescent="0.25">
      <c r="A2515" s="1" t="s">
        <v>5029</v>
      </c>
      <c r="B2515" s="1">
        <v>15517</v>
      </c>
      <c r="C2515" s="3">
        <v>44026.766226851854</v>
      </c>
      <c r="D2515" s="1" t="s">
        <v>5030</v>
      </c>
      <c r="E2515" s="4" t="str">
        <f ca="1">IFERROR(__xludf.DUMMYFUNCTION("GOOGLETRANSLATE(A2515 , ""tr"" , ""en"")"),"Kazakhstan, Uzbekistan, Azerbaijan Health Minister, we have addressed the recent situation against the outbreak of the outbreak in our phone calls. He thanked Turkey to medical assistance to 4 countries including Kyrgyzstan. Our Science Board will also su"&amp;"pport themselves. https://t.co/st29ksuyj2")</f>
        <v>Kazakhstan, Uzbekistan, Azerbaijan Health Minister, we have addressed the recent situation against the outbreak of the outbreak in our phone calls. He thanked Turkey to medical assistance to 4 countries including Kyrgyzstan. Our Science Board will also support themselves. https://t.co/st29ksuyj2</v>
      </c>
    </row>
    <row r="2516" spans="1:5" ht="15.75" customHeight="1" x14ac:dyDescent="0.25">
      <c r="A2516" s="1" t="s">
        <v>5031</v>
      </c>
      <c r="B2516" s="1">
        <v>69891</v>
      </c>
      <c r="C2516" s="3">
        <v>44026.724548611113</v>
      </c>
      <c r="D2516" s="1" t="s">
        <v>5032</v>
      </c>
      <c r="E2516" s="4" t="str">
        <f ca="1">IFERROR(__xludf.DUMMYFUNCTION("GOOGLETRANSLATE(A2516 , ""tr"" , ""en"")"),"We are below 1,000 again. For the first time after 33 days. The number of new cases 987 on June 11, the next day was 1.195. We don't know tomorrow right now. Now we know that we will see the result of the measures we will receive after 7 days. Let's not c"&amp;"all the present again. https://t.co/rvlhe7786o https://t.co/smequzarl")</f>
        <v>We are below 1,000 again. For the first time after 33 days. The number of new cases 987 on June 11, the next day was 1.195. We don't know tomorrow right now. Now we know that we will see the result of the measures we will receive after 7 days. Let's not call the present again. https://t.co/rvlhe7786o https://t.co/smequzarl</v>
      </c>
    </row>
    <row r="2517" spans="1:5" ht="15.75" customHeight="1" x14ac:dyDescent="0.25">
      <c r="A2517" s="1" t="s">
        <v>5033</v>
      </c>
      <c r="B2517" s="1">
        <v>51052</v>
      </c>
      <c r="C2517" s="3">
        <v>44026.662280092591</v>
      </c>
      <c r="D2517" s="1" t="s">
        <v>5034</v>
      </c>
      <c r="E2517" s="4" t="str">
        <f ca="1">IFERROR(__xludf.DUMMYFUNCTION("GOOGLETRANSLATE(A2517 , ""tr"" , ""en"")"),"Let's be careful on the way home. We reset the struggle of the fight we have in the public transport. Let's prefer the commuters that match the rules. Let us replace our mask with a new one if possible. Good evening.")</f>
        <v>Let's be careful on the way home. We reset the struggle of the fight we have in the public transport. Let's prefer the commuters that match the rules. Let us replace our mask with a new one if possible. Good evening.</v>
      </c>
    </row>
    <row r="2518" spans="1:5" ht="15.75" customHeight="1" x14ac:dyDescent="0.25">
      <c r="A2518" s="1" t="s">
        <v>5035</v>
      </c>
      <c r="B2518" s="1">
        <v>29959</v>
      </c>
      <c r="C2518" s="3">
        <v>44026.472500000003</v>
      </c>
      <c r="D2518" s="1" t="s">
        <v>5036</v>
      </c>
      <c r="E2518" s="4" t="str">
        <f ca="1">IFERROR(__xludf.DUMMYFUNCTION("GOOGLETRANSLATE(A2518 , ""tr"" , ""en"")"),"Our romancer has farewell to the life of the Justice Ağaoglu. The thin rose of our mind faded. Writing, it was coming from the water as it drinks water. Wrote up to 91 years of age. Was a writer that suggested us to keep literature on hand. This says: ""T"&amp;"he people of a country can only be explained through literature."" https://t.co/i2kt7e6lxa")</f>
        <v>Our romancer has farewell to the life of the Justice Ağaoglu. The thin rose of our mind faded. Writing, it was coming from the water as it drinks water. Wrote up to 91 years of age. Was a writer that suggested us to keep literature on hand. This says: "The people of a country can only be explained through literature." https://t.co/i2kt7e6lxa</v>
      </c>
    </row>
    <row r="2519" spans="1:5" ht="15.75" customHeight="1" x14ac:dyDescent="0.25">
      <c r="A2519" s="1" t="s">
        <v>5037</v>
      </c>
      <c r="B2519" s="1">
        <v>26935</v>
      </c>
      <c r="C2519" s="3">
        <v>44026.376273148147</v>
      </c>
      <c r="D2519" s="1" t="s">
        <v>5038</v>
      </c>
      <c r="E2519" s="4" t="str">
        <f ca="1">IFERROR(__xludf.DUMMYFUNCTION("GOOGLETRANSLATE(A2519 , ""tr"" , ""en"")"),"""When it comes to summer, the virus has lost its impact."" This rumor spreading from ear is wrong. Receives the risk of respec. The globality of the epidemic proves that the effect of the virus is not seasonal. Cases are similar in different seasons. Los"&amp;"ing the effect of the virus depends on the measures at the moment. https://t.co/uivpalfhfc")</f>
        <v>"When it comes to summer, the virus has lost its impact." This rumor spreading from ear is wrong. Receives the risk of respec. The globality of the epidemic proves that the effect of the virus is not seasonal. Cases are similar in different seasons. Losing the effect of the virus depends on the measures at the moment. https://t.co/uivpalfhfc</v>
      </c>
    </row>
    <row r="2520" spans="1:5" ht="15.75" customHeight="1" x14ac:dyDescent="0.25">
      <c r="A2520" s="1" t="s">
        <v>5039</v>
      </c>
      <c r="B2520" s="1">
        <v>36174</v>
      </c>
      <c r="C2520" s="3">
        <v>44026.198344907411</v>
      </c>
      <c r="D2520" s="1" t="s">
        <v>5040</v>
      </c>
      <c r="E2520" s="4" t="str">
        <f ca="1">IFERROR(__xludf.DUMMYFUNCTION("GOOGLETRANSLATE(A2520 , ""tr"" , ""en"")"),"A quiz every day against Covid-19. Let's do the right one: Let's obey the rules. Although this is not always easy, let's try to fit. I would like to thank you for today's effort, I wish you a happy day.")</f>
        <v>A quiz every day against Covid-19. Let's do the right one: Let's obey the rules. Although this is not always easy, let's try to fit. I would like to thank you for today's effort, I wish you a happy day.</v>
      </c>
    </row>
    <row r="2521" spans="1:5" ht="15.75" customHeight="1" x14ac:dyDescent="0.25">
      <c r="A2521" s="1" t="s">
        <v>5041</v>
      </c>
      <c r="B2521" s="1">
        <v>140556</v>
      </c>
      <c r="C2521" s="3">
        <v>44025.771168981482</v>
      </c>
      <c r="D2521" s="1" t="s">
        <v>5042</v>
      </c>
      <c r="E2521" s="4" t="str">
        <f ca="1">IFERROR(__xludf.DUMMYFUNCTION("GOOGLETRANSLATE(A2521 , ""tr"" , ""en"")"),"!!!!!!!!!!!!!!!!!!!!!!!!!!!!!!!!!!!!!!!!!!!!!!!!!!!! ! Let's drop the needle to the ground where you do not fall on the needle. Lower case numbers; to lower density, dependent on less contact. [Needle Warning]")</f>
        <v>!!!!!!!!!!!!!!!!!!!!!!!!!!!!!!!!!!!!!!!!!!!!!!!!!!!! ! Let's drop the needle to the ground where you do not fall on the needle. Lower case numbers; to lower density, dependent on less contact. [Needle Warning]</v>
      </c>
    </row>
    <row r="2522" spans="1:5" ht="15.75" customHeight="1" x14ac:dyDescent="0.25">
      <c r="A2522" s="1" t="s">
        <v>5043</v>
      </c>
      <c r="B2522" s="1">
        <v>43302</v>
      </c>
      <c r="C2522" s="3">
        <v>44025.709652777776</v>
      </c>
      <c r="D2522" s="1" t="s">
        <v>5044</v>
      </c>
      <c r="E2522" s="4" t="str">
        <f ca="1">IFERROR(__xludf.DUMMYFUNCTION("GOOGLETRANSLATE(A2522 , ""tr"" , ""en"")"),"Our most cases seen: Istanbul, Ankara, Gaziantep, Sanliurfa, Diyarbakir. There are also increases in the intensive care numbers of 5 provinces. According to the average 1-week earlier data, we are committed to fall below 1,000 in the number of cases. A qu"&amp;"iz every day against COVID-19. https://t.co/rvlhe7786o https://t.co/wgsskqcununa")</f>
        <v>Our most cases seen: Istanbul, Ankara, Gaziantep, Sanliurfa, Diyarbakir. There are also increases in the intensive care numbers of 5 provinces. According to the average 1-week earlier data, we are committed to fall below 1,000 in the number of cases. A quiz every day against COVID-19. https://t.co/rvlhe7786o https://t.co/wgsskqcununa</v>
      </c>
    </row>
    <row r="2523" spans="1:5" ht="15.75" customHeight="1" x14ac:dyDescent="0.25">
      <c r="A2523" s="1" t="s">
        <v>5045</v>
      </c>
      <c r="B2523" s="1">
        <v>24376</v>
      </c>
      <c r="C2523" s="3">
        <v>44025.626793981479</v>
      </c>
      <c r="D2523" s="1" t="s">
        <v>5046</v>
      </c>
      <c r="E2523" s="4" t="str">
        <f ca="1">IFERROR(__xludf.DUMMYFUNCTION("GOOGLETRANSLATE(A2523 , ""tr"" , ""en"")"),"HATAYSPOR was in the super league match on the tribunes of the match rule without the audience; If it is in the open air, the epidemic is forgotten in the face of the giant screens. We have to look at the coming matches! COVID-19 is infected by breathing,"&amp;" in close contact. These crowds beat us heavy against the epidemic. https://t.co/58nvxdo32h")</f>
        <v>HATAYSPOR was in the super league match on the tribunes of the match rule without the audience; If it is in the open air, the epidemic is forgotten in the face of the giant screens. We have to look at the coming matches! COVID-19 is infected by breathing, in close contact. These crowds beat us heavy against the epidemic. https://t.co/58nvxdo32h</v>
      </c>
    </row>
    <row r="2524" spans="1:5" ht="15.75" customHeight="1" x14ac:dyDescent="0.25">
      <c r="A2524" s="1" t="s">
        <v>5047</v>
      </c>
      <c r="B2524" s="1">
        <v>18282</v>
      </c>
      <c r="C2524" s="3">
        <v>44025.208819444444</v>
      </c>
      <c r="D2524" s="1" t="s">
        <v>5048</v>
      </c>
      <c r="E2524" s="4" t="str">
        <f ca="1">IFERROR(__xludf.DUMMYFUNCTION("GOOGLETRANSLATE(A2524 , ""tr"" , ""en"")"),"Opportunities that the virus caught today are reflected in the table after average of 1 week. Many situations that appear inevitable lead to us to compromise the measures; Let's try to reduce these. Let's never take risks to otherwise possible. Let's redu"&amp;"ce the new case numbers with the measures we have applied today. https://t.co/OYIZD6Y8KM")</f>
        <v>Opportunities that the virus caught today are reflected in the table after average of 1 week. Many situations that appear inevitable lead to us to compromise the measures; Let's try to reduce these. Let's never take risks to otherwise possible. Let's reduce the new case numbers with the measures we have applied today. https://t.co/OYIZD6Y8KM</v>
      </c>
    </row>
    <row r="2525" spans="1:5" ht="15.75" customHeight="1" x14ac:dyDescent="0.25">
      <c r="A2525" s="1" t="s">
        <v>5049</v>
      </c>
      <c r="B2525" s="1">
        <v>28770</v>
      </c>
      <c r="C2525" s="3">
        <v>44024.870949074073</v>
      </c>
      <c r="D2525" s="1" t="s">
        <v>5050</v>
      </c>
      <c r="E2525" s="4" t="str">
        <f ca="1">IFERROR(__xludf.DUMMYFUNCTION("GOOGLETRANSLATE(A2525 , ""tr"" , ""en"")"),"I celebrate HATAYSPOR and fans that will fight in the Super League next season. As of the moment, I believe that the Hatayspor community will continue to be the tight-party of our struggle. This victory has to be undamaged, celebration sample.")</f>
        <v>I celebrate HATAYSPOR and fans that will fight in the Super League next season. As of the moment, I believe that the Hatayspor community will continue to be the tight-party of our struggle. This victory has to be undamaged, celebration sample.</v>
      </c>
    </row>
    <row r="2526" spans="1:5" ht="15.75" customHeight="1" x14ac:dyDescent="0.25">
      <c r="A2526" s="1" t="s">
        <v>5051</v>
      </c>
      <c r="B2526" s="1">
        <v>142315</v>
      </c>
      <c r="C2526" s="3">
        <v>44024.798518518517</v>
      </c>
      <c r="D2526" s="1" t="s">
        <v>5052</v>
      </c>
      <c r="E2526" s="4" t="str">
        <f ca="1">IFERROR(__xludf.DUMMYFUNCTION("GOOGLETRANSLATE(A2526 , ""tr"" , ""en"")"),"Crazy crowd, dried crowd, crowded head. Let's stay away from all kinds of crowds.")</f>
        <v>Crazy crowd, dried crowd, crowded head. Let's stay away from all kinds of crowds.</v>
      </c>
    </row>
    <row r="2527" spans="1:5" ht="15.75" customHeight="1" x14ac:dyDescent="0.25">
      <c r="A2527" s="1" t="s">
        <v>5053</v>
      </c>
      <c r="B2527" s="1">
        <v>13511</v>
      </c>
      <c r="C2527" s="3">
        <v>44024.740729166668</v>
      </c>
      <c r="D2527" s="1" t="s">
        <v>5054</v>
      </c>
      <c r="E2527" s="4" t="str">
        <f ca="1">IFERROR(__xludf.DUMMYFUNCTION("GOOGLETRANSLATE(A2527 , ""tr"" , ""en"")"),"Opportunities that the virus caught today are reflected in the table after average of 1 week. Many situations that appear inevitable lead to us to compromise the measures; Let's try to reduce these. Let's never take risks to otherwise possible. Let's redu"&amp;"ce the new case numbers with the measures we have applied today. https://t.co/wmwculeosf")</f>
        <v>Opportunities that the virus caught today are reflected in the table after average of 1 week. Many situations that appear inevitable lead to us to compromise the measures; Let's try to reduce these. Let's never take risks to otherwise possible. Let's reduce the new case numbers with the measures we have applied today. https://t.co/wmwculeosf</v>
      </c>
    </row>
    <row r="2528" spans="1:5" ht="15.75" customHeight="1" x14ac:dyDescent="0.25">
      <c r="A2528" s="1" t="s">
        <v>5055</v>
      </c>
      <c r="B2528" s="1">
        <v>11225</v>
      </c>
      <c r="C2528" s="3">
        <v>44024.731828703705</v>
      </c>
      <c r="D2528" s="1" t="s">
        <v>5056</v>
      </c>
      <c r="E2528" s="4" t="str">
        <f ca="1">IFERROR(__xludf.DUMMYFUNCTION("GOOGLETRANSLATE(A2528 , ""tr"" , ""en"")"),"Opportunities that the virus caught today are reflected in the table after average of 1 week. Many situations that appear inevitable lead to us to compromise the measures; Let's try to reduce these. Let's never take risks to otherwise possible. Let's redu"&amp;"ce the new case numbers with the measures we have applied today. https://t.co/qgexIfi8m5")</f>
        <v>Opportunities that the virus caught today are reflected in the table after average of 1 week. Many situations that appear inevitable lead to us to compromise the measures; Let's try to reduce these. Let's never take risks to otherwise possible. Let's reduce the new case numbers with the measures we have applied today. https://t.co/qgexIfi8m5</v>
      </c>
    </row>
    <row r="2529" spans="1:5" ht="15.75" customHeight="1" x14ac:dyDescent="0.25">
      <c r="A2529" s="1" t="s">
        <v>5057</v>
      </c>
      <c r="B2529" s="1">
        <v>35851</v>
      </c>
      <c r="C2529" s="3">
        <v>44024.699340277781</v>
      </c>
      <c r="D2529" s="1" t="s">
        <v>5058</v>
      </c>
      <c r="E2529" s="4" t="str">
        <f ca="1">IFERROR(__xludf.DUMMYFUNCTION("GOOGLETRANSLATE(A2529 , ""tr"" , ""en"")"),"In the last 3 days, average intubators are the highest number of 5 il: Istanbul, Ankara, Konya, Diyarbakır, Bursa. Mean intensive care Number of patients with the highest 5 province: İstanbul, Şanlıurfa, Ankara, Gaziantep and Konya. Let's get more to the "&amp;"measures for the results we expected. https://t.co/rvlhe7786o https://t.co/5pfpjkacej")</f>
        <v>In the last 3 days, average intubators are the highest number of 5 il: Istanbul, Ankara, Konya, Diyarbakır, Bursa. Mean intensive care Number of patients with the highest 5 province: İstanbul, Şanlıurfa, Ankara, Gaziantep and Konya. Let's get more to the measures for the results we expected. https://t.co/rvlhe7786o https://t.co/5pfpjkacej</v>
      </c>
    </row>
    <row r="2530" spans="1:5" ht="15.75" customHeight="1" x14ac:dyDescent="0.25">
      <c r="A2530" s="1" t="s">
        <v>5059</v>
      </c>
      <c r="B2530" s="1">
        <v>7785</v>
      </c>
      <c r="C2530" s="3">
        <v>44024.565717592595</v>
      </c>
      <c r="D2530" s="1" t="s">
        <v>5060</v>
      </c>
      <c r="E2530" s="4" t="str">
        <f ca="1">IFERROR(__xludf.DUMMYFUNCTION("GOOGLETRANSLATE(A2530 , ""tr"" , ""en"")"),"To politicians carrying us the service demands of our people; to bureaucrats and managers; To all of our guests due to their consultations on the pandemic; I would appreciate the visits to Meriç Gear on the earthquake, which we met on the day of Elazig ea"&amp;"rthquipment. https://t.co/9rrerayIre")</f>
        <v>To politicians carrying us the service demands of our people; to bureaucrats and managers; To all of our guests due to their consultations on the pandemic; I would appreciate the visits to Meriç Gear on the earthquake, which we met on the day of Elazig earthquipment. https://t.co/9rrerayIre</v>
      </c>
    </row>
    <row r="2531" spans="1:5" ht="15.75" customHeight="1" x14ac:dyDescent="0.25">
      <c r="A2531" s="1" t="s">
        <v>5061</v>
      </c>
      <c r="B2531" s="1">
        <v>23033</v>
      </c>
      <c r="C2531" s="3">
        <v>44024.506678240738</v>
      </c>
      <c r="D2531" s="1" t="s">
        <v>5062</v>
      </c>
      <c r="E2531" s="4" t="str">
        <f ca="1">IFERROR(__xludf.DUMMYFUNCTION("GOOGLETRANSLATE(A2531 , ""tr"" , ""en"")"),"The Minister of Interior Süleyman Sünypedi Text Lusty Gentleman has passed away cancer disease and heart failure. Rest in peace. I wish his family patience, my friend Süleyman Sülyman and the precious partner.")</f>
        <v>The Minister of Interior Süleyman Sünypedi Text Lusty Gentleman has passed away cancer disease and heart failure. Rest in peace. I wish his family patience, my friend Süleyman Sülyman and the precious partner.</v>
      </c>
    </row>
    <row r="2532" spans="1:5" ht="15.75" customHeight="1" x14ac:dyDescent="0.25">
      <c r="A2532" s="1" t="s">
        <v>5063</v>
      </c>
      <c r="B2532" s="1">
        <v>25053</v>
      </c>
      <c r="C2532" s="3">
        <v>44024.403819444444</v>
      </c>
      <c r="D2532" s="1" t="s">
        <v>5064</v>
      </c>
      <c r="E2532" s="4" t="str">
        <f ca="1">IFERROR(__xludf.DUMMYFUNCTION("GOOGLETRANSLATE(A2532 , ""tr"" , ""en"")"),"In this frame, we are 5 in the foreground against the epidemic. Three friends have made concessions in the coronavirue. However, the virus can also pass with someone, as well as walking side by side. Let's see you more equipped in our next match. https://"&amp;"t.co/lruvfvjah2")</f>
        <v>In this frame, we are 5 in the foreground against the epidemic. Three friends have made concessions in the coronavirue. However, the virus can also pass with someone, as well as walking side by side. Let's see you more equipped in our next match. https://t.co/lruvfvjah2</v>
      </c>
    </row>
    <row r="2533" spans="1:5" ht="15.75" customHeight="1" x14ac:dyDescent="0.25">
      <c r="A2533" s="1" t="s">
        <v>5065</v>
      </c>
      <c r="B2533" s="1">
        <v>25031</v>
      </c>
      <c r="C2533" s="3">
        <v>44023.73951388889</v>
      </c>
      <c r="D2533" s="1" t="s">
        <v>5066</v>
      </c>
      <c r="E2533" s="4" t="str">
        <f ca="1">IFERROR(__xludf.DUMMYFUNCTION("GOOGLETRANSLATE(A2533 , ""tr"" , ""en"")"),"In July 11, 1995, at least 8,372 civilians, women and children were slaughtered after Srebrenitsa's Serbs seized in Bosnia. There was also a daily doll among the victims. In the 25th year of genocide, we remember the srebrenitsa martyrs. https://t.co/xhgg"&amp;"c133bh")</f>
        <v>In July 11, 1995, at least 8,372 civilians, women and children were slaughtered after Srebrenitsa's Serbs seized in Bosnia. There was also a daily doll among the victims. In the 25th year of genocide, we remember the srebrenitsa martyrs. https://t.co/xhggc133bh</v>
      </c>
    </row>
    <row r="2534" spans="1:5" ht="15.75" customHeight="1" x14ac:dyDescent="0.25">
      <c r="A2534" s="1" t="s">
        <v>5067</v>
      </c>
      <c r="B2534" s="1">
        <v>44740</v>
      </c>
      <c r="C2534" s="3">
        <v>44023.687337962961</v>
      </c>
      <c r="D2534" s="1" t="s">
        <v>5068</v>
      </c>
      <c r="E2534" s="4" t="str">
        <f ca="1">IFERROR(__xludf.DUMMYFUNCTION("GOOGLETRANSLATE(A2534 , ""tr"" , ""en"")"),"Our maximum decreases in the number of cases in the last three days: Kars, Canakkale, Bartin, Artvin, Ardahan, Kutahya and Yalova. The rate of rotation of cases across Turkey is reduced to the rotation of pneumonia. The increase and decreases in the numbe"&amp;"r of cases depend on the mask and the distance of the distance. https://t.co/rvlhe7786o https://t.co/7ztf9ebfks")</f>
        <v>Our maximum decreases in the number of cases in the last three days: Kars, Canakkale, Bartin, Artvin, Ardahan, Kutahya and Yalova. The rate of rotation of cases across Turkey is reduced to the rotation of pneumonia. The increase and decreases in the number of cases depend on the mask and the distance of the distance. https://t.co/rvlhe7786o https://t.co/7ztf9ebfks</v>
      </c>
    </row>
    <row r="2535" spans="1:5" ht="15.75" customHeight="1" x14ac:dyDescent="0.2">
      <c r="A2535" s="5" t="s">
        <v>5069</v>
      </c>
      <c r="B2535" s="1">
        <v>16322</v>
      </c>
      <c r="C2535" s="3">
        <v>44023.397083333337</v>
      </c>
      <c r="D2535" s="1" t="s">
        <v>5070</v>
      </c>
      <c r="E2535" s="6" t="str">
        <f ca="1">IFERROR(__xludf.DUMMYFUNCTION("GOOGLETRANSLATE(A2535 , ""tr"" , ""en"")"),"https://t.co/mnrIw62u6z")</f>
        <v>https://t.co/mnrIw62u6z</v>
      </c>
    </row>
    <row r="2536" spans="1:5" ht="15.75" customHeight="1" x14ac:dyDescent="0.25">
      <c r="A2536" s="1" t="s">
        <v>5071</v>
      </c>
      <c r="B2536" s="1">
        <v>37685</v>
      </c>
      <c r="C2536" s="3">
        <v>44023.360451388886</v>
      </c>
      <c r="D2536" s="1" t="s">
        <v>5072</v>
      </c>
      <c r="E2536" s="4" t="str">
        <f ca="1">IFERROR(__xludf.DUMMYFUNCTION("GOOGLETRANSLATE(A2536 , ""tr"" , ""en"")"),"Contribute to the recovery in the daily coronavirus case table: Reduce the new case with the mask and distance rule.")</f>
        <v>Contribute to the recovery in the daily coronavirus case table: Reduce the new case with the mask and distance rule.</v>
      </c>
    </row>
    <row r="2537" spans="1:5" ht="15.75" customHeight="1" x14ac:dyDescent="0.25">
      <c r="A2537" s="1" t="s">
        <v>5073</v>
      </c>
      <c r="B2537" s="1">
        <v>59383</v>
      </c>
      <c r="C2537" s="3">
        <v>44023.320011574076</v>
      </c>
      <c r="D2537" s="1" t="s">
        <v>5074</v>
      </c>
      <c r="E2537" s="4" t="str">
        <f ca="1">IFERROR(__xludf.DUMMYFUNCTION("GOOGLETRANSLATE(A2537 , ""tr"" , ""en"")"),"According to the latest data, at least 1,000 people are expected to be captured in COVID-19. Learn to be cautious from the previous days.")</f>
        <v>According to the latest data, at least 1,000 people are expected to be captured in COVID-19. Learn to be cautious from the previous days.</v>
      </c>
    </row>
    <row r="2538" spans="1:5" ht="15.75" customHeight="1" x14ac:dyDescent="0.2">
      <c r="A2538" s="5" t="s">
        <v>5075</v>
      </c>
      <c r="B2538" s="1">
        <v>14221</v>
      </c>
      <c r="C2538" s="3">
        <v>44022.933842592596</v>
      </c>
      <c r="D2538" s="1" t="s">
        <v>5076</v>
      </c>
      <c r="E2538" s="6" t="str">
        <f ca="1">IFERROR(__xludf.DUMMYFUNCTION("GOOGLETRANSLATE(A2538 , ""tr"" , ""en"")"),"https://t.co/gjmipmvaei")</f>
        <v>https://t.co/gjmipmvaei</v>
      </c>
    </row>
    <row r="2539" spans="1:5" ht="15.75" customHeight="1" x14ac:dyDescent="0.25">
      <c r="A2539" s="1" t="s">
        <v>5077</v>
      </c>
      <c r="B2539" s="1">
        <v>62164</v>
      </c>
      <c r="C2539" s="3">
        <v>44022.913807870369</v>
      </c>
      <c r="D2539" s="1" t="s">
        <v>5078</v>
      </c>
      <c r="E2539" s="4" t="str">
        <f ca="1">IFERROR(__xludf.DUMMYFUNCTION("GOOGLETRANSLATE(A2539 , ""tr"" , ""en"")"),"Against women, developed discourses against relatively features and ways of life is spiritual repair. I will be able to get the name of the psychiatry emergency assistance that I will not be able to claim the name due to my position and patient rights.")</f>
        <v>Against women, developed discourses against relatively features and ways of life is spiritual repair. I will be able to get the name of the psychiatry emergency assistance that I will not be able to claim the name due to my position and patient rights.</v>
      </c>
    </row>
    <row r="2540" spans="1:5" ht="15.75" customHeight="1" x14ac:dyDescent="0.25">
      <c r="A2540" s="1" t="s">
        <v>5079</v>
      </c>
      <c r="B2540" s="1">
        <v>9570</v>
      </c>
      <c r="C2540" s="3">
        <v>44022.860543981478</v>
      </c>
      <c r="D2540" s="1" t="s">
        <v>5080</v>
      </c>
      <c r="E2540" s="4" t="str">
        <f ca="1">IFERROR(__xludf.DUMMYFUNCTION("GOOGLETRANSLATE(A2540 , ""tr"" , ""en"")"),"45th anniversary of the death of Nurettin Topçu. Who is the artillery? The founder of a scholar of thought. The first Turkish Turk giving Philosophy in Sorbonne. The thesis was printed as a book in Paris in 1934. He made a philosophy teaching in Turkey. W"&amp;"rote books. The teaching continued after his death. https://t.co/w29v8mh3mr")</f>
        <v>45th anniversary of the death of Nurettin Topçu. Who is the artillery? The founder of a scholar of thought. The first Turkish Turk giving Philosophy in Sorbonne. The thesis was printed as a book in Paris in 1934. He made a philosophy teaching in Turkey. Wrote books. The teaching continued after his death. https://t.co/w29v8mh3mr</v>
      </c>
    </row>
    <row r="2541" spans="1:5" ht="15.75" customHeight="1" x14ac:dyDescent="0.25">
      <c r="A2541" s="1" t="s">
        <v>5081</v>
      </c>
      <c r="B2541" s="1">
        <v>73523</v>
      </c>
      <c r="C2541" s="3">
        <v>44022.77134259259</v>
      </c>
      <c r="D2541" s="1" t="s">
        <v>5082</v>
      </c>
      <c r="E2541" s="4" t="str">
        <f ca="1">IFERROR(__xludf.DUMMYFUNCTION("GOOGLETRANSLATE(A2541 , ""tr"" , ""en"")"),"Hagia Sophia has rebounded the soul of 1453. He is an icon in which the conquest prior to the prior to the centuries and the conquests completed. With the rebuilding the name of Hagia Sophia, which means divine wisdom, he is re-regaining the status of the"&amp;" mosque. https://t.co/mbgyc0tcss")</f>
        <v>Hagia Sophia has rebounded the soul of 1453. He is an icon in which the conquest prior to the prior to the centuries and the conquests completed. With the rebuilding the name of Hagia Sophia, which means divine wisdom, he is re-regaining the status of the mosque. https://t.co/mbgyc0tcss</v>
      </c>
    </row>
    <row r="2542" spans="1:5" ht="15.75" customHeight="1" x14ac:dyDescent="0.25">
      <c r="A2542" s="1" t="s">
        <v>5083</v>
      </c>
      <c r="B2542" s="1">
        <v>40825</v>
      </c>
      <c r="C2542" s="3">
        <v>44022.707916666666</v>
      </c>
      <c r="D2542" s="1" t="s">
        <v>5084</v>
      </c>
      <c r="E2542" s="4" t="str">
        <f ca="1">IFERROR(__xludf.DUMMYFUNCTION("GOOGLETRANSLATE(A2542 , ""tr"" , ""en"")"),"The decline starting in June 25 in the number of patients who were introduced to newly diagnosed. So close to below 1,000. But let's not forget that these decreases are slow, rise. Increases and decreases depend on the increase or decrease in the mask and"&amp;" distance rule. https://t.co/rvlhe7786o https://t.co/vvrrummx7b")</f>
        <v>The decline starting in June 25 in the number of patients who were introduced to newly diagnosed. So close to below 1,000. But let's not forget that these decreases are slow, rise. Increases and decreases depend on the increase or decrease in the mask and distance rule. https://t.co/rvlhe7786o https://t.co/vvrrummx7b</v>
      </c>
    </row>
    <row r="2543" spans="1:5" ht="15.75" customHeight="1" x14ac:dyDescent="0.25">
      <c r="A2543" s="1" t="s">
        <v>5085</v>
      </c>
      <c r="B2543" s="1">
        <v>0</v>
      </c>
      <c r="C2543" s="3">
        <v>44022.585879629631</v>
      </c>
      <c r="D2543" s="1" t="s">
        <v>5086</v>
      </c>
      <c r="E2543" s="4" t="str">
        <f ca="1">IFERROR(__xludf.DUMMYFUNCTION("GOOGLETRANSLATE(A2543 , ""tr"" , ""en"")"),"Rt @rterdogan: get auspicious. https://t.co/mzp6nzn9jc")</f>
        <v>Rt @rterdogan: get auspicious. https://t.co/mzp6nzn9jc</v>
      </c>
    </row>
    <row r="2544" spans="1:5" ht="15.75" customHeight="1" x14ac:dyDescent="0.25">
      <c r="A2544" s="1" t="s">
        <v>5087</v>
      </c>
      <c r="B2544" s="1">
        <v>8860</v>
      </c>
      <c r="C2544" s="3">
        <v>44021.922488425924</v>
      </c>
      <c r="D2544" s="1" t="s">
        <v>5088</v>
      </c>
      <c r="E2544" s="4" t="str">
        <f ca="1">IFERROR(__xludf.DUMMYFUNCTION("GOOGLETRANSLATE(A2544 , ""tr"" , ""en"")"),"Preparation for humanitarian and health emergencies, the financial agreement on the opening of the WHO office to operate in Istanbul, Yesterday, DSO European Regional Director Dr. We signed with Hans Kluge. I am also in the belief that this Agreement will"&amp;" be a milestone. https://t.co/hhx2eruzsz")</f>
        <v>Preparation for humanitarian and health emergencies, the financial agreement on the opening of the WHO office to operate in Istanbul, Yesterday, DSO European Regional Director Dr. We signed with Hans Kluge. I am also in the belief that this Agreement will be a milestone. https://t.co/hhx2eruzsz</v>
      </c>
    </row>
    <row r="2545" spans="1:5" ht="15.75" customHeight="1" x14ac:dyDescent="0.25">
      <c r="A2545" s="1" t="s">
        <v>5089</v>
      </c>
      <c r="B2545" s="1">
        <v>49328</v>
      </c>
      <c r="C2545" s="3">
        <v>44021.875775462962</v>
      </c>
      <c r="D2545" s="1" t="s">
        <v>5090</v>
      </c>
      <c r="E2545" s="4" t="str">
        <f ca="1">IFERROR(__xludf.DUMMYFUNCTION("GOOGLETRANSLATE(A2545 , ""tr"" , ""en"")"),"We want to say. We have received a letter after sharing the excess passengers. The relevant transport cooperative reports the public to the public and the error is limited. We want all the full-filled cooperatives and stops in Istanbul: they will not take"&amp;" excess passengers.")</f>
        <v>We want to say. We have received a letter after sharing the excess passengers. The relevant transport cooperative reports the public to the public and the error is limited. We want all the full-filled cooperatives and stops in Istanbul: they will not take excess passengers.</v>
      </c>
    </row>
    <row r="2546" spans="1:5" ht="15.75" customHeight="1" x14ac:dyDescent="0.25">
      <c r="A2546" s="1" t="s">
        <v>5091</v>
      </c>
      <c r="B2546" s="1">
        <v>9652</v>
      </c>
      <c r="C2546" s="3">
        <v>44021.742152777777</v>
      </c>
      <c r="D2546" s="1" t="s">
        <v>5092</v>
      </c>
      <c r="E2546" s="4" t="str">
        <f ca="1">IFERROR(__xludf.DUMMYFUNCTION("GOOGLETRANSLATE(A2546 , ""tr"" , ""en"")"),"World Health Organization Europe Regional Director Dr. With Hans Kluge, we participated in a meeting and joint press conference in which our Science Board members are attended. In the interview, we shared information on the epidemic. This was his first ab"&amp;"road visit to him along his pandem. https://t.co/owaz0wmvqm")</f>
        <v>World Health Organization Europe Regional Director Dr. With Hans Kluge, we participated in a meeting and joint press conference in which our Science Board members are attended. In the interview, we shared information on the epidemic. This was his first abroad visit to him along his pandem. https://t.co/owaz0wmvqm</v>
      </c>
    </row>
    <row r="2547" spans="1:5" ht="15.75" customHeight="1" x14ac:dyDescent="0.25">
      <c r="A2547" s="1" t="s">
        <v>5093</v>
      </c>
      <c r="B2547" s="1">
        <v>39711</v>
      </c>
      <c r="C2547" s="3">
        <v>44021.711342592593</v>
      </c>
      <c r="D2547" s="1" t="s">
        <v>5094</v>
      </c>
      <c r="E2547" s="4" t="str">
        <f ca="1">IFERROR(__xludf.DUMMYFUNCTION("GOOGLETRANSLATE(A2547 , ""tr"" , ""en"")"),"Intensive care The increase in the patient has slowed down the increase in our number. The intubate patients decreased by 7. Our healing patient count is more than twice the new diagnosis. Depending on the increase in compliance with the mask and distance"&amp;" rule, minor decreases continue in the number of cases. https://t.co/rvlhe7786o https://t.co/bk5uzrcag8")</f>
        <v>Intensive care The increase in the patient has slowed down the increase in our number. The intubate patients decreased by 7. Our healing patient count is more than twice the new diagnosis. Depending on the increase in compliance with the mask and distance rule, minor decreases continue in the number of cases. https://t.co/rvlhe7786o https://t.co/bk5uzrcag8</v>
      </c>
    </row>
    <row r="2548" spans="1:5" ht="15.75" customHeight="1" x14ac:dyDescent="0.25">
      <c r="A2548" s="1" t="s">
        <v>5095</v>
      </c>
      <c r="B2548" s="1">
        <v>5821</v>
      </c>
      <c r="C2548" s="3">
        <v>44021.603530092594</v>
      </c>
      <c r="D2548" s="1" t="s">
        <v>5096</v>
      </c>
      <c r="E2548" s="4" t="str">
        <f ca="1">IFERROR(__xludf.DUMMYFUNCTION("GOOGLETRANSLATE(A2548 , ""tr"" , ""en"")"),"Dear European Regional Director of the World Health Organization. After the visit to the Hans Kluge's visit to our Common Press. https://t.co/Iphi0bswwf")</f>
        <v>Dear European Regional Director of the World Health Organization. After the visit to the Hans Kluge's visit to our Common Press. https://t.co/Iphi0bswwf</v>
      </c>
    </row>
    <row r="2549" spans="1:5" ht="15.75" customHeight="1" x14ac:dyDescent="0.25">
      <c r="A2549" s="1" t="s">
        <v>5097</v>
      </c>
      <c r="B2549" s="1">
        <v>25272</v>
      </c>
      <c r="C2549" s="3">
        <v>44021.566724537035</v>
      </c>
      <c r="D2549" s="1" t="s">
        <v>5098</v>
      </c>
      <c r="E2549" s="4" t="str">
        <f ca="1">IFERROR(__xludf.DUMMYFUNCTION("GOOGLETRANSLATE(A2549 , ""tr"" , ""en"")"),"My hand had an event during the transport of the fireworks factory in Sakarya. Our 3 soldiers in the outburst was martyr. We started the treatment of our injured. Our situation is a serious injury to the surgery. I wish our martyrs mercy from Allah, urgen"&amp;"t healing to our wounded.")</f>
        <v>My hand had an event during the transport of the fireworks factory in Sakarya. Our 3 soldiers in the outburst was martyr. We started the treatment of our injured. Our situation is a serious injury to the surgery. I wish our martyrs mercy from Allah, urgent healing to our wounded.</v>
      </c>
    </row>
    <row r="2550" spans="1:5" ht="15.75" customHeight="1" x14ac:dyDescent="0.2">
      <c r="A2550" s="5" t="s">
        <v>5099</v>
      </c>
      <c r="B2550" s="1">
        <v>21907</v>
      </c>
      <c r="C2550" s="3">
        <v>44021.522928240738</v>
      </c>
      <c r="D2550" s="1" t="s">
        <v>5100</v>
      </c>
      <c r="E2550" s="6" t="str">
        <f ca="1">IFERROR(__xludf.DUMMYFUNCTION("GOOGLETRANSLATE(A2550 , ""tr"" , ""en"")"),"https://t.co/frf00sjzbz")</f>
        <v>https://t.co/frf00sjzbz</v>
      </c>
    </row>
    <row r="2551" spans="1:5" ht="15.75" customHeight="1" x14ac:dyDescent="0.25">
      <c r="A2551" s="1" t="s">
        <v>5101</v>
      </c>
      <c r="B2551" s="1">
        <v>19326</v>
      </c>
      <c r="C2551" s="3">
        <v>44020.911898148152</v>
      </c>
      <c r="D2551" s="1" t="s">
        <v>5102</v>
      </c>
      <c r="E2551" s="4" t="str">
        <f ca="1">IFERROR(__xludf.DUMMYFUNCTION("GOOGLETRANSLATE(A2551 , ""tr"" , ""en"")"),"The countries where the disease is climb at the moment are pessimistic for autumn. It is inevitable to take this into our account. We have a fatigue on us these days. Let's throw fatigue from above. Can show the strength of struggle but optimists. Let's b"&amp;"e a period of 83 million again against the epidemic. https://t.co/0p5jw4")</f>
        <v>The countries where the disease is climb at the moment are pessimistic for autumn. It is inevitable to take this into our account. We have a fatigue on us these days. Let's throw fatigue from above. Can show the strength of struggle but optimists. Let's be a period of 83 million again against the epidemic. https://t.co/0p5jw4</v>
      </c>
    </row>
    <row r="2552" spans="1:5" ht="15.75" customHeight="1" x14ac:dyDescent="0.25">
      <c r="A2552" s="1" t="s">
        <v>5103</v>
      </c>
      <c r="B2552" s="1">
        <v>11210</v>
      </c>
      <c r="C2552" s="3">
        <v>44020.905092592591</v>
      </c>
      <c r="D2552" s="1" t="s">
        <v>5104</v>
      </c>
      <c r="E2552" s="4" t="str">
        <f ca="1">IFERROR(__xludf.DUMMYFUNCTION("GOOGLETRANSLATE(A2552 , ""tr"" , ""en"")"),"Yesterday was the number of new cases 1053. According to the statistics, a part of them will go to intense care. Some will be connected to the respirator. In your opinion, these patients caught COVID-19, because they do not comply with the rules? We are a"&amp;"ble to prevent the contamination of the disease with mutual measure. https://t.co/l39ruieiimr")</f>
        <v>Yesterday was the number of new cases 1053. According to the statistics, a part of them will go to intense care. Some will be connected to the respirator. In your opinion, these patients caught COVID-19, because they do not comply with the rules? We are able to prevent the contamination of the disease with mutual measure. https://t.co/l39ruieiimr</v>
      </c>
    </row>
    <row r="2553" spans="1:5" ht="15.75" customHeight="1" x14ac:dyDescent="0.25">
      <c r="A2553" s="1" t="s">
        <v>5105</v>
      </c>
      <c r="B2553" s="1">
        <v>7302</v>
      </c>
      <c r="C2553" s="3">
        <v>44020.899131944447</v>
      </c>
      <c r="D2553" s="1" t="s">
        <v>5106</v>
      </c>
      <c r="E2553" s="4" t="str">
        <f ca="1">IFERROR(__xludf.DUMMYFUNCTION("GOOGLETRANSLATE(A2553 , ""tr"" , ""en"")"),"Our Ministry is against new risks, first Department of Interior; The Ministry of Family, Labor and Social Services, Ministry of National Education, Ministry of National Defense, Ministry of National Defense, Ministry of Youth and Sports, is within coopera"&amp;"tion with our Ministry of Youth. The goal is to ensure compliance with measures. https://t.co/rzfvnp45uf")</f>
        <v>Our Ministry is against new risks, first Department of Interior; The Ministry of Family, Labor and Social Services, Ministry of National Education, Ministry of National Defense, Ministry of National Defense, Ministry of Youth and Sports, is within cooperation with our Ministry of Youth. The goal is to ensure compliance with measures. https://t.co/rzfvnp45uf</v>
      </c>
    </row>
    <row r="2554" spans="1:5" ht="15.75" customHeight="1" x14ac:dyDescent="0.25">
      <c r="A2554" s="1" t="s">
        <v>5107</v>
      </c>
      <c r="B2554" s="1">
        <v>10624</v>
      </c>
      <c r="C2554" s="3">
        <v>44020.878171296295</v>
      </c>
      <c r="D2554" s="1" t="s">
        <v>5108</v>
      </c>
      <c r="E2554" s="4" t="str">
        <f ca="1">IFERROR(__xludf.DUMMYFUNCTION("GOOGLETRANSLATE(A2554 , ""tr"" , ""en"")"),"If the world shows success against the spread of COVID-19, we know that the success of this success, the mask and distance rule. The countries where cases climb and their epidemic are the countries where the measures are abandoned or already inadequate. h"&amp;"ttps://t.co/wr3sm4dv24")</f>
        <v>If the world shows success against the spread of COVID-19, we know that the success of this success, the mask and distance rule. The countries where cases climb and their epidemic are the countries where the measures are abandoned or already inadequate. https://t.co/wr3sm4dv24</v>
      </c>
    </row>
    <row r="2555" spans="1:5" ht="15.75" customHeight="1" x14ac:dyDescent="0.25">
      <c r="A2555" s="1" t="s">
        <v>5109</v>
      </c>
      <c r="B2555" s="1">
        <v>31920</v>
      </c>
      <c r="C2555" s="3">
        <v>44020.706006944441</v>
      </c>
      <c r="D2555" s="1" t="s">
        <v>5110</v>
      </c>
      <c r="E2555" s="4" t="str">
        <f ca="1">IFERROR(__xludf.DUMMYFUNCTION("GOOGLETRANSLATE(A2555 , ""tr"" , ""en"")"),"In some large cities, the highest weekly case numbers were seen in the 5th week of the epidemic. With measures followed that the decreases. 13 The highest number of cases in our province within the last 1 month or is reached in the last 1 month. New cases"&amp;" are concentrated in certain provinces. https://t.co/rvlhe7786o https://t.co/kfxdbmpiqy")</f>
        <v>In some large cities, the highest weekly case numbers were seen in the 5th week of the epidemic. With measures followed that the decreases. 13 The highest number of cases in our province within the last 1 month or is reached in the last 1 month. New cases are concentrated in certain provinces. https://t.co/rvlhe7786o https://t.co/kfxdbmpiqy</v>
      </c>
    </row>
    <row r="2556" spans="1:5" ht="15.75" customHeight="1" x14ac:dyDescent="0.25">
      <c r="A2556" s="1" t="s">
        <v>5111</v>
      </c>
      <c r="B2556" s="1">
        <v>6610</v>
      </c>
      <c r="C2556" s="3">
        <v>44020.699895833335</v>
      </c>
      <c r="D2556" s="1" t="s">
        <v>5112</v>
      </c>
      <c r="E2556" s="4" t="str">
        <f ca="1">IFERROR(__xludf.DUMMYFUNCTION("GOOGLETRANSLATE(A2556 , ""tr"" , ""en"")"),"After our Science Board meeting, the latest developments on the coronavirus and the new measures we receive.
📍Public Ministry Bilkent Campus / Ankara
https://t.co/s7xsqxdtcj")</f>
        <v>After our Science Board meeting, the latest developments on the coronavirus and the new measures we receive.
📍Public Ministry Bilkent Campus / Ankara
https://t.co/s7xsqxdtcj</v>
      </c>
    </row>
    <row r="2557" spans="1:5" ht="15.75" customHeight="1" x14ac:dyDescent="0.2">
      <c r="A2557" s="5" t="s">
        <v>5113</v>
      </c>
      <c r="B2557" s="1">
        <v>17937</v>
      </c>
      <c r="C2557" s="3">
        <v>44020.67769675926</v>
      </c>
      <c r="D2557" s="1" t="s">
        <v>5114</v>
      </c>
      <c r="E2557" s="6" t="str">
        <f ca="1">IFERROR(__xludf.DUMMYFUNCTION("GOOGLETRANSLATE(A2557 , ""tr"" , ""en"")"),"https://t.co/fxbqugicnw")</f>
        <v>https://t.co/fxbqugicnw</v>
      </c>
    </row>
    <row r="2558" spans="1:5" ht="15.75" customHeight="1" x14ac:dyDescent="0.2">
      <c r="A2558" s="5" t="s">
        <v>5115</v>
      </c>
      <c r="B2558" s="1">
        <v>19647</v>
      </c>
      <c r="C2558" s="3">
        <v>44020.676006944443</v>
      </c>
      <c r="D2558" s="1" t="s">
        <v>5116</v>
      </c>
      <c r="E2558" s="6" t="str">
        <f ca="1">IFERROR(__xludf.DUMMYFUNCTION("GOOGLETRANSLATE(A2558 , ""tr"" , ""en"")"),"https://t.co/QS6U7KVIOL")</f>
        <v>https://t.co/QS6U7KVIOL</v>
      </c>
    </row>
    <row r="2559" spans="1:5" ht="15.75" customHeight="1" x14ac:dyDescent="0.25">
      <c r="A2559" s="1" t="s">
        <v>5117</v>
      </c>
      <c r="B2559" s="1">
        <v>28280</v>
      </c>
      <c r="C2559" s="3">
        <v>44019.858055555553</v>
      </c>
      <c r="D2559" s="1" t="s">
        <v>5118</v>
      </c>
      <c r="E2559" s="4" t="str">
        <f ca="1">IFERROR(__xludf.DUMMYFUNCTION("GOOGLETRANSLATE(A2559 , ""tr"" , ""en"")"),"The closed areas where the distance cannot be maintained are the areas where the virus finds the opportunity. Even if you wear muntazizing your mask, you are at risk in public transport. Do not ride; If you have ridden, alert the extra passenger area driv"&amp;"es on the name of our struggle. https://t.co/mwrcfbgr0o")</f>
        <v>The closed areas where the distance cannot be maintained are the areas where the virus finds the opportunity. Even if you wear muntazizing your mask, you are at risk in public transport. Do not ride; If you have ridden, alert the extra passenger area drives on the name of our struggle. https://t.co/mwrcfbgr0o</v>
      </c>
    </row>
    <row r="2560" spans="1:5" ht="15.75" customHeight="1" x14ac:dyDescent="0.25">
      <c r="A2560" s="1" t="s">
        <v>5119</v>
      </c>
      <c r="B2560" s="1">
        <v>18185</v>
      </c>
      <c r="C2560" s="3">
        <v>44019.720405092594</v>
      </c>
      <c r="D2560" s="1" t="s">
        <v>5120</v>
      </c>
      <c r="E2560" s="4" t="str">
        <f ca="1">IFERROR(__xludf.DUMMYFUNCTION("GOOGLETRANSLATE(A2560 , ""tr"" , ""en"")"),"Dear Mustafa Şentop, the President of the Great National Assembly in the vote on the General Assembly of the TBMM. The result of our nation is to be auspicious for all studies to be held on behalf of our National Assembly and National Will on the name of "&amp;"National Will, I celebrate itself.")</f>
        <v>Dear Mustafa Şentop, the President of the Great National Assembly in the vote on the General Assembly of the TBMM. The result of our nation is to be auspicious for all studies to be held on behalf of our National Assembly and National Will on the name of National Will, I celebrate itself.</v>
      </c>
    </row>
    <row r="2561" spans="1:5" ht="15.75" customHeight="1" x14ac:dyDescent="0.25">
      <c r="A2561" s="1" t="s">
        <v>5121</v>
      </c>
      <c r="B2561" s="1">
        <v>54515</v>
      </c>
      <c r="C2561" s="3">
        <v>44019.675879629627</v>
      </c>
      <c r="D2561" s="1" t="s">
        <v>5122</v>
      </c>
      <c r="E2561" s="4" t="str">
        <f ca="1">IFERROR(__xludf.DUMMYFUNCTION("GOOGLETRANSLATE(A2561 , ""tr"" , ""en"")"),"Our intensive care occupancy rates have been between 59% to 61% for 1 month. We are depositing new patients as the patient we are discharged. The situation is similar to intubation. There are average 7% fewer new cases in the 5 provinces, which are fitted"&amp;" with case increases. How many are we in the epidemic? https://t.co/rvlhe7786o https://t.co/cbwd5j7fw0")</f>
        <v>Our intensive care occupancy rates have been between 59% to 61% for 1 month. We are depositing new patients as the patient we are discharged. The situation is similar to intubation. There are average 7% fewer new cases in the 5 provinces, which are fitted with case increases. How many are we in the epidemic? https://t.co/rvlhe7786o https://t.co/cbwd5j7fw0</v>
      </c>
    </row>
    <row r="2562" spans="1:5" ht="15.75" customHeight="1" x14ac:dyDescent="0.25">
      <c r="A2562" s="1" t="s">
        <v>5123</v>
      </c>
      <c r="B2562" s="1">
        <v>77073</v>
      </c>
      <c r="C2562" s="3">
        <v>44019.553668981483</v>
      </c>
      <c r="D2562" s="1" t="s">
        <v>5124</v>
      </c>
      <c r="E2562" s="4" t="str">
        <f ca="1">IFERROR(__xludf.DUMMYFUNCTION("GOOGLETRANSLATE(A2562 , ""tr"" , ""en"")"),"""Istanbul Civil Traffic Teams of Civil Traffic Teams, which are not able to close their door from the excess of passenger surplus, 42 people appeared during the supervision of Istanbul civil traffic teams."" How many are we in the epidemic?")</f>
        <v>"Istanbul Civil Traffic Teams of Civil Traffic Teams, which are not able to close their door from the excess of passenger surplus, 42 people appeared during the supervision of Istanbul civil traffic teams." How many are we in the epidemic?</v>
      </c>
    </row>
    <row r="2563" spans="1:5" ht="15.75" customHeight="1" x14ac:dyDescent="0.25">
      <c r="A2563" s="1" t="s">
        <v>5125</v>
      </c>
      <c r="B2563" s="1">
        <v>42990</v>
      </c>
      <c r="C2563" s="3">
        <v>44019.417719907404</v>
      </c>
      <c r="D2563" s="1" t="s">
        <v>5126</v>
      </c>
      <c r="E2563" s="4" t="str">
        <f ca="1">IFERROR(__xludf.DUMMYFUNCTION("GOOGLETRANSLATE(A2563 , ""tr"" , ""en"")"),"In the fight against the output, we had 1,086 new patients and 16 life loss yesterday. We will learn the number of those who will be caught in the illness in the tests of the average week. How many are we in the epidemic?")</f>
        <v>In the fight against the output, we had 1,086 new patients and 16 life loss yesterday. We will learn the number of those who will be caught in the illness in the tests of the average week. How many are we in the epidemic?</v>
      </c>
    </row>
    <row r="2564" spans="1:5" ht="15.75" customHeight="1" x14ac:dyDescent="0.25">
      <c r="A2564" s="1" t="s">
        <v>5127</v>
      </c>
      <c r="B2564" s="1">
        <v>74913</v>
      </c>
      <c r="C2564" s="3">
        <v>44018.725069444445</v>
      </c>
      <c r="D2564" s="1" t="s">
        <v>5128</v>
      </c>
      <c r="E2564" s="4" t="str">
        <f ca="1">IFERROR(__xludf.DUMMYFUNCTION("GOOGLETRANSLATE(A2564 , ""tr"" , ""en"")"),"The case is reduced in our numbers. We must be careful: the reductions are slow, the increase is rapidly realized. The reason for our daily new cases exceeding 1,000 is that the rules are not observed. Today has led to preventable causes to 16 life loss. "&amp;"How many are we in the epidemic? https://t.co/rvlhe7786o https://t.co/regi7jppvg")</f>
        <v>The case is reduced in our numbers. We must be careful: the reductions are slow, the increase is rapidly realized. The reason for our daily new cases exceeding 1,000 is that the rules are not observed. Today has led to preventable causes to 16 life loss. How many are we in the epidemic? https://t.co/rvlhe7786o https://t.co/regi7jppvg</v>
      </c>
    </row>
    <row r="2565" spans="1:5" ht="15.75" customHeight="1" x14ac:dyDescent="0.25">
      <c r="A2565" s="1" t="s">
        <v>5129</v>
      </c>
      <c r="B2565" s="1">
        <v>137223</v>
      </c>
      <c r="C2565" s="3">
        <v>44018.28162037037</v>
      </c>
      <c r="D2565" s="1" t="s">
        <v>5130</v>
      </c>
      <c r="E2565" s="4" t="str">
        <f ca="1">IFERROR(__xludf.DUMMYFUNCTION("GOOGLETRANSLATE(A2565 , ""tr"" , ""en"")"),"Anyone that our message reaches today is the mask out of today, does it strive to comply with the distance rule? How many are we in the epidemic?")</f>
        <v>Anyone that our message reaches today is the mask out of today, does it strive to comply with the distance rule? How many are we in the epidemic?</v>
      </c>
    </row>
    <row r="2566" spans="1:5" ht="15.75" customHeight="1" x14ac:dyDescent="0.25">
      <c r="A2566" s="1" t="s">
        <v>5131</v>
      </c>
      <c r="B2566" s="1">
        <v>53055</v>
      </c>
      <c r="C2566" s="3">
        <v>44018.18787037037</v>
      </c>
      <c r="D2566" s="1" t="s">
        <v>5132</v>
      </c>
      <c r="E2566" s="4" t="str">
        <f ca="1">IFERROR(__xludf.DUMMYFUNCTION("GOOGLETRANSLATE(A2566 , ""tr"" , ""en"")"),"If we live the present as if there is no lack of epidemic, tomorrow, in spite of preventable causes; We accept one of our good days, even nineteen life loss, thousand hundred and twenty seven intensive care patients. Outbreaks are immeasurable. Wishing yo"&amp;"u a cautious day.")</f>
        <v>If we live the present as if there is no lack of epidemic, tomorrow, in spite of preventable causes; We accept one of our good days, even nineteen life loss, thousand hundred and twenty seven intensive care patients. Outbreaks are immeasurable. Wishing you a cautious day.</v>
      </c>
    </row>
    <row r="2567" spans="1:5" ht="15.75" customHeight="1" x14ac:dyDescent="0.25">
      <c r="A2567" s="1" t="s">
        <v>5133</v>
      </c>
      <c r="B2567" s="1">
        <v>15860</v>
      </c>
      <c r="C2567" s="3">
        <v>44017.778356481482</v>
      </c>
      <c r="D2567" s="1" t="s">
        <v>5134</v>
      </c>
      <c r="E2567" s="4" t="str">
        <f ca="1">IFERROR(__xludf.DUMMYFUNCTION("GOOGLETRANSLATE(A2567 , ""tr"" , ""en"")"),"Erdem Bayazıt had included the following touching sentence at the entrance of the book he collects all their poems: ""It is read in two hours that I wrote by consuming a life."" He was always ""to you, me, homeland, my country,"" he said. In the year of t"&amp;"he Vefat, we remember our master poet. https://t.co/6eqomgog8i")</f>
        <v>Erdem Bayazıt had included the following touching sentence at the entrance of the book he collects all their poems: "It is read in two hours that I wrote by consuming a life." He was always "to you, me, homeland, my country," he said. In the year of the Vefat, we remember our master poet. https://t.co/6eqomgog8i</v>
      </c>
    </row>
    <row r="2568" spans="1:5" ht="15.75" customHeight="1" x14ac:dyDescent="0.25">
      <c r="A2568" s="1" t="s">
        <v>5135</v>
      </c>
      <c r="B2568" s="1">
        <v>30881</v>
      </c>
      <c r="C2568" s="3">
        <v>44017.758877314816</v>
      </c>
      <c r="D2568" s="1" t="s">
        <v>5136</v>
      </c>
      <c r="E2568" s="4" t="str">
        <f ca="1">IFERROR(__xludf.DUMMYFUNCTION("GOOGLETRANSLATE(A2568 , ""tr"" , ""en"")"),"The example arrived from the Çankırı. ""We also take halay, both mask and distance with halay bars. Thanks for the tenderness of Çankırı Ilgaz Kuyupınar village and residents, you were at you. New normally everything is our hand. "" Hakan Erdogan https://"&amp;"t.co/r4skv3lrea")</f>
        <v>The example arrived from the Çankırı. "We also take halay, both mask and distance with halay bars. Thanks for the tenderness of Çankırı Ilgaz Kuyupınar village and residents, you were at you. New normally everything is our hand. " Hakan Erdogan https://t.co/r4skv3lrea</v>
      </c>
    </row>
    <row r="2569" spans="1:5" ht="15.75" customHeight="1" x14ac:dyDescent="0.25">
      <c r="A2569" s="1" t="s">
        <v>5137</v>
      </c>
      <c r="B2569" s="1">
        <v>66610</v>
      </c>
      <c r="C2569" s="3">
        <v>44017.694641203707</v>
      </c>
      <c r="D2569" s="1" t="s">
        <v>5138</v>
      </c>
      <c r="E2569" s="4" t="str">
        <f ca="1">IFERROR(__xludf.DUMMYFUNCTION("GOOGLETRANSLATE(A2569 , ""tr"" , ""en"")"),"If you apply the social distance rule to the floor more than the floor, you will rest on the floor on the floor.")</f>
        <v>If you apply the social distance rule to the floor more than the floor, you will rest on the floor on the floor.</v>
      </c>
    </row>
    <row r="2570" spans="1:5" ht="15.75" customHeight="1" x14ac:dyDescent="0.25">
      <c r="A2570" s="1" t="s">
        <v>5139</v>
      </c>
      <c r="B2570" s="1">
        <v>35121</v>
      </c>
      <c r="C2570" s="3">
        <v>44017.684861111113</v>
      </c>
      <c r="D2570" s="1" t="s">
        <v>5140</v>
      </c>
      <c r="E2570" s="4" t="str">
        <f ca="1">IFERROR(__xludf.DUMMYFUNCTION("GOOGLETRANSLATE(A2570 , ""tr"" , ""en"")"),"In the last 3 days, the average number of cases increases the most, İstanbul, Ankara, Gaziantep, Mardin, Konya, Bursa, Diyarbakır. Intensive care patient count, following new cases, tend to increase. While there is a measure, it is not the table to say """&amp;"the number of passes today"". https://t.co/rvlhe7786o https://t.co/ur9tokrl3q")</f>
        <v>In the last 3 days, the average number of cases increases the most, İstanbul, Ankara, Gaziantep, Mardin, Konya, Bursa, Diyarbakır. Intensive care patient count, following new cases, tend to increase. While there is a measure, it is not the table to say "the number of passes today". https://t.co/rvlhe7786o https://t.co/ur9tokrl3q</v>
      </c>
    </row>
    <row r="2571" spans="1:5" ht="15.75" customHeight="1" x14ac:dyDescent="0.25">
      <c r="A2571" s="1" t="s">
        <v>5141</v>
      </c>
      <c r="B2571" s="1">
        <v>16263</v>
      </c>
      <c r="C2571" s="3">
        <v>44017.623437499999</v>
      </c>
      <c r="D2571" s="1" t="s">
        <v>5142</v>
      </c>
      <c r="E2571" s="4" t="str">
        <f ca="1">IFERROR(__xludf.DUMMYFUNCTION("GOOGLETRANSLATE(A2571 , ""tr"" , ""en"")"),"The identities of 6 people who lost their life in the explosion in the ditch were determined. Lost 1 person could not be reached yet. 121 in the injured 126 were discharged. The treatment of 5 people continues to be 1 in Intensive care in Sakarya and the "&amp;"other in Istanbul Kartal City Hospital Burn Center.")</f>
        <v>The identities of 6 people who lost their life in the explosion in the ditch were determined. Lost 1 person could not be reached yet. 121 in the injured 126 were discharged. The treatment of 5 people continues to be 1 in Intensive care in Sakarya and the other in Istanbul Kartal City Hospital Burn Center.</v>
      </c>
    </row>
    <row r="2572" spans="1:5" ht="15.75" customHeight="1" x14ac:dyDescent="0.25">
      <c r="A2572" s="1" t="s">
        <v>5143</v>
      </c>
      <c r="B2572" s="1">
        <v>8953</v>
      </c>
      <c r="C2572" s="3">
        <v>44017.502534722225</v>
      </c>
      <c r="D2572" s="1" t="s">
        <v>5144</v>
      </c>
      <c r="E2572" s="4" t="str">
        <f ca="1">IFERROR(__xludf.DUMMYFUNCTION("GOOGLETRANSLATE(A2572 , ""tr"" , ""en"")"),"I would like to thank our hosts to all our guests to our Mayors, Party Provincial Presidents, Bureaucrats and Advocations on Party, Pandemia. https://t.co/skde2lxyki")</f>
        <v>I would like to thank our hosts to all our guests to our Mayors, Party Provincial Presidents, Bureaucrats and Advocations on Party, Pandemia. https://t.co/skde2lxyki</v>
      </c>
    </row>
    <row r="2573" spans="1:5" ht="15.75" customHeight="1" x14ac:dyDescent="0.25">
      <c r="A2573" s="1" t="s">
        <v>5145</v>
      </c>
      <c r="B2573" s="1">
        <v>45034</v>
      </c>
      <c r="C2573" s="3">
        <v>44016.76902777778</v>
      </c>
      <c r="D2573" s="1" t="s">
        <v>5146</v>
      </c>
      <c r="E2573" s="4" t="str">
        <f ca="1">IFERROR(__xludf.DUMMYFUNCTION("GOOGLETRANSLATE(A2573 , ""tr"" , ""en"")"),"""In Bursa in Bursa in Bursa, which explained that the Ministry of Koronavirus cases increased by coronavirus cases, did not follow the social distance rule. The majority of the participants are not masked. "" NEWSPAPERS")</f>
        <v>"In Bursa in Bursa in Bursa, which explained that the Ministry of Koronavirus cases increased by coronavirus cases, did not follow the social distance rule. The majority of the participants are not masked. " NEWSPAPERS</v>
      </c>
    </row>
    <row r="2574" spans="1:5" ht="15.75" customHeight="1" x14ac:dyDescent="0.25">
      <c r="A2574" s="1" t="s">
        <v>5147</v>
      </c>
      <c r="B2574" s="1">
        <v>34416</v>
      </c>
      <c r="C2574" s="3">
        <v>44016.764652777776</v>
      </c>
      <c r="D2574" s="1" t="s">
        <v>5148</v>
      </c>
      <c r="E2574" s="4" t="str">
        <f ca="1">IFERROR(__xludf.DUMMYFUNCTION("GOOGLETRANSLATE(A2574 , ""tr"" , ""en"")"),"From the weddings, the social distance rule is not complied with, the mask is not used, the news that the fun takes place in anxiety proximity. Leave the square with the bride. They have fun without having to wear a mask. If you break the rules, they are "&amp;"sorry in our wedding. https://t.co/Iiga68rsyx")</f>
        <v>From the weddings, the social distance rule is not complied with, the mask is not used, the news that the fun takes place in anxiety proximity. Leave the square with the bride. They have fun without having to wear a mask. If you break the rules, they are sorry in our wedding. https://t.co/Iiga68rsyx</v>
      </c>
    </row>
    <row r="2575" spans="1:5" ht="15.75" customHeight="1" x14ac:dyDescent="0.25">
      <c r="A2575" s="1" t="s">
        <v>5149</v>
      </c>
      <c r="B2575" s="1">
        <v>30222</v>
      </c>
      <c r="C2575" s="3">
        <v>44016.745000000003</v>
      </c>
      <c r="D2575" s="1" t="s">
        <v>5150</v>
      </c>
      <c r="E2575" s="4" t="str">
        <f ca="1">IFERROR(__xludf.DUMMYFUNCTION("GOOGLETRANSLATE(A2575 , ""tr"" , ""en"")"),"Our total number of patients recovering approached 180 thousand. The patients in the healing process is about 20 thousand. Intensive care is an increase in the previous days of the patients. The course of the decrease of cases is slow. The number of recov"&amp;"ery today is 60 more than new cases. https://t.co/rvlhe7786o https://t.co/vzrdkuokmo")</f>
        <v>Our total number of patients recovering approached 180 thousand. The patients in the healing process is about 20 thousand. Intensive care is an increase in the previous days of the patients. The course of the decrease of cases is slow. The number of recovery today is 60 more than new cases. https://t.co/rvlhe7786o https://t.co/vzrdkuokmo</v>
      </c>
    </row>
    <row r="2576" spans="1:5" ht="15.75" customHeight="1" x14ac:dyDescent="0.25">
      <c r="A2576" s="1" t="s">
        <v>5151</v>
      </c>
      <c r="B2576" s="1">
        <v>12340</v>
      </c>
      <c r="C2576" s="3">
        <v>44016.586215277777</v>
      </c>
      <c r="D2576" s="1" t="s">
        <v>5152</v>
      </c>
      <c r="E2576" s="4" t="str">
        <f ca="1">IFERROR(__xludf.DUMMYFUNCTION("GOOGLETRANSLATE(A2576 , ""tr"" , ""en"")"),"Kartal Dr. After the opening ceremony of the Lütfi Kırdar City Hospital, we visited our patients treated here. We have received information about the situation of our patient brought to the 4-year-old abdulkadir and yesterday's explosion, we have received"&amp;" information about our patient with the helicopter ambulance. https://t.co/m69rkmu4at")</f>
        <v>Kartal Dr. After the opening ceremony of the Lütfi Kırdar City Hospital, we visited our patients treated here. We have received information about the situation of our patient brought to the 4-year-old abdulkadir and yesterday's explosion, we have received information about our patient with the helicopter ambulance. https://t.co/m69rkmu4at</v>
      </c>
    </row>
    <row r="2577" spans="1:5" ht="15.75" customHeight="1" x14ac:dyDescent="0.25">
      <c r="A2577" s="1" t="s">
        <v>5153</v>
      </c>
      <c r="B2577" s="1">
        <v>7659</v>
      </c>
      <c r="C2577" s="3">
        <v>44016.578368055554</v>
      </c>
      <c r="D2577" s="1" t="s">
        <v>5154</v>
      </c>
      <c r="E2577" s="4" t="str">
        <f ca="1">IFERROR(__xludf.DUMMYFUNCTION("GOOGLETRANSLATE(A2577 , ""tr"" , ""en"")"),"We have been serving the new building of Dr. Lütfi Kırdar City Hospital also reminds us of our history with his name. Dr. Kırdar's life from Kirkuk to Istanbul Medical Faculty, the Balkan battle, followed by the study, followed by the first world war and "&amp;"after the first world war. https://t.co/vqejblkd3p")</f>
        <v>We have been serving the new building of Dr. Lütfi Kırdar City Hospital also reminds us of our history with his name. Dr. Kırdar's life from Kirkuk to Istanbul Medical Faculty, the Balkan battle, followed by the study, followed by the first world war and after the first world war. https://t.co/vqejblkd3p</v>
      </c>
    </row>
    <row r="2578" spans="1:5" ht="15.75" customHeight="1" x14ac:dyDescent="0.25">
      <c r="A2578" s="1" t="s">
        <v>5155</v>
      </c>
      <c r="B2578" s="1">
        <v>8996</v>
      </c>
      <c r="C2578" s="3">
        <v>44016.568923611114</v>
      </c>
      <c r="D2578" s="1" t="s">
        <v>5156</v>
      </c>
      <c r="E2578" s="4" t="str">
        <f ca="1">IFERROR(__xludf.DUMMYFUNCTION("GOOGLETRANSLATE(A2578 , ""tr"" , ""en"")"),"Today, we were in the official opening ceremony and we have served our city Hospital ID winning hospital as urgently pandemia hospital in the process. 166 of our health personnel here are caught in COVID-19 when serving patients. Our tesell is that there "&amp;"is no loss of life in this institution. https://t.co/rn2bofcwuo")</f>
        <v>Today, we were in the official opening ceremony and we have served our city Hospital ID winning hospital as urgently pandemia hospital in the process. 166 of our health personnel here are caught in COVID-19 when serving patients. Our tesell is that there is no loss of life in this institution. https://t.co/rn2bofcwuo</v>
      </c>
    </row>
    <row r="2579" spans="1:5" ht="15.75" customHeight="1" x14ac:dyDescent="0.25">
      <c r="A2579" s="1" t="s">
        <v>5157</v>
      </c>
      <c r="B2579" s="1">
        <v>0</v>
      </c>
      <c r="C2579" s="3">
        <v>44016.524131944447</v>
      </c>
      <c r="D2579" s="1" t="s">
        <v>5158</v>
      </c>
      <c r="E2579" s="4" t="str">
        <f ca="1">IFERROR(__xludf.DUMMYFUNCTION("GOOGLETRANSLATE(A2579 , ""tr"" , ""en"")"),"RT @rterdogan: Eagle Dr. Lütfi Kırdar City Hospital Opening Ceremony https://t.co/o8bzs5gxs0")</f>
        <v>RT @rterdogan: Eagle Dr. Lütfi Kırdar City Hospital Opening Ceremony https://t.co/o8bzs5gxs0</v>
      </c>
    </row>
    <row r="2580" spans="1:5" ht="15.75" customHeight="1" x14ac:dyDescent="0.25">
      <c r="A2580" s="1" t="s">
        <v>5159</v>
      </c>
      <c r="B2580" s="1">
        <v>7091</v>
      </c>
      <c r="C2580" s="3">
        <v>44016.504861111112</v>
      </c>
      <c r="D2580" s="1" t="s">
        <v>5160</v>
      </c>
      <c r="E2580" s="4" t="str">
        <f ca="1">IFERROR(__xludf.DUMMYFUNCTION("GOOGLETRANSLATE(A2580 , ""tr"" , ""en"")"),"Kartal Dr. Lütfi Kırdar City Hospital We open our nation's service. https://t.co/09pvlwgbm8")</f>
        <v>Kartal Dr. Lütfi Kırdar City Hospital We open our nation's service. https://t.co/09pvlwgbm8</v>
      </c>
    </row>
    <row r="2581" spans="1:5" ht="15.75" customHeight="1" x14ac:dyDescent="0.25">
      <c r="A2581" s="1" t="s">
        <v>5161</v>
      </c>
      <c r="B2581" s="1">
        <v>19534</v>
      </c>
      <c r="C2581" s="3">
        <v>44016.477696759262</v>
      </c>
      <c r="D2581" s="1" t="s">
        <v>5162</v>
      </c>
      <c r="E2581" s="4" t="str">
        <f ca="1">IFERROR(__xludf.DUMMYFUNCTION("GOOGLETRANSLATE(A2581 , ""tr"" , ""en"")"),"Istanbul Eagle completed preparations. The official opening of the Lutfi Kyrar City Hospital was deferred by COVID-19. Total bed capacity is 1.105. Standing patient polyclinic treatment capacity 3.5 million. Dr. May the Lütfi Kırdar Hospital be aware of t"&amp;"heir new possibilities. https://t.co/tfqmcox7tu")</f>
        <v>Istanbul Eagle completed preparations. The official opening of the Lutfi Kyrar City Hospital was deferred by COVID-19. Total bed capacity is 1.105. Standing patient polyclinic treatment capacity 3.5 million. Dr. May the Lütfi Kırdar Hospital be aware of their new possibilities. https://t.co/tfqmcox7tu</v>
      </c>
    </row>
    <row r="2582" spans="1:5" ht="15.75" customHeight="1" x14ac:dyDescent="0.25">
      <c r="A2582" s="1" t="s">
        <v>5163</v>
      </c>
      <c r="B2582" s="1">
        <v>22282</v>
      </c>
      <c r="C2582" s="3">
        <v>44015.821458333332</v>
      </c>
      <c r="D2582" s="1" t="s">
        <v>5164</v>
      </c>
      <c r="E2582" s="4" t="str">
        <f ca="1">IFERROR(__xludf.DUMMYFUNCTION("GOOGLETRANSLATE(A2582 , ""tr"" , ""en"")"),"We have visited our patients who are injured in the explosion in the blast in the Sakarya ditch and on our patients in the ditch in our hospital. 92 of 114 people removed from the hospital was discharged, the treatment of 22 is driving. I wish our lives 4"&amp;" citizenship to all of Allah, I wish our injured. https://t.co/gqbewa299s")</f>
        <v>We have visited our patients who are injured in the explosion in the blast in the Sakarya ditch and on our patients in the ditch in our hospital. 92 of 114 people removed from the hospital was discharged, the treatment of 22 is driving. I wish our lives 4 citizenship to all of Allah, I wish our injured. https://t.co/gqbewa299s</v>
      </c>
    </row>
    <row r="2583" spans="1:5" ht="15.75" customHeight="1" x14ac:dyDescent="0.25">
      <c r="A2583" s="1" t="s">
        <v>5165</v>
      </c>
      <c r="B2583" s="1">
        <v>36994</v>
      </c>
      <c r="C2583" s="3">
        <v>44015.704293981478</v>
      </c>
      <c r="D2583" s="1" t="s">
        <v>5166</v>
      </c>
      <c r="E2583" s="4" t="str">
        <f ca="1">IFERROR(__xludf.DUMMYFUNCTION("GOOGLETRANSLATE(A2583 , ""tr"" , ""en"")"),"The number of new cases with 1.492 on June 24, landed 1.172. Spread of the virus is fast; It takes time to decrease cases. The mean age of the people who are treated in the hospital in the last 1 week 46.7. 11.13% of the diagnosed in the last 1 week over "&amp;"65 years old. More than 70% of the passers from this age group. https://t.co/0wogpjzywz")</f>
        <v>The number of new cases with 1.492 on June 24, landed 1.172. Spread of the virus is fast; It takes time to decrease cases. The mean age of the people who are treated in the hospital in the last 1 week 46.7. 11.13% of the diagnosed in the last 1 week over 65 years old. More than 70% of the passers from this age group. https://t.co/0wogpjzywz</v>
      </c>
    </row>
    <row r="2584" spans="1:5" ht="15.75" customHeight="1" x14ac:dyDescent="0.25">
      <c r="A2584" s="1" t="s">
        <v>5167</v>
      </c>
      <c r="B2584" s="1">
        <v>12774</v>
      </c>
      <c r="C2584" s="3">
        <v>44015.665451388886</v>
      </c>
      <c r="D2584" s="1" t="s">
        <v>5168</v>
      </c>
      <c r="E2584" s="4" t="str">
        <f ca="1">IFERROR(__xludf.DUMMYFUNCTION("GOOGLETRANSLATE(A2584 , ""tr"" , ""en"")"),"In the emergency center, with my friends who have been served together, we were investigated around the firework factory where the burst is experienced. The fire is under controlled. The explosion led to a damage that affects the environment. https://t.co"&amp;"/ieeIkjvzee")</f>
        <v>In the emergency center, with my friends who have been served together, we were investigated around the firework factory where the burst is experienced. The fire is under controlled. The explosion led to a damage that affects the environment. https://t.co/ieeIkjvzee</v>
      </c>
    </row>
    <row r="2585" spans="1:5" ht="15.75" customHeight="1" x14ac:dyDescent="0.25">
      <c r="A2585" s="1" t="s">
        <v>5169</v>
      </c>
      <c r="B2585" s="1">
        <v>27374</v>
      </c>
      <c r="C2585" s="3">
        <v>44015.624756944446</v>
      </c>
      <c r="D2585" s="1" t="s">
        <v>5170</v>
      </c>
      <c r="E2585" s="4" t="str">
        <f ca="1">IFERROR(__xludf.DUMMYFUNCTION("GOOGLETRANSLATE(A2585 , ""tr"" , ""en"")"),"In the Sakarya Hitdek, we should be cautious against the venomous gases in the airborne areas in the aircraft factory. We recommend that they do not export, doors and windows closed until at least 12 hours are full.")</f>
        <v>In the Sakarya Hitdek, we should be cautious against the venomous gases in the airborne areas in the aircraft factory. We recommend that they do not export, doors and windows closed until at least 12 hours are full.</v>
      </c>
    </row>
    <row r="2586" spans="1:5" ht="15.75" customHeight="1" x14ac:dyDescent="0.25">
      <c r="A2586" s="1" t="s">
        <v>5171</v>
      </c>
      <c r="B2586" s="1">
        <v>21139</v>
      </c>
      <c r="C2586" s="3">
        <v>44015.59171296296</v>
      </c>
      <c r="D2586" s="1" t="s">
        <v>5172</v>
      </c>
      <c r="E2586" s="4" t="str">
        <f ca="1">IFERROR(__xludf.DUMMYFUNCTION("GOOGLETRANSLATE(A2586 , ""tr"" , ""en"")"),"We have shipped one of our patients injured in the fireworks factory, for burn treatment, Helicopter Ambulance, Sakarya Education and Research Hospital to Istanbul Eagle Education and Research Hospital. We will follow the treatment closely.")</f>
        <v>We have shipped one of our patients injured in the fireworks factory, for burn treatment, Helicopter Ambulance, Sakarya Education and Research Hospital to Istanbul Eagle Education and Research Hospital. We will follow the treatment closely.</v>
      </c>
    </row>
    <row r="2587" spans="1:5" ht="15.75" customHeight="1" x14ac:dyDescent="0.25">
      <c r="A2587" s="1" t="s">
        <v>5173</v>
      </c>
      <c r="B2587" s="1">
        <v>11552</v>
      </c>
      <c r="C2587" s="3">
        <v>44015.585902777777</v>
      </c>
      <c r="D2587" s="1" t="s">
        <v>5174</v>
      </c>
      <c r="E2587" s="4" t="str">
        <f ca="1">IFERROR(__xludf.DUMMYFUNCTION("GOOGLETRANSLATE(A2587 , ""tr"" , ""en"")"),"In the ditch, after the explosion in the fireworks factory, we established an emergency center to manage the process with the Minister of Interior Süleyman Süleyman Noble and Family, Work and Social Services. Under the explosion control. Our loss is unfor"&amp;"tunately to 4. https://t.co/ae3cuttkxt")</f>
        <v>In the ditch, after the explosion in the fireworks factory, we established an emergency center to manage the process with the Minister of Interior Süleyman Süleyman Noble and Family, Work and Social Services. Under the explosion control. Our loss is unfortunately to 4. https://t.co/ae3cuttkxt</v>
      </c>
    </row>
    <row r="2588" spans="1:5" ht="15.75" customHeight="1" x14ac:dyDescent="0.25">
      <c r="A2588" s="1" t="s">
        <v>5175</v>
      </c>
      <c r="B2588" s="1">
        <v>8504</v>
      </c>
      <c r="C2588" s="3">
        <v>44015.529675925929</v>
      </c>
      <c r="D2588" s="1" t="s">
        <v>5176</v>
      </c>
      <c r="E2588" s="4" t="str">
        <f ca="1">IFERROR(__xludf.DUMMYFUNCTION("GOOGLETRANSLATE(A2588 , ""tr"" , ""en"")"),"In the Fireworks factory in the Sakarya ditch, we are examined in the region where the burst is experienced.
https://t.co/3fireqbuwu")</f>
        <v>In the Fireworks factory in the Sakarya ditch, we are examined in the region where the burst is experienced.
https://t.co/3fireqbuwu</v>
      </c>
    </row>
    <row r="2589" spans="1:5" ht="15.75" customHeight="1" x14ac:dyDescent="0.25">
      <c r="A2589" s="1" t="s">
        <v>5177</v>
      </c>
      <c r="B2589" s="1">
        <v>61258</v>
      </c>
      <c r="C2589" s="3">
        <v>44015.460335648146</v>
      </c>
      <c r="D2589" s="1" t="s">
        <v>5178</v>
      </c>
      <c r="E2589" s="4" t="str">
        <f ca="1">IFERROR(__xludf.DUMMYFUNCTION("GOOGLETRANSLATE(A2589 , ""tr"" , ""en"")"),"The Sakarya Hitdek was a burst at the fireworks factory far away from the city. SN. We will be at the scene at a bit to follow the process closely with our President instructions. 85 Ambulance, 2 Helicopter Ambulance, 11 Umke team on the scene. We have 2 "&amp;"loss, we have 73 injuries.")</f>
        <v>The Sakarya Hitdek was a burst at the fireworks factory far away from the city. SN. We will be at the scene at a bit to follow the process closely with our President instructions. 85 Ambulance, 2 Helicopter Ambulance, 11 Umke team on the scene. We have 2 loss, we have 73 injuries.</v>
      </c>
    </row>
    <row r="2590" spans="1:5" ht="15.75" customHeight="1" x14ac:dyDescent="0.25">
      <c r="A2590" s="1" t="s">
        <v>5179</v>
      </c>
      <c r="B2590" s="1">
        <v>21641</v>
      </c>
      <c r="C2590" s="3">
        <v>44014.896145833336</v>
      </c>
      <c r="D2590" s="1" t="s">
        <v>5180</v>
      </c>
      <c r="E2590" s="4" t="str">
        <f ca="1">IFERROR(__xludf.DUMMYFUNCTION("GOOGLETRANSLATE(A2590 , ""tr"" , ""en"")"),"Cleanliness is one of the three measures to get against COVID-19. On the surfaces we touch, let's wash our hands than the soap and ordinarily because the viruses can be found to be infected ability. Soap disables coronaviruses. https://t.co/m8kle1hk6z")</f>
        <v>Cleanliness is one of the three measures to get against COVID-19. On the surfaces we touch, let's wash our hands than the soap and ordinarily because the viruses can be found to be infected ability. Soap disables coronaviruses. https://t.co/m8kle1hk6z</v>
      </c>
    </row>
    <row r="2591" spans="1:5" ht="15.75" customHeight="1" x14ac:dyDescent="0.25">
      <c r="A2591" s="1" t="s">
        <v>5181</v>
      </c>
      <c r="B2591" s="1">
        <v>38371</v>
      </c>
      <c r="C2591" s="3">
        <v>44014.750625000001</v>
      </c>
      <c r="D2591" s="1" t="s">
        <v>5182</v>
      </c>
      <c r="E2591" s="4" t="str">
        <f ca="1">IFERROR(__xludf.DUMMYFUNCTION("GOOGLETRANSLATE(A2591 , ""tr"" , ""en"")"),"Dilek Akçabelen: Dilek nurse. 1990, Istanbul born. Health services were myo graduated. M. Akif Ersoy worked at Hospital Hospital and Vascular Diseases Hospital. COVID-19 remained in intense care for a long time. He didn't have a chance to take your newbor"&amp;"n baby on his lap. Https://t.co/c2eh6Ijgbh for the challenge")</f>
        <v>Dilek Akçabelen: Dilek nurse. 1990, Istanbul born. Health services were myo graduated. M. Akif Ersoy worked at Hospital Hospital and Vascular Diseases Hospital. COVID-19 remained in intense care for a long time. He didn't have a chance to take your newborn baby on his lap. Https://t.co/c2eh6Ijgbh for the challenge</v>
      </c>
    </row>
    <row r="2592" spans="1:5" ht="15.75" customHeight="1" x14ac:dyDescent="0.25">
      <c r="A2592" s="1" t="s">
        <v>5183</v>
      </c>
      <c r="B2592" s="1">
        <v>59052</v>
      </c>
      <c r="C2592" s="3">
        <v>44014.693356481483</v>
      </c>
      <c r="D2592" s="1" t="s">
        <v>5184</v>
      </c>
      <c r="E2592" s="4" t="str">
        <f ca="1">IFERROR(__xludf.DUMMYFUNCTION("GOOGLETRANSLATE(A2592 , ""tr"" , ""en"")"),"There are no new cases in Burdur and Gumushane for 2 days. Most cases, 5 il: Istanbul, Ankara, Gaziantep, Konya, Bursa. Images reflecting risk for community health are increasing: today, media, passengers have included vehicles where social distance is re"&amp;"set. https://t.co/rvlhe7786o https://t.co/I3vrzudmtv")</f>
        <v>There are no new cases in Burdur and Gumushane for 2 days. Most cases, 5 il: Istanbul, Ankara, Gaziantep, Konya, Bursa. Images reflecting risk for community health are increasing: today, media, passengers have included vehicles where social distance is reset. https://t.co/rvlhe7786o https://t.co/I3vrzudmtv</v>
      </c>
    </row>
    <row r="2593" spans="1:5" ht="15.75" customHeight="1" x14ac:dyDescent="0.25">
      <c r="A2593" s="1" t="s">
        <v>5185</v>
      </c>
      <c r="B2593" s="1">
        <v>16726</v>
      </c>
      <c r="C2593" s="3">
        <v>44014.325115740743</v>
      </c>
      <c r="D2593" s="1" t="s">
        <v>5186</v>
      </c>
      <c r="E2593" s="4" t="str">
        <f ca="1">IFERROR(__xludf.DUMMYFUNCTION("GOOGLETRANSLATE(A2593 , ""tr"" , ""en"")"),"In the carriage rate research, 132,000 people have resulted in the test of 132,000 people. Carrier rate with existing data is 0.24%; In parallel with this test, protection was 0.81% in antibody scanning with ELISA method. Are not common immunity. The stud"&amp;"y will be completed next week. https://t.co/oj7nqgh3md")</f>
        <v>In the carriage rate research, 132,000 people have resulted in the test of 132,000 people. Carrier rate with existing data is 0.24%; In parallel with this test, protection was 0.81% in antibody scanning with ELISA method. Are not common immunity. The study will be completed next week. https://t.co/oj7nqgh3md</v>
      </c>
    </row>
    <row r="2594" spans="1:5" ht="15.75" customHeight="1" x14ac:dyDescent="0.25">
      <c r="A2594" s="1" t="s">
        <v>5187</v>
      </c>
      <c r="B2594" s="1">
        <v>15511</v>
      </c>
      <c r="C2594" s="3">
        <v>44013.877337962964</v>
      </c>
      <c r="D2594" s="1" t="s">
        <v>5188</v>
      </c>
      <c r="E2594" s="4" t="str">
        <f ca="1">IFERROR(__xludf.DUMMYFUNCTION("GOOGLETRANSLATE(A2594 , ""tr"" , ""en"")"),"The idea that the spread of the virus is reduced is misleading. The thought that the virus is weakening the power of the patient is also lacking scientific basis. The fact that many of them are caught in the disease and cause the disease to infect the dis"&amp;"ease. https://t.co/s0zmlcuwbs")</f>
        <v>The idea that the spread of the virus is reduced is misleading. The thought that the virus is weakening the power of the patient is also lacking scientific basis. The fact that many of them are caught in the disease and cause the disease to infect the disease. https://t.co/s0zmlcuwbs</v>
      </c>
    </row>
    <row r="2595" spans="1:5" ht="15.75" customHeight="1" x14ac:dyDescent="0.25">
      <c r="A2595" s="1" t="s">
        <v>5189</v>
      </c>
      <c r="B2595" s="1">
        <v>12924</v>
      </c>
      <c r="C2595" s="3">
        <v>44013.867442129631</v>
      </c>
      <c r="D2595" s="1" t="s">
        <v>5190</v>
      </c>
      <c r="E2595" s="4" t="str">
        <f ca="1">IFERROR(__xludf.DUMMYFUNCTION("GOOGLETRANSLATE(A2595 , ""tr"" , ""en"")"),"We managed to protect our huge in the house. However they are at risk today. During the epidemic, the rate of 60 years of age and at least one inferiority was 72%. Now this rate and intensive care age are rising. We should be protected by following the me"&amp;"asures. https://t.co/dhxsxxydg3")</f>
        <v>We managed to protect our huge in the house. However they are at risk today. During the epidemic, the rate of 60 years of age and at least one inferiority was 72%. Now this rate and intensive care age are rising. We should be protected by following the measures. https://t.co/dhxsxxydg3</v>
      </c>
    </row>
    <row r="2596" spans="1:5" ht="15.75" customHeight="1" x14ac:dyDescent="0.25">
      <c r="A2596" s="1" t="s">
        <v>5191</v>
      </c>
      <c r="B2596" s="1">
        <v>12523</v>
      </c>
      <c r="C2596" s="3">
        <v>44013.855520833335</v>
      </c>
      <c r="D2596" s="1" t="s">
        <v>5192</v>
      </c>
      <c r="E2596" s="4" t="str">
        <f ca="1">IFERROR(__xludf.DUMMYFUNCTION("GOOGLETRANSLATE(A2596 , ""tr"" , ""en"")"),"Success in treatment is the death rate that falls up to 2.57%; Our huge protection of our biggests are chronic diseases and the ability to compliance with the measures is some of the reasons of appreciation of the world in the fight against COVID-19. We m"&amp;"ust continue this success that is exemplary to the world. https://t.co/qlmwb5bl9s")</f>
        <v>Success in treatment is the death rate that falls up to 2.57%; Our huge protection of our biggests are chronic diseases and the ability to compliance with the measures is some of the reasons of appreciation of the world in the fight against COVID-19. We must continue this success that is exemplary to the world. https://t.co/qlmwb5bl9s</v>
      </c>
    </row>
    <row r="2597" spans="1:5" ht="15.75" customHeight="1" x14ac:dyDescent="0.25">
      <c r="A2597" s="1" t="s">
        <v>5193</v>
      </c>
      <c r="B2597" s="1">
        <v>59299</v>
      </c>
      <c r="C2597" s="3">
        <v>44013.815983796296</v>
      </c>
      <c r="D2597" s="1" t="s">
        <v>5194</v>
      </c>
      <c r="E2597" s="4" t="str">
        <f ca="1">IFERROR(__xludf.DUMMYFUNCTION("GOOGLETRANSLATE(A2597 , ""tr"" , ""en"")"),"In Giresun's Bulkarak district, the seven-year-old ikra nur was given to the land in a creek yesterday. He shares the pain of his family, we wish patience. Each child is the same in proximity to all of us in death.")</f>
        <v>In Giresun's Bulkarak district, the seven-year-old ikra nur was given to the land in a creek yesterday. He shares the pain of his family, we wish patience. Each child is the same in proximity to all of us in death.</v>
      </c>
    </row>
    <row r="2598" spans="1:5" ht="15.75" customHeight="1" x14ac:dyDescent="0.25">
      <c r="A2598" s="1" t="s">
        <v>5195</v>
      </c>
      <c r="B2598" s="1">
        <v>0</v>
      </c>
      <c r="C2598" s="3">
        <v>44013.807210648149</v>
      </c>
      <c r="D2598" s="1" t="s">
        <v>5196</v>
      </c>
      <c r="E2598" s="4" t="str">
        <f ca="1">IFERROR(__xludf.DUMMYFUNCTION("GOOGLETRANSLATE(A2598 , ""tr"" , ""en"")"),"RT @rterdogan: They watch the series and translate the film, we will serve and continue to write history.
Rte")</f>
        <v>RT @rterdogan: They watch the series and translate the film, we will serve and continue to write history.
Rte</v>
      </c>
    </row>
    <row r="2599" spans="1:5" ht="15.75" customHeight="1" x14ac:dyDescent="0.25">
      <c r="A2599" s="1" t="s">
        <v>5197</v>
      </c>
      <c r="B2599" s="1">
        <v>54193</v>
      </c>
      <c r="C2599" s="3">
        <v>44013.708749999998</v>
      </c>
      <c r="D2599" s="1" t="s">
        <v>5198</v>
      </c>
      <c r="E2599" s="4" t="str">
        <f ca="1">IFERROR(__xludf.DUMMYFUNCTION("GOOGLETRANSLATE(A2599 , ""tr"" , ""en"")"),"Our total test count approached 3.5 million. Our total case number has passed 200,000. Sample 5 providing measures in the implementation of new cases in the number of cases: Tekirdag, Balikesir, Samsun, Kırşehir, Duzce. We can achieve in all provinces. ht"&amp;"tps://t.co/rvlhe7786o https://t.co/lsdrej3fcx")</f>
        <v>Our total test count approached 3.5 million. Our total case number has passed 200,000. Sample 5 providing measures in the implementation of new cases in the number of cases: Tekirdag, Balikesir, Samsun, Kırşehir, Duzce. We can achieve in all provinces. https://t.co/rvlhe7786o https://t.co/lsdrej3fcx</v>
      </c>
    </row>
    <row r="2600" spans="1:5" ht="15.75" customHeight="1" x14ac:dyDescent="0.25">
      <c r="A2600" s="1" t="s">
        <v>5199</v>
      </c>
      <c r="B2600" s="1">
        <v>7586</v>
      </c>
      <c r="C2600" s="3">
        <v>44013.699513888889</v>
      </c>
      <c r="D2600" s="1" t="s">
        <v>5200</v>
      </c>
      <c r="E2600" s="4" t="str">
        <f ca="1">IFERROR(__xludf.DUMMYFUNCTION("GOOGLETRANSLATE(A2600 , ""tr"" , ""en"")"),"After our Science Board meeting, the latest developments on the coronavirus and the new measures we receive.
📍Public Ministry Bilkent Campus / Ankara
https://t.co/be4i6jolz6")</f>
        <v>After our Science Board meeting, the latest developments on the coronavirus and the new measures we receive.
📍Public Ministry Bilkent Campus / Ankara
https://t.co/be4i6jolz6</v>
      </c>
    </row>
    <row r="2601" spans="1:5" ht="15.75" customHeight="1" x14ac:dyDescent="0.25">
      <c r="A2601" s="1" t="s">
        <v>5201</v>
      </c>
      <c r="B2601" s="1">
        <v>69763</v>
      </c>
      <c r="C2601" s="3">
        <v>44012.769201388888</v>
      </c>
      <c r="D2601" s="1" t="s">
        <v>5202</v>
      </c>
      <c r="E2601" s="4" t="str">
        <f ca="1">IFERROR(__xludf.DUMMYFUNCTION("GOOGLETRANSLATE(A2601 , ""tr"" , ""en"")"),"I celebrate the pair of Esra and Berat Albayrak with the newborn son. Every born child is a hope for a better world, a new beginning. Emoticons used for Hamza Salih's parents need to belong to people who have not been hearable. May Allah Breed.")</f>
        <v>I celebrate the pair of Esra and Berat Albayrak with the newborn son. Every born child is a hope for a better world, a new beginning. Emoticons used for Hamza Salih's parents need to belong to people who have not been hearable. May Allah Breed.</v>
      </c>
    </row>
    <row r="2602" spans="1:5" ht="15.75" customHeight="1" x14ac:dyDescent="0.25">
      <c r="A2602" s="1" t="s">
        <v>5203</v>
      </c>
      <c r="B2602" s="1">
        <v>42258</v>
      </c>
      <c r="C2602" s="3">
        <v>44012.673657407409</v>
      </c>
      <c r="D2602" s="1" t="s">
        <v>5204</v>
      </c>
      <c r="E2602" s="4" t="str">
        <f ca="1">IFERROR(__xludf.DUMMYFUNCTION("GOOGLETRANSLATE(A2602 , ""tr"" , ""en"")"),"In addition to yesterday, there are 7 reductions in our number of patients in our number of intensive care. Our daily test numbers are close. Our new case count is close to yesterday with 81 few, new healing patients. We are not careful enough in measures"&amp;" in reducing the number of cases. https://t.co/rvlhe7786o https://t.co/bf9nshpw0h")</f>
        <v>In addition to yesterday, there are 7 reductions in our number of patients in our number of intensive care. Our daily test numbers are close. Our new case count is close to yesterday with 81 few, new healing patients. We are not careful enough in measures in reducing the number of cases. https://t.co/rvlhe7786o https://t.co/bf9nshpw0h</v>
      </c>
    </row>
    <row r="2603" spans="1:5" ht="15.75" customHeight="1" x14ac:dyDescent="0.25">
      <c r="A2603" s="1" t="s">
        <v>5205</v>
      </c>
      <c r="B2603" s="1">
        <v>49760</v>
      </c>
      <c r="C2603" s="3">
        <v>44012.524768518517</v>
      </c>
      <c r="D2603" s="1" t="s">
        <v>5206</v>
      </c>
      <c r="E2603" s="4" t="str">
        <f ca="1">IFERROR(__xludf.DUMMYFUNCTION("GOOGLETRANSLATE(A2603 , ""tr"" , ""en"")"),"COVID-19 Measures are increasingly exposed to the news of the soldiers who are observed. Those who do the mansings in this way don't make friends to their friends, friendship. What friend wants his friend as a positive diagnosis of his father's task?")</f>
        <v>COVID-19 Measures are increasingly exposed to the news of the soldiers who are observed. Those who do the mansings in this way don't make friends to their friends, friendship. What friend wants his friend as a positive diagnosis of his father's task?</v>
      </c>
    </row>
    <row r="2604" spans="1:5" ht="15.75" customHeight="1" x14ac:dyDescent="0.25">
      <c r="A2604" s="1" t="s">
        <v>5207</v>
      </c>
      <c r="B2604" s="1">
        <v>45859</v>
      </c>
      <c r="C2604" s="3">
        <v>44011.710706018515</v>
      </c>
      <c r="D2604" s="1" t="s">
        <v>5208</v>
      </c>
      <c r="E2604" s="4" t="str">
        <f ca="1">IFERROR(__xludf.DUMMYFUNCTION("GOOGLETRANSLATE(A2604 , ""tr"" , ""en"")"),"Our case count 18 is 18, 160 more than recovering today. The number of patients who are newly discharged with the cures are in balance. The increase in intensive care is at the usual level. We are not careful enough in measures in reducing the number of c"&amp;"ases. https://t.co/rvlhe7786o https://t.co/lı94eaav3h")</f>
        <v>Our case count 18 is 18, 160 more than recovering today. The number of patients who are newly discharged with the cures are in balance. The increase in intensive care is at the usual level. We are not careful enough in measures in reducing the number of cases. https://t.co/rvlhe7786o https://t.co/lı94eaav3h</v>
      </c>
    </row>
    <row r="2605" spans="1:5" ht="15.75" customHeight="1" x14ac:dyDescent="0.25">
      <c r="A2605" s="1" t="s">
        <v>5209</v>
      </c>
      <c r="B2605" s="1">
        <v>78507</v>
      </c>
      <c r="C2605" s="3">
        <v>44011.475752314815</v>
      </c>
      <c r="D2605" s="1" t="s">
        <v>5210</v>
      </c>
      <c r="E2605" s="4" t="str">
        <f ca="1">IFERROR(__xludf.DUMMYFUNCTION("GOOGLETRANSLATE(A2605 , ""tr"" , ""en"")"),"How many net are you today from coronavirus measures? Let's keep holding work tight.")</f>
        <v>How many net are you today from coronavirus measures? Let's keep holding work tight.</v>
      </c>
    </row>
    <row r="2606" spans="1:5" ht="15.75" customHeight="1" x14ac:dyDescent="0.25">
      <c r="A2606" s="1" t="s">
        <v>5211</v>
      </c>
      <c r="B2606" s="1">
        <v>13949</v>
      </c>
      <c r="C2606" s="3">
        <v>44010.888599537036</v>
      </c>
      <c r="D2606" s="1" t="s">
        <v>5212</v>
      </c>
      <c r="E2606" s="4" t="str">
        <f ca="1">IFERROR(__xludf.DUMMYFUNCTION("GOOGLETRANSLATE(A2606 , ""tr"" , ""en"")"),"To the people who are in the multi-faceted struggle against the pandemia to the minister of friends; I would like to appreciate our visits to our guests, valuable bureaucrats and managers to our people's service demands and our guests to our guests. https"&amp;"://t.co/fabow3nmst")</f>
        <v>To the people who are in the multi-faceted struggle against the pandemia to the minister of friends; I would like to appreciate our visits to our guests, valuable bureaucrats and managers to our people's service demands and our guests to our guests. https://t.co/fabow3nmst</v>
      </c>
    </row>
    <row r="2607" spans="1:5" ht="15.75" customHeight="1" x14ac:dyDescent="0.25">
      <c r="A2607" s="1" t="s">
        <v>5213</v>
      </c>
      <c r="B2607" s="1">
        <v>51600</v>
      </c>
      <c r="C2607" s="3">
        <v>44010.776875000003</v>
      </c>
      <c r="D2607" s="1" t="s">
        <v>5214</v>
      </c>
      <c r="E2607" s="4" t="str">
        <f ca="1">IFERROR(__xludf.DUMMYFUNCTION("GOOGLETRANSLATE(A2607 , ""tr"" , ""en"")"),"In the number of people who are newly diagnosed with yesterday, 16, there are 40 decreases compared to the previous day. Our total case count recovered today is 571 people from the last year. Fast enough to reduce the number of cases, we are not fully cau"&amp;"tious in the fight. Summer, it shouldn't be causing resistance. https://t.co/rvlhe7786o https://t.co/zulrdmcbsn")</f>
        <v>In the number of people who are newly diagnosed with yesterday, 16, there are 40 decreases compared to the previous day. Our total case count recovered today is 571 people from the last year. Fast enough to reduce the number of cases, we are not fully cautious in the fight. Summer, it shouldn't be causing resistance. https://t.co/rvlhe7786o https://t.co/zulrdmcbsn</v>
      </c>
    </row>
    <row r="2608" spans="1:5" ht="15.75" customHeight="1" x14ac:dyDescent="0.25">
      <c r="A2608" s="1" t="s">
        <v>5215</v>
      </c>
      <c r="B2608" s="1">
        <v>45466</v>
      </c>
      <c r="C2608" s="3">
        <v>44010.201249999998</v>
      </c>
      <c r="D2608" s="1" t="s">
        <v>5216</v>
      </c>
      <c r="E2608" s="4" t="str">
        <f ca="1">IFERROR(__xludf.DUMMYFUNCTION("GOOGLETRANSLATE(A2608 , ""tr"" , ""en"")"),"The strength of high focus. Focus is the mastery of focusing attention to the same subject for a period of time. Out of topic stimulus leads to the difficulty of focusing. Let's get them away from our mind. Our adrenalin, our rising element to the questio"&amp;"n of the question, you collect our attention. May the most difficult questions come easy.")</f>
        <v>The strength of high focus. Focus is the mastery of focusing attention to the same subject for a period of time. Out of topic stimulus leads to the difficulty of focusing. Let's get them away from our mind. Our adrenalin, our rising element to the question of the question, you collect our attention. May the most difficult questions come easy.</v>
      </c>
    </row>
    <row r="2609" spans="1:5" ht="15.75" customHeight="1" x14ac:dyDescent="0.25">
      <c r="A2609" s="1" t="s">
        <v>5217</v>
      </c>
      <c r="B2609" s="1">
        <v>56855</v>
      </c>
      <c r="C2609" s="3">
        <v>44009.716562499998</v>
      </c>
      <c r="D2609" s="1" t="s">
        <v>5218</v>
      </c>
      <c r="E2609" s="4" t="str">
        <f ca="1">IFERROR(__xludf.DUMMYFUNCTION("GOOGLETRANSLATE(A2609 , ""tr"" , ""en"")"),"The recoverants are more than 612 from the diagnosis. Yesterday's number was 96. 5.68% of the diagnosis of diagnosis in the last 14 days are 17 years of age and underneath. 63% of the 25-45 age groups. Our diagnostic number of today is 24 fewer than the y"&amp;"esterday. If the reduction is continuous, we can get below 1,000 in 2 weeks in this speed even at this speed. https://t.co/rvlhe7786o https://t.co/zwgfruq0lh")</f>
        <v>The recoverants are more than 612 from the diagnosis. Yesterday's number was 96. 5.68% of the diagnosis of diagnosis in the last 14 days are 17 years of age and underneath. 63% of the 25-45 age groups. Our diagnostic number of today is 24 fewer than the yesterday. If the reduction is continuous, we can get below 1,000 in 2 weeks in this speed even at this speed. https://t.co/rvlhe7786o https://t.co/zwgfruq0lh</v>
      </c>
    </row>
    <row r="2610" spans="1:5" ht="15.75" customHeight="1" x14ac:dyDescent="0.25">
      <c r="A2610" s="1" t="s">
        <v>5219</v>
      </c>
      <c r="B2610" s="1">
        <v>144776</v>
      </c>
      <c r="C2610" s="3">
        <v>44009.257337962961</v>
      </c>
      <c r="D2610" s="1" t="s">
        <v>5220</v>
      </c>
      <c r="E2610" s="4" t="str">
        <f ca="1">IFERROR(__xludf.DUMMYFUNCTION("GOOGLETRANSLATE(A2610 , ""tr"" , ""en"")"),"Life is an exam. This is his 165 minutes. May the most difficult questions come easy.")</f>
        <v>Life is an exam. This is his 165 minutes. May the most difficult questions come easy.</v>
      </c>
    </row>
    <row r="2611" spans="1:5" ht="15.75" customHeight="1" x14ac:dyDescent="0.25">
      <c r="A2611" s="1" t="s">
        <v>5221</v>
      </c>
      <c r="B2611" s="1">
        <v>14124</v>
      </c>
      <c r="C2611" s="3">
        <v>44008.917199074072</v>
      </c>
      <c r="D2611" s="1" t="s">
        <v>5222</v>
      </c>
      <c r="E2611" s="4" t="str">
        <f ca="1">IFERROR(__xludf.DUMMYFUNCTION("GOOGLETRANSLATE(A2611 , ""tr"" , ""en"")"),"Alaeddin Özdenören, we loved the first book of the first book with the first poetry. ""I can be a natural person tomorrow."" he was the place of place when he wrote. Links for Kerem, who died at a young age. Lived like a secret subject. We lost our master"&amp;" poet on June 26, 2003 with cancer. https://t.co/lupdan1myt")</f>
        <v>Alaeddin Özdenören, we loved the first book of the first book with the first poetry. "I can be a natural person tomorrow." he was the place of place when he wrote. Links for Kerem, who died at a young age. Lived like a secret subject. We lost our master poet on June 26, 2003 with cancer. https://t.co/lupdan1myt</v>
      </c>
    </row>
    <row r="2612" spans="1:5" ht="15.75" customHeight="1" x14ac:dyDescent="0.25">
      <c r="A2612" s="1" t="s">
        <v>5223</v>
      </c>
      <c r="B2612" s="1">
        <v>10793</v>
      </c>
      <c r="C2612" s="3">
        <v>44008.730856481481</v>
      </c>
      <c r="D2612" s="1" t="s">
        <v>5224</v>
      </c>
      <c r="E2612" s="4" t="str">
        <f ca="1">IFERROR(__xludf.DUMMYFUNCTION("GOOGLETRANSLATE(A2612 , ""tr"" , ""en"")"),"US Chamber of Commerce, US-Turkey Business Council and Tobb collaborated in the video conference we met with more than 60 participants. Our President Our Health Infrastructure is established in the leadership of Erdogan and Turkey's coronavirus epidemic h"&amp;"as shared information about the fight. https://t.co/gy3n9ioitp")</f>
        <v>US Chamber of Commerce, US-Turkey Business Council and Tobb collaborated in the video conference we met with more than 60 participants. Our President Our Health Infrastructure is established in the leadership of Erdogan and Turkey's coronavirus epidemic has shared information about the fight. https://t.co/gy3n9ioitp</v>
      </c>
    </row>
    <row r="2613" spans="1:5" ht="15.75" customHeight="1" x14ac:dyDescent="0.25">
      <c r="A2613" s="1" t="s">
        <v>5225</v>
      </c>
      <c r="B2613" s="1">
        <v>36703</v>
      </c>
      <c r="C2613" s="3">
        <v>44008.679131944446</v>
      </c>
      <c r="D2613" s="1" t="s">
        <v>5226</v>
      </c>
      <c r="E2613" s="4" t="str">
        <f ca="1">IFERROR(__xludf.DUMMYFUNCTION("GOOGLETRANSLATE(A2613 , ""tr"" , ""en"")"),"Number of new cases of 1.492 on Wednesday today is 1.396. COVID-19 is due to the total number of total patients who are hospitalized today in Turkey 113. In the last 24 hours of intensive care patients in the number 22, there are 13 increase in the number"&amp;" of intubation. The recovery is 96 than the diagnosis. https://t.co/rvlhe7786o https://t.co/4btmlfwuvo")</f>
        <v>Number of new cases of 1.492 on Wednesday today is 1.396. COVID-19 is due to the total number of total patients who are hospitalized today in Turkey 113. In the last 24 hours of intensive care patients in the number 22, there are 13 increase in the number of intubation. The recovery is 96 than the diagnosis. https://t.co/rvlhe7786o https://t.co/4btmlfwuvo</v>
      </c>
    </row>
    <row r="2614" spans="1:5" ht="15.75" customHeight="1" x14ac:dyDescent="0.25">
      <c r="A2614" s="1" t="s">
        <v>5227</v>
      </c>
      <c r="B2614" s="1">
        <v>25457</v>
      </c>
      <c r="C2614" s="3">
        <v>44008.663703703707</v>
      </c>
      <c r="D2614" s="1" t="s">
        <v>5228</v>
      </c>
      <c r="E2614" s="4" t="str">
        <f ca="1">IFERROR(__xludf.DUMMYFUNCTION("GOOGLETRANSLATE(A2614 , ""tr"" , ""en"")"),"In Konya Yunak, the traffic accident in which 7 people lost their life, the traffic accident in which 11 people were injured deeply upset us all deeply. Our single sterling; Hospitalized our wounded with our land and helicopter ambulances and started thei"&amp;"r treatment. I wish our losses healing to our wounded.")</f>
        <v>In Konya Yunak, the traffic accident in which 7 people lost their life, the traffic accident in which 11 people were injured deeply upset us all deeply. Our single sterling; Hospitalized our wounded with our land and helicopter ambulances and started their treatment. I wish our losses healing to our wounded.</v>
      </c>
    </row>
    <row r="2615" spans="1:5" ht="15.75" customHeight="1" x14ac:dyDescent="0.25">
      <c r="A2615" s="1" t="s">
        <v>5229</v>
      </c>
      <c r="B2615" s="1">
        <v>109756</v>
      </c>
      <c r="C2615" s="3">
        <v>44008.623692129629</v>
      </c>
      <c r="D2615" s="1" t="s">
        <v>5230</v>
      </c>
      <c r="E2615" s="4" t="str">
        <f ca="1">IFERROR(__xludf.DUMMYFUNCTION("GOOGLETRANSLATE(A2615 , ""tr"" , ""en"")"),"Let's close the transmission ways of the virus.")</f>
        <v>Let's close the transmission ways of the virus.</v>
      </c>
    </row>
    <row r="2616" spans="1:5" ht="15.75" customHeight="1" x14ac:dyDescent="0.25">
      <c r="A2616" s="1" t="s">
        <v>5231</v>
      </c>
      <c r="B2616" s="1">
        <v>63970</v>
      </c>
      <c r="C2616" s="3">
        <v>44008.543912037036</v>
      </c>
      <c r="D2616" s="1" t="s">
        <v>5232</v>
      </c>
      <c r="E2616" s="4" t="str">
        <f ca="1">IFERROR(__xludf.DUMMYFUNCTION("GOOGLETRANSLATE(A2616 , ""tr"" , ""en"")"),"The whole distance we will add in the fight against the coronavirus is 1.5 meters. (Provided to attach mask.)")</f>
        <v>The whole distance we will add in the fight against the coronavirus is 1.5 meters. (Provided to attach mask.)</v>
      </c>
    </row>
    <row r="2617" spans="1:5" ht="15.75" customHeight="1" x14ac:dyDescent="0.25">
      <c r="A2617" s="1" t="s">
        <v>5233</v>
      </c>
      <c r="B2617" s="1">
        <v>33467</v>
      </c>
      <c r="C2617" s="3">
        <v>44008.508611111109</v>
      </c>
      <c r="D2617" s="1" t="s">
        <v>5234</v>
      </c>
      <c r="E2617" s="4" t="str">
        <f ca="1">IFERROR(__xludf.DUMMYFUNCTION("GOOGLETRANSLATE(A2617 , ""tr"" , ""en"")"),"It's happening to all of us, you will be on your head in the YKS. Instant forgets caused by exam anxiety are your brain's joke. Rest well today. Get your sleep full. Don't be a hurry for breakfast. In the exam, forget the ones behind when getting in from "&amp;"the door. Very success, love. https://t.co/etew0qdydm")</f>
        <v>It's happening to all of us, you will be on your head in the YKS. Instant forgets caused by exam anxiety are your brain's joke. Rest well today. Get your sleep full. Don't be a hurry for breakfast. In the exam, forget the ones behind when getting in from the door. Very success, love. https://t.co/etew0qdydm</v>
      </c>
    </row>
    <row r="2618" spans="1:5" ht="15.75" customHeight="1" x14ac:dyDescent="0.25">
      <c r="A2618" s="1" t="s">
        <v>5235</v>
      </c>
      <c r="B2618" s="1">
        <v>42857</v>
      </c>
      <c r="C2618" s="3">
        <v>44007.819467592592</v>
      </c>
      <c r="D2618" s="1" t="s">
        <v>5236</v>
      </c>
      <c r="E2618" s="4" t="str">
        <f ca="1">IFERROR(__xludf.DUMMYFUNCTION("GOOGLETRANSLATE(A2618 , ""tr"" , ""en"")"),"The speed of the virus is reduced. This blood emitted from ear to ear is incorrect. Science shows us that the speed of spreading is not reduced. The World Health Organization has just explained the number of daily cases on the global scale since the begin"&amp;"ning of the outbreak. The speed of the virus is currently connected to us. https://t.co/xtbpqpyrc0")</f>
        <v>The speed of the virus is reduced. This blood emitted from ear to ear is incorrect. Science shows us that the speed of spreading is not reduced. The World Health Organization has just explained the number of daily cases on the global scale since the beginning of the outbreak. The speed of the virus is currently connected to us. https://t.co/xtbpqpyrc0</v>
      </c>
    </row>
    <row r="2619" spans="1:5" ht="15.75" customHeight="1" x14ac:dyDescent="0.25">
      <c r="A2619" s="1" t="s">
        <v>5237</v>
      </c>
      <c r="B2619" s="1">
        <v>51306</v>
      </c>
      <c r="C2619" s="3">
        <v>44007.741238425922</v>
      </c>
      <c r="D2619" s="1" t="s">
        <v>5238</v>
      </c>
      <c r="E2619" s="4" t="str">
        <f ca="1">IFERROR(__xludf.DUMMYFUNCTION("GOOGLETRANSLATE(A2619 , ""tr"" , ""en"")"),"Intensive care was an increase in our patients. However, in intensive care and total treatment periods of our patients. If our new case numbers shows that measures are reduced. Case numbers in the world climb. Let's give good news from Turkey. https://t.c"&amp;"o/rvlhe7786o https://t.co/sdtijxgbka")</f>
        <v>Intensive care was an increase in our patients. However, in intensive care and total treatment periods of our patients. If our new case numbers shows that measures are reduced. Case numbers in the world climb. Let's give good news from Turkey. https://t.co/rvlhe7786o https://t.co/sdtijxgbka</v>
      </c>
    </row>
    <row r="2620" spans="1:5" ht="15.75" customHeight="1" x14ac:dyDescent="0.25">
      <c r="A2620" s="1" t="s">
        <v>5239</v>
      </c>
      <c r="B2620" s="1">
        <v>14772</v>
      </c>
      <c r="C2620" s="3">
        <v>44006.882071759261</v>
      </c>
      <c r="D2620" s="1" t="s">
        <v>5240</v>
      </c>
      <c r="E2620" s="4" t="str">
        <f ca="1">IFERROR(__xludf.DUMMYFUNCTION("GOOGLETRANSLATE(A2620 , ""tr"" , ""en"")"),"In the order of the isolation of the virus, we found that the viruses from the Middle East, Europe vary from the United States. These differences should not be interpreted in the form of mutation. On the other hand, there is still a proof that the virulen"&amp;"ce is reduced in any way. https://t.co/msssfnd8za")</f>
        <v>In the order of the isolation of the virus, we found that the viruses from the Middle East, Europe vary from the United States. These differences should not be interpreted in the form of mutation. On the other hand, there is still a proof that the virulence is reduced in any way. https://t.co/msssfnd8za</v>
      </c>
    </row>
    <row r="2621" spans="1:5" ht="15.75" customHeight="1" x14ac:dyDescent="0.25">
      <c r="A2621" s="1" t="s">
        <v>5241</v>
      </c>
      <c r="B2621" s="1">
        <v>23379</v>
      </c>
      <c r="C2621" s="3">
        <v>44006.873402777775</v>
      </c>
      <c r="D2621" s="1" t="s">
        <v>5242</v>
      </c>
      <c r="E2621" s="4" t="str">
        <f ca="1">IFERROR(__xludf.DUMMYFUNCTION("GOOGLETRANSLATE(A2621 , ""tr"" , ""en"")"),"We are doing research with 153,000 people on developing and developing immunity in society. According to the results we have obtained from 118,000, the immunity rate is 2.8 per thousand. This means there is no immunity. The situation in antibody tests is "&amp;"the same. Results make measures indispensable. https://t.co/vb7t8glyad")</f>
        <v>We are doing research with 153,000 people on developing and developing immunity in society. According to the results we have obtained from 118,000, the immunity rate is 2.8 per thousand. This means there is no immunity. The situation in antibody tests is the same. Results make measures indispensable. https://t.co/vb7t8glyad</v>
      </c>
    </row>
    <row r="2622" spans="1:5" ht="15.75" customHeight="1" x14ac:dyDescent="0.25">
      <c r="A2622" s="1" t="s">
        <v>5243</v>
      </c>
      <c r="B2622" s="1">
        <v>21424</v>
      </c>
      <c r="C2622" s="3">
        <v>44006.864340277774</v>
      </c>
      <c r="D2622" s="1" t="s">
        <v>5244</v>
      </c>
      <c r="E2622" s="4" t="str">
        <f ca="1">IFERROR(__xludf.DUMMYFUNCTION("GOOGLETRANSLATE(A2622 , ""tr"" , ""en"")"),"The mask is not necessary in environments where no one is found in our environment. We have to use the mask in where we are together. Should not be excessive in the measure. Over time, we should not lead to exasperation. https://t.co/5ndhzldxfl")</f>
        <v>The mask is not necessary in environments where no one is found in our environment. We have to use the mask in where we are together. Should not be excessive in the measure. Over time, we should not lead to exasperation. https://t.co/5ndhzldxfl</v>
      </c>
    </row>
    <row r="2623" spans="1:5" ht="15.75" customHeight="1" x14ac:dyDescent="0.25">
      <c r="A2623" s="1" t="s">
        <v>5245</v>
      </c>
      <c r="B2623" s="1">
        <v>14606</v>
      </c>
      <c r="C2623" s="3">
        <v>44006.855821759258</v>
      </c>
      <c r="D2623" s="1" t="s">
        <v>5246</v>
      </c>
      <c r="E2623" s="4" t="str">
        <f ca="1">IFERROR(__xludf.DUMMYFUNCTION("GOOGLETRANSLATE(A2623 , ""tr"" , ""en"")"),"In the world, goodness, freedom, what is done on behalf of Beauty, all of these were made by those who can protect the spirit of youth. The future doesn't expect us ahead. The future brings us teenagers. There is an important examination in front of us. I"&amp;" wish you a success worth being celebrated for life. https://t.co/pn2utcqhfs")</f>
        <v>In the world, goodness, freedom, what is done on behalf of Beauty, all of these were made by those who can protect the spirit of youth. The future doesn't expect us ahead. The future brings us teenagers. There is an important examination in front of us. I wish you a success worth being celebrated for life. https://t.co/pn2utcqhfs</v>
      </c>
    </row>
    <row r="2624" spans="1:5" ht="15.75" customHeight="1" x14ac:dyDescent="0.25">
      <c r="A2624" s="1" t="s">
        <v>5247</v>
      </c>
      <c r="B2624" s="1">
        <v>63962</v>
      </c>
      <c r="C2624" s="3">
        <v>44006.708935185183</v>
      </c>
      <c r="D2624" s="1" t="s">
        <v>5248</v>
      </c>
      <c r="E2624" s="4" t="str">
        <f ca="1">IFERROR(__xludf.DUMMYFUNCTION("GOOGLETRANSLATE(A2624 , ""tr"" , ""en"")"),"There is a ripple in our number of cases. Although our test count is more than 10,000 compared to previous days, the result is warning all of us against the growth of risk. The reason for the increase is, together with the summary, the flexibility of the "&amp;"measures. We don't have a second option except for this summer measure. https://t.co/rvlhe7786o https://t.co/c9pfsz4ch7")</f>
        <v>There is a ripple in our number of cases. Although our test count is more than 10,000 compared to previous days, the result is warning all of us against the growth of risk. The reason for the increase is, together with the summary, the flexibility of the measures. We don't have a second option except for this summer measure. https://t.co/rvlhe7786o https://t.co/c9pfsz4ch7</v>
      </c>
    </row>
    <row r="2625" spans="1:5" ht="15.75" customHeight="1" x14ac:dyDescent="0.25">
      <c r="A2625" s="1" t="s">
        <v>5249</v>
      </c>
      <c r="B2625" s="1">
        <v>10297</v>
      </c>
      <c r="C2625" s="3">
        <v>44006.698993055557</v>
      </c>
      <c r="D2625" s="1" t="s">
        <v>5250</v>
      </c>
      <c r="E2625" s="4" t="str">
        <f ca="1">IFERROR(__xludf.DUMMYFUNCTION("GOOGLETRANSLATE(A2625 , ""tr"" , ""en"")"),"After our Science Board meeting, the latest developments on the coronavirus and the new measures we receive.
📍Public Ministry Bilkent Campus / Ankara
https://t.co/59npjr6omk")</f>
        <v>After our Science Board meeting, the latest developments on the coronavirus and the new measures we receive.
📍Public Ministry Bilkent Campus / Ankara
https://t.co/59npjr6omk</v>
      </c>
    </row>
    <row r="2626" spans="1:5" ht="15.75" customHeight="1" x14ac:dyDescent="0.25">
      <c r="A2626" s="1" t="s">
        <v>5251</v>
      </c>
      <c r="B2626" s="1">
        <v>25073</v>
      </c>
      <c r="C2626" s="3">
        <v>44005.805532407408</v>
      </c>
      <c r="D2626" s="1" t="s">
        <v>5252</v>
      </c>
      <c r="E2626" s="4" t="str">
        <f ca="1">IFERROR(__xludf.DUMMYFUNCTION("GOOGLETRANSLATE(A2626 , ""tr"" , ""en"")"),"In the meeting with the provincial health managers of our 81 provincial health managers, we addressed the reasons for the reasons for the increase in case increases, intensive care capacities and filiation rates. We have made our evaluations for new studi"&amp;"es to be made against the coronavirue. https://t.co/bus7bqdh7l")</f>
        <v>In the meeting with the provincial health managers of our 81 provincial health managers, we addressed the reasons for the reasons for the increase in case increases, intensive care capacities and filiation rates. We have made our evaluations for new studies to be made against the coronavirue. https://t.co/bus7bqdh7l</v>
      </c>
    </row>
    <row r="2627" spans="1:5" ht="15.75" customHeight="1" x14ac:dyDescent="0.25">
      <c r="A2627" s="1" t="s">
        <v>5253</v>
      </c>
      <c r="B2627" s="1">
        <v>27255</v>
      </c>
      <c r="C2627" s="3">
        <v>44005.746296296296</v>
      </c>
      <c r="D2627" s="1" t="s">
        <v>5254</v>
      </c>
      <c r="E2627" s="4" t="str">
        <f ca="1">IFERROR(__xludf.DUMMYFUNCTION("GOOGLETRANSLATE(A2627 , ""tr"" , ""en"")"),"A person in the flood occurring in Istanbul Esenyurt has lost his life. We wish himself to the mercy of Allah and their condolences. 112 Our ambulance teams have reached the event instead of the event for health services. Currently the treatment of 4 peop"&amp;"le is continued.")</f>
        <v>A person in the flood occurring in Istanbul Esenyurt has lost his life. We wish himself to the mercy of Allah and their condolences. 112 Our ambulance teams have reached the event instead of the event for health services. Currently the treatment of 4 people is continued.</v>
      </c>
    </row>
    <row r="2628" spans="1:5" ht="15.75" customHeight="1" x14ac:dyDescent="0.25">
      <c r="A2628" s="1" t="s">
        <v>5255</v>
      </c>
      <c r="B2628" s="1">
        <v>18174</v>
      </c>
      <c r="C2628" s="3">
        <v>44005.723668981482</v>
      </c>
      <c r="D2628" s="1" t="s">
        <v>5256</v>
      </c>
      <c r="E2628" s="4" t="str">
        <f ca="1">IFERROR(__xludf.DUMMYFUNCTION("GOOGLETRANSLATE(A2628 , ""tr"" , ""en"")"),"KISS. Dr. Ugur Ertuğrul. 1961, niğde born born. Cerrahpaşa graduated from Medical Faculty in 1986. It was the general surgical expert in 1998. Hunters were working at Murat Minor State Hospital. Married and two children were their father. We are grateful "&amp;"for the challenge. https://t.co/v5u11u9bng")</f>
        <v>KISS. Dr. Ugur Ertuğrul. 1961, niğde born born. Cerrahpaşa graduated from Medical Faculty in 1986. It was the general surgical expert in 1998. Hunters were working at Murat Minor State Hospital. Married and two children were their father. We are grateful for the challenge. https://t.co/v5u11u9bng</v>
      </c>
    </row>
    <row r="2629" spans="1:5" ht="15.75" customHeight="1" x14ac:dyDescent="0.25">
      <c r="A2629" s="1" t="s">
        <v>5257</v>
      </c>
      <c r="B2629" s="1">
        <v>48667</v>
      </c>
      <c r="C2629" s="3">
        <v>44005.698969907404</v>
      </c>
      <c r="D2629" s="1" t="s">
        <v>5258</v>
      </c>
      <c r="E2629" s="4" t="str">
        <f ca="1">IFERROR(__xludf.DUMMYFUNCTION("GOOGLETRANSLATE(A2629 , ""tr"" , ""en"")"),"Our test count has passed 3 million. There are 16 patients in Adana in Adana at 14, Ankara at 21, Kocaeli in Kocaeli. Our recovering patient count is more than the new case number. We should reduce the new case numbers by following the measures for a more"&amp;" normal life. https://t.co/rvlhe7786o https://t.co/xqqktmwsfo")</f>
        <v>Our test count has passed 3 million. There are 16 patients in Adana in Adana at 14, Ankara at 21, Kocaeli in Kocaeli. Our recovering patient count is more than the new case number. We should reduce the new case numbers by following the measures for a more normal life. https://t.co/rvlhe7786o https://t.co/xqqktmwsfo</v>
      </c>
    </row>
    <row r="2630" spans="1:5" ht="15.75" customHeight="1" x14ac:dyDescent="0.25">
      <c r="A2630" s="1" t="s">
        <v>5259</v>
      </c>
      <c r="B2630" s="1">
        <v>20444</v>
      </c>
      <c r="C2630" s="3">
        <v>44005.599756944444</v>
      </c>
      <c r="D2630" s="1" t="s">
        <v>5260</v>
      </c>
      <c r="E2630" s="4" t="str">
        <f ca="1">IFERROR(__xludf.DUMMYFUNCTION("GOOGLETRANSLATE(A2630 , ""tr"" , ""en"")"),"My friends are sec. Mevlüt Çavuşoğlu and SN. Mehmet Nuri ERSOY has made a meeting with overseas flights and tourism issues. In the process of the pandemia, our success increased health and tourism demands. We evaluated the requests within the scope of the"&amp;" coronavirus measures. https://t.co/zzyletoltw")</f>
        <v>My friends are sec. Mevlüt Çavuşoğlu and SN. Mehmet Nuri ERSOY has made a meeting with overseas flights and tourism issues. In the process of the pandemia, our success increased health and tourism demands. We evaluated the requests within the scope of the coronavirus measures. https://t.co/zzyletoltw</v>
      </c>
    </row>
    <row r="2631" spans="1:5" ht="15.75" customHeight="1" x14ac:dyDescent="0.25">
      <c r="A2631" s="1" t="s">
        <v>5261</v>
      </c>
      <c r="B2631" s="1">
        <v>24844</v>
      </c>
      <c r="C2631" s="3">
        <v>44004.771817129629</v>
      </c>
      <c r="D2631" s="1" t="s">
        <v>5262</v>
      </c>
      <c r="E2631" s="4" t="str">
        <f ca="1">IFERROR(__xludf.DUMMYFUNCTION("GOOGLETRANSLATE(A2631 , ""tr"" , ""en"")"),"We have made our new meeting with our Community Science Board. Our meetings of our meetings that we benefit from different science people from different science people against the coronavirus epidemic have been the psychology of students and additional me"&amp;"asures that will be taken in our agenda. https://t.co/nz5rulracs")</f>
        <v>We have made our new meeting with our Community Science Board. Our meetings of our meetings that we benefit from different science people from different science people against the coronavirus epidemic have been the psychology of students and additional measures that will be taken in our agenda. https://t.co/nz5rulracs</v>
      </c>
    </row>
    <row r="2632" spans="1:5" ht="15.75" customHeight="1" x14ac:dyDescent="0.25">
      <c r="A2632" s="1" t="s">
        <v>5263</v>
      </c>
      <c r="B2632" s="1">
        <v>54834</v>
      </c>
      <c r="C2632" s="3">
        <v>44004.721736111111</v>
      </c>
      <c r="D2632" s="1" t="s">
        <v>5264</v>
      </c>
      <c r="E2632" s="4" t="str">
        <f ca="1">IFERROR(__xludf.DUMMYFUNCTION("GOOGLETRANSLATE(A2632 , ""tr"" , ""en"")"),"In Izmir, 28 in Kocaeli 20, 3 cases in Sakarya are in intensive care. Our total test count approached 3 million. Our number of patients recovering today is above our new case count. But for our struggle the difference is not enough. We have to reduce the "&amp;"number of cases with measures. https://t.co/rvlhe7786o https://t.co/ir6lj7o1an")</f>
        <v>In Izmir, 28 in Kocaeli 20, 3 cases in Sakarya are in intensive care. Our total test count approached 3 million. Our number of patients recovering today is above our new case count. But for our struggle the difference is not enough. We have to reduce the number of cases with measures. https://t.co/rvlhe7786o https://t.co/ir6lj7o1an</v>
      </c>
    </row>
    <row r="2633" spans="1:5" ht="15.75" customHeight="1" x14ac:dyDescent="0.25">
      <c r="A2633" s="1" t="s">
        <v>5265</v>
      </c>
      <c r="B2633" s="1">
        <v>40684</v>
      </c>
      <c r="C2633" s="3">
        <v>44003.896203703705</v>
      </c>
      <c r="D2633" s="1" t="s">
        <v>5266</v>
      </c>
      <c r="E2633" s="4" t="str">
        <f ca="1">IFERROR(__xludf.DUMMYFUNCTION("GOOGLETRANSLATE(A2633 , ""tr"" , ""en"")"),"In the flood occurring in Bursa Kestel, our two citizens have lost their life. We are at the region with our teams, 112, 4 umke. The search work continues for our lost 4 citizens. We wish the mercy from Allah to those who lost their life, their condolence"&amp;"s.")</f>
        <v>In the flood occurring in Bursa Kestel, our two citizens have lost their life. We are at the region with our teams, 112, 4 umke. The search work continues for our lost 4 citizens. We wish the mercy from Allah to those who lost their life, their condolences.</v>
      </c>
    </row>
    <row r="2634" spans="1:5" ht="15.75" customHeight="1" x14ac:dyDescent="0.25">
      <c r="A2634" s="1" t="s">
        <v>5267</v>
      </c>
      <c r="B2634" s="1">
        <v>27560</v>
      </c>
      <c r="C2634" s="3">
        <v>44003.85833333333</v>
      </c>
      <c r="D2634" s="1" t="s">
        <v>5268</v>
      </c>
      <c r="E2634" s="4" t="str">
        <f ca="1">IFERROR(__xludf.DUMMYFUNCTION("GOOGLETRANSLATE(A2634 , ""tr"" , ""en"")"),"The current statement in the case table description text is incorrect: ""Our recovering patients are 320 more than our new case count today."" The number written in the form of 320 is 220 as it will be understood from the table. The correct number is that"&amp;" the number in the heart of all of us is much more. https://t.co/mdkn7ot0mk")</f>
        <v>The current statement in the case table description text is incorrect: "Our recovering patients are 320 more than our new case count today." The number written in the form of 320 is 220 as it will be understood from the table. The correct number is that the number in the heart of all of us is much more. https://t.co/mdkn7ot0mk</v>
      </c>
    </row>
    <row r="2635" spans="1:5" ht="15.75" customHeight="1" x14ac:dyDescent="0.25">
      <c r="A2635" s="1" t="s">
        <v>5269</v>
      </c>
      <c r="B2635" s="1">
        <v>54819</v>
      </c>
      <c r="C2635" s="3">
        <v>44003.72142361111</v>
      </c>
      <c r="D2635" s="1" t="s">
        <v>5270</v>
      </c>
      <c r="E2635" s="4" t="str">
        <f ca="1">IFERROR(__xludf.DUMMYFUNCTION("GOOGLETRANSLATE(A2635 , ""tr"" , ""en"")"),"In some provinces, the number of intensive care patients despite the increase in case of risk: 84 in Ankara, in 84, 46 in Konya, 43 in Konya, 43 in Bursa, 43 in Batman, 22 in Batman, 5 in Siirt 5, 5 in Van, 5. Our number of patients in Siirt 5 in Van. mor"&amp;"e. We should open the difference in the measures. https://t.co/rvlhe7786o https://t.co/powwgwlxld")</f>
        <v>In some provinces, the number of intensive care patients despite the increase in case of risk: 84 in Ankara, in 84, 46 in Konya, 43 in Konya, 43 in Bursa, 43 in Batman, 22 in Batman, 5 in Siirt 5, 5 in Van, 5. Our number of patients in Siirt 5 in Van. more. We should open the difference in the measures. https://t.co/rvlhe7786o https://t.co/powwgwlxld</v>
      </c>
    </row>
    <row r="2636" spans="1:5" ht="15.75" customHeight="1" x14ac:dyDescent="0.25">
      <c r="A2636" s="1" t="s">
        <v>5271</v>
      </c>
      <c r="B2636" s="1">
        <v>57658</v>
      </c>
      <c r="C2636" s="3">
        <v>44003.558796296296</v>
      </c>
      <c r="D2636" s="1" t="s">
        <v>5272</v>
      </c>
      <c r="E2636" s="4" t="str">
        <f ca="1">IFERROR(__xludf.DUMMYFUNCTION("GOOGLETRANSLATE(A2636 , ""tr"" , ""en"")"),"Happy Father's Day of our fathers who inspire us with life struggles, with their assets. We are at the COVID-19 outstanding, we are not amongst the people who are not amongst the people who are not among us.")</f>
        <v>Happy Father's Day of our fathers who inspire us with life struggles, with their assets. We are at the COVID-19 outstanding, we are not amongst the people who are not amongst the people who are not among us.</v>
      </c>
    </row>
    <row r="2637" spans="1:5" ht="15.75" customHeight="1" x14ac:dyDescent="0.25">
      <c r="A2637" s="1" t="s">
        <v>5273</v>
      </c>
      <c r="B2637" s="1">
        <v>23439</v>
      </c>
      <c r="C2637" s="3">
        <v>44002.813055555554</v>
      </c>
      <c r="D2637" s="1" t="s">
        <v>5274</v>
      </c>
      <c r="E2637" s="4" t="str">
        <f ca="1">IFERROR(__xludf.DUMMYFUNCTION("GOOGLETRANSLATE(A2637 , ""tr"" , ""en"")"),"Turkey continues to strengthen the health system. The Ministry of Health Marmara University Prof. Dr. Asaf Ataseven Hospital SN. The ceremony they participated in the President was opened to the service today. Our hospital also has a high capacity COVID-1"&amp;"9 diagnostic laboratory. https://t.co/rs3frhvfat")</f>
        <v>Turkey continues to strengthen the health system. The Ministry of Health Marmara University Prof. Dr. Asaf Ataseven Hospital SN. The ceremony they participated in the President was opened to the service today. Our hospital also has a high capacity COVID-19 diagnostic laboratory. https://t.co/rs3frhvfat</v>
      </c>
    </row>
    <row r="2638" spans="1:5" ht="15.75" customHeight="1" x14ac:dyDescent="0.25">
      <c r="A2638" s="1" t="s">
        <v>5275</v>
      </c>
      <c r="B2638" s="1">
        <v>12591</v>
      </c>
      <c r="C2638" s="3">
        <v>44002.741469907407</v>
      </c>
      <c r="D2638" s="1" t="s">
        <v>5276</v>
      </c>
      <c r="E2638" s="4" t="str">
        <f ca="1">IFERROR(__xludf.DUMMYFUNCTION("GOOGLETRANSLATE(A2638 , ""tr"" , ""en"")"),"We have the happiness of providing high hospitals in the technological equipment to our citizen's service. I am sure that all health workers will be served in our hospital in our hospital to carry the service flag with a worthy understanding on the name o"&amp;"f our largest. https://t.co/4gw42fvqee")</f>
        <v>We have the happiness of providing high hospitals in the technological equipment to our citizen's service. I am sure that all health workers will be served in our hospital in our hospital to carry the service flag with a worthy understanding on the name of our largest. https://t.co/4gw42fvqee</v>
      </c>
    </row>
    <row r="2639" spans="1:5" ht="15.75" customHeight="1" x14ac:dyDescent="0.25">
      <c r="A2639" s="1" t="s">
        <v>5277</v>
      </c>
      <c r="B2639" s="1">
        <v>15113</v>
      </c>
      <c r="C2639" s="3">
        <v>44002.733854166669</v>
      </c>
      <c r="D2639" s="1" t="s">
        <v>5278</v>
      </c>
      <c r="E2639" s="4" t="str">
        <f ca="1">IFERROR(__xludf.DUMMYFUNCTION("GOOGLETRANSLATE(A2639 , ""tr"" , ""en"")"),"SN. My president. In line with the target you show, we experienced a period in health by our country skipped the Age of our country. The kovid-19 epidemic, which combines the whole world on the same agenda, showed how much investments to health and why th"&amp;"e development should be at the center of development. https://t.co/4kd0032mqm")</f>
        <v>SN. My president. In line with the target you show, we experienced a period in health by our country skipped the Age of our country. The kovid-19 epidemic, which combines the whole world on the same agenda, showed how much investments to health and why the development should be at the center of development. https://t.co/4kd0032mqm</v>
      </c>
    </row>
    <row r="2640" spans="1:5" ht="15.75" customHeight="1" x14ac:dyDescent="0.25">
      <c r="A2640" s="1" t="s">
        <v>5279</v>
      </c>
      <c r="B2640" s="1">
        <v>58135</v>
      </c>
      <c r="C2640" s="3">
        <v>44002.722500000003</v>
      </c>
      <c r="D2640" s="1" t="s">
        <v>5280</v>
      </c>
      <c r="E2640" s="4" t="str">
        <f ca="1">IFERROR(__xludf.DUMMYFUNCTION("GOOGLETRANSLATE(A2640 , ""tr"" , ""en"")"),"In the last days, in some of the provinces that our number of cases increased, intensive care patient numbers: 30 in Diyarbakır 30, 41 in Kayseri, 41 in Kayseri, 46 in Batman, 46. Our number of patients in Bursa is above our new case. We should open the d"&amp;"ifference in the measures. https://t.co/rvlhe7786o https://t.co/vk162fvbue")</f>
        <v>In the last days, in some of the provinces that our number of cases increased, intensive care patient numbers: 30 in Diyarbakır 30, 41 in Kayseri, 41 in Kayseri, 46 in Batman, 46. Our number of patients in Bursa is above our new case. We should open the difference in the measures. https://t.co/rvlhe7786o https://t.co/vk162fvbue</v>
      </c>
    </row>
    <row r="2641" spans="1:5" ht="15.75" customHeight="1" x14ac:dyDescent="0.25">
      <c r="A2641" s="1" t="s">
        <v>5281</v>
      </c>
      <c r="B2641" s="1">
        <v>0</v>
      </c>
      <c r="C2641" s="3">
        <v>44002.636805555558</v>
      </c>
      <c r="D2641" s="1" t="s">
        <v>5282</v>
      </c>
      <c r="E2641" s="4" t="str">
        <f ca="1">IFERROR(__xludf.DUMMYFUNCTION("GOOGLETRANSLATE(A2641 , ""tr"" , ""en"")"),"RT @rterdogan: Ministry of Health Marmara University Hospital Opening Ceremony https://t.co/uzkzhrlwby")</f>
        <v>RT @rterdogan: Ministry of Health Marmara University Hospital Opening Ceremony https://t.co/uzkzhrlwby</v>
      </c>
    </row>
    <row r="2642" spans="1:5" ht="15.75" customHeight="1" x14ac:dyDescent="0.25">
      <c r="A2642" s="1" t="s">
        <v>5283</v>
      </c>
      <c r="B2642" s="1">
        <v>12502</v>
      </c>
      <c r="C2642" s="3">
        <v>44002.623865740738</v>
      </c>
      <c r="D2642" s="1" t="s">
        <v>5284</v>
      </c>
      <c r="E2642" s="4" t="str">
        <f ca="1">IFERROR(__xludf.DUMMYFUNCTION("GOOGLETRANSLATE(A2642 , ""tr"" , ""en"")"),"With the factors of our Mr. President; The Ministry of Health The Marmara University, we open our nation to the service of our nation. https://t.co/hdrh5bid3d")</f>
        <v>With the factors of our Mr. President; The Ministry of Health The Marmara University, we open our nation to the service of our nation. https://t.co/hdrh5bid3d</v>
      </c>
    </row>
    <row r="2643" spans="1:5" ht="15.75" customHeight="1" x14ac:dyDescent="0.25">
      <c r="A2643" s="1" t="s">
        <v>5285</v>
      </c>
      <c r="B2643" s="1">
        <v>66964</v>
      </c>
      <c r="C2643" s="3">
        <v>44002.480254629627</v>
      </c>
      <c r="D2643" s="1" t="s">
        <v>5286</v>
      </c>
      <c r="E2643" s="4" t="str">
        <f ca="1">IFERROR(__xludf.DUMMYFUNCTION("GOOGLETRANSLATE(A2643 , ""tr"" , ""en"")"),"The news was published in social media yesterday, last Saturday MSU examination of 400 students in the last Saturday, and the news that lasts to be quarantined. COVID-19 patients who concluded the test examination morning is isolated during the exam. Have"&amp;" not been contamination.")</f>
        <v>The news was published in social media yesterday, last Saturday MSU examination of 400 students in the last Saturday, and the news that lasts to be quarantined. COVID-19 patients who concluded the test examination morning is isolated during the exam. Have not been contamination.</v>
      </c>
    </row>
    <row r="2644" spans="1:5" ht="15.75" customHeight="1" x14ac:dyDescent="0.25">
      <c r="A2644" s="1" t="s">
        <v>5287</v>
      </c>
      <c r="B2644" s="1">
        <v>88800</v>
      </c>
      <c r="C2644" s="3">
        <v>44002.21947916667</v>
      </c>
      <c r="D2644" s="1" t="s">
        <v>5288</v>
      </c>
      <c r="E2644" s="4" t="str">
        <f ca="1">IFERROR(__xludf.DUMMYFUNCTION("GOOGLETRANSLATE(A2644 , ""tr"" , ""en"")"),"The brain migration started to the exam centers in the entire dorms. Like 13.00, looking forward to the beautiful news on the way back home. May the hardest questions come easy.")</f>
        <v>The brain migration started to the exam centers in the entire dorms. Like 13.00, looking forward to the beautiful news on the way back home. May the hardest questions come easy.</v>
      </c>
    </row>
    <row r="2645" spans="1:5" ht="15.75" customHeight="1" x14ac:dyDescent="0.25">
      <c r="A2645" s="1" t="s">
        <v>5289</v>
      </c>
      <c r="B2645" s="1">
        <v>121471</v>
      </c>
      <c r="C2645" s="3">
        <v>44001.884837962964</v>
      </c>
      <c r="D2645" s="1" t="s">
        <v>5290</v>
      </c>
      <c r="E2645" s="4" t="str">
        <f ca="1">IFERROR(__xludf.DUMMYFUNCTION("GOOGLETRANSLATE(A2645 , ""tr"" , ""en"")"),"The next year's high school 1's :) Now every second of the hours is long. Then you won't understand how it goes. I wish you a very stressful examination of a very successful examination. May everyone know what you know tomorrow!")</f>
        <v>The next year's high school 1's :) Now every second of the hours is long. Then you won't understand how it goes. I wish you a very stressful examination of a very successful examination. May everyone know what you know tomorrow!</v>
      </c>
    </row>
    <row r="2646" spans="1:5" ht="15.75" customHeight="1" x14ac:dyDescent="0.25">
      <c r="A2646" s="1" t="s">
        <v>5291</v>
      </c>
      <c r="B2646" s="1">
        <v>75411</v>
      </c>
      <c r="C2646" s="3">
        <v>44001.697511574072</v>
      </c>
      <c r="D2646" s="1" t="s">
        <v>5292</v>
      </c>
      <c r="E2646" s="4" t="str">
        <f ca="1">IFERROR(__xludf.DUMMYFUNCTION("GOOGLETRANSLATE(A2646 , ""tr"" , ""en"")"),"Istanbul and Ankara showed the lowest number of cases of the last week. The number of new cases across the country continues to decrease. Our recovering case is above the number of new cases today as it was yesterday. Measure, gives mutual results. https:"&amp;"//t.co/rvlhe7786o https://t.co/s2ddshflfn")</f>
        <v>Istanbul and Ankara showed the lowest number of cases of the last week. The number of new cases across the country continues to decrease. Our recovering case is above the number of new cases today as it was yesterday. Measure, gives mutual results. https://t.co/rvlhe7786o https://t.co/s2ddshflfn</v>
      </c>
    </row>
    <row r="2647" spans="1:5" ht="15.75" customHeight="1" x14ac:dyDescent="0.25">
      <c r="A2647" s="1" t="s">
        <v>5293</v>
      </c>
      <c r="B2647" s="1">
        <v>92439</v>
      </c>
      <c r="C2647" s="3">
        <v>44001.418344907404</v>
      </c>
      <c r="D2647" s="1" t="s">
        <v>5294</v>
      </c>
      <c r="E2647" s="4" t="str">
        <f ca="1">IFERROR(__xludf.DUMMYFUNCTION("GOOGLETRANSLATE(A2647 , ""tr"" , ""en"")"),"We leave the day to their exam teens. Saturday we are at home. In all our cities, my mayors are in the name of young people on behalf of young people, the municipal buses are in full staff service as everyone was out. Being little on the bus is good to yo"&amp;"ung people. We focus on the exam better.")</f>
        <v>We leave the day to their exam teens. Saturday we are at home. In all our cities, my mayors are in the name of young people on behalf of young people, the municipal buses are in full staff service as everyone was out. Being little on the bus is good to young people. We focus on the exam better.</v>
      </c>
    </row>
    <row r="2648" spans="1:5" ht="15.75" customHeight="1" x14ac:dyDescent="0.25">
      <c r="A2648" s="1" t="s">
        <v>5295</v>
      </c>
      <c r="B2648" s="1">
        <v>57297</v>
      </c>
      <c r="C2648" s="3">
        <v>44000.805046296293</v>
      </c>
      <c r="D2648" s="1" t="s">
        <v>5296</v>
      </c>
      <c r="E2648" s="4" t="str">
        <f ca="1">IFERROR(__xludf.DUMMYFUNCTION("GOOGLETRANSLATE(A2648 , ""tr"" , ""en"")"),"Malatya Doğanşehir Mayor Vahap The small gentleman has lost his life due to the heart discomfort, which he sees. Many young people had facilitated their life with support and brothers. Will be resided with goodness. I wish himself from Allah to the mercy,"&amp;" their condolences.")</f>
        <v>Malatya Doğanşehir Mayor Vahap The small gentleman has lost his life due to the heart discomfort, which he sees. Many young people had facilitated their life with support and brothers. Will be resided with goodness. I wish himself from Allah to the mercy, their condolences.</v>
      </c>
    </row>
    <row r="2649" spans="1:5" ht="15.75" customHeight="1" x14ac:dyDescent="0.25">
      <c r="A2649" s="1" t="s">
        <v>5297</v>
      </c>
      <c r="B2649" s="1">
        <v>75479</v>
      </c>
      <c r="C2649" s="3">
        <v>44000.734432870369</v>
      </c>
      <c r="D2649" s="1" t="s">
        <v>5298</v>
      </c>
      <c r="E2649" s="4" t="str">
        <f ca="1">IFERROR(__xludf.DUMMYFUNCTION("GOOGLETRANSLATE(A2649 , ""tr"" , ""en"")"),"The number of cases was 125 reduction compared to yesterday. Our recovering patient count has passed the new case of new cases today. The negligence of one of us concerns us all. Let's continue with measures to our lives. https://t.co/rvlhe7786o https://t"&amp;".co/beybuInqam")</f>
        <v>The number of cases was 125 reduction compared to yesterday. Our recovering patient count has passed the new case of new cases today. The negligence of one of us concerns us all. Let's continue with measures to our lives. https://t.co/rvlhe7786o https://t.co/beybuInqam</v>
      </c>
    </row>
    <row r="2650" spans="1:5" ht="15.75" customHeight="1" x14ac:dyDescent="0.25">
      <c r="A2650" s="1" t="s">
        <v>5299</v>
      </c>
      <c r="B2650" s="1">
        <v>36219</v>
      </c>
      <c r="C2650" s="3">
        <v>44000.412488425929</v>
      </c>
      <c r="D2650" s="1" t="s">
        <v>5300</v>
      </c>
      <c r="E2650" s="4" t="str">
        <f ca="1">IFERROR(__xludf.DUMMYFUNCTION("GOOGLETRANSLATE(A2650 , ""tr"" , ""en"")"),"LGS and YKS are the decision to recommend a science board on the conditions that need to be provided on the days. The lack of density outside during the examination and return hours is sec. Our president has instructed a limited curfew. https://t.co/9gc5c"&amp;"0oIkv")</f>
        <v>LGS and YKS are the decision to recommend a science board on the conditions that need to be provided on the days. The lack of density outside during the examination and return hours is sec. Our president has instructed a limited curfew. https://t.co/9gc5c0oIkv</v>
      </c>
    </row>
    <row r="2651" spans="1:5" ht="15.75" customHeight="1" x14ac:dyDescent="0.25">
      <c r="A2651" s="1" t="s">
        <v>5301</v>
      </c>
      <c r="B2651" s="1">
        <v>28060</v>
      </c>
      <c r="C2651" s="3">
        <v>44000.372719907406</v>
      </c>
      <c r="D2651" s="1" t="s">
        <v>5302</v>
      </c>
      <c r="E2651" s="4" t="str">
        <f ca="1">IFERROR(__xludf.DUMMYFUNCTION("GOOGLETRANSLATE(A2651 , ""tr"" , ""en"")"),"The virus cannot be viewed with the electron microscope that can view the virus. Let's be viewed. You may experience a large number of surprises if you are not very cautious these days. Avoid handshake. Wash your hand frequently. Coronavirus is transmitte"&amp;"d by respiration. Let's not make it easy with our own hands. https://t.co/ka97nklr6h")</f>
        <v>The virus cannot be viewed with the electron microscope that can view the virus. Let's be viewed. You may experience a large number of surprises if you are not very cautious these days. Avoid handshake. Wash your hand frequently. Coronavirus is transmitted by respiration. Let's not make it easy with our own hands. https://t.co/ka97nklr6h</v>
      </c>
    </row>
    <row r="2652" spans="1:5" ht="15.75" customHeight="1" x14ac:dyDescent="0.25">
      <c r="A2652" s="1" t="s">
        <v>5303</v>
      </c>
      <c r="B2652" s="1">
        <v>32317</v>
      </c>
      <c r="C2652" s="3">
        <v>43999.930162037039</v>
      </c>
      <c r="D2652" s="1" t="s">
        <v>5304</v>
      </c>
      <c r="E2652" s="4" t="str">
        <f ca="1">IFERROR(__xludf.DUMMYFUNCTION("GOOGLETRANSLATE(A2652 , ""tr"" , ""en"")"),"President of the Foreign Affairs Commission of the Foreign Affairs Commission, the President of the General Assembly of the General Assembly 75th period. I celebrate himself from the heart. SN. The steppe is the first name from our country to this task. L"&amp;"et all the international society and echo on the sound of the echo.")</f>
        <v>President of the Foreign Affairs Commission of the Foreign Affairs Commission, the President of the General Assembly of the General Assembly 75th period. I celebrate himself from the heart. SN. The steppe is the first name from our country to this task. Let all the international society and echo on the sound of the echo.</v>
      </c>
    </row>
    <row r="2653" spans="1:5" ht="15.75" customHeight="1" x14ac:dyDescent="0.25">
      <c r="A2653" s="1" t="s">
        <v>5305</v>
      </c>
      <c r="B2653" s="1">
        <v>28456</v>
      </c>
      <c r="C2653" s="3">
        <v>43999.870763888888</v>
      </c>
      <c r="D2653" s="1" t="s">
        <v>5306</v>
      </c>
      <c r="E2653" s="4" t="str">
        <f ca="1">IFERROR(__xludf.DUMMYFUNCTION("GOOGLETRANSLATE(A2653 , ""tr"" , ""en"")"),"Ankara, Istanbul, Izmir, Bursa, Kocaeli, Konya, Kayseri, Diyarbakır, Şanlıurfa and Van in the last month in the last month, you can learn the average number of cases of a week and the average of the last three days of the last three days. In some of some "&amp;"developments are important. https://t.co/1kortsbmck")</f>
        <v>Ankara, Istanbul, Izmir, Bursa, Kocaeli, Konya, Kayseri, Diyarbakır, Şanlıurfa and Van in the last month in the last month, you can learn the average number of cases of a week and the average of the last three days of the last three days. In some of some developments are important. https://t.co/1kortsbmck</v>
      </c>
    </row>
    <row r="2654" spans="1:5" ht="15.75" customHeight="1" x14ac:dyDescent="0.25">
      <c r="A2654" s="1" t="s">
        <v>5307</v>
      </c>
      <c r="B2654" s="1">
        <v>26011</v>
      </c>
      <c r="C2654" s="3">
        <v>43999.855833333335</v>
      </c>
      <c r="D2654" s="1" t="s">
        <v>5308</v>
      </c>
      <c r="E2654" s="4" t="str">
        <f ca="1">IFERROR(__xludf.DUMMYFUNCTION("GOOGLETRANSLATE(A2654 , ""tr"" , ""en"")"),"At the beginning of the epidemic was 53% of their intensive care. The ratio has now fell to 2%. Weight protection from the disease has increased success. If we can't protect them we cannot mention the mass improvement. Who can be ready to assume the price"&amp;" of that? Not to take measures is to take the price. https://t.co/npasokolmf")</f>
        <v>At the beginning of the epidemic was 53% of their intensive care. The ratio has now fell to 2%. Weight protection from the disease has increased success. If we can't protect them we cannot mention the mass improvement. Who can be ready to assume the price of that? Not to take measures is to take the price. https://t.co/npasokolmf</v>
      </c>
    </row>
    <row r="2655" spans="1:5" ht="15.75" customHeight="1" x14ac:dyDescent="0.25">
      <c r="A2655" s="1" t="s">
        <v>5309</v>
      </c>
      <c r="B2655" s="1">
        <v>17117</v>
      </c>
      <c r="C2655" s="3">
        <v>43999.84039351852</v>
      </c>
      <c r="D2655" s="1" t="s">
        <v>5310</v>
      </c>
      <c r="E2655" s="4" t="str">
        <f ca="1">IFERROR(__xludf.DUMMYFUNCTION("GOOGLETRANSLATE(A2655 , ""tr"" , ""en"")"),"We have to give this struggle within the continuity of life. In stable steps, we can turn normalization into the recovery process in all aspects. This condition is that social life is loyal to specific principles in this period. In recent days, the increa"&amp;"se in the case is related to intelligence. https://t.co/c248dtsc5h")</f>
        <v>We have to give this struggle within the continuity of life. In stable steps, we can turn normalization into the recovery process in all aspects. This condition is that social life is loyal to specific principles in this period. In recent days, the increase in the case is related to intelligence. https://t.co/c248dtsc5h</v>
      </c>
    </row>
    <row r="2656" spans="1:5" ht="15.75" customHeight="1" x14ac:dyDescent="0.25">
      <c r="A2656" s="1" t="s">
        <v>5311</v>
      </c>
      <c r="B2656" s="1">
        <v>61605</v>
      </c>
      <c r="C2656" s="3">
        <v>43999.705416666664</v>
      </c>
      <c r="D2656" s="1" t="s">
        <v>5312</v>
      </c>
      <c r="E2656" s="4" t="str">
        <f ca="1">IFERROR(__xludf.DUMMYFUNCTION("GOOGLETRANSLATE(A2656 , ""tr"" , ""en"")"),"In our daily new case, yesterday had been a decrease in 125 compared to the previous day. The situation is stationary today. Our new healing patient count is less than the new case number right now. We must reduce the number of cases and risk with measure"&amp;"s. https://t.co/rvlhe7786o https://t.co/yupoahpxfg")</f>
        <v>In our daily new case, yesterday had been a decrease in 125 compared to the previous day. The situation is stationary today. Our new healing patient count is less than the new case number right now. We must reduce the number of cases and risk with measures. https://t.co/rvlhe7786o https://t.co/yupoahpxfg</v>
      </c>
    </row>
    <row r="2657" spans="1:5" ht="15.75" customHeight="1" x14ac:dyDescent="0.25">
      <c r="A2657" s="1" t="s">
        <v>5313</v>
      </c>
      <c r="B2657" s="1">
        <v>14668</v>
      </c>
      <c r="C2657" s="3">
        <v>43999.696342592593</v>
      </c>
      <c r="D2657" s="1" t="s">
        <v>5314</v>
      </c>
      <c r="E2657" s="4" t="str">
        <f ca="1">IFERROR(__xludf.DUMMYFUNCTION("GOOGLETRANSLATE(A2657 , ""tr"" , ""en"")"),"After our Science Board meeting, the latest developments on the coronavirus and the new measures we receive.
📍Public Ministry Bilkent Campus / Ankara
https://t.co/johgpoh5gj")</f>
        <v>After our Science Board meeting, the latest developments on the coronavirus and the new measures we receive.
📍Public Ministry Bilkent Campus / Ankara
https://t.co/johgpoh5gj</v>
      </c>
    </row>
    <row r="2658" spans="1:5" ht="15.75" customHeight="1" x14ac:dyDescent="0.25">
      <c r="A2658" s="1" t="s">
        <v>5315</v>
      </c>
      <c r="B2658" s="1">
        <v>144620</v>
      </c>
      <c r="C2658" s="3">
        <v>43998.875462962962</v>
      </c>
      <c r="D2658" s="1" t="s">
        <v>5316</v>
      </c>
      <c r="E2658" s="4" t="str">
        <f ca="1">IFERROR(__xludf.DUMMYFUNCTION("GOOGLETRANSLATE(A2658 , ""tr"" , ""en"")"),"I bought all the alerts with sweet tongue, sour languages ​​individually. Thank you. I change the cover photo a little bit. Look for the last bi times in the bad example, do the inferior :), there, there was ten, fifteen meters from the photographer. But "&amp;"not excused on the cover.")</f>
        <v>I bought all the alerts with sweet tongue, sour languages ​​individually. Thank you. I change the cover photo a little bit. Look for the last bi times in the bad example, do the inferior :), there, there was ten, fifteen meters from the photographer. But not excused on the cover.</v>
      </c>
    </row>
    <row r="2659" spans="1:5" ht="15.75" customHeight="1" x14ac:dyDescent="0.25">
      <c r="A2659" s="1" t="s">
        <v>5317</v>
      </c>
      <c r="B2659" s="1">
        <v>81486</v>
      </c>
      <c r="C2659" s="3">
        <v>43998.718969907408</v>
      </c>
      <c r="D2659" s="1" t="s">
        <v>5318</v>
      </c>
      <c r="E2659" s="4" t="str">
        <f ca="1">IFERROR(__xludf.DUMMYFUNCTION("GOOGLETRANSLATE(A2659 , ""tr"" , ""en"")"),"The new number of cases is 125 from the last of the last. The new number of patients who had hospitalized 210. Intensive care is 10 increase in our patients. Some regions and group behaviors are enabled in the last tables where the number of positive diag"&amp;"noses are above 1,000. We are strong with measures. https://t.co/rvlhe7786o https://t.co/e4zrxzcmr5")</f>
        <v>The new number of cases is 125 from the last of the last. The new number of patients who had hospitalized 210. Intensive care is 10 increase in our patients. Some regions and group behaviors are enabled in the last tables where the number of positive diagnoses are above 1,000. We are strong with measures. https://t.co/rvlhe7786o https://t.co/e4zrxzcmr5</v>
      </c>
    </row>
    <row r="2660" spans="1:5" ht="15.75" customHeight="1" x14ac:dyDescent="0.25">
      <c r="A2660" s="1" t="s">
        <v>5319</v>
      </c>
      <c r="B2660" s="1">
        <v>65106</v>
      </c>
      <c r="C2660" s="3">
        <v>43998.335243055553</v>
      </c>
      <c r="D2660" s="1" t="s">
        <v>5320</v>
      </c>
      <c r="E2660" s="4" t="str">
        <f ca="1">IFERROR(__xludf.DUMMYFUNCTION("GOOGLETRANSLATE(A2660 , ""tr"" , ""en"")"),"In the fight against the virus, our mask, social responsibility. Let's keep each other anti-virus by plugging the mask. Let's stimulate those who don't have maskless wandering, as they are wearing masks. We cannot struggle with virus without mask. https:/"&amp;"/t.co/nm1jcrinxn")</f>
        <v>In the fight against the virus, our mask, social responsibility. Let's keep each other anti-virus by plugging the mask. Let's stimulate those who don't have maskless wandering, as they are wearing masks. We cannot struggle with virus without mask. https://t.co/nm1jcrinxn</v>
      </c>
    </row>
    <row r="2661" spans="1:5" ht="15.75" customHeight="1" x14ac:dyDescent="0.25">
      <c r="A2661" s="1" t="s">
        <v>5321</v>
      </c>
      <c r="B2661" s="1">
        <v>240526</v>
      </c>
      <c r="C2661" s="3">
        <v>43998.229675925926</v>
      </c>
      <c r="D2661" s="1" t="s">
        <v>5322</v>
      </c>
      <c r="E2661" s="4" t="str">
        <f ca="1">IFERROR(__xludf.DUMMYFUNCTION("GOOGLETRANSLATE(A2661 , ""tr"" , ""en"")"),"Are without mask? What do you say see?")</f>
        <v>Are without mask? What do you say see?</v>
      </c>
    </row>
    <row r="2662" spans="1:5" ht="15.75" customHeight="1" x14ac:dyDescent="0.25">
      <c r="A2662" s="1" t="s">
        <v>5323</v>
      </c>
      <c r="B2662" s="1">
        <v>55954</v>
      </c>
      <c r="C2662" s="3">
        <v>43997.948981481481</v>
      </c>
      <c r="D2662" s="1" t="s">
        <v>5324</v>
      </c>
      <c r="E2662" s="4" t="str">
        <f ca="1">IFERROR(__xludf.DUMMYFUNCTION("GOOGLETRANSLATE(A2662 , ""tr"" , ""en"")"),"Our provincial HIFZISSIHHA boards are continuing to take decisions against the presidency of our governors, especially our cities that draw attention to the case increases. Mask in our 42 provinces, a social responsibility with sanctions. We cannot strugg"&amp;"le with virus without mask. https://t.co/oqytnhmow6")</f>
        <v>Our provincial HIFZISSIHHA boards are continuing to take decisions against the presidency of our governors, especially our cities that draw attention to the case increases. Mask in our 42 provinces, a social responsibility with sanctions. We cannot struggle with virus without mask. https://t.co/oqytnhmow6</v>
      </c>
    </row>
    <row r="2663" spans="1:5" ht="15.75" customHeight="1" x14ac:dyDescent="0.25">
      <c r="A2663" s="1" t="s">
        <v>5325</v>
      </c>
      <c r="B2663" s="1">
        <v>174592</v>
      </c>
      <c r="C2663" s="3">
        <v>43997.828368055554</v>
      </c>
      <c r="D2663" s="1" t="s">
        <v>5326</v>
      </c>
      <c r="E2663" s="4" t="str">
        <f ca="1">IFERROR(__xludf.DUMMYFUNCTION("GOOGLETRANSLATE(A2663 , ""tr"" , ""en"")"),"Let's call the mask and the distance rules to the fight against the virus.")</f>
        <v>Let's call the mask and the distance rules to the fight against the virus.</v>
      </c>
    </row>
    <row r="2664" spans="1:5" ht="15.75" customHeight="1" x14ac:dyDescent="0.25">
      <c r="A2664" s="1" t="s">
        <v>5327</v>
      </c>
      <c r="B2664" s="1">
        <v>25460</v>
      </c>
      <c r="C2664" s="3">
        <v>43997.820659722223</v>
      </c>
      <c r="D2664" s="1" t="s">
        <v>5328</v>
      </c>
      <c r="E2664" s="4" t="str">
        <f ca="1">IFERROR(__xludf.DUMMYFUNCTION("GOOGLETRANSLATE(A2664 , ""tr"" , ""en"")"),"For our health facilities in Istanbul, we need more than 3,250 working friends. You can follow the announcements over the Internet. Already, I wish you success in your post. https://t.co/dkvwgjwio8")</f>
        <v>For our health facilities in Istanbul, we need more than 3,250 working friends. You can follow the announcements over the Internet. Already, I wish you success in your post. https://t.co/dkvwgjwio8</v>
      </c>
    </row>
    <row r="2665" spans="1:5" ht="15.75" customHeight="1" x14ac:dyDescent="0.25">
      <c r="A2665" s="1" t="s">
        <v>5329</v>
      </c>
      <c r="B2665" s="1">
        <v>98984</v>
      </c>
      <c r="C2665" s="3">
        <v>43997.741273148145</v>
      </c>
      <c r="D2665" s="1" t="s">
        <v>5330</v>
      </c>
      <c r="E2665" s="4" t="str">
        <f ca="1">IFERROR(__xludf.DUMMYFUNCTION("GOOGLETRANSLATE(A2665 , ""tr"" , ""en"")"),"Our number of cases compared to yesterday 30, Intensive care patients 5, intubated patients increased by 1 increase. Increases are concentrated in certain areas. Rehavet or struggle? For the mask + distance rule, we can always control the propagation. We "&amp;"are in the power. https://t.co/rvlhe7786o https://t.co/unwwc4rrxe")</f>
        <v>Our number of cases compared to yesterday 30, Intensive care patients 5, intubated patients increased by 1 increase. Increases are concentrated in certain areas. Rehavet or struggle? For the mask + distance rule, we can always control the propagation. We are in the power. https://t.co/rvlhe7786o https://t.co/unwwc4rrxe</v>
      </c>
    </row>
    <row r="2666" spans="1:5" ht="15.75" customHeight="1" x14ac:dyDescent="0.25">
      <c r="A2666" s="1" t="s">
        <v>5331</v>
      </c>
      <c r="B2666" s="1">
        <v>49486</v>
      </c>
      <c r="C2666" s="3">
        <v>43996.845358796294</v>
      </c>
      <c r="D2666" s="1" t="s">
        <v>5332</v>
      </c>
      <c r="E2666" s="4" t="str">
        <f ca="1">IFERROR(__xludf.DUMMYFUNCTION("GOOGLETRANSLATE(A2666 , ""tr"" , ""en"")"),"Bingöl Karliova has experienced an earthquake of 5.7 that affects environmental provinces. We have a loss of life. I wish the mercy from Allah. Our ambulances, Umke vehicles, our intervention units, we are in duty with our staff. We have been treated with"&amp;" our injured. TURKEY get in Turkey.")</f>
        <v>Bingöl Karliova has experienced an earthquake of 5.7 that affects environmental provinces. We have a loss of life. I wish the mercy from Allah. Our ambulances, Umke vehicles, our intervention units, we are in duty with our staff. We have been treated with our injured. TURKEY get in Turkey.</v>
      </c>
    </row>
    <row r="2667" spans="1:5" ht="15.75" customHeight="1" x14ac:dyDescent="0.25">
      <c r="A2667" s="1" t="s">
        <v>5333</v>
      </c>
      <c r="B2667" s="1">
        <v>126400</v>
      </c>
      <c r="C2667" s="3">
        <v>43996.720381944448</v>
      </c>
      <c r="D2667" s="1" t="s">
        <v>5334</v>
      </c>
      <c r="E2667" s="4" t="str">
        <f ca="1">IFERROR(__xludf.DUMMYFUNCTION("GOOGLETRANSLATE(A2667 , ""tr"" , ""en"")"),"Our recovering patient count has fallen below the new number of cases. The need for intensive care and respiratory is increasing: We are moving away from the target. Our weakest point is imprudent optimism. Let's be a cautious optimistic. Let's go fully p"&amp;"ass tomorrow to the period of controlled social life. https://t.co/rvlhe7786o https://t.co/540lybatkn")</f>
        <v>Our recovering patient count has fallen below the new number of cases. The need for intensive care and respiratory is increasing: We are moving away from the target. Our weakest point is imprudent optimism. Let's be a cautious optimistic. Let's go fully pass tomorrow to the period of controlled social life. https://t.co/rvlhe7786o https://t.co/540lybatkn</v>
      </c>
    </row>
    <row r="2668" spans="1:5" ht="15.75" customHeight="1" x14ac:dyDescent="0.2">
      <c r="A2668" s="5" t="s">
        <v>5335</v>
      </c>
      <c r="B2668" s="1">
        <v>77792</v>
      </c>
      <c r="C2668" s="3">
        <v>43996.500185185185</v>
      </c>
      <c r="D2668" s="1" t="s">
        <v>5336</v>
      </c>
      <c r="E2668" s="6" t="str">
        <f ca="1">IFERROR(__xludf.DUMMYFUNCTION("GOOGLETRANSLATE(A2668 , ""tr"" , ""en"")"),"https://t.co/Iuginsg4qz")</f>
        <v>https://t.co/Iuginsg4qz</v>
      </c>
    </row>
    <row r="2669" spans="1:5" ht="15.75" customHeight="1" x14ac:dyDescent="0.25">
      <c r="A2669" s="1" t="s">
        <v>5337</v>
      </c>
      <c r="B2669" s="1">
        <v>35067</v>
      </c>
      <c r="C2669" s="3">
        <v>43996.460277777776</v>
      </c>
      <c r="D2669" s="1" t="s">
        <v>5338</v>
      </c>
      <c r="E2669" s="4" t="str">
        <f ca="1">IFERROR(__xludf.DUMMYFUNCTION("GOOGLETRANSLATE(A2669 , ""tr"" , ""en"")"),"The virus remains alive for some time on some outer surfaces. When you touch a surface with a virus, the contact with the mouth and nose leads to the disease. If we do not comply with the distance rule, we can also have the opportunity to the virus if we "&amp;"are shaking hands. Let's not shake up. It is not to shake the friendly these days. https://t.co/tndfm32qy2")</f>
        <v>The virus remains alive for some time on some outer surfaces. When you touch a surface with a virus, the contact with the mouth and nose leads to the disease. If we do not comply with the distance rule, we can also have the opportunity to the virus if we are shaking hands. Let's not shake up. It is not to shake the friendly these days. https://t.co/tndfm32qy2</v>
      </c>
    </row>
    <row r="2670" spans="1:5" ht="15.75" customHeight="1" x14ac:dyDescent="0.25">
      <c r="A2670" s="1" t="s">
        <v>5339</v>
      </c>
      <c r="B2670" s="1">
        <v>57758</v>
      </c>
      <c r="C2670" s="3">
        <v>43996.355034722219</v>
      </c>
      <c r="D2670" s="1" t="s">
        <v>5340</v>
      </c>
      <c r="E2670" s="4" t="str">
        <f ca="1">IFERROR(__xludf.DUMMYFUNCTION("GOOGLETRANSLATE(A2670 , ""tr"" , ""en"")"),"Our tables of yesterday has faced us all with the fact that our tables protect the sequence of the epidemic. We are very strong and experienced in measures to step back. The day we started get a reassuring day for tomorrow. https://t.co/2q7umxtlhp")</f>
        <v>Our tables of yesterday has faced us all with the fact that our tables protect the sequence of the epidemic. We are very strong and experienced in measures to step back. The day we started get a reassuring day for tomorrow. https://t.co/2q7umxtlhp</v>
      </c>
    </row>
    <row r="2671" spans="1:5" ht="15.75" customHeight="1" x14ac:dyDescent="0.25">
      <c r="A2671" s="1" t="s">
        <v>5341</v>
      </c>
      <c r="B2671" s="1">
        <v>18930</v>
      </c>
      <c r="C2671" s="3">
        <v>43996.24417824074</v>
      </c>
      <c r="D2671" s="1" t="s">
        <v>5342</v>
      </c>
      <c r="E2671" s="4" t="str">
        <f ca="1">IFERROR(__xludf.DUMMYFUNCTION("GOOGLETRANSLATE(A2671 , ""tr"" , ""en"")"),"13 June, İrfan won the treasure and we will not be able to forget with the style and 33th anniversary of Master Cemil Meriç's death. The life passed between books. Enough to afford being blind. We are grateful to him for everything he wants us to see. We "&amp;"can see the greatness better today. https://t.co/z0xxtffftgj")</f>
        <v>13 June, İrfan won the treasure and we will not be able to forget with the style and 33th anniversary of Master Cemil Meriç's death. The life passed between books. Enough to afford being blind. We are grateful to him for everything he wants us to see. We can see the greatness better today. https://t.co/z0xxtffftgj</v>
      </c>
    </row>
    <row r="2672" spans="1:5" ht="15.75" customHeight="1" x14ac:dyDescent="0.25">
      <c r="A2672" s="1" t="s">
        <v>5343</v>
      </c>
      <c r="B2672" s="1">
        <v>18574</v>
      </c>
      <c r="C2672" s="3">
        <v>43995.964699074073</v>
      </c>
      <c r="D2672" s="1" t="s">
        <v>5344</v>
      </c>
      <c r="E2672" s="4" t="str">
        <f ca="1">IFERROR(__xludf.DUMMYFUNCTION("GOOGLETRANSLATE(A2672 , ""tr"" , ""en"")"),"In the third of our visits, our teacher Dr. We examined the first stage of the Okmeydanı city hospital, which we called Cemil Taşcıoğlu. The first stage starting to accept patient is 790 beds with 81 intense care. 27 Our operating room is active. Our new "&amp;"news is close. https://t.co/nIefxvqgu2")</f>
        <v>In the third of our visits, our teacher Dr. We examined the first stage of the Okmeydanı city hospital, which we called Cemil Taşcıoğlu. The first stage starting to accept patient is 790 beds with 81 intense care. 27 Our operating room is active. Our new news is close. https://t.co/nIefxvqgu2</v>
      </c>
    </row>
    <row r="2673" spans="1:5" ht="15.75" customHeight="1" x14ac:dyDescent="0.25">
      <c r="A2673" s="1" t="s">
        <v>5345</v>
      </c>
      <c r="B2673" s="1">
        <v>21107</v>
      </c>
      <c r="C2673" s="3">
        <v>43995.948981481481</v>
      </c>
      <c r="D2673" s="1" t="s">
        <v>5346</v>
      </c>
      <c r="E2673" s="4" t="str">
        <f ca="1">IFERROR(__xludf.DUMMYFUNCTION("GOOGLETRANSLATE(A2673 , ""tr"" , ""en"")"),"Our second visit was our city hospital in the attendee campus. Istanbul has been durable with earthquake insulators, a high-tech hospital. The 600 beds, 27 operating rooms at the hospital's first stage will soon be served. https://t.co/CC70ILC7NR")</f>
        <v>Our second visit was our city hospital in the attendee campus. Istanbul has been durable with earthquake insulators, a high-tech hospital. The 600 beds, 27 operating rooms at the hospital's first stage will soon be served. https://t.co/CC70ILC7NR</v>
      </c>
    </row>
    <row r="2674" spans="1:5" ht="15.75" customHeight="1" x14ac:dyDescent="0.25">
      <c r="A2674" s="1" t="s">
        <v>5347</v>
      </c>
      <c r="B2674" s="1">
        <v>64491</v>
      </c>
      <c r="C2674" s="3">
        <v>43995.857430555552</v>
      </c>
      <c r="D2674" s="1" t="s">
        <v>5348</v>
      </c>
      <c r="E2674" s="4" t="str">
        <f ca="1">IFERROR(__xludf.DUMMYFUNCTION("GOOGLETRANSLATE(A2674 , ""tr"" , ""en"")"),"The photo I share is up to date. We have visited today and only covID-19 patients were accepted. Dr. Feriha has been taken at the Estate Emergency Hospital. https://t.co/lccvou38dy")</f>
        <v>The photo I share is up to date. We have visited today and only covID-19 patients were accepted. Dr. Feriha has been taken at the Estate Emergency Hospital. https://t.co/lccvou38dy</v>
      </c>
    </row>
    <row r="2675" spans="1:5" ht="15.75" customHeight="1" x14ac:dyDescent="0.25">
      <c r="A2675" s="1" t="s">
        <v>5349</v>
      </c>
      <c r="B2675" s="1">
        <v>130802</v>
      </c>
      <c r="C2675" s="3">
        <v>43995.725856481484</v>
      </c>
      <c r="D2675" s="1" t="s">
        <v>5350</v>
      </c>
      <c r="E2675" s="4" t="str">
        <f ca="1">IFERROR(__xludf.DUMMYFUNCTION("GOOGLETRANSLATE(A2675 , ""tr"" , ""en"")"),"The increase in the number of cases warn those who do not meet the measures. Increasingly, all of us. https://t.co/rvlhe7786o https://t.co/0snqsJTIQJ")</f>
        <v>The increase in the number of cases warn those who do not meet the measures. Increasingly, all of us. https://t.co/rvlhe7786o https://t.co/0snqsJTIQJ</v>
      </c>
    </row>
    <row r="2676" spans="1:5" ht="15.75" customHeight="1" x14ac:dyDescent="0.25">
      <c r="A2676" s="1" t="s">
        <v>5351</v>
      </c>
      <c r="B2676" s="1">
        <v>25786</v>
      </c>
      <c r="C2676" s="3">
        <v>43995.641875000001</v>
      </c>
      <c r="D2676" s="1" t="s">
        <v>5352</v>
      </c>
      <c r="E2676" s="4" t="str">
        <f ca="1">IFERROR(__xludf.DUMMYFUNCTION("GOOGLETRANSLATE(A2676 , ""tr"" , ""en"")"),"I am in istanbul. Opened two weeks ago Prof. We visited our Feriha self-emergency hospital and our study friends. We have received information on our lying 105 patients. Our hospital only accepts suspects with coronavirus patients. We have new hospital vi"&amp;"sits in the order. https://t.co/es1l7laqmr")</f>
        <v>I am in istanbul. Opened two weeks ago Prof. We visited our Feriha self-emergency hospital and our study friends. We have received information on our lying 105 patients. Our hospital only accepts suspects with coronavirus patients. We have new hospital visits in the order. https://t.co/es1l7laqmr</v>
      </c>
    </row>
    <row r="2677" spans="1:5" ht="15.75" customHeight="1" x14ac:dyDescent="0.25">
      <c r="A2677" s="1" t="s">
        <v>5353</v>
      </c>
      <c r="B2677" s="1">
        <v>39036</v>
      </c>
      <c r="C2677" s="3">
        <v>43994.785312499997</v>
      </c>
      <c r="D2677" s="1" t="s">
        <v>5354</v>
      </c>
      <c r="E2677" s="4" t="str">
        <f ca="1">IFERROR(__xludf.DUMMYFUNCTION("GOOGLETRANSLATE(A2677 , ""tr"" , ""en"")"),"Leagues began from where it is scheduled. Matches are played in no audience. I wish the team on the screen, especially if they are in common places, especially if they are in common places. Masked, distance ... Let's watch the game according to the rule! "&amp;"https://t.co/tyI9v98o14")</f>
        <v>Leagues began from where it is scheduled. Matches are played in no audience. I wish the team on the screen, especially if they are in common places, especially if they are in common places. Masked, distance ... Let's watch the game according to the rule! https://t.co/tyI9v98o14</v>
      </c>
    </row>
    <row r="2678" spans="1:5" ht="15.75" customHeight="1" x14ac:dyDescent="0.25">
      <c r="A2678" s="1" t="s">
        <v>5355</v>
      </c>
      <c r="B2678" s="1">
        <v>89689</v>
      </c>
      <c r="C2678" s="3">
        <v>43994.710069444445</v>
      </c>
      <c r="D2678" s="1" t="s">
        <v>5356</v>
      </c>
      <c r="E2678" s="4" t="str">
        <f ca="1">IFERROR(__xludf.DUMMYFUNCTION("GOOGLETRANSLATE(A2678 , ""tr"" , ""en"")"),"Today's number of cases is 1.195. The number of our patients who have recovered yet is about 25 thousand. The increase in intensive care and intubate patients is at the limit of the expected increase. The propagation of the virus is due to faulty optimism"&amp;". Let's obey the mask, distance and cleaning rule. https://t.co/rvlhe7786o https://t.co/rteI0gjodd")</f>
        <v>Today's number of cases is 1.195. The number of our patients who have recovered yet is about 25 thousand. The increase in intensive care and intubate patients is at the limit of the expected increase. The propagation of the virus is due to faulty optimism. Let's obey the mask, distance and cleaning rule. https://t.co/rvlhe7786o https://t.co/rteI0gjodd</v>
      </c>
    </row>
    <row r="2679" spans="1:5" ht="15.75" customHeight="1" x14ac:dyDescent="0.25">
      <c r="A2679" s="1" t="s">
        <v>5357</v>
      </c>
      <c r="B2679" s="1">
        <v>53373</v>
      </c>
      <c r="C2679" s="3">
        <v>43994.480208333334</v>
      </c>
      <c r="D2679" s="1" t="s">
        <v>5358</v>
      </c>
      <c r="E2679" s="4" t="str">
        <f ca="1">IFERROR(__xludf.DUMMYFUNCTION("GOOGLETRANSLATE(A2679 , ""tr"" , ""en"")"),"The young elderly, the big little little little little little little is now out whenever you want. But the constraint has taken up, the summer is not overlooked. We also owe ourselves to our house. Let's take time to our home instead of staying more than "&amp;"enough to stay out. https://t.co/ukhjfljl0l")</f>
        <v>The young elderly, the big little little little little little little is now out whenever you want. But the constraint has taken up, the summer is not overlooked. We also owe ourselves to our house. Let's take time to our home instead of staying more than enough to stay out. https://t.co/ukhjfljl0l</v>
      </c>
    </row>
    <row r="2680" spans="1:5" ht="15.75" customHeight="1" x14ac:dyDescent="0.25">
      <c r="A2680" s="1" t="s">
        <v>5359</v>
      </c>
      <c r="B2680" s="1">
        <v>51694</v>
      </c>
      <c r="C2680" s="3">
        <v>43994.376944444448</v>
      </c>
      <c r="D2680" s="1" t="s">
        <v>5360</v>
      </c>
      <c r="E2680" s="4" t="str">
        <f ca="1">IFERROR(__xludf.DUMMYFUNCTION("GOOGLETRANSLATE(A2680 , ""tr"" , ""en"")"),"I think it was to be the hardest child. Their fears upset us. They miss the parks they were able to stay at home. They fitted their masks when they exit. Thank you to our children and parents. They may alert those who do not meet the rules when they go ou"&amp;"t. The slogans are ready :) ""Don't get close to me!"" https://t.co/vcjclq3dbp")</f>
        <v>I think it was to be the hardest child. Their fears upset us. They miss the parks they were able to stay at home. They fitted their masks when they exit. Thank you to our children and parents. They may alert those who do not meet the rules when they go out. The slogans are ready :) "Don't get close to me!" https://t.co/vcjclq3dbp</v>
      </c>
    </row>
    <row r="2681" spans="1:5" ht="15.75" customHeight="1" x14ac:dyDescent="0.25">
      <c r="A2681" s="1" t="s">
        <v>5361</v>
      </c>
      <c r="B2681" s="1">
        <v>14368</v>
      </c>
      <c r="C2681" s="3">
        <v>43994.363611111112</v>
      </c>
      <c r="D2681" s="1" t="s">
        <v>5362</v>
      </c>
      <c r="E2681" s="4" t="str">
        <f ca="1">IFERROR(__xludf.DUMMYFUNCTION("GOOGLETRANSLATE(A2681 , ""tr"" , ""en"")"),"Professed by their contributions to economics Dr. Sabri lost the forest life. Their colleagues are committed to him with high humanitarian qualifications as well as their leading work. I wish our teacher from Allah to the mercy, family and the science wor"&amp;"ld. https://t.co/2JI55ZT81W")</f>
        <v>Professed by their contributions to economics Dr. Sabri lost the forest life. Their colleagues are committed to him with high humanitarian qualifications as well as their leading work. I wish our teacher from Allah to the mercy, family and the science world. https://t.co/2JI55ZT81W</v>
      </c>
    </row>
    <row r="2682" spans="1:5" ht="15.75" customHeight="1" x14ac:dyDescent="0.25">
      <c r="A2682" s="1" t="s">
        <v>5363</v>
      </c>
      <c r="B2682" s="1">
        <v>168921</v>
      </c>
      <c r="C2682" s="3">
        <v>43993.868252314816</v>
      </c>
      <c r="D2682" s="1" t="s">
        <v>5364</v>
      </c>
      <c r="E2682" s="4" t="str">
        <f ca="1">IFERROR(__xludf.DUMMYFUNCTION("GOOGLETRANSLATE(A2682 , ""tr"" , ""en"")"),"Dangerous social distances: 149 cm, 148 cm, 147 cm, 146 cm, 145 cm, 144 cm, 143 cm, 142cm, 141 cm, 140 cm, 139 cm, 138 cm, 137 cm, 136 cm, 135 cm, 134 cm, 133 cm, 132 cm, 131 cm, 130 cm, 129 cm, 128 cm, 127 cm, 126 cm, 125 cm, 124 cm, 123 cm, 122 cm. The "&amp;"risk increases as distance decreases.")</f>
        <v>Dangerous social distances: 149 cm, 148 cm, 147 cm, 146 cm, 145 cm, 144 cm, 143 cm, 142cm, 141 cm, 140 cm, 139 cm, 138 cm, 137 cm, 136 cm, 135 cm, 134 cm, 133 cm, 132 cm, 131 cm, 130 cm, 129 cm, 128 cm, 127 cm, 126 cm, 125 cm, 124 cm, 123 cm, 122 cm. The risk increases as distance decreases.</v>
      </c>
    </row>
    <row r="2683" spans="1:5" ht="15.75" customHeight="1" x14ac:dyDescent="0.25">
      <c r="A2683" s="1" t="s">
        <v>5365</v>
      </c>
      <c r="B2683" s="1">
        <v>18546</v>
      </c>
      <c r="C2683" s="3">
        <v>43993.772743055553</v>
      </c>
      <c r="D2683" s="1" t="s">
        <v>5366</v>
      </c>
      <c r="E2683" s="4" t="str">
        <f ca="1">IFERROR(__xludf.DUMMYFUNCTION("GOOGLETRANSLATE(A2683 , ""tr"" , ""en"")"),"The Turkish Crescent is 152 years old. The first founders of June 11 1868 were out of the idealist physicians of the period. Hilal; Where there is a human pain, help call there again there was a reborn Turkish Redbird, 152 years stayed young for goodness."&amp;" Happy age! https://t.co/ox081pbymz")</f>
        <v>The Turkish Crescent is 152 years old. The first founders of June 11 1868 were out of the idealist physicians of the period. Hilal; Where there is a human pain, help call there again there was a reborn Turkish Redbird, 152 years stayed young for goodness. Happy age! https://t.co/ox081pbymz</v>
      </c>
    </row>
    <row r="2684" spans="1:5" ht="15.75" customHeight="1" x14ac:dyDescent="0.25">
      <c r="A2684" s="1" t="s">
        <v>5367</v>
      </c>
      <c r="B2684" s="1">
        <v>65956</v>
      </c>
      <c r="C2684" s="3">
        <v>43993.725162037037</v>
      </c>
      <c r="D2684" s="1" t="s">
        <v>5368</v>
      </c>
      <c r="E2684" s="4" t="str">
        <f ca="1">IFERROR(__xludf.DUMMYFUNCTION("GOOGLETRANSLATE(A2684 , ""tr"" , ""en"")"),"We have reached 2.5 million in the tests number. 85% of the cases ever healed. The newly diagnosed number of cases is close to each other with the new number of recovery cases. The virus takes the power from faulty optimism. Do not leave measures with the"&amp;" misconception of ""the effect of the virus. https://t.co/rvlhe7786o https://t.co/bcbgbrgpgp")</f>
        <v>We have reached 2.5 million in the tests number. 85% of the cases ever healed. The newly diagnosed number of cases is close to each other with the new number of recovery cases. The virus takes the power from faulty optimism. Do not leave measures with the misconception of "the effect of the virus. https://t.co/rvlhe7786o https://t.co/bcbgbrgpgp</v>
      </c>
    </row>
    <row r="2685" spans="1:5" ht="15.75" customHeight="1" x14ac:dyDescent="0.25">
      <c r="A2685" s="1" t="s">
        <v>5369</v>
      </c>
      <c r="B2685" s="1">
        <v>31906</v>
      </c>
      <c r="C2685" s="3">
        <v>43993.594583333332</v>
      </c>
      <c r="D2685" s="1" t="s">
        <v>5370</v>
      </c>
      <c r="E2685" s="4" t="str">
        <f ca="1">IFERROR(__xludf.DUMMYFUNCTION("GOOGLETRANSLATE(A2685 , ""tr"" , ""en"")"),"Our elders have stayed at home, wearing the mask outside and maintaining the social distance. They continue to show their size. Thank you. Let's be attentive toward them. We can beat the outbreak by complying with the rules. Thank you as well as those who"&amp;" do not meet the rules. https://t.co/74bnvf2AIF")</f>
        <v>Our elders have stayed at home, wearing the mask outside and maintaining the social distance. They continue to show their size. Thank you. Let's be attentive toward them. We can beat the outbreak by complying with the rules. Thank you as well as those who do not meet the rules. https://t.co/74bnvf2AIF</v>
      </c>
    </row>
    <row r="2686" spans="1:5" ht="15.75" customHeight="1" x14ac:dyDescent="0.25">
      <c r="A2686" s="1" t="s">
        <v>5371</v>
      </c>
      <c r="B2686" s="1">
        <v>41646</v>
      </c>
      <c r="C2686" s="3">
        <v>43992.965243055558</v>
      </c>
      <c r="D2686" s="1" t="s">
        <v>5372</v>
      </c>
      <c r="E2686" s="4" t="str">
        <f ca="1">IFERROR(__xludf.DUMMYFUNCTION("GOOGLETRANSLATE(A2686 , ""tr"" , ""en"")"),"My precious friend,
We had two new violent events. On the days in which health services are well known to what it means for humanity! The desired punishment of the judiciary cannot compensate the discomfort in conscience. Out of several exceptions, you re"&amp;"spect all of humanity. Get well soon.")</f>
        <v>My precious friend,
We had two new violent events. On the days in which health services are well known to what it means for humanity! The desired punishment of the judiciary cannot compensate the discomfort in conscience. Out of several exceptions, you respect all of humanity. Get well soon.</v>
      </c>
    </row>
    <row r="2687" spans="1:5" ht="15.75" customHeight="1" x14ac:dyDescent="0.25">
      <c r="A2687" s="1" t="s">
        <v>5373</v>
      </c>
      <c r="B2687" s="1">
        <v>37491</v>
      </c>
      <c r="C2687" s="3">
        <v>43992.917303240742</v>
      </c>
      <c r="D2687" s="1" t="s">
        <v>5374</v>
      </c>
      <c r="E2687" s="4" t="str">
        <f ca="1">IFERROR(__xludf.DUMMYFUNCTION("GOOGLETRANSLATE(A2687 , ""tr"" , ""en"")"),"Dear young people. It was not misdemeanor to be young in the epidemic period. The odds of spreading without knowing the virus led to stay at home. Now you have to be protected against our elders. Today's sample teenager, I think the teenager wearing the m"&amp;"ask is the young that protects the distance. It's my mind as a brother. https://t.co/n41a2mrkzt")</f>
        <v>Dear young people. It was not misdemeanor to be young in the epidemic period. The odds of spreading without knowing the virus led to stay at home. Now you have to be protected against our elders. Today's sample teenager, I think the teenager wearing the mask is the young that protects the distance. It's my mind as a brother. https://t.co/n41a2mrkzt</v>
      </c>
    </row>
    <row r="2688" spans="1:5" ht="15.75" customHeight="1" x14ac:dyDescent="0.25">
      <c r="A2688" s="1" t="s">
        <v>5375</v>
      </c>
      <c r="B2688" s="1">
        <v>17079</v>
      </c>
      <c r="C2688" s="3">
        <v>43992.908645833333</v>
      </c>
      <c r="D2688" s="1" t="s">
        <v>5376</v>
      </c>
      <c r="E2688" s="4" t="str">
        <f ca="1">IFERROR(__xludf.DUMMYFUNCTION("GOOGLETRANSLATE(A2688 , ""tr"" , ""en"")"),"My precious egrets. The freedom does not mean that the risk is eliminated. The risk continues with decreasing. You can use your free-time right in cautiously. I am at your time from you, you don't risk the other days at home. Please continue to show your "&amp;"size. https://t.co/cfdh3gdkuw")</f>
        <v>My precious egrets. The freedom does not mean that the risk is eliminated. The risk continues with decreasing. You can use your free-time right in cautiously. I am at your time from you, you don't risk the other days at home. Please continue to show your size. https://t.co/cfdh3gdkuw</v>
      </c>
    </row>
    <row r="2689" spans="1:5" ht="15.75" customHeight="1" x14ac:dyDescent="0.25">
      <c r="A2689" s="1" t="s">
        <v>5377</v>
      </c>
      <c r="B2689" s="1">
        <v>13318</v>
      </c>
      <c r="C2689" s="3">
        <v>43992.900011574071</v>
      </c>
      <c r="D2689" s="1" t="s">
        <v>5378</v>
      </c>
      <c r="E2689" s="4" t="str">
        <f ca="1">IFERROR(__xludf.DUMMYFUNCTION("GOOGLETRANSLATE(A2689 , ""tr"" , ""en"")"),"By complying with the principles of controlled social life, we are moving to the active fight days by complying with the principles of controlled social life with coronavirus. We now started to give the fight, homes and return to our roles in all areas of"&amp;" life. Our protective weapons are mask, distance and hand hygiene. https://t.co/l2voq9ekyt")</f>
        <v>By complying with the principles of controlled social life, we are moving to the active fight days by complying with the principles of controlled social life with coronavirus. We now started to give the fight, homes and return to our roles in all areas of life. Our protective weapons are mask, distance and hand hygiene. https://t.co/l2voq9ekyt</v>
      </c>
    </row>
    <row r="2690" spans="1:5" ht="15.75" customHeight="1" x14ac:dyDescent="0.25">
      <c r="A2690" s="1" t="s">
        <v>5379</v>
      </c>
      <c r="B2690" s="1">
        <v>18417</v>
      </c>
      <c r="C2690" s="3">
        <v>43992.89266203704</v>
      </c>
      <c r="D2690" s="1" t="s">
        <v>5380</v>
      </c>
      <c r="E2690" s="4" t="str">
        <f ca="1">IFERROR(__xludf.DUMMYFUNCTION("GOOGLETRANSLATE(A2690 , ""tr"" , ""en"")"),"The restrictions applied due to the outbreak were removed, with the belief that they will take full compliance with the measures. As our president stated, ""The root of the coronavirus is completely scraped, our lives will arrange our lives within the fra"&amp;"mework of the distance, cleanliness principles. https://t.co/rmnr5zqi0f")</f>
        <v>The restrictions applied due to the outbreak were removed, with the belief that they will take full compliance with the measures. As our president stated, "The root of the coronavirus is completely scraped, our lives will arrange our lives within the framework of the distance, cleanliness principles. https://t.co/rmnr5zqi0f</v>
      </c>
    </row>
    <row r="2691" spans="1:5" ht="15.75" customHeight="1" x14ac:dyDescent="0.25">
      <c r="A2691" s="1" t="s">
        <v>5381</v>
      </c>
      <c r="B2691" s="1">
        <v>15163</v>
      </c>
      <c r="C2691" s="3">
        <v>43992.738749999997</v>
      </c>
      <c r="D2691" s="1" t="s">
        <v>5382</v>
      </c>
      <c r="E2691" s="4" t="str">
        <f ca="1">IFERROR(__xludf.DUMMYFUNCTION("GOOGLETRANSLATE(A2691 , ""tr"" , ""en"")"),"DSO European Regional Director Dr. With Hans Kluge, we have made today in the interview, Turkey has taken care of the studies against the release of detailed data. The Kluge celebrating the success of our country, after removal of travel constraints, he a"&amp;"nnounced his first visit to Turkey. https://t.co/wmt4r4JI5D")</f>
        <v>DSO European Regional Director Dr. With Hans Kluge, we have made today in the interview, Turkey has taken care of the studies against the release of detailed data. The Kluge celebrating the success of our country, after removal of travel constraints, he announced his first visit to Turkey. https://t.co/wmt4r4JI5D</v>
      </c>
    </row>
    <row r="2692" spans="1:5" ht="15.75" customHeight="1" x14ac:dyDescent="0.25">
      <c r="A2692" s="1" t="s">
        <v>5383</v>
      </c>
      <c r="B2692" s="1">
        <v>58058</v>
      </c>
      <c r="C2692" s="3">
        <v>43992.710856481484</v>
      </c>
      <c r="D2692" s="1" t="s">
        <v>5384</v>
      </c>
      <c r="E2692" s="4" t="str">
        <f ca="1">IFERROR(__xludf.DUMMYFUNCTION("GOOGLETRANSLATE(A2692 , ""tr"" , ""en"")"),"The newly diagnosed number of patients is up to 40% of our new recovery patients. The mean age of the age is 36 in new cases, 71. In the passage of 71. New patients, the need for increasing intensive care is close to yesterday. The idea that the influence"&amp;" of the virus is decreased risky. Is the measure that is ""normal"". https://t.co/rvlhe7786o https://t.co/dhfvy9datb")</f>
        <v>The newly diagnosed number of patients is up to 40% of our new recovery patients. The mean age of the age is 36 in new cases, 71. In the passage of 71. New patients, the need for increasing intensive care is close to yesterday. The idea that the influence of the virus is decreased risky. Is the measure that is "normal". https://t.co/rvlhe7786o https://t.co/dhfvy9datb</v>
      </c>
    </row>
    <row r="2693" spans="1:5" ht="15.75" customHeight="1" x14ac:dyDescent="0.25">
      <c r="A2693" s="1" t="s">
        <v>5385</v>
      </c>
      <c r="B2693" s="1">
        <v>10963</v>
      </c>
      <c r="C2693" s="3">
        <v>43992.699131944442</v>
      </c>
      <c r="D2693" s="1" t="s">
        <v>5386</v>
      </c>
      <c r="E2693" s="4" t="str">
        <f ca="1">IFERROR(__xludf.DUMMYFUNCTION("GOOGLETRANSLATE(A2693 , ""tr"" , ""en"")"),"After our Science Board meeting, the latest developments on the coronavirus and the new measures we receive.
📍Public Ministry Bilkent Campus / Ankara
https://t.co/pudt4pgy5c")</f>
        <v>After our Science Board meeting, the latest developments on the coronavirus and the new measures we receive.
📍Public Ministry Bilkent Campus / Ankara
https://t.co/pudt4pgy5c</v>
      </c>
    </row>
    <row r="2694" spans="1:5" ht="15.75" customHeight="1" x14ac:dyDescent="0.25">
      <c r="A2694" s="1" t="s">
        <v>5387</v>
      </c>
      <c r="B2694" s="1">
        <v>39834</v>
      </c>
      <c r="C2694" s="3">
        <v>43992.694398148145</v>
      </c>
      <c r="D2694" s="1" t="s">
        <v>5388</v>
      </c>
      <c r="E2694" s="4" t="str">
        <f ca="1">IFERROR(__xludf.DUMMYFUNCTION("GOOGLETRANSLATE(A2694 , ""tr"" , ""en"")"),"COVID-19 directly effective drug, protective vaccine has not yet been found. But during the first period of the epidemic, science showed us the disease transmission path and the measures to be taken against us: mask, distance, hand hygiene. We have only m"&amp;"easures against disease without medicine. Please let's sleep. https://t.co/gtfzpvxn4z")</f>
        <v>COVID-19 directly effective drug, protective vaccine has not yet been found. But during the first period of the epidemic, science showed us the disease transmission path and the measures to be taken against us: mask, distance, hand hygiene. We have only measures against disease without medicine. Please let's sleep. https://t.co/gtfzpvxn4z</v>
      </c>
    </row>
    <row r="2695" spans="1:5" ht="15.75" customHeight="1" x14ac:dyDescent="0.25">
      <c r="A2695" s="1" t="s">
        <v>5389</v>
      </c>
      <c r="B2695" s="1">
        <v>28282</v>
      </c>
      <c r="C2695" s="3">
        <v>43991.827789351853</v>
      </c>
      <c r="D2695" s="1" t="s">
        <v>5390</v>
      </c>
      <c r="E2695" s="4" t="str">
        <f ca="1">IFERROR(__xludf.DUMMYFUNCTION("GOOGLETRANSLATE(A2695 , ""tr"" , ""en"")"),"Our president, precaution and new status evaluation revealed the decisions taken after the cabinet meeting. ""Our Coronavirus Musigator's Root is completely scraped in the framework of the Mask-Distance-Cleaning Principles until it is completely scraped, "&amp;"it has been limited to a large rate. https://t.co/lw0vuxkfspsp")</f>
        <v>Our president, precaution and new status evaluation revealed the decisions taken after the cabinet meeting. "Our Coronavirus Musigator's Root is completely scraped in the framework of the Mask-Distance-Cleaning Principles until it is completely scraped, it has been limited to a large rate. https://t.co/lw0vuxkfspsp</v>
      </c>
    </row>
    <row r="2696" spans="1:5" ht="15.75" customHeight="1" x14ac:dyDescent="0.25">
      <c r="A2696" s="1" t="s">
        <v>5391</v>
      </c>
      <c r="B2696" s="1">
        <v>79896</v>
      </c>
      <c r="C2696" s="3">
        <v>43991.717002314814</v>
      </c>
      <c r="D2696" s="1" t="s">
        <v>5392</v>
      </c>
      <c r="E2696" s="4" t="str">
        <f ca="1">IFERROR(__xludf.DUMMYFUNCTION("GOOGLETRANSLATE(A2696 , ""tr"" , ""en"")"),"We have as many as one-third of our patients recovering in the last 24 hours. Diagnosis has increased intensive care and respiratory support due to our patients deposited. There is no scientific data showing that the effect of the virus is weakened. Is th"&amp;"e measure that is ""normal"". https://t.co/rvlhe7786o https://t.co/kbs3mcpcwl")</f>
        <v>We have as many as one-third of our patients recovering in the last 24 hours. Diagnosis has increased intensive care and respiratory support due to our patients deposited. There is no scientific data showing that the effect of the virus is weakened. Is the measure that is "normal". https://t.co/rvlhe7786o https://t.co/kbs3mcpcwl</v>
      </c>
    </row>
    <row r="2697" spans="1:5" ht="15.75" customHeight="1" x14ac:dyDescent="0.25">
      <c r="A2697" s="1" t="s">
        <v>5393</v>
      </c>
      <c r="B2697" s="1">
        <v>123567</v>
      </c>
      <c r="C2697" s="3">
        <v>43991.645277777781</v>
      </c>
      <c r="D2697" s="1" t="s">
        <v>5394</v>
      </c>
      <c r="E2697" s="4" t="str">
        <f ca="1">IFERROR(__xludf.DUMMYFUNCTION("GOOGLETRANSLATE(A2697 , ""tr"" , ""en"")"),"I'm on the board of Ministers. What I say, depends on the sensations I will take from the outside. Is there an increase in mask + the moment at the social distance?")</f>
        <v>I'm on the board of Ministers. What I say, depends on the sensations I will take from the outside. Is there an increase in mask + the moment at the social distance?</v>
      </c>
    </row>
    <row r="2698" spans="1:5" ht="15.75" customHeight="1" x14ac:dyDescent="0.25">
      <c r="A2698" s="1" t="s">
        <v>5395</v>
      </c>
      <c r="B2698" s="1">
        <v>35960</v>
      </c>
      <c r="C2698" s="3">
        <v>43990.95925925926</v>
      </c>
      <c r="D2698" s="1" t="s">
        <v>5396</v>
      </c>
      <c r="E2698" s="4" t="str">
        <f ca="1">IFERROR(__xludf.DUMMYFUNCTION("GOOGLETRANSLATE(A2698 , ""tr"" , ""en"")"),"2 workers were martyrs as a result of PKK terrorist attack on Van Çatak. The injured 8 worker SBU Van training and research were treated in our hospital. The two are in intensive care. The condition of our 6 workers is good. I wish our martyrs than Allah "&amp;"mercy, our wounded healing. The pain of their families is our common pain. https://t.co/mwdk7oxjtr")</f>
        <v>2 workers were martyrs as a result of PKK terrorist attack on Van Çatak. The injured 8 worker SBU Van training and research were treated in our hospital. The two are in intensive care. The condition of our 6 workers is good. I wish our martyrs than Allah mercy, our wounded healing. The pain of their families is our common pain. https://t.co/mwdk7oxjtr</v>
      </c>
    </row>
    <row r="2699" spans="1:5" ht="15.75" customHeight="1" x14ac:dyDescent="0.25">
      <c r="A2699" s="1" t="s">
        <v>5397</v>
      </c>
      <c r="B2699" s="1">
        <v>15932</v>
      </c>
      <c r="C2699" s="3">
        <v>43990.923020833332</v>
      </c>
      <c r="D2699" s="1" t="s">
        <v>5398</v>
      </c>
      <c r="E2699" s="4" t="str">
        <f ca="1">IFERROR(__xludf.DUMMYFUNCTION("GOOGLETRANSLATE(A2699 , ""tr"" , ""en"")"),"We have made our first meeting with the Community Science Board. Sociology, psychiatric, history, economics, communication, public health in the second stage of the output struggle. We will benefit from the contributions of our expert scientists in the fi"&amp;"elds. We addressed new conditions and needs at the first meeting. https://t.co/pw7dvax9eo")</f>
        <v>We have made our first meeting with the Community Science Board. Sociology, psychiatric, history, economics, communication, public health in the second stage of the output struggle. We will benefit from the contributions of our expert scientists in the fields. We addressed new conditions and needs at the first meeting. https://t.co/pw7dvax9eo</v>
      </c>
    </row>
    <row r="2700" spans="1:5" ht="15.75" customHeight="1" x14ac:dyDescent="0.25">
      <c r="A2700" s="1" t="s">
        <v>5399</v>
      </c>
      <c r="B2700" s="1">
        <v>30213</v>
      </c>
      <c r="C2700" s="3">
        <v>43990.866087962961</v>
      </c>
      <c r="D2700" s="1" t="s">
        <v>5400</v>
      </c>
      <c r="E2700" s="4" t="str">
        <f ca="1">IFERROR(__xludf.DUMMYFUNCTION("GOOGLETRANSLATE(A2700 , ""tr"" , ""en"")"),"Summer has arrived. We are going to our village, town, or on vacation, including our elders. The head and end of the long road wants much attention. We should be masked against the crowd of boarding and inches. Omissions enlarge the bad probability. Let's"&amp;" not leave the measures we have ever received. https://t.co/8f1x85oijt")</f>
        <v>Summer has arrived. We are going to our village, town, or on vacation, including our elders. The head and end of the long road wants much attention. We should be masked against the crowd of boarding and inches. Omissions enlarge the bad probability. Let's not leave the measures we have ever received. https://t.co/8f1x85oijt</v>
      </c>
    </row>
    <row r="2701" spans="1:5" ht="15.75" customHeight="1" x14ac:dyDescent="0.25">
      <c r="A2701" s="1" t="s">
        <v>5401</v>
      </c>
      <c r="B2701" s="1">
        <v>42154</v>
      </c>
      <c r="C2701" s="3">
        <v>43990.836828703701</v>
      </c>
      <c r="D2701" s="1" t="s">
        <v>5402</v>
      </c>
      <c r="E2701" s="4" t="str">
        <f ca="1">IFERROR(__xludf.DUMMYFUNCTION("GOOGLETRANSLATE(A2701 , ""tr"" , ""en"")"),"Our majority complies with measures. Especially teens! For back-free success, let's adopt some small difficulties, in accordance with the old restrictions, in compliance, all together. We can beat the epidemic, mask and the social distance rule. Thank you"&amp;" as well as those who don't fit. https://t.co/pdxvecy3qx")</f>
        <v>Our majority complies with measures. Especially teens! For back-free success, let's adopt some small difficulties, in accordance with the old restrictions, in compliance, all together. We can beat the epidemic, mask and the social distance rule. Thank you as well as those who don't fit. https://t.co/pdxvecy3qx</v>
      </c>
    </row>
    <row r="2702" spans="1:5" ht="15.75" customHeight="1" x14ac:dyDescent="0.25">
      <c r="A2702" s="1" t="s">
        <v>5403</v>
      </c>
      <c r="B2702" s="1">
        <v>84805</v>
      </c>
      <c r="C2702" s="3">
        <v>43990.732175925928</v>
      </c>
      <c r="D2702" s="1" t="s">
        <v>5404</v>
      </c>
      <c r="E2702" s="4" t="str">
        <f ca="1">IFERROR(__xludf.DUMMYFUNCTION("GOOGLETRANSLATE(A2702 , ""tr"" , ""en"")"),"In the case number, there is an easy mobility to cut off the mask and the distance rule. In our healing patients, severe increases took place. Needed in respiratory support. Intensive care is the number of patients rising. If the measure decreases, the th"&amp;"reat will increase. https://t.co/rvlhe7786o https://t.co/uizyı4j6nr")</f>
        <v>In the case number, there is an easy mobility to cut off the mask and the distance rule. In our healing patients, severe increases took place. Needed in respiratory support. Intensive care is the number of patients rising. If the measure decreases, the threat will increase. https://t.co/rvlhe7786o https://t.co/uizyı4j6nr</v>
      </c>
    </row>
    <row r="2703" spans="1:5" ht="15.75" customHeight="1" x14ac:dyDescent="0.25">
      <c r="A2703" s="1" t="s">
        <v>5405</v>
      </c>
      <c r="B2703" s="1">
        <v>306034</v>
      </c>
      <c r="C2703" s="3">
        <v>43990.664988425924</v>
      </c>
      <c r="D2703" s="1" t="s">
        <v>5406</v>
      </c>
      <c r="E2703" s="4" t="str">
        <f ca="1">IFERROR(__xludf.DUMMYFUNCTION("GOOGLETRANSLATE(A2703 , ""tr"" , ""en"")"),"M e s a f e k u r a l I n a u y a l I m
The rule is unmodified")</f>
        <v>M e s a f e k u r a l I n a u y a l I m
The rule is unmodified</v>
      </c>
    </row>
    <row r="2704" spans="1:5" ht="15.75" customHeight="1" x14ac:dyDescent="0.25">
      <c r="A2704" s="1" t="s">
        <v>5407</v>
      </c>
      <c r="B2704" s="1">
        <v>46629</v>
      </c>
      <c r="C2704" s="3">
        <v>43989.886932870373</v>
      </c>
      <c r="D2704" s="1" t="s">
        <v>5408</v>
      </c>
      <c r="E2704" s="4" t="str">
        <f ca="1">IFERROR(__xludf.DUMMYFUNCTION("GOOGLETRANSLATE(A2704 , ""tr"" , ""en"")"),"On the 26 April in the Idlib, the tanker contracted in the conflict with terrorists, ismail Anayurt, has lost its life in the hospital. We did our best. On top of our head. We are our staff and we're welcome. I wish herself mercy from Allah. https://t.co/"&amp;"ogwpkpqld8")</f>
        <v>On the 26 April in the Idlib, the tanker contracted in the conflict with terrorists, ismail Anayurt, has lost its life in the hospital. We did our best. On top of our head. We are our staff and we're welcome. I wish herself mercy from Allah. https://t.co/ogwpkpqld8</v>
      </c>
    </row>
    <row r="2705" spans="1:5" ht="15.75" customHeight="1" x14ac:dyDescent="0.25">
      <c r="A2705" s="1" t="s">
        <v>5409</v>
      </c>
      <c r="B2705" s="1">
        <v>102523</v>
      </c>
      <c r="C2705" s="3">
        <v>43989.696759259263</v>
      </c>
      <c r="D2705" s="1" t="s">
        <v>5410</v>
      </c>
      <c r="E2705" s="4" t="str">
        <f ca="1">IFERROR(__xludf.DUMMYFUNCTION("GOOGLETRANSLATE(A2705 , ""tr"" , ""en"")"),"In the filliation studies, it was found that there is a virus in the 190 people in our province due to the visit to be ""past."" In our other province, 58 people were infected with viruses. Our new recovery patient count is 2.647. The threat is increasing"&amp;" as the measure decreases. https://t.co/rvlhe7786o https://t.co/ogmveputam")</f>
        <v>In the filliation studies, it was found that there is a virus in the 190 people in our province due to the visit to be "past." In our other province, 58 people were infected with viruses. Our new recovery patient count is 2.647. The threat is increasing as the measure decreases. https://t.co/rvlhe7786o https://t.co/ogmveputam</v>
      </c>
    </row>
    <row r="2706" spans="1:5" ht="15.75" customHeight="1" x14ac:dyDescent="0.25">
      <c r="A2706" s="1" t="s">
        <v>5411</v>
      </c>
      <c r="B2706" s="1">
        <v>36684</v>
      </c>
      <c r="C2706" s="3">
        <v>43989.664386574077</v>
      </c>
      <c r="D2706" s="1" t="s">
        <v>5412</v>
      </c>
      <c r="E2706" s="4" t="str">
        <f ca="1">IFERROR(__xludf.DUMMYFUNCTION("GOOGLETRANSLATE(A2706 , ""tr"" , ""en"")"),"Today is Cahit Zariğlu longing for Andık. The value is very much known, it was less read in my opinion. Is it pulled away from the crowd and are Okusak? https://t.co/4opfaqajgg")</f>
        <v>Today is Cahit Zariğlu longing for Andık. The value is very much known, it was less read in my opinion. Is it pulled away from the crowd and are Okusak? https://t.co/4opfaqajgg</v>
      </c>
    </row>
    <row r="2707" spans="1:5" ht="15.75" customHeight="1" x14ac:dyDescent="0.25">
      <c r="A2707" s="1" t="s">
        <v>5413</v>
      </c>
      <c r="B2707" s="1">
        <v>26515</v>
      </c>
      <c r="C2707" s="3">
        <v>43989.659317129626</v>
      </c>
      <c r="D2707" s="1" t="s">
        <v>5414</v>
      </c>
      <c r="E2707" s="4" t="str">
        <f ca="1">IFERROR(__xludf.DUMMYFUNCTION("GOOGLETRANSLATE(A2707 , ""tr"" , ""en"")"),"Over 65 years of age, the right, they are a bit tightening to the measures. Now there are travel rights depending on the permission: The return to the country began. I'd like it: it should be extremely cautious. While riding on the bus, it should not be i"&amp;"nvolved in the crowd when they landed. What esteem of the day lasting at home? https://t.co/cqfhexyst3")</f>
        <v>Over 65 years of age, the right, they are a bit tightening to the measures. Now there are travel rights depending on the permission: The return to the country began. I'd like it: it should be extremely cautious. While riding on the bus, it should not be involved in the crowd when they landed. What esteem of the day lasting at home? https://t.co/cqfhexyst3</v>
      </c>
    </row>
    <row r="2708" spans="1:5" ht="15.75" customHeight="1" x14ac:dyDescent="0.25">
      <c r="A2708" s="1" t="s">
        <v>5415</v>
      </c>
      <c r="B2708" s="1">
        <v>27946</v>
      </c>
      <c r="C2708" s="3">
        <v>43989.638032407405</v>
      </c>
      <c r="D2708" s="1" t="s">
        <v>5416</v>
      </c>
      <c r="E2708" s="4" t="str">
        <f ca="1">IFERROR(__xludf.DUMMYFUNCTION("GOOGLETRANSLATE(A2708 , ""tr"" , ""en"")"),"Many poets were a public gown of Abdurrahim Karakoç Aydin who loved with Mihriban, which cost our public music. When I tried to fill my cavity with poetry "", the poetry must have promised to be the name of everyone who gave the poet. We remember at the d"&amp;"eath year acres: ""Difficult memory of memory from separation"". https://t.co/gsmikl8ux6")</f>
        <v>Many poets were a public gown of Abdurrahim Karakoç Aydin who loved with Mihriban, which cost our public music. When I tried to fill my cavity with poetry ", the poetry must have promised to be the name of everyone who gave the poet. We remember at the death year acres: "Difficult memory of memory from separation". https://t.co/gsmikl8ux6</v>
      </c>
    </row>
    <row r="2709" spans="1:5" ht="15.75" customHeight="1" x14ac:dyDescent="0.25">
      <c r="A2709" s="1" t="s">
        <v>5417</v>
      </c>
      <c r="B2709" s="1">
        <v>40875</v>
      </c>
      <c r="C2709" s="3">
        <v>43989.604699074072</v>
      </c>
      <c r="D2709" s="1" t="s">
        <v>5418</v>
      </c>
      <c r="E2709" s="4" t="str">
        <f ca="1">IFERROR(__xludf.DUMMYFUNCTION("GOOGLETRANSLATE(A2709 , ""tr"" , ""en"")"),"Used coronavirus mask and gloves are risky as it can carry live viruses. Outside, to attach the new one, you do not throw the mask and gloves on the ground, throw it in the trash. Please do not allow the environment to pollute the environment while the ep"&amp;"idemic has influenced this. https://t.co/ajdyusutye")</f>
        <v>Used coronavirus mask and gloves are risky as it can carry live viruses. Outside, to attach the new one, you do not throw the mask and gloves on the ground, throw it in the trash. Please do not allow the environment to pollute the environment while the epidemic has influenced this. https://t.co/ajdyusutye</v>
      </c>
    </row>
    <row r="2710" spans="1:5" ht="15.75" customHeight="1" x14ac:dyDescent="0.25">
      <c r="A2710" s="1" t="s">
        <v>5419</v>
      </c>
      <c r="B2710" s="1">
        <v>201049</v>
      </c>
      <c r="C2710" s="3">
        <v>43989.460416666669</v>
      </c>
      <c r="D2710" s="1" t="s">
        <v>5420</v>
      </c>
      <c r="E2710" s="4" t="str">
        <f ca="1">IFERROR(__xludf.DUMMYFUNCTION("GOOGLETRANSLATE(A2710 , ""tr"" , ""en"")"),"Completed Sude lady. Comma is not placed between the connectors. Ours from the social distance passion :) The distance rule is complied with the distance + mask If the mask is inserted, you will come from the question (n). https://t.co/2yo1mzk0ob")</f>
        <v>Completed Sude lady. Comma is not placed between the connectors. Ours from the social distance passion :) The distance rule is complied with the distance + mask If the mask is inserted, you will come from the question (n). https://t.co/2yo1mzk0ob</v>
      </c>
    </row>
    <row r="2711" spans="1:5" ht="15.75" customHeight="1" x14ac:dyDescent="0.25">
      <c r="A2711" s="1" t="s">
        <v>5421</v>
      </c>
      <c r="B2711" s="1">
        <v>30465</v>
      </c>
      <c r="C2711" s="3">
        <v>43989.405069444445</v>
      </c>
      <c r="D2711" s="1" t="s">
        <v>5422</v>
      </c>
      <c r="E2711" s="4" t="str">
        <f ca="1">IFERROR(__xludf.DUMMYFUNCTION("GOOGLETRANSLATE(A2711 , ""tr"" , ""en"")"),"Today is the 33th anniversary of our cahit brother andphate. With his poetry, with his life we ​​had a ""sign child"" for new generations. He wrote seven beautiful men, one of them happened. Live begins: ""What a lot of pain!"" We are 47 years old with pa"&amp;"ncreatic cancer, we remember our poet. https://t.co/mggrwzaI5h")</f>
        <v>Today is the 33th anniversary of our cahit brother andphate. With his poetry, with his life we ​​had a "sign child" for new generations. He wrote seven beautiful men, one of them happened. Live begins: "What a lot of pain!" We are 47 years old with pancreatic cancer, we remember our poet. https://t.co/mggrwzaI5h</v>
      </c>
    </row>
    <row r="2712" spans="1:5" ht="15.75" customHeight="1" x14ac:dyDescent="0.25">
      <c r="A2712" s="1" t="s">
        <v>5423</v>
      </c>
      <c r="B2712" s="1">
        <v>83073</v>
      </c>
      <c r="C2712" s="3">
        <v>43989.029942129629</v>
      </c>
      <c r="D2712" s="1" t="s">
        <v>5424</v>
      </c>
      <c r="E2712" s="4" t="str">
        <f ca="1">IFERROR(__xludf.DUMMYFUNCTION("GOOGLETRANSLATE(A2712 , ""tr"" , ""en"")"),"""Our citizens have been treated that the final case has been treated, and our citizens to achieve the attack on the struggle behind the epidemic."" This news is more. Let's not make too much normal. Let's fit the mask + distance rule as fashion. https://"&amp;"t.co/maog7crwmh")</f>
        <v>"Our citizens have been treated that the final case has been treated, and our citizens to achieve the attack on the struggle behind the epidemic." This news is more. Let's not make too much normal. Let's fit the mask + distance rule as fashion. https://t.co/maog7crwmh</v>
      </c>
    </row>
    <row r="2713" spans="1:5" ht="15.75" customHeight="1" x14ac:dyDescent="0.25">
      <c r="A2713" s="1" t="s">
        <v>5425</v>
      </c>
      <c r="B2713" s="1">
        <v>105976</v>
      </c>
      <c r="C2713" s="3">
        <v>43988.826562499999</v>
      </c>
      <c r="D2713" s="1" t="s">
        <v>5426</v>
      </c>
      <c r="E2713" s="4" t="str">
        <f ca="1">IFERROR(__xludf.DUMMYFUNCTION("GOOGLETRANSLATE(A2713 , ""tr"" , ""en"")"),"According to the Galata Bridge today, it is not observed 1.5 m distance rules between fishermen. Don't know if the buckets are filled but the virus has broken off the bridge. Especially those with chronic disease are under maskless, distance risk. You don"&amp;"'t come! https://t.co/oyv0jazdrh")</f>
        <v>According to the Galata Bridge today, it is not observed 1.5 m distance rules between fishermen. Don't know if the buckets are filled but the virus has broken off the bridge. Especially those with chronic disease are under maskless, distance risk. You don't come! https://t.co/oyv0jazdrh</v>
      </c>
    </row>
    <row r="2714" spans="1:5" ht="15.75" customHeight="1" x14ac:dyDescent="0.25">
      <c r="A2714" s="1" t="s">
        <v>5427</v>
      </c>
      <c r="B2714" s="1">
        <v>27292</v>
      </c>
      <c r="C2714" s="3">
        <v>43988.784780092596</v>
      </c>
      <c r="D2714" s="1" t="s">
        <v>5428</v>
      </c>
      <c r="E2714" s="4" t="str">
        <f ca="1">IFERROR(__xludf.DUMMYFUNCTION("GOOGLETRANSLATE(A2714 , ""tr"" , ""en"")"),"We have changed our layout, including our epidemic, nutritional habits, routine exercises. We return to our own normal again. We are starting to solve accumulated issues at home. Thanks in advance for the help of our dietitians. Happy World Dieticians Day"&amp;". https://t.co/rmn8wggat")</f>
        <v>We have changed our layout, including our epidemic, nutritional habits, routine exercises. We return to our own normal again. We are starting to solve accumulated issues at home. Thanks in advance for the help of our dietitians. Happy World Dieticians Day. https://t.co/rmn8wggat</v>
      </c>
    </row>
    <row r="2715" spans="1:5" ht="15.75" customHeight="1" x14ac:dyDescent="0.25">
      <c r="A2715" s="1" t="s">
        <v>5429</v>
      </c>
      <c r="B2715" s="1">
        <v>69778</v>
      </c>
      <c r="C2715" s="3">
        <v>43988.752256944441</v>
      </c>
      <c r="D2715" s="1" t="s">
        <v>5430</v>
      </c>
      <c r="E2715" s="4" t="str">
        <f ca="1">IFERROR(__xludf.DUMMYFUNCTION("GOOGLETRANSLATE(A2715 , ""tr"" , ""en"")"),"80% of total cases recovered. Our new recovery patient count is close to 2,000. The majority of patients with positive diagnosis are disease lacking and at home. In our 81 provinces, the number of patients who lied to the COVD-19 yesterday 41. Better meas"&amp;"ure is better result. https://t.co/rvlhe7786o https://t.co/in14xdyfypyp")</f>
        <v>80% of total cases recovered. Our new recovery patient count is close to 2,000. The majority of patients with positive diagnosis are disease lacking and at home. In our 81 provinces, the number of patients who lied to the COVD-19 yesterday 41. Better measure is better result. https://t.co/rvlhe7786o https://t.co/in14xdyfypyp</v>
      </c>
    </row>
    <row r="2716" spans="1:5" ht="15.75" customHeight="1" x14ac:dyDescent="0.25">
      <c r="A2716" s="1" t="s">
        <v>5431</v>
      </c>
      <c r="B2716" s="1">
        <v>60349</v>
      </c>
      <c r="C2716" s="3">
        <v>43987.935347222221</v>
      </c>
      <c r="D2716" s="1" t="s">
        <v>5432</v>
      </c>
      <c r="E2716" s="4" t="str">
        <f ca="1">IFERROR(__xludf.DUMMYFUNCTION("GOOGLETRANSLATE(A2716 , ""tr"" , ""en"")"),"In the Pöturge district of the Malatty, there was an earthquake in violence. 20 homes in the seven neighborhoods were unfortunately severely damaged. Earthquake suffering is yet to understand the felt concern when it is so much. Get well soon. I hope we d"&amp;"on't even meet the lightest of the earthquake.")</f>
        <v>In the Pöturge district of the Malatty, there was an earthquake in violence. 20 homes in the seven neighborhoods were unfortunately severely damaged. Earthquake suffering is yet to understand the felt concern when it is so much. Get well soon. I hope we don't even meet the lightest of the earthquake.</v>
      </c>
    </row>
    <row r="2717" spans="1:5" ht="15.75" customHeight="1" x14ac:dyDescent="0.25">
      <c r="A2717" s="1" t="s">
        <v>5433</v>
      </c>
      <c r="B2717" s="1">
        <v>32604</v>
      </c>
      <c r="C2717" s="3">
        <v>43987.930081018516</v>
      </c>
      <c r="D2717" s="1" t="s">
        <v>5434</v>
      </c>
      <c r="E2717" s="4" t="str">
        <f ca="1">IFERROR(__xludf.DUMMYFUNCTION("GOOGLETRANSLATE(A2717 , ""tr"" , ""en"")"),"From his disclosure of our Ministry of National Defense, we learned that the armored ambulance tool is in the attack on the martyr of our military in the attack, and two weapons friends were injured. We are condolences to the family of our city to the mem"&amp;"bers of the armed forces. We are at the service of our injured. https://t.co/zuyoidglom")</f>
        <v>From his disclosure of our Ministry of National Defense, we learned that the armored ambulance tool is in the attack on the martyr of our military in the attack, and two weapons friends were injured. We are condolences to the family of our city to the members of the armed forces. We are at the service of our injured. https://t.co/zuyoidglom</v>
      </c>
    </row>
    <row r="2718" spans="1:5" ht="15.75" customHeight="1" x14ac:dyDescent="0.25">
      <c r="A2718" s="1" t="s">
        <v>5435</v>
      </c>
      <c r="B2718" s="1">
        <v>31488</v>
      </c>
      <c r="C2718" s="3">
        <v>43987.74291666667</v>
      </c>
      <c r="D2718" s="1" t="s">
        <v>5436</v>
      </c>
      <c r="E2718" s="4" t="str">
        <f ca="1">IFERROR(__xludf.DUMMYFUNCTION("GOOGLETRANSLATE(A2718 , ""tr"" , ""en"")"),"Coronavirus is transmitted by breathing. When you go out, you should wear a mask to avoid risk. Use the mask, in accordance with the rule, the mouth and the nose completely closes. But the mask alone is not enough. If you are closer than 1.5 meters in the"&amp;" viru, you are also masked in mask. https://t.co/OJIOS8ZIJC")</f>
        <v>Coronavirus is transmitted by breathing. When you go out, you should wear a mask to avoid risk. Use the mask, in accordance with the rule, the mouth and the nose completely closes. But the mask alone is not enough. If you are closer than 1.5 meters in the viru, you are also masked in mask. https://t.co/OJIOS8ZIJC</v>
      </c>
    </row>
    <row r="2719" spans="1:5" ht="15.75" customHeight="1" x14ac:dyDescent="0.25">
      <c r="A2719" s="1" t="s">
        <v>5437</v>
      </c>
      <c r="B2719" s="1">
        <v>75036</v>
      </c>
      <c r="C2719" s="3">
        <v>43987.681990740741</v>
      </c>
      <c r="D2719" s="1" t="s">
        <v>5438</v>
      </c>
      <c r="E2719" s="4" t="str">
        <f ca="1">IFERROR(__xludf.DUMMYFUNCTION("GOOGLETRANSLATE(A2719 , ""tr"" , ""en"")"),"There is an increase in the number of patients recovering. Increase will be accelerated. The important part of the cases involved in the total number of patients is the indicated cases in the monitoring process. Future days, to the hand hygiene; Mask + de"&amp;"pends on the distance rule. Better measure is better result. https://t.co/rvlhe7786o https://t.co/dxwuzcz68y")</f>
        <v>There is an increase in the number of patients recovering. Increase will be accelerated. The important part of the cases involved in the total number of patients is the indicated cases in the monitoring process. Future days, to the hand hygiene; Mask + depends on the distance rule. Better measure is better result. https://t.co/rvlhe7786o https://t.co/dxwuzcz68y</v>
      </c>
    </row>
    <row r="2720" spans="1:5" ht="15.75" customHeight="1" x14ac:dyDescent="0.25">
      <c r="A2720" s="1" t="s">
        <v>5439</v>
      </c>
      <c r="B2720" s="1">
        <v>15147</v>
      </c>
      <c r="C2720" s="3">
        <v>43987.620092592595</v>
      </c>
      <c r="D2720" s="1" t="s">
        <v>5440</v>
      </c>
      <c r="E2720" s="4" t="str">
        <f ca="1">IFERROR(__xludf.DUMMYFUNCTION("GOOGLETRANSLATE(A2720 , ""tr"" , ""en"")"),"EU member has made ONLINE meeting with ambassadors of 26 countries. We have made a useful presentation in our challenge of COVID-19. In addition, it is also addressing that full membership of the EU is the strategic goal of our country, we added Turkey to"&amp;" the EU in the health area in the field of health. https://t.co/mpt5j2djjv")</f>
        <v>EU member has made ONLINE meeting with ambassadors of 26 countries. We have made a useful presentation in our challenge of COVID-19. In addition, it is also addressing that full membership of the EU is the strategic goal of our country, we added Turkey to the EU in the health area in the field of health. https://t.co/mpt5j2djjv</v>
      </c>
    </row>
    <row r="2721" spans="1:5" ht="15.75" customHeight="1" x14ac:dyDescent="0.25">
      <c r="A2721" s="1" t="s">
        <v>5441</v>
      </c>
      <c r="B2721" s="1">
        <v>34422</v>
      </c>
      <c r="C2721" s="3">
        <v>43987.502939814818</v>
      </c>
      <c r="D2721" s="1" t="s">
        <v>5442</v>
      </c>
      <c r="E2721" s="4" t="str">
        <f ca="1">IFERROR(__xludf.DUMMYFUNCTION("GOOGLETRANSLATE(A2721 , ""tr"" , ""en"")"),"Used mask and gloves are risky as it can be contacted by the virus, which can carry live viruses. Don't throw mask and glove to a place randomly. Discard the trash. Today is the World Environment Day 5 June. While the epidemic has influenced the world, le"&amp;"t's not allow it to pollute the environment. https://t.co/8nm018jkpl")</f>
        <v>Used mask and gloves are risky as it can be contacted by the virus, which can carry live viruses. Don't throw mask and glove to a place randomly. Discard the trash. Today is the World Environment Day 5 June. While the epidemic has influenced the world, let's not allow it to pollute the environment. https://t.co/8nm018jkpl</v>
      </c>
    </row>
    <row r="2722" spans="1:5" ht="15.75" customHeight="1" x14ac:dyDescent="0.25">
      <c r="A2722" s="1" t="s">
        <v>5443</v>
      </c>
      <c r="B2722" s="1">
        <v>127774</v>
      </c>
      <c r="C2722" s="3">
        <v>43987.454976851855</v>
      </c>
      <c r="D2722" s="1" t="s">
        <v>5444</v>
      </c>
      <c r="E2722" s="4" t="str">
        <f ca="1">IFERROR(__xludf.DUMMYFUNCTION("GOOGLETRANSLATE(A2722 , ""tr"" , ""en"")"),"Dear young people. Get at the door of a foot, there are 5 o'clock at 14.00")</f>
        <v>Dear young people. Get at the door of a foot, there are 5 o'clock at 14.00</v>
      </c>
    </row>
    <row r="2723" spans="1:5" ht="15.75" customHeight="1" x14ac:dyDescent="0.25">
      <c r="A2723" s="1" t="s">
        <v>5445</v>
      </c>
      <c r="B2723" s="1">
        <v>52744</v>
      </c>
      <c r="C2723" s="3">
        <v>43987.438460648147</v>
      </c>
      <c r="D2723" s="1" t="s">
        <v>5446</v>
      </c>
      <c r="E2723" s="4" t="str">
        <f ca="1">IFERROR(__xludf.DUMMYFUNCTION("GOOGLETRANSLATE(A2723 , ""tr"" , ""en"")"),"Dear children, uncles and aunts kisses from your eyes for your patience. But remotely! A great day, have a great time between 14.00-20.00. Very lovely. I appreciate your dedication to fathers with mothers.")</f>
        <v>Dear children, uncles and aunts kisses from your eyes for your patience. But remotely! A great day, have a great time between 14.00-20.00. Very lovely. I appreciate your dedication to fathers with mothers.</v>
      </c>
    </row>
    <row r="2724" spans="1:5" ht="15.75" customHeight="1" x14ac:dyDescent="0.25">
      <c r="A2724" s="1" t="s">
        <v>5447</v>
      </c>
      <c r="B2724" s="1">
        <v>0</v>
      </c>
      <c r="C2724" s="3">
        <v>43987.377986111111</v>
      </c>
      <c r="D2724" s="1" t="s">
        <v>5448</v>
      </c>
      <c r="E2724" s="4" t="str">
        <f ca="1">IFERROR(__xludf.DUMMYFUNCTION("GOOGLETRANSLATE(A2724 , ""tr"" , ""en"")"),"RT @rterdogan: For this, as President, 15 as a weekend covering our 15 provinces, the decision to cancel the limitation of the curfew.")</f>
        <v>RT @rterdogan: For this, as President, 15 as a weekend covering our 15 provinces, the decision to cancel the limitation of the curfew.</v>
      </c>
    </row>
    <row r="2725" spans="1:5" ht="15.75" customHeight="1" x14ac:dyDescent="0.25">
      <c r="A2725" s="1" t="s">
        <v>5449</v>
      </c>
      <c r="B2725" s="1">
        <v>0</v>
      </c>
      <c r="C2725" s="3">
        <v>43987.377962962964</v>
      </c>
      <c r="D2725" s="1" t="s">
        <v>5450</v>
      </c>
      <c r="E2725" s="4" t="str">
        <f ca="1">IFERROR(__xludf.DUMMYFUNCTION("GOOGLETRANSLATE(A2725 , ""tr"" , ""en"")"),"RT @rterdogan: The only purpose is to avoid the spread of the disease and protect our citizens, the way to different social and economic results, a ...")</f>
        <v>RT @rterdogan: The only purpose is to avoid the spread of the disease and protect our citizens, the way to different social and economic results, a ...</v>
      </c>
    </row>
    <row r="2726" spans="1:5" ht="15.75" customHeight="1" x14ac:dyDescent="0.25">
      <c r="A2726" s="1" t="s">
        <v>5451</v>
      </c>
      <c r="B2726" s="1">
        <v>0</v>
      </c>
      <c r="C2726" s="3">
        <v>43987.377928240741</v>
      </c>
      <c r="D2726" s="1" t="s">
        <v>5452</v>
      </c>
      <c r="E2726" s="4" t="str">
        <f ca="1">IFERROR(__xludf.DUMMYFUNCTION("GOOGLETRANSLATE(A2726 , ""tr"" , ""en"")"),"RT @rterdogan: The proposal of our Ministry of Health and the interior of our Ministry of Interior in this weekend in 15 provinces in our 15 provinces ...")</f>
        <v>RT @rterdogan: The proposal of our Ministry of Health and the interior of our Ministry of Interior in this weekend in 15 provinces in our 15 provinces ...</v>
      </c>
    </row>
    <row r="2727" spans="1:5" ht="15.75" customHeight="1" x14ac:dyDescent="0.25">
      <c r="A2727" s="1" t="s">
        <v>5453</v>
      </c>
      <c r="B2727" s="1">
        <v>0</v>
      </c>
      <c r="C2727" s="3">
        <v>43987.377905092595</v>
      </c>
      <c r="D2727" s="1" t="s">
        <v>5454</v>
      </c>
      <c r="E2727" s="4" t="str">
        <f ca="1">IFERROR(__xludf.DUMMYFUNCTION("GOOGLETRANSLATE(A2727 , ""tr"" , ""en"")"),"RT @rterdogan: essentially, we did not consider to reuse this method after the most recent limitation. However, an intermediate is up to 700 stroke ...")</f>
        <v>RT @rterdogan: essentially, we did not consider to reuse this method after the most recent limitation. However, an intermediate is up to 700 stroke ...</v>
      </c>
    </row>
    <row r="2728" spans="1:5" ht="15.75" customHeight="1" x14ac:dyDescent="0.25">
      <c r="A2728" s="1" t="s">
        <v>5455</v>
      </c>
      <c r="B2728" s="1">
        <v>0</v>
      </c>
      <c r="C2728" s="3">
        <v>43987.377708333333</v>
      </c>
      <c r="D2728" s="1" t="s">
        <v>5456</v>
      </c>
      <c r="E2728" s="4" t="str">
        <f ca="1">IFERROR(__xludf.DUMMYFUNCTION("GOOGLETRANSLATE(A2728 , ""tr"" , ""en"")"),"RT @rterdogan: As it is known, we have implemented a large number of measures to protect our nation from Coronavirus. One of these…")</f>
        <v>RT @rterdogan: As it is known, we have implemented a large number of measures to protect our nation from Coronavirus. One of these…</v>
      </c>
    </row>
    <row r="2729" spans="1:5" ht="15.75" customHeight="1" x14ac:dyDescent="0.25">
      <c r="A2729" s="1" t="s">
        <v>5457</v>
      </c>
      <c r="B2729" s="1">
        <v>99609</v>
      </c>
      <c r="C2729" s="3">
        <v>43986.868263888886</v>
      </c>
      <c r="D2729" s="1" t="s">
        <v>5458</v>
      </c>
      <c r="E2729" s="4" t="str">
        <f ca="1">IFERROR(__xludf.DUMMYFUNCTION("GOOGLETRANSLATE(A2729 , ""tr"" , ""en"")"),"To achieve zero new case goal, let's be awake against the risk: virus is infected by mouth and nose. If the mouth or nose remains on, we wear a mask but we close our eye to the fact. Let's listen to warnings when the risk is so high. https://t.co/l6a5tqht"&amp;"pv")</f>
        <v>To achieve zero new case goal, let's be awake against the risk: virus is infected by mouth and nose. If the mouth or nose remains on, we wear a mask but we close our eye to the fact. Let's listen to warnings when the risk is so high. https://t.co/l6a5tqhtpv</v>
      </c>
    </row>
    <row r="2730" spans="1:5" ht="15.75" customHeight="1" x14ac:dyDescent="0.25">
      <c r="A2730" s="1" t="s">
        <v>5459</v>
      </c>
      <c r="B2730" s="1">
        <v>29416</v>
      </c>
      <c r="C2730" s="3">
        <v>43986.776122685187</v>
      </c>
      <c r="D2730" s="1" t="s">
        <v>5460</v>
      </c>
      <c r="E2730" s="4" t="str">
        <f ca="1">IFERROR(__xludf.DUMMYFUNCTION("GOOGLETRANSLATE(A2730 , ""tr"" , ""en"")"),"Security Officer Murat Dirt. Born in 1974, Istanbul. Bayrampasa has finished trade high school. Sisli Etfal was serving in education and research hospital. 1 child was his father. After the diagnosis of COVID-19, he lived 17 days. Would be recognized by t"&amp;"he trailer. Https://t.co/q3372a9dyv for the challenge")</f>
        <v>Security Officer Murat Dirt. Born in 1974, Istanbul. Bayrampasa has finished trade high school. Sisli Etfal was serving in education and research hospital. 1 child was his father. After the diagnosis of COVID-19, he lived 17 days. Would be recognized by the trailer. Https://t.co/q3372a9dyv for the challenge</v>
      </c>
    </row>
    <row r="2731" spans="1:5" ht="15.75" customHeight="1" x14ac:dyDescent="0.25">
      <c r="A2731" s="1" t="s">
        <v>5461</v>
      </c>
      <c r="B2731" s="1">
        <v>62465</v>
      </c>
      <c r="C2731" s="3">
        <v>43986.720960648148</v>
      </c>
      <c r="D2731" s="1" t="s">
        <v>5462</v>
      </c>
      <c r="E2731" s="4" t="str">
        <f ca="1">IFERROR(__xludf.DUMMYFUNCTION("GOOGLETRANSLATE(A2731 , ""tr"" , ""en"")"),"Our test count is over 54,000, including scanning purposes. Our patient number needs intensive care continues to decrease. Future days, to the hand hygiene; Mask + depends on both of us to comply with both of the social distance rule. Better measure is be"&amp;"tter result. https://t.co/rvlhe7786o https://t.co/fcfawu9q0y")</f>
        <v>Our test count is over 54,000, including scanning purposes. Our patient number needs intensive care continues to decrease. Future days, to the hand hygiene; Mask + depends on both of us to comply with both of the social distance rule. Better measure is better result. https://t.co/rvlhe7786o https://t.co/fcfawu9q0y</v>
      </c>
    </row>
    <row r="2732" spans="1:5" ht="15.75" customHeight="1" x14ac:dyDescent="0.25">
      <c r="A2732" s="1" t="s">
        <v>5463</v>
      </c>
      <c r="B2732" s="1">
        <v>24345</v>
      </c>
      <c r="C2732" s="3">
        <v>43986.650381944448</v>
      </c>
      <c r="D2732" s="1" t="s">
        <v>5464</v>
      </c>
      <c r="E2732" s="4" t="str">
        <f ca="1">IFERROR(__xludf.DUMMYFUNCTION("GOOGLETRANSLATE(A2732 , ""tr"" , ""en"")"),"The publication made in America about the Malıma medicine we use against COVID-19 is not reliable. The data is collected by a company, not by scientists. The study did not make infection experts. Side effect assertion is shabel. We have benefited from the"&amp;" drug. https://t.co/rjotehn9z2")</f>
        <v>The publication made in America about the Malıma medicine we use against COVID-19 is not reliable. The data is collected by a company, not by scientists. The study did not make infection experts. Side effect assertion is shabel. We have benefited from the drug. https://t.co/rjotehn9z2</v>
      </c>
    </row>
    <row r="2733" spans="1:5" ht="15.75" customHeight="1" x14ac:dyDescent="0.25">
      <c r="A2733" s="1" t="s">
        <v>5465</v>
      </c>
      <c r="B2733" s="1">
        <v>36399</v>
      </c>
      <c r="C2733" s="3">
        <v>43986.3905787037</v>
      </c>
      <c r="D2733" s="1" t="s">
        <v>5466</v>
      </c>
      <c r="E2733" s="4" t="str">
        <f ca="1">IFERROR(__xludf.DUMMYFUNCTION("GOOGLETRANSLATE(A2733 , ""tr"" , ""en"")"),"The fact that the number of cases is close to March today is great. 23% of the cases of March had to be hospitalized. 2.31% of cases are hospitalized today. We do not have a patient density of service, intensive care and intubation. Early diagnosis and in"&amp;"novations in treatment have well results. https://t.co/frtmfsst0w")</f>
        <v>The fact that the number of cases is close to March today is great. 23% of the cases of March had to be hospitalized. 2.31% of cases are hospitalized today. We do not have a patient density of service, intensive care and intubation. Early diagnosis and innovations in treatment have well results. https://t.co/frtmfsst0w</v>
      </c>
    </row>
    <row r="2734" spans="1:5" ht="15.75" customHeight="1" x14ac:dyDescent="0.25">
      <c r="A2734" s="1" t="s">
        <v>5467</v>
      </c>
      <c r="B2734" s="1">
        <v>18992</v>
      </c>
      <c r="C2734" s="3">
        <v>43985.883368055554</v>
      </c>
      <c r="D2734" s="1" t="s">
        <v>5468</v>
      </c>
      <c r="E2734" s="4" t="str">
        <f ca="1">IFERROR(__xludf.DUMMYFUNCTION("GOOGLETRANSLATE(A2734 , ""tr"" , ""en"")"),"The global epidemic did not lead to people to close home. To the production, trade, economy, impact to education. Following the measures does not mean to protect our health alone. It means that the work of work to increase the welfare of our country is to"&amp;" open the way of businesses. https://t.co/m2ytntjtpg")</f>
        <v>The global epidemic did not lead to people to close home. To the production, trade, economy, impact to education. Following the measures does not mean to protect our health alone. It means that the work of work to increase the welfare of our country is to open the way of businesses. https://t.co/m2ytntjtpg</v>
      </c>
    </row>
    <row r="2735" spans="1:5" ht="15.75" customHeight="1" x14ac:dyDescent="0.25">
      <c r="A2735" s="1" t="s">
        <v>5469</v>
      </c>
      <c r="B2735" s="1">
        <v>20493</v>
      </c>
      <c r="C2735" s="3">
        <v>43985.833090277774</v>
      </c>
      <c r="D2735" s="1" t="s">
        <v>5470</v>
      </c>
      <c r="E2735" s="4" t="str">
        <f ca="1">IFERROR(__xludf.DUMMYFUNCTION("GOOGLETRANSLATE(A2735 , ""tr"" , ""en"")"),"Mutual implementation of measures is essential. Treat the breach of the mask and distance rule, treat the social distance beyond the social distance. Disconnect the job places respecting the community health, who do not respect the community health. Make "&amp;"your consent, show your appreciation. https://t.co/qpccgh16m6")</f>
        <v>Mutual implementation of measures is essential. Treat the breach of the mask and distance rule, treat the social distance beyond the social distance. Disconnect the job places respecting the community health, who do not respect the community health. Make your consent, show your appreciation. https://t.co/qpccgh16m6</v>
      </c>
    </row>
    <row r="2736" spans="1:5" ht="15.75" customHeight="1" x14ac:dyDescent="0.25">
      <c r="A2736" s="1" t="s">
        <v>5471</v>
      </c>
      <c r="B2736" s="1">
        <v>26123</v>
      </c>
      <c r="C2736" s="3">
        <v>43985.805879629632</v>
      </c>
      <c r="D2736" s="1" t="s">
        <v>5472</v>
      </c>
      <c r="E2736" s="4" t="str">
        <f ca="1">IFERROR(__xludf.DUMMYFUNCTION("GOOGLETRANSLATE(A2736 , ""tr"" , ""en"")"),"Todays have three unique difficulties. The first challenge is the misconception that the epidemic ends. The second is to forget the severity of the disease by relying on success. The third is that the risk group is loosening the measures. We must not forg"&amp;"et that we are not turning to normal conditions. https://t.co/ibvifzuyjo")</f>
        <v>Todays have three unique difficulties. The first challenge is the misconception that the epidemic ends. The second is to forget the severity of the disease by relying on success. The third is that the risk group is loosening the measures. We must not forget that we are not turning to normal conditions. https://t.co/ibvifzuyjo</v>
      </c>
    </row>
    <row r="2737" spans="1:5" ht="15.75" customHeight="1" x14ac:dyDescent="0.25">
      <c r="A2737" s="1" t="s">
        <v>5473</v>
      </c>
      <c r="B2737" s="1">
        <v>18233</v>
      </c>
      <c r="C2737" s="3">
        <v>43985.794074074074</v>
      </c>
      <c r="D2737" s="1" t="s">
        <v>5474</v>
      </c>
      <c r="E2737" s="4" t="str">
        <f ca="1">IFERROR(__xludf.DUMMYFUNCTION("GOOGLETRANSLATE(A2737 , ""tr"" , ""en"")"),"We still have responsibility to our biggeries, young people and children in limited hours. This group is 30 million of our population. Especially the conditions that our elderly will be restricted to the street, we will provide us with the measures we wil"&amp;"l fit. https://t.co/vcywxr4hrt")</f>
        <v>We still have responsibility to our biggeries, young people and children in limited hours. This group is 30 million of our population. Especially the conditions that our elderly will be restricted to the street, we will provide us with the measures we will fit. https://t.co/vcywxr4hrt</v>
      </c>
    </row>
    <row r="2738" spans="1:5" ht="15.75" customHeight="1" x14ac:dyDescent="0.25">
      <c r="A2738" s="1" t="s">
        <v>5475</v>
      </c>
      <c r="B2738" s="1">
        <v>77622</v>
      </c>
      <c r="C2738" s="3">
        <v>43985.719583333332</v>
      </c>
      <c r="D2738" s="1" t="s">
        <v>5476</v>
      </c>
      <c r="E2738" s="4" t="str">
        <f ca="1">IFERROR(__xludf.DUMMYFUNCTION("GOOGLETRANSLATE(A2738 , ""tr"" , ""en"")"),"The intensive care patient with 1 month ago today is 57% of our patients with 57% of the 766 patients with a number of 66% and daily cases decreased by 48%. According to the outcome of the 52 thousand tests, today, we will accelerate this decline in the m"&amp;"easures of our new case number 867. https://t.co/rvlhe7786o https://t.co/hqypvsbbl2")</f>
        <v>The intensive care patient with 1 month ago today is 57% of our patients with 57% of the 766 patients with a number of 66% and daily cases decreased by 48%. According to the outcome of the 52 thousand tests, today, we will accelerate this decline in the measures of our new case number 867. https://t.co/rvlhe7786o https://t.co/hqypvsbbl2</v>
      </c>
    </row>
    <row r="2739" spans="1:5" ht="15.75" customHeight="1" x14ac:dyDescent="0.25">
      <c r="A2739" s="1" t="s">
        <v>5477</v>
      </c>
      <c r="B2739" s="1">
        <v>11970</v>
      </c>
      <c r="C2739" s="3">
        <v>43985.70894675926</v>
      </c>
      <c r="D2739" s="1" t="s">
        <v>5478</v>
      </c>
      <c r="E2739" s="4" t="str">
        <f ca="1">IFERROR(__xludf.DUMMYFUNCTION("GOOGLETRANSLATE(A2739 , ""tr"" , ""en"")"),"After our Science Board meeting, the latest developments on the coronavirus and the new measures we receive.
📍Public Ministry Bilkent Campus / Ankara
https://t.co/jnmqiIfres")</f>
        <v>After our Science Board meeting, the latest developments on the coronavirus and the new measures we receive.
📍Public Ministry Bilkent Campus / Ankara
https://t.co/jnmqiIfres</v>
      </c>
    </row>
    <row r="2740" spans="1:5" ht="15.75" customHeight="1" x14ac:dyDescent="0.25">
      <c r="A2740" s="1" t="s">
        <v>5479</v>
      </c>
      <c r="B2740" s="1">
        <v>44664</v>
      </c>
      <c r="C2740" s="3">
        <v>43985.525810185187</v>
      </c>
      <c r="D2740" s="1" t="s">
        <v>5480</v>
      </c>
      <c r="E2740" s="4" t="str">
        <f ca="1">IFERROR(__xludf.DUMMYFUNCTION("GOOGLETRANSLATE(A2740 , ""tr"" , ""en"")"),"He told the Anatolian woman who participated in the National Struggle, told the girl who is burning ash in Hiroshima. Angina pectoris was a tongue that can be used in the naturalness of ""heartache"" in the poem. A sycamore tree under the turkish's breast"&amp;": We respect the Nâzem Hikmet. https://t.co/3qp53aag59")</f>
        <v>He told the Anatolian woman who participated in the National Struggle, told the girl who is burning ash in Hiroshima. Angina pectoris was a tongue that can be used in the naturalness of "heartache" in the poem. A sycamore tree under the turkish's breast: We respect the Nâzem Hikmet. https://t.co/3qp53aag59</v>
      </c>
    </row>
    <row r="2741" spans="1:5" ht="15.75" customHeight="1" x14ac:dyDescent="0.25">
      <c r="A2741" s="1" t="s">
        <v>5481</v>
      </c>
      <c r="B2741" s="1">
        <v>20850</v>
      </c>
      <c r="C2741" s="3">
        <v>43984.841527777775</v>
      </c>
      <c r="D2741" s="1" t="s">
        <v>5482</v>
      </c>
      <c r="E2741" s="4" t="str">
        <f ca="1">IFERROR(__xludf.DUMMYFUNCTION("GOOGLETRANSLATE(A2741 , ""tr"" , ""en"")"),"Our Ministry Depending on Turkey's medical and medical device institution, human drugs were accepted with the vote of the International Compliance Council Membership. In the world's drug development and production processes, we will play an active role wi"&amp;"th the relevant organizations of America (FDA) and the European Union (EMA). https://t.co/czdsrpw23i")</f>
        <v>Our Ministry Depending on Turkey's medical and medical device institution, human drugs were accepted with the vote of the International Compliance Council Membership. In the world's drug development and production processes, we will play an active role with the relevant organizations of America (FDA) and the European Union (EMA). https://t.co/czdsrpw23i</v>
      </c>
    </row>
    <row r="2742" spans="1:5" ht="15.75" customHeight="1" x14ac:dyDescent="0.25">
      <c r="A2742" s="1" t="s">
        <v>5483</v>
      </c>
      <c r="B2742" s="1">
        <v>17453</v>
      </c>
      <c r="C2742" s="3">
        <v>43984.830324074072</v>
      </c>
      <c r="D2742" s="1" t="s">
        <v>5484</v>
      </c>
      <c r="E2742" s="4" t="str">
        <f ca="1">IFERROR(__xludf.DUMMYFUNCTION("GOOGLETRANSLATE(A2742 , ""tr"" , ""en"")"),"The Founding Member of the Welfare Party in the post-impact period, the first general head of the Welfare Party in the post-impact period; Erbakan's close friend Ahmet Tekdal has lost his life in the hospital it sees. We believe that he has gained the cas"&amp;"e of fighting the sake of May Allah mercy. https://t.co/2nv2kwq2wd")</f>
        <v>The Founding Member of the Welfare Party in the post-impact period, the first general head of the Welfare Party in the post-impact period; Erbakan's close friend Ahmet Tekdal has lost his life in the hospital it sees. We believe that he has gained the case of fighting the sake of May Allah mercy. https://t.co/2nv2kwq2wd</v>
      </c>
    </row>
    <row r="2743" spans="1:5" ht="15.75" customHeight="1" x14ac:dyDescent="0.25">
      <c r="A2743" s="1" t="s">
        <v>5485</v>
      </c>
      <c r="B2743" s="1">
        <v>39576</v>
      </c>
      <c r="C2743" s="3">
        <v>43984.81354166667</v>
      </c>
      <c r="D2743" s="1" t="s">
        <v>5486</v>
      </c>
      <c r="E2743" s="4" t="str">
        <f ca="1">IFERROR(__xludf.DUMMYFUNCTION("GOOGLETRANSLATE(A2743 , ""tr"" , ""en"")"),"Unlike global departure against COVID-19, we have exceeded the hardest days with strict measures. This is so important after this. Let's not forget that the risk is going on. Our daily new case count is around 1,000. The epidemic has not ended. Turkish: I"&amp;"f we do not comply with the measures we can return to the head. https://t.co/oyz7z9gb9m")</f>
        <v>Unlike global departure against COVID-19, we have exceeded the hardest days with strict measures. This is so important after this. Let's not forget that the risk is going on. Our daily new case count is around 1,000. The epidemic has not ended. Turkish: If we do not comply with the measures we can return to the head. https://t.co/oyz7z9gb9m</v>
      </c>
    </row>
    <row r="2744" spans="1:5" ht="15.75" customHeight="1" x14ac:dyDescent="0.25">
      <c r="A2744" s="1" t="s">
        <v>5487</v>
      </c>
      <c r="B2744" s="1">
        <v>22928</v>
      </c>
      <c r="C2744" s="3">
        <v>43984.761770833335</v>
      </c>
      <c r="D2744" s="1" t="s">
        <v>5488</v>
      </c>
      <c r="E2744" s="4" t="str">
        <f ca="1">IFERROR(__xludf.DUMMYFUNCTION("GOOGLETRANSLATE(A2744 , ""tr"" , ""en"")"),"RUSSIA HEALTH MINISTRY CAURS. We've made a call with Mikhail Murashko. Dr. Murashko stated that the treatment of the treatment we applied against COVID-19. In the interview, we decided to work together for the vaccines and medicine connected to our minist"&amp;"ries. https://t.co/zkmozamzmw")</f>
        <v>RUSSIA HEALTH MINISTRY CAURS. We've made a call with Mikhail Murashko. Dr. Murashko stated that the treatment of the treatment we applied against COVID-19. In the interview, we decided to work together for the vaccines and medicine connected to our ministries. https://t.co/zkmozamzmw</v>
      </c>
    </row>
    <row r="2745" spans="1:5" ht="15.75" customHeight="1" x14ac:dyDescent="0.25">
      <c r="A2745" s="1" t="s">
        <v>5489</v>
      </c>
      <c r="B2745" s="1">
        <v>78860</v>
      </c>
      <c r="C2745" s="3">
        <v>43984.708495370367</v>
      </c>
      <c r="D2745" s="1" t="s">
        <v>5490</v>
      </c>
      <c r="E2745" s="4" t="str">
        <f ca="1">IFERROR(__xludf.DUMMYFUNCTION("GOOGLETRANSLATE(A2745 , ""tr"" , ""en"")"),"Our total test count has passed 2.1 million. Our healing patient count is 130 thousand. Our patient number needs intensive care is running out. Future days, to the hand hygiene; Mask + depends on both of us to comply with both of the social distance rule."&amp;" Better measure is better result. https://t.co/rvlhe7786o https://t.co/quxuvoxzvz")</f>
        <v>Our total test count has passed 2.1 million. Our healing patient count is 130 thousand. Our patient number needs intensive care is running out. Future days, to the hand hygiene; Mask + depends on both of us to comply with both of the social distance rule. Better measure is better result. https://t.co/rvlhe7786o https://t.co/quxuvoxzvz</v>
      </c>
    </row>
    <row r="2746" spans="1:5" ht="15.75" customHeight="1" x14ac:dyDescent="0.25">
      <c r="A2746" s="1" t="s">
        <v>5491</v>
      </c>
      <c r="B2746" s="1">
        <v>103523</v>
      </c>
      <c r="C2746" s="3">
        <v>43984.472881944443</v>
      </c>
      <c r="D2746" s="1" t="s">
        <v>5492</v>
      </c>
      <c r="E2746" s="4" t="str">
        <f ca="1">IFERROR(__xludf.DUMMYFUNCTION("GOOGLETRANSLATE(A2746 , ""tr"" , ""en"")"),"The relief of the curfew, don't mean everything is returning to normal. If you do not secure yourself against the virus with the measures you will not know the result you will encounter. TURKISH: A coronavirus patient is in the intensive care that they li"&amp;"ve in Chinese are the foreigner. https://t.co/3h5d8rpdbl")</f>
        <v>The relief of the curfew, don't mean everything is returning to normal. If you do not secure yourself against the virus with the measures you will not know the result you will encounter. TURKISH: A coronavirus patient is in the intensive care that they live in Chinese are the foreigner. https://t.co/3h5d8rpdbl</v>
      </c>
    </row>
    <row r="2747" spans="1:5" ht="15.75" customHeight="1" x14ac:dyDescent="0.25">
      <c r="A2747" s="1" t="s">
        <v>5493</v>
      </c>
      <c r="B2747" s="1">
        <v>45634</v>
      </c>
      <c r="C2747" s="3">
        <v>43984.419363425928</v>
      </c>
      <c r="D2747" s="1" t="s">
        <v>5494</v>
      </c>
      <c r="E2747" s="4" t="str">
        <f ca="1">IFERROR(__xludf.DUMMYFUNCTION("GOOGLETRANSLATE(A2747 , ""tr"" , ""en"")"),"Our Ministry and Public Employee were extended to 8 weeks with our President in the pregnancy permit of all the ladies. The administrative leave will start from 24th week of pregnancy instead of week 32. If a baby to the world is to come, the waters who r"&amp;"un away should stop. Or should be done by someone else. https://t.co/t1dyl4d03b")</f>
        <v>Our Ministry and Public Employee were extended to 8 weeks with our President in the pregnancy permit of all the ladies. The administrative leave will start from 24th week of pregnancy instead of week 32. If a baby to the world is to come, the waters who run away should stop. Or should be done by someone else. https://t.co/t1dyl4d03b</v>
      </c>
    </row>
    <row r="2748" spans="1:5" ht="15.75" customHeight="1" x14ac:dyDescent="0.25">
      <c r="A2748" s="1" t="s">
        <v>5495</v>
      </c>
      <c r="B2748" s="1">
        <v>22219</v>
      </c>
      <c r="C2748" s="3">
        <v>43983.854675925926</v>
      </c>
      <c r="D2748" s="1" t="s">
        <v>5496</v>
      </c>
      <c r="E2748" s="4" t="str">
        <f ca="1">IFERROR(__xludf.DUMMYFUNCTION("GOOGLETRANSLATE(A2748 , ""tr"" , ""en"")"),"To whom does wearing the mask? We are all responsible for the fight against the coronavirus. We can't do our face without mask if it turns off our smile. Let us make us guy while stretching up ready outbreak. Masked, social distance; Let's be a little mor"&amp;"e patience against risk. https://t.co/jpqyem38gf")</f>
        <v>To whom does wearing the mask? We are all responsible for the fight against the coronavirus. We can't do our face without mask if it turns off our smile. Let us make us guy while stretching up ready outbreak. Masked, social distance; Let's be a little more patience against risk. https://t.co/jpqyem38gf</v>
      </c>
    </row>
    <row r="2749" spans="1:5" ht="15.75" customHeight="1" x14ac:dyDescent="0.25">
      <c r="A2749" s="1" t="s">
        <v>5497</v>
      </c>
      <c r="B2749" s="1">
        <v>27378</v>
      </c>
      <c r="C2749" s="3">
        <v>43983.848055555558</v>
      </c>
      <c r="D2749" s="1" t="s">
        <v>5498</v>
      </c>
      <c r="E2749" s="4" t="str">
        <f ca="1">IFERROR(__xludf.DUMMYFUNCTION("GOOGLETRANSLATE(A2749 , ""tr"" , ""en"")"),"To whom does wearing the mask? We are all responsible for the fight against the coronavirus. We can't do our face without mask if it turns off our smile. Let us make us guy while stretching up ready outbreak. Masked, social distance; Let's be a little mor"&amp;"e patience against risk. https://t.co/nqb94afrj7")</f>
        <v>To whom does wearing the mask? We are all responsible for the fight against the coronavirus. We can't do our face without mask if it turns off our smile. Let us make us guy while stretching up ready outbreak. Masked, social distance; Let's be a little more patience against risk. https://t.co/nqb94afrj7</v>
      </c>
    </row>
    <row r="2750" spans="1:5" ht="15.75" customHeight="1" x14ac:dyDescent="0.25">
      <c r="A2750" s="1" t="s">
        <v>5499</v>
      </c>
      <c r="B2750" s="1">
        <v>53464</v>
      </c>
      <c r="C2750" s="3">
        <v>43983.792291666665</v>
      </c>
      <c r="D2750" s="1" t="s">
        <v>5500</v>
      </c>
      <c r="E2750" s="4" t="str">
        <f ca="1">IFERROR(__xludf.DUMMYFUNCTION("GOOGLETRANSLATE(A2750 , ""tr"" , ""en"")"),"The nurse is bruv in bird. Born in 1985. Two children were their mother. Manisa and Bandirma Public Health Centers served in Bandirma State Hospital. Had beaten cancer in 2015. The COVID-19 was caught during his task. Https://t.co/laxona6edr for the chall"&amp;"enge")</f>
        <v>The nurse is bruv in bird. Born in 1985. Two children were their mother. Manisa and Bandirma Public Health Centers served in Bandirma State Hospital. Had beaten cancer in 2015. The COVID-19 was caught during his task. Https://t.co/laxona6edr for the challenge</v>
      </c>
    </row>
    <row r="2751" spans="1:5" ht="15.75" customHeight="1" x14ac:dyDescent="0.25">
      <c r="A2751" s="1" t="s">
        <v>5501</v>
      </c>
      <c r="B2751" s="1">
        <v>74917</v>
      </c>
      <c r="C2751" s="3">
        <v>43983.706261574072</v>
      </c>
      <c r="D2751" s="1" t="s">
        <v>5502</v>
      </c>
      <c r="E2751" s="4" t="str">
        <f ca="1">IFERROR(__xludf.DUMMYFUNCTION("GOOGLETRANSLATE(A2751 , ""tr"" , ""en"")"),"Our total number of patients recovering approached 130 thousand. Our new case count is at the projected level. The need for breathing support is decreasing. Future days, to the hand hygiene; Mask + depends on both of us to comply with both of the social d"&amp;"istance rule. Strict measure is better result. https://t.co/rvlhe7786o https://t.co/vcvkgvhqyj")</f>
        <v>Our total number of patients recovering approached 130 thousand. Our new case count is at the projected level. The need for breathing support is decreasing. Future days, to the hand hygiene; Mask + depends on both of us to comply with both of the social distance rule. Strict measure is better result. https://t.co/rvlhe7786o https://t.co/vcvkgvhqyj</v>
      </c>
    </row>
    <row r="2752" spans="1:5" ht="15.75" customHeight="1" x14ac:dyDescent="0.25">
      <c r="A2752" s="1" t="s">
        <v>5503</v>
      </c>
      <c r="B2752" s="1">
        <v>130670</v>
      </c>
      <c r="C2752" s="3">
        <v>43982.903298611112</v>
      </c>
      <c r="D2752" s="1" t="s">
        <v>5504</v>
      </c>
      <c r="E2752" s="4" t="str">
        <f ca="1">IFERROR(__xludf.DUMMYFUNCTION("GOOGLETRANSLATE(A2752 , ""tr"" , ""en"")"),"Dilek nurse has left us. The disease was captured on the days in which it was on leave, was hospitalized at 11 April. Gave a long struggle. Unfortunately, it was defeated to COVID-19. If only the newborn son could see more times. May Allah mercy. I wish t"&amp;"heir condolences to lovers. https://t.co/kdn8srxkbj")</f>
        <v>Dilek nurse has left us. The disease was captured on the days in which it was on leave, was hospitalized at 11 April. Gave a long struggle. Unfortunately, it was defeated to COVID-19. If only the newborn son could see more times. May Allah mercy. I wish their condolences to lovers. https://t.co/kdn8srxkbj</v>
      </c>
    </row>
    <row r="2753" spans="1:5" ht="15.75" customHeight="1" x14ac:dyDescent="0.25">
      <c r="A2753" s="1" t="s">
        <v>5505</v>
      </c>
      <c r="B2753" s="1">
        <v>23051</v>
      </c>
      <c r="C2753" s="3">
        <v>43982.866273148145</v>
      </c>
      <c r="D2753" s="1" t="s">
        <v>5506</v>
      </c>
      <c r="E2753" s="4" t="str">
        <f ca="1">IFERROR(__xludf.DUMMYFUNCTION("GOOGLETRANSLATE(A2753 , ""tr"" , ""en"")"),"PROF. Dr. Murat Dilmener. 1941, Born in Mardin. He worked as a physician and academician at Istanbul Medical Faculty. In the field of internal diseases. Raised thousands of students. The idealistic was recognized by the help of the smiling face and poor p"&amp;"atients. Https://t.co/renx6fob54 for the challenge")</f>
        <v>PROF. Dr. Murat Dilmener. 1941, Born in Mardin. He worked as a physician and academician at Istanbul Medical Faculty. In the field of internal diseases. Raised thousands of students. The idealistic was recognized by the help of the smiling face and poor patients. Https://t.co/renx6fob54 for the challenge</v>
      </c>
    </row>
    <row r="2754" spans="1:5" ht="15.75" customHeight="1" x14ac:dyDescent="0.25">
      <c r="A2754" s="1" t="s">
        <v>5507</v>
      </c>
      <c r="B2754" s="1">
        <v>14940</v>
      </c>
      <c r="C2754" s="3">
        <v>43982.800358796296</v>
      </c>
      <c r="D2754" s="1" t="s">
        <v>5508</v>
      </c>
      <c r="E2754" s="4" t="str">
        <f ca="1">IFERROR(__xludf.DUMMYFUNCTION("GOOGLETRANSLATE(A2754 , ""tr"" , ""en"")"),"II. The HADIMKÖY Military Hospital built by Abdülhamid is restored and the ceremony of our president, Dr. İsmail Niyazi is the name of the survived hospital and opened to the service. In the hospital epidemic will accelerate the normalization process of o"&amp;"ur other hospitals. Congratulations. https://t.co/wkekqdgeyn")</f>
        <v>II. The HADIMKÖY Military Hospital built by Abdülhamid is restored and the ceremony of our president, Dr. İsmail Niyazi is the name of the survived hospital and opened to the service. In the hospital epidemic will accelerate the normalization process of our other hospitals. Congratulations. https://t.co/wkekqdgeyn</v>
      </c>
    </row>
    <row r="2755" spans="1:5" ht="15.75" customHeight="1" x14ac:dyDescent="0.25">
      <c r="A2755" s="1" t="s">
        <v>5509</v>
      </c>
      <c r="B2755" s="1">
        <v>14397</v>
      </c>
      <c r="C2755" s="3">
        <v>43982.787453703706</v>
      </c>
      <c r="D2755" s="1" t="s">
        <v>5510</v>
      </c>
      <c r="E2755" s="4" t="str">
        <f ca="1">IFERROR(__xludf.DUMMYFUNCTION("GOOGLETRANSLATE(A2755 , ""tr"" , ""en"")"),"We do not doubt our doctor's friends, health professionals, health workers, who will serve in the name of our elders that will be served in our hospital. Dr. Ismail Niyazi saved Hospital, a history with its object is resurrection of the resurgence and vai"&amp;"na. https://t.co/z8wna3IVXU")</f>
        <v>We do not doubt our doctor's friends, health professionals, health workers, who will serve in the name of our elders that will be served in our hospital. Dr. Ismail Niyazi saved Hospital, a history with its object is resurrection of the resurgence and vaina. https://t.co/z8wna3IVXU</v>
      </c>
    </row>
    <row r="2756" spans="1:5" ht="15.75" customHeight="1" x14ac:dyDescent="0.25">
      <c r="A2756" s="1" t="s">
        <v>5511</v>
      </c>
      <c r="B2756" s="1">
        <v>13265</v>
      </c>
      <c r="C2756" s="3">
        <v>43982.760567129626</v>
      </c>
      <c r="D2756" s="1" t="s">
        <v>5512</v>
      </c>
      <c r="E2756" s="4" t="str">
        <f ca="1">IFERROR(__xludf.DUMMYFUNCTION("GOOGLETRANSLATE(A2756 , ""tr"" , ""en"")"),"HADIMKOY Dr. İsmail Niyazi We opened our nation to our nation. Get auspicious to our country and humanity. https://t.co/8ksn1ppmfw")</f>
        <v>HADIMKOY Dr. İsmail Niyazi We opened our nation to our nation. Get auspicious to our country and humanity. https://t.co/8ksn1ppmfw</v>
      </c>
    </row>
    <row r="2757" spans="1:5" ht="15.75" customHeight="1" x14ac:dyDescent="0.25">
      <c r="A2757" s="1" t="s">
        <v>5513</v>
      </c>
      <c r="B2757" s="1">
        <v>14576</v>
      </c>
      <c r="C2757" s="3">
        <v>43982.741712962961</v>
      </c>
      <c r="D2757" s="1" t="s">
        <v>5514</v>
      </c>
      <c r="E2757" s="4" t="str">
        <f ca="1">IFERROR(__xludf.DUMMYFUNCTION("GOOGLETRANSLATE(A2757 , ""tr"" , ""en"")"),"Finished in 45 days Prof. Dr. Murat Dilmener Emergency Hospital The construction process of the TRT documentary was an anbean recorded by air and action cameras + actuel cameras. The icon is in the TRT documentary channel of the project documentary 21.00."&amp;" Be right trt. I think two do is exciting. https://t.co/lyx35cu8jt")</f>
        <v>Finished in 45 days Prof. Dr. Murat Dilmener Emergency Hospital The construction process of the TRT documentary was an anbean recorded by air and action cameras + actuel cameras. The icon is in the TRT documentary channel of the project documentary 21.00. Be right trt. I think two do is exciting. https://t.co/lyx35cu8jt</v>
      </c>
    </row>
    <row r="2758" spans="1:5" ht="15.75" customHeight="1" x14ac:dyDescent="0.25">
      <c r="A2758" s="1" t="s">
        <v>5515</v>
      </c>
      <c r="B2758" s="1">
        <v>82590</v>
      </c>
      <c r="C2758" s="3">
        <v>43982.733067129629</v>
      </c>
      <c r="D2758" s="1" t="s">
        <v>5516</v>
      </c>
      <c r="E2758" s="4" t="str">
        <f ca="1">IFERROR(__xludf.DUMMYFUNCTION("GOOGLETRANSLATE(A2758 , ""tr"" , ""en"")"),"The number of cases is at the prescribed level. The number of patients who need respiratory support continues to decrease. Future days, to the hand hygiene; It depends on how to comply with both the mask and the social distance rule. Strict measure is bet"&amp;"ter result. https://t.co/rvlhe7786o https://t.co/0wu75s4IJM")</f>
        <v>The number of cases is at the prescribed level. The number of patients who need respiratory support continues to decrease. Future days, to the hand hygiene; It depends on how to comply with both the mask and the social distance rule. Strict measure is better result. https://t.co/rvlhe7786o https://t.co/0wu75s4IJM</v>
      </c>
    </row>
    <row r="2759" spans="1:5" ht="15.75" customHeight="1" x14ac:dyDescent="0.25">
      <c r="A2759" s="1" t="s">
        <v>5517</v>
      </c>
      <c r="B2759" s="1">
        <v>13157</v>
      </c>
      <c r="C2759" s="3">
        <v>43982.728831018518</v>
      </c>
      <c r="D2759" s="1" t="s">
        <v>5518</v>
      </c>
      <c r="E2759" s="4" t="str">
        <f ca="1">IFERROR(__xludf.DUMMYFUNCTION("GOOGLETRANSLATE(A2759 , ""tr"" , ""en"")"),"Professor Dr. Murat Dilmener Emergency Hospital has been opened at 14.00 at 14.00. Our hospital in Yeşilköy will make Istanbul to the epidemic, all kinds of earthquakes and disaster. Will speed up the normalization process of our hospitals. May our nation"&amp;" be auspicious. https://t.co/s740zssynm")</f>
        <v>Professor Dr. Murat Dilmener Emergency Hospital has been opened at 14.00 at 14.00. Our hospital in Yeşilköy will make Istanbul to the epidemic, all kinds of earthquakes and disaster. Will speed up the normalization process of our hospitals. May our nation be auspicious. https://t.co/s740zssynm</v>
      </c>
    </row>
    <row r="2760" spans="1:5" ht="15.75" customHeight="1" x14ac:dyDescent="0.25">
      <c r="A2760" s="1" t="s">
        <v>5519</v>
      </c>
      <c r="B2760" s="1">
        <v>14090</v>
      </c>
      <c r="C2760" s="3">
        <v>43982.722326388888</v>
      </c>
      <c r="D2760" s="1" t="s">
        <v>5520</v>
      </c>
      <c r="E2760" s="4" t="str">
        <f ca="1">IFERROR(__xludf.DUMMYFUNCTION("GOOGLETRANSLATE(A2760 , ""tr"" , ""en"")"),"We have the name of our Cemil teacher that we have lost from the corona to our city hospital. In the Emergency Hospital in Sancaktepe Feriha Öz will experience the memory of the In line with the tensis of our hospital president we are opening Dr. Murat wi"&amp;"ll be referred to by Dilmener's name. https://t.co/aalbwtfk4z")</f>
        <v>We have the name of our Cemil teacher that we have lost from the corona to our city hospital. In the Emergency Hospital in Sancaktepe Feriha Öz will experience the memory of the In line with the tensis of our hospital president we are opening Dr. Murat will be referred to by Dilmener's name. https://t.co/aalbwtfk4z</v>
      </c>
    </row>
    <row r="2761" spans="1:5" ht="15.75" customHeight="1" x14ac:dyDescent="0.25">
      <c r="A2761" s="1" t="s">
        <v>5521</v>
      </c>
      <c r="B2761" s="1">
        <v>14692</v>
      </c>
      <c r="C2761" s="3">
        <v>43982.684027777781</v>
      </c>
      <c r="D2761" s="1" t="s">
        <v>5522</v>
      </c>
      <c r="E2761" s="4" t="str">
        <f ca="1">IFERROR(__xludf.DUMMYFUNCTION("GOOGLETRANSLATE(A2761 , ""tr"" , ""en"")"),"Our emergency hospitals will assume a priority task these days. In the epidemic, the normalization process of our other hospitals will accelerate these hospitals. Our other hospitals will now be able to serve our patients with partially postponed. https:/"&amp;"/t.co/uykhdqaoum")</f>
        <v>Our emergency hospitals will assume a priority task these days. In the epidemic, the normalization process of our other hospitals will accelerate these hospitals. Our other hospitals will now be able to serve our patients with partially postponed. https://t.co/uykhdqaoum</v>
      </c>
    </row>
    <row r="2762" spans="1:5" ht="15.75" customHeight="1" x14ac:dyDescent="0.25">
      <c r="A2762" s="1" t="s">
        <v>5523</v>
      </c>
      <c r="B2762" s="1">
        <v>19204</v>
      </c>
      <c r="C2762" s="3">
        <v>43982.659456018519</v>
      </c>
      <c r="D2762" s="1" t="s">
        <v>5524</v>
      </c>
      <c r="E2762" s="4" t="str">
        <f ca="1">IFERROR(__xludf.DUMMYFUNCTION("GOOGLETRANSLATE(A2762 , ""tr"" , ""en"")"),"Yeşilköy Professor Dr. Murat Dilmener has opened our nation to our nationality. Get auspicious to our country and humanity. https://t.co/77s62UCIAQ")</f>
        <v>Yeşilköy Professor Dr. Murat Dilmener has opened our nation to our nationality. Get auspicious to our country and humanity. https://t.co/77s62UCIAQ</v>
      </c>
    </row>
    <row r="2763" spans="1:5" ht="15.75" customHeight="1" x14ac:dyDescent="0.25">
      <c r="A2763" s="1" t="s">
        <v>5525</v>
      </c>
      <c r="B2763" s="1">
        <v>90252</v>
      </c>
      <c r="C2763" s="3">
        <v>43982.437754629631</v>
      </c>
      <c r="D2763" s="1" t="s">
        <v>5526</v>
      </c>
      <c r="E2763" s="4" t="str">
        <f ca="1">IFERROR(__xludf.DUMMYFUNCTION("GOOGLETRANSLATE(A2763 , ""tr"" , ""en"")"),"If you wear a mask you smoke less. With the help of the world's day's day, the mask is as well, you have your day to stop smoking or reduce the better than good.")</f>
        <v>If you wear a mask you smoke less. With the help of the world's day's day, the mask is as well, you have your day to stop smoking or reduce the better than good.</v>
      </c>
    </row>
    <row r="2764" spans="1:5" ht="15.75" customHeight="1" x14ac:dyDescent="0.25">
      <c r="A2764" s="1" t="s">
        <v>5527</v>
      </c>
      <c r="B2764" s="1">
        <v>71112</v>
      </c>
      <c r="C2764" s="3">
        <v>43982.393842592595</v>
      </c>
      <c r="D2764" s="1" t="s">
        <v>5528</v>
      </c>
      <c r="E2764" s="4" t="str">
        <f ca="1">IFERROR(__xludf.DUMMYFUNCTION("GOOGLETRANSLATE(A2764 , ""tr"" , ""en"")"),"The sadness of our nurse of our nurse increased slightly again yesterday. Unfortunately, unfortunately, unfortunately, unfortunately, unfortunately, false news was spread about COVID-19. The situation is serious from the previous one, but the heart of lif"&amp;"e protects all the time with everything. https://t.co/elyhbenslx")</f>
        <v>The sadness of our nurse of our nurse increased slightly again yesterday. Unfortunately, unfortunately, unfortunately, unfortunately, unfortunately, false news was spread about COVID-19. The situation is serious from the previous one, but the heart of life protects all the time with everything. https://t.co/elyhbenslx</v>
      </c>
    </row>
    <row r="2765" spans="1:5" ht="15.75" customHeight="1" x14ac:dyDescent="0.25">
      <c r="A2765" s="1" t="s">
        <v>5529</v>
      </c>
      <c r="B2765" s="1">
        <v>33984</v>
      </c>
      <c r="C2765" s="3">
        <v>43981.840162037035</v>
      </c>
      <c r="D2765" s="1" t="s">
        <v>5530</v>
      </c>
      <c r="E2765" s="4" t="str">
        <f ca="1">IFERROR(__xludf.DUMMYFUNCTION("GOOGLETRANSLATE(A2765 , ""tr"" , ""en"")"),"II. The Hadımköy Military Hospital made by Abdülhamid has been restored to the service. Dr. With the name of the İsmail Niyazi ridiculous Hospital, it is opened by the ceremony that our president will participate in 16.00 tomorrow. The normalization proce"&amp;"ss of our other hospitals will be accelerated. https://t.co/ppc2xj4zvj")</f>
        <v>II. The Hadımköy Military Hospital made by Abdülhamid has been restored to the service. Dr. With the name of the İsmail Niyazi ridiculous Hospital, it is opened by the ceremony that our president will participate in 16.00 tomorrow. The normalization process of our other hospitals will be accelerated. https://t.co/ppc2xj4zvj</v>
      </c>
    </row>
    <row r="2766" spans="1:5" ht="15.75" customHeight="1" x14ac:dyDescent="0.25">
      <c r="A2766" s="1" t="s">
        <v>5531</v>
      </c>
      <c r="B2766" s="1">
        <v>21926</v>
      </c>
      <c r="C2766" s="3">
        <v>43981.808912037035</v>
      </c>
      <c r="D2766" s="1" t="s">
        <v>5532</v>
      </c>
      <c r="E2766" s="4" t="str">
        <f ca="1">IFERROR(__xludf.DUMMYFUNCTION("GOOGLETRANSLATE(A2766 , ""tr"" , ""en"")"),"PROF. Dr. Murat Dilmener Emergency Hospital Opens at 14.00 tomorrow tomorrow with the ceremony will participate in our President. Our hospital in Yeşilköy will make Istanbul to the epidemic, against all kinds of earthquake and disaster. Will accelerate th"&amp;"e normalization process of our other hospitals in the epidemic. https://t.co/S9VDPGTVRI")</f>
        <v>PROF. Dr. Murat Dilmener Emergency Hospital Opens at 14.00 tomorrow tomorrow with the ceremony will participate in our President. Our hospital in Yeşilköy will make Istanbul to the epidemic, against all kinds of earthquake and disaster. Will accelerate the normalization process of our other hospitals in the epidemic. https://t.co/S9VDPGTVRI</v>
      </c>
    </row>
    <row r="2767" spans="1:5" ht="15.75" customHeight="1" x14ac:dyDescent="0.25">
      <c r="A2767" s="1" t="s">
        <v>5533</v>
      </c>
      <c r="B2767" s="1">
        <v>75472</v>
      </c>
      <c r="C2767" s="3">
        <v>43981.736446759256</v>
      </c>
      <c r="D2767" s="1" t="s">
        <v>5534</v>
      </c>
      <c r="E2767" s="4" t="str">
        <f ca="1">IFERROR(__xludf.DUMMYFUNCTION("GOOGLETRANSLATE(A2767 , ""tr"" , ""en"")"),"Our total test count has passed 2 million. According to yesterday, our daily test count increased 3,000. Our new case count is below 1,000. Future days, to the hand hygiene; It depends on me to comply with the two of the mask and the social distance rule."&amp;" Strict measure is better result. https://t.co/rvlhe7786o https://t.co/xsdhafnh7o")</f>
        <v>Our total test count has passed 2 million. According to yesterday, our daily test count increased 3,000. Our new case count is below 1,000. Future days, to the hand hygiene; It depends on me to comply with the two of the mask and the social distance rule. Strict measure is better result. https://t.co/rvlhe7786o https://t.co/xsdhafnh7o</v>
      </c>
    </row>
    <row r="2768" spans="1:5" ht="15.75" customHeight="1" x14ac:dyDescent="0.25">
      <c r="A2768" s="1" t="s">
        <v>5535</v>
      </c>
      <c r="B2768" s="1">
        <v>36262</v>
      </c>
      <c r="C2768" s="3">
        <v>43981.732881944445</v>
      </c>
      <c r="D2768" s="1" t="s">
        <v>5536</v>
      </c>
      <c r="E2768" s="4" t="str">
        <f ca="1">IFERROR(__xludf.DUMMYFUNCTION("GOOGLETRANSLATE(A2768 , ""tr"" , ""en"")"),"Two bitter news came from Hakkari. In our struggle against terror, expert sergeant Ugur Bora and infantry Er Mehmet Günay fell in the Martyr. I wish our martyrs to the mercy, their families, hero friends, their condolences to our families. Heaven be heave"&amp;"nly the space of those who died for the sake of the homeland. https://t.co/vtyyq3srpz")</f>
        <v>Two bitter news came from Hakkari. In our struggle against terror, expert sergeant Ugur Bora and infantry Er Mehmet Günay fell in the Martyr. I wish our martyrs to the mercy, their families, hero friends, their condolences to our families. Heaven be heavenly the space of those who died for the sake of the homeland. https://t.co/vtyyq3srpz</v>
      </c>
    </row>
    <row r="2769" spans="1:5" ht="15.75" customHeight="1" x14ac:dyDescent="0.25">
      <c r="A2769" s="1" t="s">
        <v>5537</v>
      </c>
      <c r="B2769" s="1">
        <v>46931</v>
      </c>
      <c r="C2769" s="3">
        <v>43981.708877314813</v>
      </c>
      <c r="D2769" s="1" t="s">
        <v>5538</v>
      </c>
      <c r="E2769" s="4" t="str">
        <f ca="1">IFERROR(__xludf.DUMMYFUNCTION("GOOGLETRANSLATE(A2769 , ""tr"" , ""en"")"),"In the bonds district of Diyarbakır, our police lost his life with an armed attack undertaken during the Atakan Arslan task. We've learned that 1 child is father. Our pain is big. I wish our meagie from Allah to the mercy, family, colleagues and our natio"&amp;"n. https://t.co/rb6tclhja8")</f>
        <v>In the bonds district of Diyarbakır, our police lost his life with an armed attack undertaken during the Atakan Arslan task. We've learned that 1 child is father. Our pain is big. I wish our meagie from Allah to the mercy, family, colleagues and our nation. https://t.co/rb6tclhja8</v>
      </c>
    </row>
    <row r="2770" spans="1:5" ht="15.75" customHeight="1" x14ac:dyDescent="0.25">
      <c r="A2770" s="1" t="s">
        <v>5539</v>
      </c>
      <c r="B2770" s="1">
        <v>37178</v>
      </c>
      <c r="C2770" s="3">
        <v>43981.555578703701</v>
      </c>
      <c r="D2770" s="1" t="s">
        <v>5540</v>
      </c>
      <c r="E2770" s="4" t="str">
        <f ca="1">IFERROR(__xludf.DUMMYFUNCTION("GOOGLETRANSLATE(A2770 , ""tr"" , ""en"")"),"After the success of accomodating the measures, we finally opened the mosques for lunch and afternoon prayers. The Mask + Distance Rule is valid for worshiping in every area and congregation. Let's keep the pure by leaving a space. May Allah accept your w"&amp;"orship. https://t.co/dkgw37mz2c")</f>
        <v>After the success of accomodating the measures, we finally opened the mosques for lunch and afternoon prayers. The Mask + Distance Rule is valid for worshiping in every area and congregation. Let's keep the pure by leaving a space. May Allah accept your worship. https://t.co/dkgw37mz2c</v>
      </c>
    </row>
    <row r="2771" spans="1:5" ht="15.75" customHeight="1" x14ac:dyDescent="0.25">
      <c r="A2771" s="1" t="s">
        <v>5541</v>
      </c>
      <c r="B2771" s="1">
        <v>26646</v>
      </c>
      <c r="C2771" s="3">
        <v>43981.462384259263</v>
      </c>
      <c r="D2771" s="1" t="s">
        <v>5542</v>
      </c>
      <c r="E2771" s="4" t="str">
        <f ca="1">IFERROR(__xludf.DUMMYFUNCTION("GOOGLETRANSLATE(A2771 , ""tr"" , ""en"")"),"Great day tomorrow for our ages over 65 years. They are out of 14.00-20.00. It is so important to stay at home, how important it is to be hedging, using the mask outside and maintaining social distance. Even between forty years of friends! Let's patriarch"&amp;" a little more. Todays to pass. https://t.co/suh1ycwjjf")</f>
        <v>Great day tomorrow for our ages over 65 years. They are out of 14.00-20.00. It is so important to stay at home, how important it is to be hedging, using the mask outside and maintaining social distance. Even between forty years of friends! Let's patriarch a little more. Todays to pass. https://t.co/suh1ycwjjf</v>
      </c>
    </row>
    <row r="2772" spans="1:5" ht="15.75" customHeight="1" x14ac:dyDescent="0.25">
      <c r="A2772" s="1" t="s">
        <v>5543</v>
      </c>
      <c r="B2772" s="1">
        <v>41552</v>
      </c>
      <c r="C2772" s="3">
        <v>43981.355555555558</v>
      </c>
      <c r="D2772" s="1" t="s">
        <v>5544</v>
      </c>
      <c r="E2772" s="4" t="str">
        <f ca="1">IFERROR(__xludf.DUMMYFUNCTION("GOOGLETRANSLATE(A2772 , ""tr"" , ""en"")"),"Mask + Social Distance: Two measures are full measure when they are together. Install the mask in accordance with the rule of your mask while exiting. Be careful in every environment to keep the social distance at 1.5 m. Give greater importance to hand hy"&amp;"giene. The importance of measures increased on the days in which most of us can be on the street. https://t.co/zsz41qdqzI")</f>
        <v>Mask + Social Distance: Two measures are full measure when they are together. Install the mask in accordance with the rule of your mask while exiting. Be careful in every environment to keep the social distance at 1.5 m. Give greater importance to hand hygiene. The importance of measures increased on the days in which most of us can be on the street. https://t.co/zsz41qdqzI</v>
      </c>
    </row>
    <row r="2773" spans="1:5" ht="15.75" customHeight="1" x14ac:dyDescent="0.25">
      <c r="A2773" s="1" t="s">
        <v>5545</v>
      </c>
      <c r="B2773" s="1">
        <v>24443</v>
      </c>
      <c r="C2773" s="3">
        <v>43980.874583333331</v>
      </c>
      <c r="D2773" s="1" t="s">
        <v>5546</v>
      </c>
      <c r="E2773" s="4" t="str">
        <f ca="1">IFERROR(__xludf.DUMMYFUNCTION("GOOGLETRANSLATE(A2773 , ""tr"" , ""en"")"),"PROF. Dr. Feriha self. In 1957, he graduated from Istanbul Medical Faculty. A scientist who is famous for the field of pathology, recognized with human love, the arms of the arms were a great teacher behind his arms. April 2 has left us because of COVID-1"&amp;"9 illness. Https://t.co/ezef6gvg70 for the challenge of the challenge")</f>
        <v>PROF. Dr. Feriha self. In 1957, he graduated from Istanbul Medical Faculty. A scientist who is famous for the field of pathology, recognized with human love, the arms of the arms were a great teacher behind his arms. April 2 has left us because of COVID-19 illness. Https://t.co/ezef6gvg70 for the challenge of the challenge</v>
      </c>
    </row>
    <row r="2774" spans="1:5" ht="15.75" customHeight="1" x14ac:dyDescent="0.25">
      <c r="A2774" s="1" t="s">
        <v>5547</v>
      </c>
      <c r="B2774" s="1">
        <v>30653</v>
      </c>
      <c r="C2774" s="3">
        <v>43980.818981481483</v>
      </c>
      <c r="D2774" s="1" t="s">
        <v>5548</v>
      </c>
      <c r="E2774" s="4" t="str">
        <f ca="1">IFERROR(__xludf.DUMMYFUNCTION("GOOGLETRANSLATE(A2774 , ""tr"" , ""en"")"),"567th anniversary of the conquest of Istanbul today. This conquest was the conquest that the walls are destroyed with the balls. Istanbul, the diversity of living, our culture was our fetish spirit. Bless the day of Istanbul's promised future. https://t.c"&amp;"o/k8be7uuqob")</f>
        <v>567th anniversary of the conquest of Istanbul today. This conquest was the conquest that the walls are destroyed with the balls. Istanbul, the diversity of living, our culture was our fetish spirit. Bless the day of Istanbul's promised future. https://t.co/k8be7uuqob</v>
      </c>
    </row>
    <row r="2775" spans="1:5" ht="15.75" customHeight="1" x14ac:dyDescent="0.25">
      <c r="A2775" s="1" t="s">
        <v>5549</v>
      </c>
      <c r="B2775" s="1">
        <v>62228</v>
      </c>
      <c r="C2775" s="3">
        <v>43980.785497685189</v>
      </c>
      <c r="D2775" s="1" t="s">
        <v>5550</v>
      </c>
      <c r="E2775" s="4" t="str">
        <f ca="1">IFERROR(__xludf.DUMMYFUNCTION("GOOGLETRANSLATE(A2775 , ""tr"" , ""en"")"),"After the long break, the first time in our country has been made in Friday prayer. Namaza stops were the same in proximity to the wound. There was a temporary distance between the safes. We thank the worship to those who do in accordance with the epidemi"&amp;"c measures. May Allah accept prayers today. https://t.co/yogcabssbb")</f>
        <v>After the long break, the first time in our country has been made in Friday prayer. Namaza stops were the same in proximity to the wound. There was a temporary distance between the safes. We thank the worship to those who do in accordance with the epidemic measures. May Allah accept prayers today. https://t.co/yogcabssbb</v>
      </c>
    </row>
    <row r="2776" spans="1:5" ht="15.75" customHeight="1" x14ac:dyDescent="0.25">
      <c r="A2776" s="1" t="s">
        <v>5551</v>
      </c>
      <c r="B2776" s="1">
        <v>17621</v>
      </c>
      <c r="C2776" s="3">
        <v>43980.724618055552</v>
      </c>
      <c r="D2776" s="1" t="s">
        <v>5552</v>
      </c>
      <c r="E2776" s="4" t="str">
        <f ca="1">IFERROR(__xludf.DUMMYFUNCTION("GOOGLETRANSLATE(A2776 , ""tr"" , ""en"")"),"Our emergency hospitals in the fields of repeatedly. Dr. Feriha Self and Professor Dr. We give Murat Dilmener's names. These hospitals, not the later functions, even though only two scientists were made to live the name of our people, even this is a suffi"&amp;"cient reason. https://t.co/znhbtosfou")</f>
        <v>Our emergency hospitals in the fields of repeatedly. Dr. Feriha Self and Professor Dr. We give Murat Dilmener's names. These hospitals, not the later functions, even though only two scientists were made to live the name of our people, even this is a sufficient reason. https://t.co/znhbtosfou</v>
      </c>
    </row>
    <row r="2777" spans="1:5" ht="15.75" customHeight="1" x14ac:dyDescent="0.25">
      <c r="A2777" s="1" t="s">
        <v>5553</v>
      </c>
      <c r="B2777" s="1">
        <v>14346</v>
      </c>
      <c r="C2777" s="3">
        <v>43980.713090277779</v>
      </c>
      <c r="D2777" s="1" t="s">
        <v>5554</v>
      </c>
      <c r="E2777" s="4" t="str">
        <f ca="1">IFERROR(__xludf.DUMMYFUNCTION("GOOGLETRANSLATE(A2777 , ""tr"" , ""en"")"),"Emergency hospitals The earthquake is not designed as hospitals to be disabled after the disaster, outbreak situations. They give us an important capacity at normal times. In terms of patients from outside and out of town, close proximity to the airport i"&amp;"s strategically important. https://t.co/jloonvbff3")</f>
        <v>Emergency hospitals The earthquake is not designed as hospitals to be disabled after the disaster, outbreak situations. They give us an important capacity at normal times. In terms of patients from outside and out of town, close proximity to the airport is strategically important. https://t.co/jloonvbff3</v>
      </c>
    </row>
    <row r="2778" spans="1:5" ht="15.75" customHeight="1" x14ac:dyDescent="0.25">
      <c r="A2778" s="1" t="s">
        <v>5555</v>
      </c>
      <c r="B2778" s="1">
        <v>56311</v>
      </c>
      <c r="C2778" s="3">
        <v>43980.680752314816</v>
      </c>
      <c r="D2778" s="1" t="s">
        <v>5556</v>
      </c>
      <c r="E2778" s="4" t="str">
        <f ca="1">IFERROR(__xludf.DUMMYFUNCTION("GOOGLETRANSLATE(A2778 , ""tr"" , ""en"")"),"The number of tests increased, the new number of cases decreased. Intensive care and intubation continues to decline in the number of patients. Future days, considering the hand hygiene, the mask and the social distance rule are connected to both of us to"&amp;" comply with. Let's avoid risk with controlled social life. https://t.co/rvlhe7786o https://t.co/bdoy1qmx02")</f>
        <v>The number of tests increased, the new number of cases decreased. Intensive care and intubation continues to decline in the number of patients. Future days, considering the hand hygiene, the mask and the social distance rule are connected to both of us to comply with. Let's avoid risk with controlled social life. https://t.co/rvlhe7786o https://t.co/bdoy1qmx02</v>
      </c>
    </row>
    <row r="2779" spans="1:5" ht="15.75" customHeight="1" x14ac:dyDescent="0.25">
      <c r="A2779" s="1" t="s">
        <v>5557</v>
      </c>
      <c r="B2779" s="1">
        <v>22935</v>
      </c>
      <c r="C2779" s="3">
        <v>43980.640925925924</v>
      </c>
      <c r="D2779" s="1" t="s">
        <v>5558</v>
      </c>
      <c r="E2779" s="4" t="str">
        <f ca="1">IFERROR(__xludf.DUMMYFUNCTION("GOOGLETRANSLATE(A2779 , ""tr"" , ""en"")"),"SN. With the facts of our President, Prof. Dr. We performed the opening of the Feriha self-emergency hospital. Without damage to the earthquake, the earthquake will be undertaken in emergency situations such as earthquake, epidemic with advanced technolog"&amp;"y. May our nation be auspicious. https://t.co/szvdfgapys")</f>
        <v>SN. With the facts of our President, Prof. Dr. We performed the opening of the Feriha self-emergency hospital. Without damage to the earthquake, the earthquake will be undertaken in emergency situations such as earthquake, epidemic with advanced technology. May our nation be auspicious. https://t.co/szvdfgapys</v>
      </c>
    </row>
    <row r="2780" spans="1:5" ht="15.75" customHeight="1" x14ac:dyDescent="0.25">
      <c r="A2780" s="1" t="s">
        <v>5559</v>
      </c>
      <c r="B2780" s="1">
        <v>20939</v>
      </c>
      <c r="C2780" s="3">
        <v>43980.526655092595</v>
      </c>
      <c r="D2780" s="1" t="s">
        <v>5560</v>
      </c>
      <c r="E2780" s="4" t="str">
        <f ca="1">IFERROR(__xludf.DUMMYFUNCTION("GOOGLETRANSLATE(A2780 , ""tr"" , ""en"")"),"Professor Dr. We open our Feriha self-emergency hospital to our nation's service.
https://t.co/dn4hppmwov")</f>
        <v>Professor Dr. We open our Feriha self-emergency hospital to our nation's service.
https://t.co/dn4hppmwov</v>
      </c>
    </row>
    <row r="2781" spans="1:5" ht="15.75" customHeight="1" x14ac:dyDescent="0.25">
      <c r="A2781" s="1" t="s">
        <v>5561</v>
      </c>
      <c r="B2781" s="1">
        <v>25260</v>
      </c>
      <c r="C2781" s="3">
        <v>43979.95753472222</v>
      </c>
      <c r="D2781" s="1" t="s">
        <v>5562</v>
      </c>
      <c r="E2781" s="4" t="str">
        <f ca="1">IFERROR(__xludf.DUMMYFUNCTION("GOOGLETRANSLATE(A2781 , ""tr"" , ""en"")"),"Some of us worked in the terms of epidemics, so if life don't stop all. The only good side of being out was the blank ways. The most important ones are: We have dropped the number of cases to around 1,000. Be right, my young friend. Our work was hard if w"&amp;"e insist on staying at home. Let's stand a little more. https://t.co/e9grpqq9ax")</f>
        <v>Some of us worked in the terms of epidemics, so if life don't stop all. The only good side of being out was the blank ways. The most important ones are: We have dropped the number of cases to around 1,000. Be right, my young friend. Our work was hard if we insist on staying at home. Let's stand a little more. https://t.co/e9grpqq9ax</v>
      </c>
    </row>
    <row r="2782" spans="1:5" ht="15.75" customHeight="1" x14ac:dyDescent="0.25">
      <c r="A2782" s="1" t="s">
        <v>5563</v>
      </c>
      <c r="B2782" s="1">
        <v>31391</v>
      </c>
      <c r="C2782" s="3">
        <v>43979.943124999998</v>
      </c>
      <c r="D2782" s="1" t="s">
        <v>5564</v>
      </c>
      <c r="E2782" s="4" t="str">
        <f ca="1">IFERROR(__xludf.DUMMYFUNCTION("GOOGLETRANSLATE(A2782 , ""tr"" , ""en"")"),"Some of us worked in the terms of epidemics, so if life don't stop all. The only good side of being out was the blank ways. The most important ones are: We have dropped the number of cases to around 1,000. Be right, my young friend. Our work was hard if w"&amp;"e insist on staying at home. Let's stand a little more. https://t.co/rcmaxICVHB")</f>
        <v>Some of us worked in the terms of epidemics, so if life don't stop all. The only good side of being out was the blank ways. The most important ones are: We have dropped the number of cases to around 1,000. Be right, my young friend. Our work was hard if we insist on staying at home. Let's stand a little more. https://t.co/rcmaxICVHB</v>
      </c>
    </row>
    <row r="2783" spans="1:5" ht="15.75" customHeight="1" x14ac:dyDescent="0.25">
      <c r="A2783" s="1" t="s">
        <v>5565</v>
      </c>
      <c r="B2783" s="1">
        <v>41512</v>
      </c>
      <c r="C2783" s="3">
        <v>43979.866053240738</v>
      </c>
      <c r="D2783" s="1" t="s">
        <v>5566</v>
      </c>
      <c r="E2783" s="4" t="str">
        <f ca="1">IFERROR(__xludf.DUMMYFUNCTION("GOOGLETRANSLATE(A2783 , ""tr"" , ""en"")"),"Completed only in 45 days Dr. Feriha Esp Emergency Hospital Opens at 14.00 tomorrow tomorrow with the ceremony will participate in our President. It will be ready against an earthquake, outbreak and all kinds of earthquake and disaster with our single-sto"&amp;"rey new hospital. https://t.co/ckbadtghrz")</f>
        <v>Completed only in 45 days Dr. Feriha Esp Emergency Hospital Opens at 14.00 tomorrow tomorrow with the ceremony will participate in our President. It will be ready against an earthquake, outbreak and all kinds of earthquake and disaster with our single-storey new hospital. https://t.co/ckbadtghrz</v>
      </c>
    </row>
    <row r="2784" spans="1:5" ht="15.75" customHeight="1" x14ac:dyDescent="0.25">
      <c r="A2784" s="1" t="s">
        <v>5567</v>
      </c>
      <c r="B2784" s="1">
        <v>60345</v>
      </c>
      <c r="C2784" s="3">
        <v>43979.726134259261</v>
      </c>
      <c r="D2784" s="1" t="s">
        <v>5568</v>
      </c>
      <c r="E2784" s="4" t="str">
        <f ca="1">IFERROR(__xludf.DUMMYFUNCTION("GOOGLETRANSLATE(A2784 , ""tr"" , ""en"")"),"The number of tests increased by 1.6 compared to yesterday. New Case Number is at the foreseeable level. If the recovering patient count is 290 more than yesterday. The future times are connected to us to comply with both of the mask and the social distan"&amp;"ce rule. Let's avoid risk with controlled social life. https://t.co/rvlhe7786o https://t.co/0ddaqofqqu")</f>
        <v>The number of tests increased by 1.6 compared to yesterday. New Case Number is at the foreseeable level. If the recovering patient count is 290 more than yesterday. The future times are connected to us to comply with both of the mask and the social distance rule. Let's avoid risk with controlled social life. https://t.co/rvlhe7786o https://t.co/0ddaqofqqu</v>
      </c>
    </row>
    <row r="2785" spans="1:5" ht="15.75" customHeight="1" x14ac:dyDescent="0.25">
      <c r="A2785" s="1" t="s">
        <v>5569</v>
      </c>
      <c r="B2785" s="1">
        <v>61158</v>
      </c>
      <c r="C2785" s="3">
        <v>43979.443078703705</v>
      </c>
      <c r="D2785" s="1" t="s">
        <v>5570</v>
      </c>
      <c r="E2785" s="4" t="str">
        <f ca="1">IFERROR(__xludf.DUMMYFUNCTION("GOOGLETRANSLATE(A2785 , ""tr"" , ""en"")"),"Death rates also reveal the success of Ankara. According to Johns Hopkins University data as of May 26, the rate of death in Turkey 2.8 percent. This rate is 14.1 in the UK. 14.3 in Italy. 15.5 in France. 5.9 in the USA.
Deputy Minister of US Foreign Mini"&amp;"ster Matthew Bryza")</f>
        <v>Death rates also reveal the success of Ankara. According to Johns Hopkins University data as of May 26, the rate of death in Turkey 2.8 percent. This rate is 14.1 in the UK. 14.3 in Italy. 15.5 in France. 5.9 in the USA.
Deputy Minister of US Foreign Minister Matthew Bryza</v>
      </c>
    </row>
    <row r="2786" spans="1:5" ht="15.75" customHeight="1" x14ac:dyDescent="0.25">
      <c r="A2786" s="1" t="s">
        <v>5571</v>
      </c>
      <c r="B2786" s="1">
        <v>60040</v>
      </c>
      <c r="C2786" s="3">
        <v>43979.38590277778</v>
      </c>
      <c r="D2786" s="1" t="s">
        <v>5572</v>
      </c>
      <c r="E2786" s="4" t="str">
        <f ca="1">IFERROR(__xludf.DUMMYFUNCTION("GOOGLETRANSLATE(A2786 , ""tr"" , ""en"")"),"Let's throw our steps on these days. The risk is in progress. Let's be careful to keep the social distance at 1.5 m, let's fit the mask in accordance with the rule. Mask and social distance are the complete measure when two measures are together. Where th"&amp;"e risk will not be clear where the future. Let's not settle with the mask.")</f>
        <v>Let's throw our steps on these days. The risk is in progress. Let's be careful to keep the social distance at 1.5 m, let's fit the mask in accordance with the rule. Mask and social distance are the complete measure when two measures are together. Where the risk will not be clear where the future. Let's not settle with the mask.</v>
      </c>
    </row>
    <row r="2787" spans="1:5" ht="15.75" customHeight="1" x14ac:dyDescent="0.25">
      <c r="A2787" s="1" t="s">
        <v>5573</v>
      </c>
      <c r="B2787" s="1">
        <v>29151</v>
      </c>
      <c r="C2787" s="3">
        <v>43978.792337962965</v>
      </c>
      <c r="D2787" s="1" t="s">
        <v>5574</v>
      </c>
      <c r="E2787" s="4" t="str">
        <f ca="1">IFERROR(__xludf.DUMMYFUNCTION("GOOGLETRANSLATE(A2787 , ""tr"" , ""en"")"),"The ""Masting island"" was the Island of Democracy and Freedoms in the 60th year of May 27. The pulsing, the Menderes he sent my friends with his friends, in defense, ""I'm not undertaking for anything."" he said. The sadness of our nation is a little lig"&amp;"htweight to hope with the new name of the Yassada. https://t.co/wrohhzobll")</f>
        <v>The "Masting island" was the Island of Democracy and Freedoms in the 60th year of May 27. The pulsing, the Menderes he sent my friends with his friends, in defense, "I'm not undertaking for anything." he said. The sadness of our nation is a little lightweight to hope with the new name of the Yassada. https://t.co/wrohhzobll</v>
      </c>
    </row>
    <row r="2788" spans="1:5" ht="15.75" customHeight="1" x14ac:dyDescent="0.25">
      <c r="A2788" s="1" t="s">
        <v>5575</v>
      </c>
      <c r="B2788" s="1">
        <v>41038</v>
      </c>
      <c r="C2788" s="3">
        <v>43978.769733796296</v>
      </c>
      <c r="D2788" s="1" t="s">
        <v>5576</v>
      </c>
      <c r="E2788" s="4" t="str">
        <f ca="1">IFERROR(__xludf.DUMMYFUNCTION("GOOGLETRANSLATE(A2788 , ""tr"" , ""en"")"),"Pharmacist ismail stopped. 1985 is born in Kayseri. He graduated from Ege University Faculty of Pharmacy in 2007. The greatest passion was the profession. I had opened its own pharmacy in Istanbul Sancaktepe a few years ago. A child was his father. Took t"&amp;"he virus from a patient. We are grateful for the challenge. https://t.co/cbvqvelvsl")</f>
        <v>Pharmacist ismail stopped. 1985 is born in Kayseri. He graduated from Ege University Faculty of Pharmacy in 2007. The greatest passion was the profession. I had opened its own pharmacy in Istanbul Sancaktepe a few years ago. A child was his father. Took the virus from a patient. We are grateful for the challenge. https://t.co/cbvqvelvsl</v>
      </c>
    </row>
    <row r="2789" spans="1:5" ht="15.75" customHeight="1" x14ac:dyDescent="0.25">
      <c r="A2789" s="1" t="s">
        <v>5577</v>
      </c>
      <c r="B2789" s="1">
        <v>60243</v>
      </c>
      <c r="C2789" s="3">
        <v>43978.725868055553</v>
      </c>
      <c r="D2789" s="1" t="s">
        <v>5578</v>
      </c>
      <c r="E2789" s="4" t="str">
        <f ca="1">IFERROR(__xludf.DUMMYFUNCTION("GOOGLETRANSLATE(A2789 , ""tr"" , ""en"")"),"The data shows that we provide stability in reduction of risk. The success of 83 million should continue. More freedom depends on the incomplete sleep to measures. Let's demonstrate the devolution that freedom wants. Our new life style: controlled social "&amp;"life, always measure together. https://t.co/rvlhe7786o https://t.co/n5enejkz8h")</f>
        <v>The data shows that we provide stability in reduction of risk. The success of 83 million should continue. More freedom depends on the incomplete sleep to measures. Let's demonstrate the devolution that freedom wants. Our new life style: controlled social life, always measure together. https://t.co/rvlhe7786o https://t.co/n5enejkz8h</v>
      </c>
    </row>
    <row r="2790" spans="1:5" ht="15.75" customHeight="1" x14ac:dyDescent="0.25">
      <c r="A2790" s="1" t="s">
        <v>5579</v>
      </c>
      <c r="B2790" s="1">
        <v>0</v>
      </c>
      <c r="C2790" s="3">
        <v>43978.685104166667</v>
      </c>
      <c r="D2790" s="1" t="s">
        <v>5580</v>
      </c>
      <c r="E2790" s="4" t="str">
        <f ca="1">IFERROR(__xludf.DUMMYFUNCTION("GOOGLETRANSLATE(A2790 , ""tr"" , ""en"")"),"RT @rterdogan: Democracy and Freedoms Island Opening Ceremony https://t.co/rpfd1b8rax")</f>
        <v>RT @rterdogan: Democracy and Freedoms Island Opening Ceremony https://t.co/rpfd1b8rax</v>
      </c>
    </row>
    <row r="2791" spans="1:5" ht="15.75" customHeight="1" x14ac:dyDescent="0.25">
      <c r="A2791" s="1" t="s">
        <v>5581</v>
      </c>
      <c r="B2791" s="1">
        <v>133354</v>
      </c>
      <c r="C2791" s="3">
        <v>43977.949918981481</v>
      </c>
      <c r="D2791" s="1" t="s">
        <v>5582</v>
      </c>
      <c r="E2791" s="4" t="str">
        <f ca="1">IFERROR(__xludf.DUMMYFUNCTION("GOOGLETRANSLATE(A2791 , ""tr"" , ""en"")"),"My teenage friends, the curfewatten was up tonight. Unfortunately this app cannot contain our 15-20 age groups, our ages over 65 years, 14 years and six children for now. I am asking you to be patiently to give us some more time. Very lovely.")</f>
        <v>My teenage friends, the curfewatten was up tonight. Unfortunately this app cannot contain our 15-20 age groups, our ages over 65 years, 14 years and six children for now. I am asking you to be patiently to give us some more time. Very lovely.</v>
      </c>
    </row>
    <row r="2792" spans="1:5" ht="15.75" customHeight="1" x14ac:dyDescent="0.25">
      <c r="A2792" s="1" t="s">
        <v>5583</v>
      </c>
      <c r="B2792" s="1">
        <v>33609</v>
      </c>
      <c r="C2792" s="3">
        <v>43977.910277777781</v>
      </c>
      <c r="D2792" s="1" t="s">
        <v>5584</v>
      </c>
      <c r="E2792" s="4" t="str">
        <f ca="1">IFERROR(__xludf.DUMMYFUNCTION("GOOGLETRANSLATE(A2792 , ""tr"" , ""en"")"),"This feast came to our houses alone. May the feast fill cities. About to meet in more happy holidays. https://t.co/oze5a4d68v")</f>
        <v>This feast came to our houses alone. May the feast fill cities. About to meet in more happy holidays. https://t.co/oze5a4d68v</v>
      </c>
    </row>
    <row r="2793" spans="1:5" ht="15.75" customHeight="1" x14ac:dyDescent="0.25">
      <c r="A2793" s="1" t="s">
        <v>5585</v>
      </c>
      <c r="B2793" s="1">
        <v>49295</v>
      </c>
      <c r="C2793" s="3">
        <v>43977.886574074073</v>
      </c>
      <c r="D2793" s="1" t="s">
        <v>5586</v>
      </c>
      <c r="E2793" s="4" t="str">
        <f ca="1">IFERROR(__xludf.DUMMYFUNCTION("GOOGLETRANSLATE(A2793 , ""tr"" , ""en"")"),"At 24:00, the curfewed concentury was up in the whole country. We are going on longing to life we ​​have been far away for a long time. Return before the days of the first coronavirus case in the world? That doesn't seem possible yet. We should be cautiou"&amp;"s. We should continue to know the asset of our house. https://t.co/rot6ocy072")</f>
        <v>At 24:00, the curfewed concentury was up in the whole country. We are going on longing to life we ​​have been far away for a long time. Return before the days of the first coronavirus case in the world? That doesn't seem possible yet. We should be cautious. We should continue to know the asset of our house. https://t.co/rot6ocy072</v>
      </c>
    </row>
    <row r="2794" spans="1:5" ht="15.75" customHeight="1" x14ac:dyDescent="0.25">
      <c r="A2794" s="1" t="s">
        <v>5587</v>
      </c>
      <c r="B2794" s="1">
        <v>64453</v>
      </c>
      <c r="C2794" s="3">
        <v>43977.840729166666</v>
      </c>
      <c r="D2794" s="1" t="s">
        <v>5588</v>
      </c>
      <c r="E2794" s="4" t="str">
        <f ca="1">IFERROR(__xludf.DUMMYFUNCTION("GOOGLETRANSLATE(A2794 , ""tr"" , ""en"")"),"At 24.00 o'clock the curfewing fathom in all the country. We are going on longing to life we ​​have been far away for a long time. Return before the days of the first coronavirus case in the world? That doesn't seem possible yet. We should be cautious. We"&amp;" should continue to know the asset of our house. https://t.co/mfeidvoolh")</f>
        <v>At 24.00 o'clock the curfewing fathom in all the country. We are going on longing to life we ​​have been far away for a long time. Return before the days of the first coronavirus case in the world? That doesn't seem possible yet. We should be cautious. We should continue to know the asset of our house. https://t.co/mfeidvoolh</v>
      </c>
    </row>
    <row r="2795" spans="1:5" ht="15.75" customHeight="1" x14ac:dyDescent="0.25">
      <c r="A2795" s="1" t="s">
        <v>5589</v>
      </c>
      <c r="B2795" s="1">
        <v>38223</v>
      </c>
      <c r="C2795" s="3">
        <v>43977.768935185188</v>
      </c>
      <c r="D2795" s="1" t="s">
        <v>5590</v>
      </c>
      <c r="E2795" s="4" t="str">
        <f ca="1">IFERROR(__xludf.DUMMYFUNCTION("GOOGLETRANSLATE(A2795 , ""tr"" , ""en"")"),"Dr. Sinan cork. Born in 1960, Bitlis. Cerrahpaşa finished medical school. Was the radiological specialist. He was serving at Haseki Hospital. It was to be the first person to seek in the feast of many friends and close to the holiday. Lost your life due t"&amp;"o COVID-19. We are grateful for the challenge. https://t.co/OQLNTIGSWX")</f>
        <v>Dr. Sinan cork. Born in 1960, Bitlis. Cerrahpaşa finished medical school. Was the radiological specialist. He was serving at Haseki Hospital. It was to be the first person to seek in the feast of many friends and close to the holiday. Lost your life due to COVID-19. We are grateful for the challenge. https://t.co/OQLNTIGSWX</v>
      </c>
    </row>
    <row r="2796" spans="1:5" ht="15.75" customHeight="1" x14ac:dyDescent="0.25">
      <c r="A2796" s="1" t="s">
        <v>5591</v>
      </c>
      <c r="B2796" s="1">
        <v>75384</v>
      </c>
      <c r="C2796" s="3">
        <v>43977.712581018517</v>
      </c>
      <c r="D2796" s="1" t="s">
        <v>5592</v>
      </c>
      <c r="E2796" s="4" t="str">
        <f ca="1">IFERROR(__xludf.DUMMYFUNCTION("GOOGLETRANSLATE(A2796 , ""tr"" , ""en"")"),"In the recovering patient number, today has an important increase. Intensive maintenance and intubate are in the number of patients continue to decrease. The achievement is the result of the adaptation indicated by 83 million. Our new life style: controll"&amp;"ed social life, always measure together. https://t.co/rvlhe7786o https://t.co/5gcjzy9ncm")</f>
        <v>In the recovering patient number, today has an important increase. Intensive maintenance and intubate are in the number of patients continue to decrease. The achievement is the result of the adaptation indicated by 83 million. Our new life style: controlled social life, always measure together. https://t.co/rvlhe7786o https://t.co/5gcjzy9ncm</v>
      </c>
    </row>
    <row r="2797" spans="1:5" ht="15.75" customHeight="1" x14ac:dyDescent="0.25">
      <c r="A2797" s="1" t="s">
        <v>5593</v>
      </c>
      <c r="B2797" s="1">
        <v>45188</v>
      </c>
      <c r="C2797" s="3">
        <v>43976.848182870373</v>
      </c>
      <c r="D2797" s="1" t="s">
        <v>5594</v>
      </c>
      <c r="E2797" s="4" t="str">
        <f ca="1">IFERROR(__xludf.DUMMYFUNCTION("GOOGLETRANSLATE(A2797 , ""tr"" , ""en"")"),"Necip Fazil was the preparative of the course of breakthrough, idea and art. The Great East said, rebirth. In its own, he brought his mind of the turbulent individual like a law. One of the subjects was also fans. Who is unmoved, whose passage minutes can"&amp;" come back? WE EMBARRASS. https://t.co/dydıvwymsv")</f>
        <v>Necip Fazil was the preparative of the course of breakthrough, idea and art. The Great East said, rebirth. In its own, he brought his mind of the turbulent individual like a law. One of the subjects was also fans. Who is unmoved, whose passage minutes can come back? WE EMBARRASS. https://t.co/dydıvwymsv</v>
      </c>
    </row>
    <row r="2798" spans="1:5" ht="15.75" customHeight="1" x14ac:dyDescent="0.25">
      <c r="A2798" s="1" t="s">
        <v>5595</v>
      </c>
      <c r="B2798" s="1">
        <v>86397</v>
      </c>
      <c r="C2798" s="3">
        <v>43976.715648148151</v>
      </c>
      <c r="D2798" s="1" t="s">
        <v>5596</v>
      </c>
      <c r="E2798" s="4" t="str">
        <f ca="1">IFERROR(__xludf.DUMMYFUNCTION("GOOGLETRANSLATE(A2798 , ""tr"" , ""en"")"),"The total number of patients recovering has passed 120 thousand. The need for intensive care support continues to decrease. The achievement is the result of the adaptation indicated by 83 million. The new and powerful measure in the new period is the meas"&amp;"ure to be taken together in social life. https://t.co/rvlhe7786o https://t.co/WGIUC45HIH")</f>
        <v>The total number of patients recovering has passed 120 thousand. The need for intensive care support continues to decrease. The achievement is the result of the adaptation indicated by 83 million. The new and powerful measure in the new period is the measure to be taken together in social life. https://t.co/rvlhe7786o https://t.co/WGIUC45HIH</v>
      </c>
    </row>
    <row r="2799" spans="1:5" ht="15.75" customHeight="1" x14ac:dyDescent="0.25">
      <c r="A2799" s="1" t="s">
        <v>5597</v>
      </c>
      <c r="B2799" s="1">
        <v>63654</v>
      </c>
      <c r="C2799" s="3">
        <v>43975.853622685187</v>
      </c>
      <c r="D2799" s="1" t="s">
        <v>5598</v>
      </c>
      <c r="E2799" s="4" t="str">
        <f ca="1">IFERROR(__xludf.DUMMYFUNCTION("GOOGLETRANSLATE(A2799 , ""tr"" , ""en"")"),"Bangladesh, COVID-19 patients citizen Tuba Ahsan, Bangladeshi wife Mossaddoue Ahsan and three-year-old twins to Istanbul with our air ambulance plane. Bangladesh has started their unassigned treatment. We are happy. We made our task against a Turkish citi"&amp;"zen. https://t.co/1fIpe2gose")</f>
        <v>Bangladesh, COVID-19 patients citizen Tuba Ahsan, Bangladeshi wife Mossaddoue Ahsan and three-year-old twins to Istanbul with our air ambulance plane. Bangladesh has started their unassigned treatment. We are happy. We made our task against a Turkish citizen. https://t.co/1fIpe2gose</v>
      </c>
    </row>
    <row r="2800" spans="1:5" ht="15.75" customHeight="1" x14ac:dyDescent="0.25">
      <c r="A2800" s="1" t="s">
        <v>5599</v>
      </c>
      <c r="B2800" s="1">
        <v>69164</v>
      </c>
      <c r="C2800" s="3">
        <v>43975.712858796294</v>
      </c>
      <c r="D2800" s="1" t="s">
        <v>5600</v>
      </c>
      <c r="E2800" s="4" t="str">
        <f ca="1">IFERROR(__xludf.DUMMYFUNCTION("GOOGLETRANSLATE(A2800 , ""tr"" , ""en"")"),"The total number of patients recovering approached 120 thousand. In the new case number of variability at the prescribed level. The need for intensive care support is decreasing. Falling the risk is further possible with strong measure. Strong measure is "&amp;"the measure to be taken together in social life. https://t.co/rvlhe7786o https://t.co/wotgsuqwsi")</f>
        <v>The total number of patients recovering approached 120 thousand. In the new case number of variability at the prescribed level. The need for intensive care support is decreasing. Falling the risk is further possible with strong measure. Strong measure is the measure to be taken together in social life. https://t.co/rvlhe7786o https://t.co/wotgsuqwsi</v>
      </c>
    </row>
    <row r="2801" spans="1:5" ht="15.75" customHeight="1" x14ac:dyDescent="0.25">
      <c r="A2801" s="1" t="s">
        <v>5601</v>
      </c>
      <c r="B2801" s="1">
        <v>0</v>
      </c>
      <c r="C2801" s="3">
        <v>43975.534398148149</v>
      </c>
      <c r="D2801" s="1" t="s">
        <v>5602</v>
      </c>
      <c r="E2801" s="4" t="str">
        <f ca="1">IFERROR(__xludf.DUMMYFUNCTION("GOOGLETRANSLATE(A2801 , ""tr"" , ""en"")"),"RT @drfahrettinkoca: This feast is close to our families at home and to each other at all. A break with our elders and our loved ones ...")</f>
        <v>RT @drfahrettinkoca: This feast is close to our families at home and to each other at all. A break with our elders and our loved ones ...</v>
      </c>
    </row>
    <row r="2802" spans="1:5" ht="15.75" customHeight="1" x14ac:dyDescent="0.25">
      <c r="A2802" s="1" t="s">
        <v>5603</v>
      </c>
      <c r="B2802" s="1">
        <v>73889</v>
      </c>
      <c r="C2802" s="3">
        <v>43974.992337962962</v>
      </c>
      <c r="D2802" s="1" t="s">
        <v>5604</v>
      </c>
      <c r="E2802" s="4" t="str">
        <f ca="1">IFERROR(__xludf.DUMMYFUNCTION("GOOGLETRANSLATE(A2802 , ""tr"" , ""en"")"),"This feast is at home with our families and to each other at all. We posted a bit of getting together with our elders and our loved ones. Our sincerest wish now is to live the goodies we can't live very soon. Our holiday get blessed. https://t.co/phacbnc4"&amp;"uy")</f>
        <v>This feast is at home with our families and to each other at all. We posted a bit of getting together with our elders and our loved ones. Our sincerest wish now is to live the goodies we can't live very soon. Our holiday get blessed. https://t.co/phacbnc4uy</v>
      </c>
    </row>
    <row r="2803" spans="1:5" ht="15.75" customHeight="1" x14ac:dyDescent="0.25">
      <c r="A2803" s="1" t="s">
        <v>5605</v>
      </c>
      <c r="B2803" s="1">
        <v>69690</v>
      </c>
      <c r="C2803" s="3">
        <v>43974.697025462963</v>
      </c>
      <c r="D2803" s="1" t="s">
        <v>5606</v>
      </c>
      <c r="E2803" s="4" t="str">
        <f ca="1">IFERROR(__xludf.DUMMYFUNCTION("GOOGLETRANSLATE(A2803 , ""tr"" , ""en"")"),"Our severe patients number of patients with support treatment continued to decrease today. We have a new case at the foreseeable level according to the number of tests. Our new life style: controlled social life, always measure together. Condition: Mask +"&amp;" 1.5 meters of social distance. https://t.co/rvlhe7786o https://t.co/tbotbay3cd")</f>
        <v>Our severe patients number of patients with support treatment continued to decrease today. We have a new case at the foreseeable level according to the number of tests. Our new life style: controlled social life, always measure together. Condition: Mask + 1.5 meters of social distance. https://t.co/rvlhe7786o https://t.co/tbotbay3cd</v>
      </c>
    </row>
    <row r="2804" spans="1:5" ht="15.75" customHeight="1" x14ac:dyDescent="0.25">
      <c r="A2804" s="1" t="s">
        <v>5607</v>
      </c>
      <c r="B2804" s="1">
        <v>39409</v>
      </c>
      <c r="C2804" s="3">
        <v>43974.648368055554</v>
      </c>
      <c r="D2804" s="1" t="s">
        <v>5608</v>
      </c>
      <c r="E2804" s="4" t="str">
        <f ca="1">IFERROR(__xludf.DUMMYFUNCTION("GOOGLETRANSLATE(A2804 , ""tr"" , ""en"")"),"Başakşehir Pine and Sakura city Hospital come to the world's first baby in Women's Diseases and Maternity Hospital. Baby by Baby was called Sakura by his mother by his mother. Welcome, you bring hope to the world Bay Sakura. We celebrate the Tuğba and Öme"&amp;"r Sonmez pair. https://t.co/xIoduanfuu")</f>
        <v>Başakşehir Pine and Sakura city Hospital come to the world's first baby in Women's Diseases and Maternity Hospital. Baby by Baby was called Sakura by his mother by his mother. Welcome, you bring hope to the world Bay Sakura. We celebrate the Tuğba and Ömer Sonmez pair. https://t.co/xIoduanfuu</v>
      </c>
    </row>
    <row r="2805" spans="1:5" ht="15.75" customHeight="1" x14ac:dyDescent="0.25">
      <c r="A2805" s="1" t="s">
        <v>5609</v>
      </c>
      <c r="B2805" s="1">
        <v>75014</v>
      </c>
      <c r="C2805" s="3">
        <v>43974.070300925923</v>
      </c>
      <c r="D2805" s="1" t="s">
        <v>5610</v>
      </c>
      <c r="E2805" s="4" t="str">
        <f ca="1">IFERROR(__xludf.DUMMYFUNCTION("GOOGLETRANSLATE(A2805 , ""tr"" , ""en"")"),"In order to regain again next year, we are auspicious of the sultan of eleven months. Your final coast is your final iftar Mubarak. We were with our families this year. Even though the hearts were one, we have lacked unfortunately. We will soon share life"&amp;" more. https://t.co/bt0vmmh4ov")</f>
        <v>In order to regain again next year, we are auspicious of the sultan of eleven months. Your final coast is your final iftar Mubarak. We were with our families this year. Even though the hearts were one, we have lacked unfortunately. We will soon share life more. https://t.co/bt0vmmh4ov</v>
      </c>
    </row>
    <row r="2806" spans="1:5" ht="15.75" customHeight="1" x14ac:dyDescent="0.25">
      <c r="A2806" s="1" t="s">
        <v>5611</v>
      </c>
      <c r="B2806" s="1">
        <v>28964</v>
      </c>
      <c r="C2806" s="3">
        <v>43973.832280092596</v>
      </c>
      <c r="D2806" s="1" t="s">
        <v>5612</v>
      </c>
      <c r="E2806" s="4" t="str">
        <f ca="1">IFERROR(__xludf.DUMMYFUNCTION("GOOGLETRANSLATE(A2806 , ""tr"" , ""en"")"),"We have made a meeting before the feast with the health manager of our 81. We have consulted the second period of our challenge of provincial provincial developments and coronavirus. Each point of the country is our new life style: Controlled social life,"&amp;" always measure together. https://t.co/tinswvvpqv")</f>
        <v>We have made a meeting before the feast with the health manager of our 81. We have consulted the second period of our challenge of provincial provincial developments and coronavirus. Each point of the country is our new life style: Controlled social life, always measure together. https://t.co/tinswvvpqv</v>
      </c>
    </row>
    <row r="2807" spans="1:5" ht="15.75" customHeight="1" x14ac:dyDescent="0.25">
      <c r="A2807" s="1" t="s">
        <v>5613</v>
      </c>
      <c r="B2807" s="1">
        <v>61081</v>
      </c>
      <c r="C2807" s="3">
        <v>43973.783576388887</v>
      </c>
      <c r="D2807" s="1" t="s">
        <v>5614</v>
      </c>
      <c r="E2807" s="4" t="str">
        <f ca="1">IFERROR(__xludf.DUMMYFUNCTION("GOOGLETRANSLATE(A2807 , ""tr"" , ""en"")"),"Our friend was an accident in Pakistan, the people of the country and ours deeply upset. A plane carrying 107 passengers fell into a settlement area in Karachi city. According to the first information, there are no right survivors from the accident, inclu"&amp;"ding crew. Good news hopes to come, we are condolences to friendly Pakistan.")</f>
        <v>Our friend was an accident in Pakistan, the people of the country and ours deeply upset. A plane carrying 107 passengers fell into a settlement area in Karachi city. According to the first information, there are no right survivors from the accident, including crew. Good news hopes to come, we are condolences to friendly Pakistan.</v>
      </c>
    </row>
    <row r="2808" spans="1:5" ht="15.75" customHeight="1" x14ac:dyDescent="0.25">
      <c r="A2808" s="1" t="s">
        <v>5615</v>
      </c>
      <c r="B2808" s="1">
        <v>85680</v>
      </c>
      <c r="C2808" s="3">
        <v>43973.704074074078</v>
      </c>
      <c r="D2808" s="1" t="s">
        <v>5616</v>
      </c>
      <c r="E2808" s="4" t="str">
        <f ca="1">IFERROR(__xludf.DUMMYFUNCTION("GOOGLETRANSLATE(A2808 , ""tr"" , ""en"")"),"Despite the increasing number of tests, the number of new cases is below 1,000. The number of needed to treatment is decreasing. Our new life style: controlled social life, always measure together. Condition: Mask + 1.5 meters of social distance. https://"&amp;"t.co/rvlhe7786o https://t.co/unmkjeug23")</f>
        <v>Despite the increasing number of tests, the number of new cases is below 1,000. The number of needed to treatment is decreasing. Our new life style: controlled social life, always measure together. Condition: Mask + 1.5 meters of social distance. https://t.co/rvlhe7786o https://t.co/unmkjeug23</v>
      </c>
    </row>
    <row r="2809" spans="1:5" ht="15.75" customHeight="1" x14ac:dyDescent="0.25">
      <c r="A2809" s="1" t="s">
        <v>5617</v>
      </c>
      <c r="B2809" s="1">
        <v>39183</v>
      </c>
      <c r="C2809" s="3">
        <v>43973.119212962964</v>
      </c>
      <c r="D2809" s="1" t="s">
        <v>5618</v>
      </c>
      <c r="E2809" s="4" t="str">
        <f ca="1">IFERROR(__xludf.DUMMYFUNCTION("GOOGLETRANSLATE(A2809 , ""tr"" , ""en"")"),"The hearts are one. The distance between the scissors. We will soon cut the ribbons shorter. https://t.co/bwszqztqxg")</f>
        <v>The hearts are one. The distance between the scissors. We will soon cut the ribbons shorter. https://t.co/bwszqztqxg</v>
      </c>
    </row>
    <row r="2810" spans="1:5" ht="15.75" customHeight="1" x14ac:dyDescent="0.25">
      <c r="A2810" s="1" t="s">
        <v>5619</v>
      </c>
      <c r="B2810" s="1">
        <v>24310</v>
      </c>
      <c r="C2810" s="3">
        <v>43972.938310185185</v>
      </c>
      <c r="D2810" s="1" t="s">
        <v>5620</v>
      </c>
      <c r="E2810" s="4" t="str">
        <f ca="1">IFERROR(__xludf.DUMMYFUNCTION("GOOGLETRANSLATE(A2810 , ""tr"" , ""en"")"),"Our city hospitals are the last ceremony reached in the field of hospitalism in terms of technology and comfort. However, the devices are always human that makes the buildings meaningful. Basaksehir Pine and Sakura City Hospital will provide our soul of h"&amp;"ealth care, which serves without recognizing the overtime limit. https://t.co/hfjfrq8pax")</f>
        <v>Our city hospitals are the last ceremony reached in the field of hospitalism in terms of technology and comfort. However, the devices are always human that makes the buildings meaningful. Basaksehir Pine and Sakura City Hospital will provide our soul of health care, which serves without recognizing the overtime limit. https://t.co/hfjfrq8pax</v>
      </c>
    </row>
    <row r="2811" spans="1:5" ht="15.75" customHeight="1" x14ac:dyDescent="0.25">
      <c r="A2811" s="1" t="s">
        <v>5621</v>
      </c>
      <c r="B2811" s="1">
        <v>21268</v>
      </c>
      <c r="C2811" s="3">
        <v>43972.895219907405</v>
      </c>
      <c r="D2811" s="1" t="s">
        <v>5622</v>
      </c>
      <c r="E2811" s="4" t="str">
        <f ca="1">IFERROR(__xludf.DUMMYFUNCTION("GOOGLETRANSLATE(A2811 , ""tr"" , ""en"")"),"The city hospitals that we opened a new one has been a measure that attracts the hazards in the dangers very pre-set. The burden in the fight against the output is mainly shouldered our city hospitals. We have seen how many accomplished investments are th"&amp;"at these investments have been living together in the process. https://t.co/un827gpcn3")</f>
        <v>The city hospitals that we opened a new one has been a measure that attracts the hazards in the dangers very pre-set. The burden in the fight against the output is mainly shouldered our city hospitals. We have seen how many accomplished investments are that these investments have been living together in the process. https://t.co/un827gpcn3</v>
      </c>
    </row>
    <row r="2812" spans="1:5" ht="15.75" customHeight="1" x14ac:dyDescent="0.25">
      <c r="A2812" s="1" t="s">
        <v>5623</v>
      </c>
      <c r="B2812" s="1">
        <v>0</v>
      </c>
      <c r="C2812" s="3">
        <v>43972.844780092593</v>
      </c>
      <c r="D2812" s="1" t="s">
        <v>5624</v>
      </c>
      <c r="E2812" s="4" t="str">
        <f ca="1">IFERROR(__xludf.DUMMYFUNCTION("GOOGLETRANSLATE(A2812 , ""tr"" , ""en"")"),"RT @rterdogan: ""Our fate and your grief is partnered"" with the belief that we have to mobilize for all humanity against the release of the possibilities.")</f>
        <v>RT @rterdogan: "Our fate and your grief is partnered" with the belief that we have to mobilize for all humanity against the release of the possibilities.</v>
      </c>
    </row>
    <row r="2813" spans="1:5" ht="15.75" customHeight="1" x14ac:dyDescent="0.25">
      <c r="A2813" s="1" t="s">
        <v>5625</v>
      </c>
      <c r="B2813" s="1">
        <v>31308</v>
      </c>
      <c r="C2813" s="3">
        <v>43972.802893518521</v>
      </c>
      <c r="D2813" s="1" t="s">
        <v>5626</v>
      </c>
      <c r="E2813" s="4" t="str">
        <f ca="1">IFERROR(__xludf.DUMMYFUNCTION("GOOGLETRANSLATE(A2813 , ""tr"" , ""en"")"),"Basaksehir Pine and Sakura City Hospital, our President of our President. By Erdoğan, Japan Prime Minister Mr. Abe has been opened to service today with the ceremony attended online. Our new city hospital hosts a large number of hospitals on site. Will be"&amp;" able to accept 35,000 patients a day. Congratulations. https://t.co/uo1maufhqi")</f>
        <v>Basaksehir Pine and Sakura City Hospital, our President of our President. By Erdoğan, Japan Prime Minister Mr. Abe has been opened to service today with the ceremony attended online. Our new city hospital hosts a large number of hospitals on site. Will be able to accept 35,000 patients a day. Congratulations. https://t.co/uo1maufhqi</v>
      </c>
    </row>
    <row r="2814" spans="1:5" ht="15.75" customHeight="1" x14ac:dyDescent="0.25">
      <c r="A2814" s="1" t="s">
        <v>5627</v>
      </c>
      <c r="B2814" s="1">
        <v>0</v>
      </c>
      <c r="C2814" s="3">
        <v>43972.705868055556</v>
      </c>
      <c r="D2814" s="1" t="s">
        <v>5628</v>
      </c>
      <c r="E2814" s="4" t="str">
        <f ca="1">IFERROR(__xludf.DUMMYFUNCTION("GOOGLETRANSLATE(A2814 , ""tr"" , ""en"")"),"RT @rterdogan: Basaksehir Pine and Sakura City Hospital, good quality and inclusive health service is a far better understood ...")</f>
        <v>RT @rterdogan: Basaksehir Pine and Sakura City Hospital, good quality and inclusive health service is a far better understood ...</v>
      </c>
    </row>
    <row r="2815" spans="1:5" ht="15.75" customHeight="1" x14ac:dyDescent="0.25">
      <c r="A2815" s="1" t="s">
        <v>5629</v>
      </c>
      <c r="B2815" s="1">
        <v>94415</v>
      </c>
      <c r="C2815" s="3">
        <v>43972.682245370372</v>
      </c>
      <c r="D2815" s="1" t="s">
        <v>5630</v>
      </c>
      <c r="E2815" s="4" t="str">
        <f ca="1">IFERROR(__xludf.DUMMYFUNCTION("GOOGLETRANSLATE(A2815 , ""tr"" , ""en"")"),"Despite the increased number of tests, the number of cases of the positive cases is predicted. The number of patients who need support treatment decreases. Our new life style: controlled social life, always measure together. Condition: Mask + 1.5 meters o"&amp;"f social distance. https://t.co/rvlhe7786o https://t.co/a0okzyomsg")</f>
        <v>Despite the increased number of tests, the number of cases of the positive cases is predicted. The number of patients who need support treatment decreases. Our new life style: controlled social life, always measure together. Condition: Mask + 1.5 meters of social distance. https://t.co/rvlhe7786o https://t.co/a0okzyomsg</v>
      </c>
    </row>
    <row r="2816" spans="1:5" ht="15.75" customHeight="1" x14ac:dyDescent="0.25">
      <c r="A2816" s="1" t="s">
        <v>5631</v>
      </c>
      <c r="B2816" s="1">
        <v>0</v>
      </c>
      <c r="C2816" s="3">
        <v>43972.436400462961</v>
      </c>
      <c r="D2816" s="1" t="s">
        <v>5632</v>
      </c>
      <c r="E2816" s="4" t="str">
        <f ca="1">IFERROR(__xludf.DUMMYFUNCTION("GOOGLETRANSLATE(A2816 , ""tr"" , ""en"")"),"RT @rterdogan: Basaksehir Pine and Sakura City Hospital Opening Ceremony https://t.co/ACINFXVTP")</f>
        <v>RT @rterdogan: Basaksehir Pine and Sakura City Hospital Opening Ceremony https://t.co/ACINFXVTP</v>
      </c>
    </row>
    <row r="2817" spans="1:5" ht="15.75" customHeight="1" x14ac:dyDescent="0.25">
      <c r="A2817" s="1" t="s">
        <v>5633</v>
      </c>
      <c r="B2817" s="1">
        <v>0</v>
      </c>
      <c r="C2817" s="3">
        <v>43972.337951388887</v>
      </c>
      <c r="D2817" s="1" t="s">
        <v>5634</v>
      </c>
      <c r="E2817" s="4" t="str">
        <f ca="1">IFERROR(__xludf.DUMMYFUNCTION("GOOGLETRANSLATE(A2817 , ""tr"" , ""en"")"),"Rt @drfahrettinkoca: Basaksehir Pine and Sakura City Hospital, our President of our President. By Erdogan, Japan Prime Minister Mr. Abe's Onlin ...")</f>
        <v>Rt @drfahrettinkoca: Basaksehir Pine and Sakura City Hospital, our President of our President. By Erdogan, Japan Prime Minister Mr. Abe's Onlin ...</v>
      </c>
    </row>
    <row r="2818" spans="1:5" ht="15.75" customHeight="1" x14ac:dyDescent="0.25">
      <c r="A2818" s="1" t="s">
        <v>5635</v>
      </c>
      <c r="B2818" s="1">
        <v>23541</v>
      </c>
      <c r="C2818" s="3">
        <v>43971.884675925925</v>
      </c>
      <c r="D2818" s="1" t="s">
        <v>5636</v>
      </c>
      <c r="E2818" s="4" t="str">
        <f ca="1">IFERROR(__xludf.DUMMYFUNCTION("GOOGLETRANSLATE(A2818 , ""tr"" , ""en"")"),"Prof. Dr. Prof. Murat Dilmener, profile to the other. We have the name of our Feriha self-teacher. The two hospitals in question are not the later functions, even though these two scientists are made to live the name of our people, even this is a sufficie"&amp;"nt reason. https://t.co/3sebvp7jz1")</f>
        <v>Prof. Dr. Prof. Murat Dilmener, profile to the other. We have the name of our Feriha self-teacher. The two hospitals in question are not the later functions, even though these two scientists are made to live the name of our people, even this is a sufficient reason. https://t.co/3sebvp7jz1</v>
      </c>
    </row>
    <row r="2819" spans="1:5" ht="15.75" customHeight="1" x14ac:dyDescent="0.25">
      <c r="A2819" s="1" t="s">
        <v>5637</v>
      </c>
      <c r="B2819" s="1">
        <v>36044</v>
      </c>
      <c r="C2819" s="3">
        <v>43971.817870370367</v>
      </c>
      <c r="D2819" s="1" t="s">
        <v>5638</v>
      </c>
      <c r="E2819" s="4" t="str">
        <f ca="1">IFERROR(__xludf.DUMMYFUNCTION("GOOGLETRANSLATE(A2819 , ""tr"" , ""en"")"),"Basaksehir Pine and Sakura City Hospital, our President of our President. By Erdogan, Japanese Prime Minister Mr. Abe is opened at 13.00 tomorrow tomorrow to serve in all their stage. This city is our hospital, a city of hospitals. May our nation be auspi"&amp;"cious. https://t.co/81Io47xlgp")</f>
        <v>Basaksehir Pine and Sakura City Hospital, our President of our President. By Erdogan, Japanese Prime Minister Mr. Abe is opened at 13.00 tomorrow tomorrow to serve in all their stage. This city is our hospital, a city of hospitals. May our nation be auspicious. https://t.co/81Io47xlgp</v>
      </c>
    </row>
    <row r="2820" spans="1:5" ht="15.75" customHeight="1" x14ac:dyDescent="0.25">
      <c r="A2820" s="1" t="s">
        <v>5639</v>
      </c>
      <c r="B2820" s="1">
        <v>53092</v>
      </c>
      <c r="C2820" s="3">
        <v>43971.780659722222</v>
      </c>
      <c r="D2820" s="1" t="s">
        <v>5640</v>
      </c>
      <c r="E2820" s="4" t="str">
        <f ca="1">IFERROR(__xludf.DUMMYFUNCTION("GOOGLETRANSLATE(A2820 , ""tr"" , ""en"")"),"Mazhar Fuat Özkan, the masters of Turkish pop in the first partner songs after a break did the music of the measures. Even commons between them are masked, distance. When we want to say, they are right, they say, very beautiful. Promise; Masked, distance,"&amp;" surprise music. https://t.co/y1bpbcrvhe")</f>
        <v>Mazhar Fuat Özkan, the masters of Turkish pop in the first partner songs after a break did the music of the measures. Even commons between them are masked, distance. When we want to say, they are right, they say, very beautiful. Promise; Masked, distance, surprise music. https://t.co/y1bpbcrvhe</v>
      </c>
    </row>
    <row r="2821" spans="1:5" ht="15.75" customHeight="1" x14ac:dyDescent="0.25">
      <c r="A2821" s="1" t="s">
        <v>5641</v>
      </c>
      <c r="B2821" s="1">
        <v>16887</v>
      </c>
      <c r="C2821" s="3">
        <v>43971.751377314817</v>
      </c>
      <c r="D2821" s="1" t="s">
        <v>5642</v>
      </c>
      <c r="E2821" s="4" t="str">
        <f ca="1">IFERROR(__xludf.DUMMYFUNCTION("GOOGLETRANSLATE(A2821 , ""tr"" , ""en"")"),"In the process, the world has realized a truth. The health sentence of each work is related to every area of ​​life, which is regressed in the face of the epidemic. Investments to health in our country are a big hit. The health safety of individuals is a "&amp;"high right. Health investments are the requirement of social welfare. https://t.co/vjmx5whuok")</f>
        <v>In the process, the world has realized a truth. The health sentence of each work is related to every area of ​​life, which is regressed in the face of the epidemic. Investments to health in our country are a big hit. The health safety of individuals is a high right. Health investments are the requirement of social welfare. https://t.co/vjmx5whuok</v>
      </c>
    </row>
    <row r="2822" spans="1:5" ht="15.75" customHeight="1" x14ac:dyDescent="0.25">
      <c r="A2822" s="1" t="s">
        <v>5643</v>
      </c>
      <c r="B2822" s="1">
        <v>22806</v>
      </c>
      <c r="C2822" s="3">
        <v>43971.740381944444</v>
      </c>
      <c r="D2822" s="1" t="s">
        <v>5644</v>
      </c>
      <c r="E2822" s="4" t="str">
        <f ca="1">IFERROR(__xludf.DUMMYFUNCTION("GOOGLETRANSLATE(A2822 , ""tr"" , ""en"")"),"Let's stay in our house on holidays. Let's not make the holiday celebrations. To our parents, we are not a dangerous proximity to our biggest. Consider and call the most beautiful words for them. The sentence of the heart has established a greater proximi"&amp;"ty to kissing a mother's hand. https://t.co/5zggxekgs2")</f>
        <v>Let's stay in our house on holidays. Let's not make the holiday celebrations. To our parents, we are not a dangerous proximity to our biggest. Consider and call the most beautiful words for them. The sentence of the heart has established a greater proximity to kissing a mother's hand. https://t.co/5zggxekgs2</v>
      </c>
    </row>
    <row r="2823" spans="1:5" ht="15.75" customHeight="1" x14ac:dyDescent="0.25">
      <c r="A2823" s="1" t="s">
        <v>5645</v>
      </c>
      <c r="B2823" s="1">
        <v>18137</v>
      </c>
      <c r="C2823" s="3">
        <v>43971.725474537037</v>
      </c>
      <c r="D2823" s="1" t="s">
        <v>5646</v>
      </c>
      <c r="E2823" s="4" t="str">
        <f ca="1">IFERROR(__xludf.DUMMYFUNCTION("GOOGLETRANSLATE(A2823 , ""tr"" , ""en"")"),"The livable of life will bring measures. According to the measures in the holiday, we will be more free later. We should stay at home on holidays. The days of the feast should not be the days of re-spreading of the virus. If we celebrate the holiday as ol"&amp;"d as we used to be able to return to the days of the disease. https://t.co/jsbzn33xrc")</f>
        <v>The livable of life will bring measures. According to the measures in the holiday, we will be more free later. We should stay at home on holidays. The days of the feast should not be the days of re-spreading of the virus. If we celebrate the holiday as old as we used to be able to return to the days of the disease. https://t.co/jsbzn33xrc</v>
      </c>
    </row>
    <row r="2824" spans="1:5" ht="15.75" customHeight="1" x14ac:dyDescent="0.25">
      <c r="A2824" s="1" t="s">
        <v>5647</v>
      </c>
      <c r="B2824" s="1">
        <v>18326</v>
      </c>
      <c r="C2824" s="3">
        <v>43971.686655092592</v>
      </c>
      <c r="D2824" s="1" t="s">
        <v>5648</v>
      </c>
      <c r="E2824" s="4" t="str">
        <f ca="1">IFERROR(__xludf.DUMMYFUNCTION("GOOGLETRANSLATE(A2824 , ""tr"" , ""en"")"),"The stiffness of the challenge we give against the coronavirus is on screens every evening. We have not experienced hopeless single day as the strategy teams of health professionals, science board and epidemic strategy teams. At the point of the point, th"&amp;"is hope focuses on the days of the measures that it would contain at least minor. https://t.co/1mapja2h9k")</f>
        <v>The stiffness of the challenge we give against the coronavirus is on screens every evening. We have not experienced hopeless single day as the strategy teams of health professionals, science board and epidemic strategy teams. At the point of the point, this hope focuses on the days of the measures that it would contain at least minor. https://t.co/1mapja2h9k</v>
      </c>
    </row>
    <row r="2825" spans="1:5" ht="15.75" customHeight="1" x14ac:dyDescent="0.25">
      <c r="A2825" s="1" t="s">
        <v>5649</v>
      </c>
      <c r="B2825" s="1">
        <v>137582</v>
      </c>
      <c r="C2825" s="3">
        <v>43971.673877314817</v>
      </c>
      <c r="D2825" s="1" t="s">
        <v>5650</v>
      </c>
      <c r="E2825" s="4" t="str">
        <f ca="1">IFERROR(__xludf.DUMMYFUNCTION("GOOGLETRANSLATE(A2825 , ""tr"" , ""en"")"),"Our case count has fallen below 1,000. The number of patients we lost is also declined today. By changing the terms with the virus, we will fight more free. Our new life style: controlled social life, always measure together. Condition: Mask + 1.5 meters "&amp;"of social distance. https://t.co/rvlhe7786o https://t.co/axlmtrakve")</f>
        <v>Our case count has fallen below 1,000. The number of patients we lost is also declined today. By changing the terms with the virus, we will fight more free. Our new life style: controlled social life, always measure together. Condition: Mask + 1.5 meters of social distance. https://t.co/rvlhe7786o https://t.co/axlmtrakve</v>
      </c>
    </row>
    <row r="2826" spans="1:5" ht="15.75" customHeight="1" x14ac:dyDescent="0.25">
      <c r="A2826" s="1" t="s">
        <v>5651</v>
      </c>
      <c r="B2826" s="1">
        <v>16069</v>
      </c>
      <c r="C2826" s="3">
        <v>43971.590613425928</v>
      </c>
      <c r="D2826" s="1" t="s">
        <v>5652</v>
      </c>
      <c r="E2826" s="4" t="str">
        <f ca="1">IFERROR(__xludf.DUMMYFUNCTION("GOOGLETRANSLATE(A2826 , ""tr"" , ""en"")"),"After our Science Board meeting, the latest developments on the coronavirus and the new measures we receive.
📍Public Ministry Bilkent Campus / Ankara
https://t.co/lluwdedgyz")</f>
        <v>After our Science Board meeting, the latest developments on the coronavirus and the new measures we receive.
📍Public Ministry Bilkent Campus / Ankara
https://t.co/lluwdedgyz</v>
      </c>
    </row>
    <row r="2827" spans="1:5" ht="15.75" customHeight="1" x14ac:dyDescent="0.25">
      <c r="A2827" s="1" t="s">
        <v>5653</v>
      </c>
      <c r="B2827" s="1">
        <v>57240</v>
      </c>
      <c r="C2827" s="3">
        <v>43970.96</v>
      </c>
      <c r="D2827" s="1" t="s">
        <v>5654</v>
      </c>
      <c r="E2827" s="4" t="str">
        <f ca="1">IFERROR(__xludf.DUMMYFUNCTION("GOOGLETRANSLATE(A2827 , ""tr"" , ""en"")"),"A small factor is called a butterfly effect to give rise to non-predictable size results. The coronavirus in Vuhan is like the lower top of the life all over the world. Now also a small neglect, an end from an end can affect all Turkey. The risk continues"&amp;". Let's obey the measures. https://t.co/w6w3b8lc1a")</f>
        <v>A small factor is called a butterfly effect to give rise to non-predictable size results. The coronavirus in Vuhan is like the lower top of the life all over the world. Now also a small neglect, an end from an end can affect all Turkey. The risk continues. Let's obey the measures. https://t.co/w6w3b8lc1a</v>
      </c>
    </row>
    <row r="2828" spans="1:5" ht="15.75" customHeight="1" x14ac:dyDescent="0.25">
      <c r="A2828" s="1" t="s">
        <v>5655</v>
      </c>
      <c r="B2828" s="1">
        <v>36382</v>
      </c>
      <c r="C2828" s="3">
        <v>43970.788958333331</v>
      </c>
      <c r="D2828" s="1" t="s">
        <v>5656</v>
      </c>
      <c r="E2828" s="4" t="str">
        <f ca="1">IFERROR(__xludf.DUMMYFUNCTION("GOOGLETRANSLATE(A2828 , ""tr"" , ""en"")"),"Kadir Night: The night of the YCELIS. The night of the uretency call. Every person's night to be a ""acz"". Search Joy spread to the whole moon, the day is a piece of pitched night. Message not to repeat mistakes is to know that the world is coming to the"&amp;" world. Happy your night. https://t.co/ngxmpm5cvu")</f>
        <v>Kadir Night: The night of the YCELIS. The night of the uretency call. Every person's night to be a "acz". Search Joy spread to the whole moon, the day is a piece of pitched night. Message not to repeat mistakes is to know that the world is coming to the world. Happy your night. https://t.co/ngxmpm5cvu</v>
      </c>
    </row>
    <row r="2829" spans="1:5" ht="15.75" customHeight="1" x14ac:dyDescent="0.25">
      <c r="A2829" s="1" t="s">
        <v>5657</v>
      </c>
      <c r="B2829" s="1">
        <v>34782</v>
      </c>
      <c r="C2829" s="3">
        <v>43970.778090277781</v>
      </c>
      <c r="D2829" s="1" t="s">
        <v>5658</v>
      </c>
      <c r="E2829" s="4" t="str">
        <f ca="1">IFERROR(__xludf.DUMMYFUNCTION("GOOGLETRANSLATE(A2829 , ""tr"" , ""en"")"),"In 19.19, with the soul of 1919, we have read our Istiklal anthem in our Ministry Building. These moments we are the only sound will be the moments that our tomorrows will be inspired. May the spirit of life-filled national struggle spirit, give us streng"&amp;"th in every struggle. May 19 Atatürk Memorial, Youth and Sportal Day once more. https://t.co/itp5rfax5p")</f>
        <v>In 19.19, with the soul of 1919, we have read our Istiklal anthem in our Ministry Building. These moments we are the only sound will be the moments that our tomorrows will be inspired. May the spirit of life-filled national struggle spirit, give us strength in every struggle. May 19 Atatürk Memorial, Youth and Sportal Day once more. https://t.co/itp5rfax5p</v>
      </c>
    </row>
    <row r="2830" spans="1:5" ht="15.75" customHeight="1" x14ac:dyDescent="0.25">
      <c r="A2830" s="1" t="s">
        <v>5659</v>
      </c>
      <c r="B2830" s="1">
        <v>21451</v>
      </c>
      <c r="C2830" s="3">
        <v>43970.707766203705</v>
      </c>
      <c r="D2830" s="1" t="s">
        <v>5660</v>
      </c>
      <c r="E2830" s="4" t="str">
        <f ca="1">IFERROR(__xludf.DUMMYFUNCTION("GOOGLETRANSLATE(A2830 , ""tr"" , ""en"")"),"Our Minister of Culture and Tourism is sec. With Mehmet Nuri Ersoy, we have made an interview in our ministry. The process of transforming the conditions to normal, we addressed the measures of tourists who will come to Turkey. We have been in important c"&amp;"onsultations on topics such as health tourism. https://t.co/iv2maweyid")</f>
        <v>Our Minister of Culture and Tourism is sec. With Mehmet Nuri Ersoy, we have made an interview in our ministry. The process of transforming the conditions to normal, we addressed the measures of tourists who will come to Turkey. We have been in important consultations on topics such as health tourism. https://t.co/iv2maweyid</v>
      </c>
    </row>
    <row r="2831" spans="1:5" ht="15.75" customHeight="1" x14ac:dyDescent="0.25">
      <c r="A2831" s="1" t="s">
        <v>5661</v>
      </c>
      <c r="B2831" s="1">
        <v>19341</v>
      </c>
      <c r="C2831" s="3">
        <v>43970.703263888892</v>
      </c>
      <c r="D2831" s="1" t="s">
        <v>5662</v>
      </c>
      <c r="E2831" s="4" t="str">
        <f ca="1">IFERROR(__xludf.DUMMYFUNCTION("GOOGLETRANSLATE(A2831 , ""tr"" , ""en"")"),"Our Youth and Sports Minister SN. I received a letter from Kasapoğlu's hand. This letter was written to the heroes of the forefront of our challenging coronavirus. And was the first in the competition. Our Minister said that you have more than 7,562 lette"&amp;"rs. We also appreciate you, all of the teenagers, all in the name of the letter will reach the letter. https://t.co/vm8v5bmxoe")</f>
        <v>Our Youth and Sports Minister SN. I received a letter from Kasapoğlu's hand. This letter was written to the heroes of the forefront of our challenging coronavirus. And was the first in the competition. Our Minister said that you have more than 7,562 letters. We also appreciate you, all of the teenagers, all in the name of the letter will reach the letter. https://t.co/vm8v5bmxoe</v>
      </c>
    </row>
    <row r="2832" spans="1:5" ht="15.75" customHeight="1" x14ac:dyDescent="0.25">
      <c r="A2832" s="1" t="s">
        <v>5663</v>
      </c>
      <c r="B2832" s="1">
        <v>106353</v>
      </c>
      <c r="C2832" s="3">
        <v>43970.666724537034</v>
      </c>
      <c r="D2832" s="1" t="s">
        <v>5664</v>
      </c>
      <c r="E2832" s="4" t="str">
        <f ca="1">IFERROR(__xludf.DUMMYFUNCTION("GOOGLETRANSLATE(A2832 , ""tr"" , ""en"")"),"There is a decrease in the expected level in the new case number. The number of patients who need intensive care is falling. Our healing patient count is at the projected level. Our life style controlled social life, always measure together. Condition: Ma"&amp;"sk + 1.5 meters of social distance. https://t.co/rvlhe7786o https://t.co/41c5v1vbkn")</f>
        <v>There is a decrease in the expected level in the new case number. The number of patients who need intensive care is falling. Our healing patient count is at the projected level. Our life style controlled social life, always measure together. Condition: Mask + 1.5 meters of social distance. https://t.co/rvlhe7786o https://t.co/41c5v1vbkn</v>
      </c>
    </row>
    <row r="2833" spans="1:5" ht="15.75" customHeight="1" x14ac:dyDescent="0.25">
      <c r="A2833" s="1" t="s">
        <v>5665</v>
      </c>
      <c r="B2833" s="1">
        <v>53840</v>
      </c>
      <c r="C2833" s="3">
        <v>43970.554386574076</v>
      </c>
      <c r="D2833" s="1" t="s">
        <v>5666</v>
      </c>
      <c r="E2833" s="4" t="str">
        <f ca="1">IFERROR(__xludf.DUMMYFUNCTION("GOOGLETRANSLATE(A2833 , ""tr"" , ""en"")"),"In 19.19, all the sounds are combined with the 1919 soul. One-hearted, we are reading our Istiklal anthem. 83 million, which is filled with the energy of living, we carry the soul of the resurrection spirit of 19 May 1919, which started the national strug"&amp;"gle. May this soul struggle against the epidemic and give us strength for new life. https://t.co/kllnkojg2o")</f>
        <v>In 19.19, all the sounds are combined with the 1919 soul. One-hearted, we are reading our Istiklal anthem. 83 million, which is filled with the energy of living, we carry the soul of the resurrection spirit of 19 May 1919, which started the national struggle. May this soul struggle against the epidemic and give us strength for new life. https://t.co/kllnkojg2o</v>
      </c>
    </row>
    <row r="2834" spans="1:5" ht="15.75" customHeight="1" x14ac:dyDescent="0.25">
      <c r="A2834" s="1" t="s">
        <v>5667</v>
      </c>
      <c r="B2834" s="1">
        <v>39108</v>
      </c>
      <c r="C2834" s="3">
        <v>43970.219247685185</v>
      </c>
      <c r="D2834" s="1" t="s">
        <v>5668</v>
      </c>
      <c r="E2834" s="4" t="str">
        <f ca="1">IFERROR(__xludf.DUMMYFUNCTION("GOOGLETRANSLATE(A2834 , ""tr"" , ""en"")"),"Youth is the ability to see the fact that new for society is to see the truth. In the 19th May 1919 where the Bandırma Steamer had to Samsun, we were hugged this soul. The actual beginning of the national struggle is the 19th May Ataturk, who inspired the"&amp;" day of great hope, happy birthday, youth and sport holiday. https://t.co/nvygsph6sj")</f>
        <v>Youth is the ability to see the fact that new for society is to see the truth. In the 19th May 1919 where the Bandırma Steamer had to Samsun, we were hugged this soul. The actual beginning of the national struggle is the 19th May Ataturk, who inspired the day of great hope, happy birthday, youth and sport holiday. https://t.co/nvygsph6sj</v>
      </c>
    </row>
    <row r="2835" spans="1:5" ht="15.75" customHeight="1" x14ac:dyDescent="0.25">
      <c r="A2835" s="1" t="s">
        <v>5669</v>
      </c>
      <c r="B2835" s="1">
        <v>44599</v>
      </c>
      <c r="C2835" s="3">
        <v>43969.874178240738</v>
      </c>
      <c r="D2835" s="1" t="s">
        <v>5670</v>
      </c>
      <c r="E2835" s="4" t="str">
        <f ca="1">IFERROR(__xludf.DUMMYFUNCTION("GOOGLETRANSLATE(A2835 , ""tr"" , ""en"")"),"In Kars's Female Area and Hakkari Pukurca, we are unfortunately in the successful operation of our hero soldier to terrorists. Get the head of our great nationality. The treatment of our injured is in progress. The health care service to our military is t"&amp;"he most blessed for us. https://t.co/cpredkxfdg")</f>
        <v>In Kars's Female Area and Hakkari Pukurca, we are unfortunately in the successful operation of our hero soldier to terrorists. Get the head of our great nationality. The treatment of our injured is in progress. The health care service to our military is the most blessed for us. https://t.co/cpredkxfdg</v>
      </c>
    </row>
    <row r="2836" spans="1:5" ht="15.75" customHeight="1" x14ac:dyDescent="0.25">
      <c r="A2836" s="1" t="s">
        <v>5671</v>
      </c>
      <c r="B2836" s="1">
        <v>25710</v>
      </c>
      <c r="C2836" s="3">
        <v>43969.776631944442</v>
      </c>
      <c r="D2836" s="1" t="s">
        <v>5672</v>
      </c>
      <c r="E2836" s="4" t="str">
        <f ca="1">IFERROR(__xludf.DUMMYFUNCTION("GOOGLETRANSLATE(A2836 , ""tr"" , ""en"")"),"Dr. Nihat is durable. 1949 Birthed Akhisar. He graduated from the Ege University Faculty of Medicine. Took his specialty training here. He served as 28 years at the Pediest State Hospital. Continued his profession throughout his life. Finally the patient "&amp;"was looking at a medical center. Https://t.co/byemvfinsg for the challenge")</f>
        <v>Dr. Nihat is durable. 1949 Birthed Akhisar. He graduated from the Ege University Faculty of Medicine. Took his specialty training here. He served as 28 years at the Pediest State Hospital. Continued his profession throughout his life. Finally the patient was looking at a medical center. Https://t.co/byemvfinsg for the challenge</v>
      </c>
    </row>
    <row r="2837" spans="1:5" ht="15.75" customHeight="1" x14ac:dyDescent="0.25">
      <c r="A2837" s="1" t="s">
        <v>5673</v>
      </c>
      <c r="B2837" s="1">
        <v>87844</v>
      </c>
      <c r="C2837" s="3">
        <v>43969.708749999998</v>
      </c>
      <c r="D2837" s="1" t="s">
        <v>5674</v>
      </c>
      <c r="E2837" s="4" t="str">
        <f ca="1">IFERROR(__xludf.DUMMYFUNCTION("GOOGLETRANSLATE(A2837 , ""tr"" , ""en"")"),"The number of patients who need intensive care and respiratory support continues to decrease. The number of cases is at the predictable level. The role of the days we stay at home in the fight against the spread of the coronavirus is very large. Let's sta"&amp;"y at home tomorrow. https://t.co/rvlhe7786o https://t.co/MIV9N6RP1")</f>
        <v>The number of patients who need intensive care and respiratory support continues to decrease. The number of cases is at the predictable level. The role of the days we stay at home in the fight against the spread of the coronavirus is very large. Let's stay at home tomorrow. https://t.co/rvlhe7786o https://t.co/MIV9N6RP1</v>
      </c>
    </row>
    <row r="2838" spans="1:5" ht="15.75" customHeight="1" x14ac:dyDescent="0.25">
      <c r="A2838" s="1" t="s">
        <v>5675</v>
      </c>
      <c r="B2838" s="1">
        <v>0</v>
      </c>
      <c r="C2838" s="3">
        <v>43969.677476851852</v>
      </c>
      <c r="D2838" s="1" t="s">
        <v>5676</v>
      </c>
      <c r="E2838" s="4" t="str">
        <f ca="1">IFERROR(__xludf.DUMMYFUNCTION("GOOGLETRANSLATE(A2838 , ""tr"" , ""en"")"),"RT @rterdogan: Shouting Nation After Cabinet Meeting https://t.co/5x9ssy71eb")</f>
        <v>RT @rterdogan: Shouting Nation After Cabinet Meeting https://t.co/5x9ssy71eb</v>
      </c>
    </row>
    <row r="2839" spans="1:5" ht="15.75" customHeight="1" x14ac:dyDescent="0.25">
      <c r="A2839" s="1" t="s">
        <v>5677</v>
      </c>
      <c r="B2839" s="1">
        <v>39016</v>
      </c>
      <c r="C2839" s="3">
        <v>43968.961805555555</v>
      </c>
      <c r="D2839" s="1" t="s">
        <v>5678</v>
      </c>
      <c r="E2839" s="4" t="str">
        <f ca="1">IFERROR(__xludf.DUMMYFUNCTION("GOOGLETRANSLATE(A2839 , ""tr"" , ""en"")"),"We have been in view of the Yeşilköy Emergency Hospital, HADIMKÖY Hospital and Basaksehir City Hospital, which will add power to our health infrastructure and technologies. These are the opening of the Başakşehir city hospital in the next Thursday. Get au"&amp;"spicious already. https://t.co/7tf4adm3yg")</f>
        <v>We have been in view of the Yeşilköy Emergency Hospital, HADIMKÖY Hospital and Basaksehir City Hospital, which will add power to our health infrastructure and technologies. These are the opening of the Başakşehir city hospital in the next Thursday. Get auspicious already. https://t.co/7tf4adm3yg</v>
      </c>
    </row>
    <row r="2840" spans="1:5" ht="15.75" customHeight="1" x14ac:dyDescent="0.25">
      <c r="A2840" s="1" t="s">
        <v>5679</v>
      </c>
      <c r="B2840" s="1">
        <v>39736</v>
      </c>
      <c r="C2840" s="3">
        <v>43968.739479166667</v>
      </c>
      <c r="D2840" s="1" t="s">
        <v>5680</v>
      </c>
      <c r="E2840" s="4" t="str">
        <f ca="1">IFERROR(__xludf.DUMMYFUNCTION("GOOGLETRANSLATE(A2840 , ""tr"" , ""en"")"),"Dr. Yavuz Kalaycı. Born in 1964, Istanbul. Cerrahpaşa Medical Faculty 1989 graduate. The first place of service was Mardin. The disease was captured at the Nithana Family Health Center, which was subsequently called. He was close to their patients in life"&amp;" and two little girls. Https://t.co/ykda68acla for the challenge")</f>
        <v>Dr. Yavuz Kalaycı. Born in 1964, Istanbul. Cerrahpaşa Medical Faculty 1989 graduate. The first place of service was Mardin. The disease was captured at the Nithana Family Health Center, which was subsequently called. He was close to their patients in life and two little girls. Https://t.co/ykda68acla for the challenge</v>
      </c>
    </row>
    <row r="2841" spans="1:5" ht="15.75" customHeight="1" x14ac:dyDescent="0.25">
      <c r="A2841" s="1" t="s">
        <v>5681</v>
      </c>
      <c r="B2841" s="1">
        <v>76947</v>
      </c>
      <c r="C2841" s="3">
        <v>43968.684687499997</v>
      </c>
      <c r="D2841" s="1" t="s">
        <v>5682</v>
      </c>
      <c r="E2841" s="4" t="str">
        <f ca="1">IFERROR(__xludf.DUMMYFUNCTION("GOOGLETRANSLATE(A2841 , ""tr"" , ""en"")"),"A decline in the expected level has taken place on our number of new cases. Some data showed usual variability in the overall course. The role of the days we stay at home in the fight against the spread of the coronavirus is very large. Let's stay at home"&amp;" tomorrow and the next day. https://t.co/rvlhe7786o https://t.co/cqmx1rnurl")</f>
        <v>A decline in the expected level has taken place on our number of new cases. Some data showed usual variability in the overall course. The role of the days we stay at home in the fight against the spread of the coronavirus is very large. Let's stay at home tomorrow and the next day. https://t.co/rvlhe7786o https://t.co/cqmx1rnurl</v>
      </c>
    </row>
    <row r="2842" spans="1:5" ht="15.75" customHeight="1" x14ac:dyDescent="0.25">
      <c r="A2842" s="1" t="s">
        <v>5683</v>
      </c>
      <c r="B2842" s="1">
        <v>47575</v>
      </c>
      <c r="C2842" s="3">
        <v>43968.315567129626</v>
      </c>
      <c r="D2842" s="1" t="s">
        <v>5684</v>
      </c>
      <c r="E2842" s="4" t="str">
        <f ca="1">IFERROR(__xludf.DUMMYFUNCTION("GOOGLETRANSLATE(A2842 , ""tr"" , ""en"")"),"In our success against coronavirse, the role of the days you stay at home is great. Your right to get out and fade a little. Today is 12.00-18.00 streets between you. Don't neglect to wear a mask to protect yourself. And do not necessarily comply with the"&amp;" 1,5 m social distance rule. https://t.co/ecsj2a4mpv")</f>
        <v>In our success against coronavirse, the role of the days you stay at home is great. Your right to get out and fade a little. Today is 12.00-18.00 streets between you. Don't neglect to wear a mask to protect yourself. And do not necessarily comply with the 1,5 m social distance rule. https://t.co/ecsj2a4mpv</v>
      </c>
    </row>
    <row r="2843" spans="1:5" ht="15.75" customHeight="1" x14ac:dyDescent="0.25">
      <c r="A2843" s="1" t="s">
        <v>5685</v>
      </c>
      <c r="B2843" s="1">
        <v>62830</v>
      </c>
      <c r="C2843" s="3">
        <v>43967.730358796296</v>
      </c>
      <c r="D2843" s="1" t="s">
        <v>5686</v>
      </c>
      <c r="E2843" s="4" t="str">
        <f ca="1">IFERROR(__xludf.DUMMYFUNCTION("GOOGLETRANSLATE(A2843 , ""tr"" , ""en"")"),"PROF. Dr. Cemil Taşcıoğlu. 1952, born in Rize. He was a professor in 1998 at Istanbul Medical Faculty. An ecoled in the field of internal diseases. The physician for him was the manifestation of human love. He lost his life with the virus he receives whil"&amp;"e struggling with outbreaks. Https://t.co/jvknbqqfqr for the challenge")</f>
        <v>PROF. Dr. Cemil Taşcıoğlu. 1952, born in Rize. He was a professor in 1998 at Istanbul Medical Faculty. An ecoled in the field of internal diseases. The physician for him was the manifestation of human love. He lost his life with the virus he receives while struggling with outbreaks. Https://t.co/jvknbqqfqr for the challenge</v>
      </c>
    </row>
    <row r="2844" spans="1:5" ht="15.75" customHeight="1" x14ac:dyDescent="0.25">
      <c r="A2844" s="1" t="s">
        <v>5687</v>
      </c>
      <c r="B2844" s="1">
        <v>82231</v>
      </c>
      <c r="C2844" s="3">
        <v>43967.706493055557</v>
      </c>
      <c r="D2844" s="1" t="s">
        <v>5688</v>
      </c>
      <c r="E2844" s="4" t="str">
        <f ca="1">IFERROR(__xludf.DUMMYFUNCTION("GOOGLETRANSLATE(A2844 , ""tr"" , ""en"")"),"Intensive care The rate of deaths from our patients in intensive care is reduced. If it is at a speed of recovery, there is a predictable slowdown. The role of the days we stay at home in the fight against the spread of the coronavirus is very large. Let'"&amp;"s stay at home. https://t.co/rvlhe7786o https://t.co/uqhd3kvaqI")</f>
        <v>Intensive care The rate of deaths from our patients in intensive care is reduced. If it is at a speed of recovery, there is a predictable slowdown. The role of the days we stay at home in the fight against the spread of the coronavirus is very large. Let's stay at home. https://t.co/rvlhe7786o https://t.co/uqhd3kvaqI</v>
      </c>
    </row>
    <row r="2845" spans="1:5" ht="15.75" customHeight="1" x14ac:dyDescent="0.25">
      <c r="A2845" s="1" t="s">
        <v>5689</v>
      </c>
      <c r="B2845" s="1">
        <v>46939</v>
      </c>
      <c r="C2845" s="3">
        <v>43967.629386574074</v>
      </c>
      <c r="D2845" s="1" t="s">
        <v>5690</v>
      </c>
      <c r="E2845" s="4" t="str">
        <f ca="1">IFERROR(__xludf.DUMMYFUNCTION("GOOGLETRANSLATE(A2845 , ""tr"" , ""en"")"),"Do you have an unobstructed person? We call ""disabled""? We all have the obstacles that we don't ever know. Our every feature in front of us can be a better person is actually a ""obstacle"". If they exceed obstacles, they reach the human as well as in l"&amp;"ove. Happy Week of Disabled People. https://t.co/dihvjwerdd")</f>
        <v>Do you have an unobstructed person? We call "disabled"? We all have the obstacles that we don't ever know. Our every feature in front of us can be a better person is actually a "obstacle". If they exceed obstacles, they reach the human as well as in love. Happy Week of Disabled People. https://t.co/dihvjwerdd</v>
      </c>
    </row>
    <row r="2846" spans="1:5" ht="15.75" customHeight="1" x14ac:dyDescent="0.25">
      <c r="A2846" s="1" t="s">
        <v>5691</v>
      </c>
      <c r="B2846" s="1">
        <v>37700</v>
      </c>
      <c r="C2846" s="3">
        <v>43967.548090277778</v>
      </c>
      <c r="D2846" s="1" t="s">
        <v>5692</v>
      </c>
      <c r="E2846" s="4" t="str">
        <f ca="1">IFERROR(__xludf.DUMMYFUNCTION("GOOGLETRANSLATE(A2846 , ""tr"" , ""en"")"),"In the successful struggle we give against the spread of the coronavirus, the role of the days we stay at home is very large. We are at home again between May 16-19 to prevent risks from increasing. This is the most powerful measure we will get together. "&amp;"Please let's not go out of the app. https://t.co/lkfyozmnd0")</f>
        <v>In the successful struggle we give against the spread of the coronavirus, the role of the days we stay at home is very large. We are at home again between May 16-19 to prevent risks from increasing. This is the most powerful measure we will get together. Please let's not go out of the app. https://t.co/lkfyozmnd0</v>
      </c>
    </row>
    <row r="2847" spans="1:5" ht="15.75" customHeight="1" x14ac:dyDescent="0.25">
      <c r="A2847" s="1" t="s">
        <v>5693</v>
      </c>
      <c r="B2847" s="1">
        <v>110412</v>
      </c>
      <c r="C2847" s="3">
        <v>43966.767453703702</v>
      </c>
      <c r="D2847" s="1" t="s">
        <v>5694</v>
      </c>
      <c r="E2847" s="4" t="str">
        <f ca="1">IFERROR(__xludf.DUMMYFUNCTION("GOOGLETRANSLATE(A2847 , ""tr"" , ""en"")"),"The day was nice, even though the hours are numbered. I hope you enjoyed it. I thank you for your support to date. The streets saw young today. Adopt to measures will soon see every day.")</f>
        <v>The day was nice, even though the hours are numbered. I hope you enjoyed it. I thank you for your support to date. The streets saw young today. Adopt to measures will soon see every day.</v>
      </c>
    </row>
    <row r="2848" spans="1:5" ht="15.75" customHeight="1" x14ac:dyDescent="0.25">
      <c r="A2848" s="1" t="s">
        <v>5695</v>
      </c>
      <c r="B2848" s="1">
        <v>74609</v>
      </c>
      <c r="C2848" s="3">
        <v>43966.666724537034</v>
      </c>
      <c r="D2848" s="1" t="s">
        <v>5696</v>
      </c>
      <c r="E2848" s="4" t="str">
        <f ca="1">IFERROR(__xludf.DUMMYFUNCTION("GOOGLETRANSLATE(A2848 , ""tr"" , ""en"")"),"Intensive care and intubation patients continue to decrease. Our test count is more than yesterday. There is a partial increase in the number of cases. Our new lifestyle is controlled social life, so always measure together. Condition:
Mask + 1, 5 meters "&amp;"of social distance. https://t.co/rvlhe7786o https://t.co/hfephds3wd")</f>
        <v>Intensive care and intubation patients continue to decrease. Our test count is more than yesterday. There is a partial increase in the number of cases. Our new lifestyle is controlled social life, so always measure together. Condition:
Mask + 1, 5 meters of social distance. https://t.co/rvlhe7786o https://t.co/hfephds3wd</v>
      </c>
    </row>
    <row r="2849" spans="1:5" ht="15.75" customHeight="1" x14ac:dyDescent="0.25">
      <c r="A2849" s="1" t="s">
        <v>5697</v>
      </c>
      <c r="B2849" s="1">
        <v>43325</v>
      </c>
      <c r="C2849" s="3">
        <v>43965.810266203705</v>
      </c>
      <c r="D2849" s="1" t="s">
        <v>5698</v>
      </c>
      <c r="E2849" s="4" t="str">
        <f ca="1">IFERROR(__xludf.DUMMYFUNCTION("GOOGLETRANSLATE(A2849 , ""tr"" , ""en"")"),"The healing process starting with the physician continues with the pharmacist. There are dozens of questions that are asked to pharmacist. The distance between the examination room is very short. The patient and the physician knows that the diagnosis retu"&amp;"rns to the healing with the ""Pharmaceutical"". I present my love to our pharmacists. May 14 pharmacists have a happy birthday https://t.co/4q2vgveuyc")</f>
        <v>The healing process starting with the physician continues with the pharmacist. There are dozens of questions that are asked to pharmacist. The distance between the examination room is very short. The patient and the physician knows that the diagnosis returns to the healing with the "Pharmaceutical". I present my love to our pharmacists. May 14 pharmacists have a happy birthday https://t.co/4q2vgveuyc</v>
      </c>
    </row>
    <row r="2850" spans="1:5" ht="15.75" customHeight="1" x14ac:dyDescent="0.25">
      <c r="A2850" s="1" t="s">
        <v>5699</v>
      </c>
      <c r="B2850" s="1">
        <v>64413</v>
      </c>
      <c r="C2850" s="3">
        <v>43965.687708333331</v>
      </c>
      <c r="D2850" s="1" t="s">
        <v>5700</v>
      </c>
      <c r="E2850" s="4" t="str">
        <f ca="1">IFERROR(__xludf.DUMMYFUNCTION("GOOGLETRANSLATE(A2850 , ""tr"" , ""en"")"),"We have passed 1.5 million in the total number of tests. Intensive care and intubation patients continue to decrease. Healing rate is 71.8% in our total case number. Our new lifestyle is controlled social life, so always measure together. Condition: Mask "&amp;"+ 1, 5 meters of social distance. https://t.co/rvlhe7786o https://t.co/9SGI6QMyor")</f>
        <v>We have passed 1.5 million in the total number of tests. Intensive care and intubation patients continue to decrease. Healing rate is 71.8% in our total case number. Our new lifestyle is controlled social life, so always measure together. Condition: Mask + 1, 5 meters of social distance. https://t.co/rvlhe7786o https://t.co/9SGI6QMyor</v>
      </c>
    </row>
    <row r="2851" spans="1:5" ht="15.75" customHeight="1" x14ac:dyDescent="0.25">
      <c r="A2851" s="1" t="s">
        <v>5701</v>
      </c>
      <c r="B2851" s="1">
        <v>74193</v>
      </c>
      <c r="C2851" s="3">
        <v>43965.587048611109</v>
      </c>
      <c r="D2851" s="1" t="s">
        <v>5702</v>
      </c>
      <c r="E2851" s="4" t="str">
        <f ca="1">IFERROR(__xludf.DUMMYFUNCTION("GOOGLETRANSLATE(A2851 , ""tr"" , ""en"")"),"In the epidemic period we are most sensitive to death news, we received the martyr news today. The PKK attacked the vehicle in Van and the vehicle carrying social support group officers. Two people who take help to our elderly residents have lost their li"&amp;"fe. The terror attacked the ""humanity"" medium. Sorry for your loss. https://t.co/3rrytkmppe")</f>
        <v>In the epidemic period we are most sensitive to death news, we received the martyr news today. The PKK attacked the vehicle in Van and the vehicle carrying social support group officers. Two people who take help to our elderly residents have lost their life. The terror attacked the "humanity" medium. Sorry for your loss. https://t.co/3rrytkmppe</v>
      </c>
    </row>
    <row r="2852" spans="1:5" ht="15.75" customHeight="1" x14ac:dyDescent="0.25">
      <c r="A2852" s="1" t="s">
        <v>5703</v>
      </c>
      <c r="B2852" s="1">
        <v>113550</v>
      </c>
      <c r="C2852" s="3">
        <v>43965.038622685184</v>
      </c>
      <c r="D2852" s="1" t="s">
        <v>5704</v>
      </c>
      <c r="E2852" s="4" t="str">
        <f ca="1">IFERROR(__xludf.DUMMYFUNCTION("GOOGLETRANSLATE(A2852 , ""tr"" , ""en"")"),"Is there any more of a heartlike language like Turkish? What's happy to those who speak to it! The authors of the authors, artists, who develop our Çağlar height tongue, and have a Turkish language holiday in our language.")</f>
        <v>Is there any more of a heartlike language like Turkish? What's happy to those who speak to it! The authors of the authors, artists, who develop our Çağlar height tongue, and have a Turkish language holiday in our language.</v>
      </c>
    </row>
    <row r="2853" spans="1:5" ht="15.75" customHeight="1" x14ac:dyDescent="0.25">
      <c r="A2853" s="1" t="s">
        <v>5705</v>
      </c>
      <c r="B2853" s="1">
        <v>34976</v>
      </c>
      <c r="C2853" s="3">
        <v>43964.922986111109</v>
      </c>
      <c r="D2853" s="1" t="s">
        <v>5706</v>
      </c>
      <c r="E2853" s="4" t="str">
        <f ca="1">IFERROR(__xludf.DUMMYFUNCTION("GOOGLETRANSLATE(A2853 , ""tr"" , ""en"")"),"The finals had been left to universities how to do it. Since the LGS and YKS in June will cause mobility, it increases the mobility of the finals to face the finals. We have evaluated this in our science board. YÖK has decided. Finals will be held as ONLI"&amp;"NE. https://t.co/q75bylvbdl")</f>
        <v>The finals had been left to universities how to do it. Since the LGS and YKS in June will cause mobility, it increases the mobility of the finals to face the finals. We have evaluated this in our science board. YÖK has decided. Finals will be held as ONLINE. https://t.co/q75bylvbdl</v>
      </c>
    </row>
    <row r="2854" spans="1:5" ht="15.75" customHeight="1" x14ac:dyDescent="0.25">
      <c r="A2854" s="1" t="s">
        <v>5707</v>
      </c>
      <c r="B2854" s="1">
        <v>25485</v>
      </c>
      <c r="C2854" s="3">
        <v>43964.915127314816</v>
      </c>
      <c r="D2854" s="1" t="s">
        <v>5708</v>
      </c>
      <c r="E2854" s="4" t="str">
        <f ca="1">IFERROR(__xludf.DUMMYFUNCTION("GOOGLETRANSLATE(A2854 , ""tr"" , ""en"")"),"We see that the distance rule is disabled, where the place is not installed in the mask. These are not to be at all. The health of 83 million is concerned. We can alert each other. We cannot move as we want in an epidemic. We should wear a mask, a minimum"&amp;" of one and a half meter distance https://t.co/gbplfn7ij4")</f>
        <v>We see that the distance rule is disabled, where the place is not installed in the mask. These are not to be at all. The health of 83 million is concerned. We can alert each other. We cannot move as we want in an epidemic. We should wear a mask, a minimum of one and a half meter distance https://t.co/gbplfn7ij4</v>
      </c>
    </row>
    <row r="2855" spans="1:5" ht="15.75" customHeight="1" x14ac:dyDescent="0.25">
      <c r="A2855" s="1" t="s">
        <v>5709</v>
      </c>
      <c r="B2855" s="1">
        <v>17857</v>
      </c>
      <c r="C2855" s="3">
        <v>43964.907094907408</v>
      </c>
      <c r="D2855" s="1" t="s">
        <v>5710</v>
      </c>
      <c r="E2855" s="4" t="str">
        <f ca="1">IFERROR(__xludf.DUMMYFUNCTION("GOOGLETRANSLATE(A2855 , ""tr"" , ""en"")"),"As a high-minded society, we must set up our new life quickly. In our new life, crowds should not be tails. Measure-based new life style is controlled social life. This is the strategy to beat the outbreak. Controlled social life will be settled in all of"&amp;" us. https://t.co/dıp10au0e3")</f>
        <v>As a high-minded society, we must set up our new life quickly. In our new life, crowds should not be tails. Measure-based new life style is controlled social life. This is the strategy to beat the outbreak. Controlled social life will be settled in all of us. https://t.co/dıp10au0e3</v>
      </c>
    </row>
    <row r="2856" spans="1:5" ht="15.75" customHeight="1" x14ac:dyDescent="0.25">
      <c r="A2856" s="1" t="s">
        <v>5711</v>
      </c>
      <c r="B2856" s="1">
        <v>16300</v>
      </c>
      <c r="C2856" s="3">
        <v>43964.898993055554</v>
      </c>
      <c r="D2856" s="1" t="s">
        <v>5712</v>
      </c>
      <c r="E2856" s="4" t="str">
        <f ca="1">IFERROR(__xludf.DUMMYFUNCTION("GOOGLETRANSLATE(A2856 , ""tr"" , ""en"")"),"We are at the second period of our challenge of coronavirus. We open test laboratories to prevent contamination in industrial zones. We are developing measures for workplaces, pandemy risk management. But we know that the old days don't come back in full."&amp;" The epidemic has brought a new life. https://t.co/pjpr12j0sx")</f>
        <v>We are at the second period of our challenge of coronavirus. We open test laboratories to prevent contamination in industrial zones. We are developing measures for workplaces, pandemy risk management. But we know that the old days don't come back in full. The epidemic has brought a new life. https://t.co/pjpr12j0sx</v>
      </c>
    </row>
    <row r="2857" spans="1:5" ht="15.75" customHeight="1" x14ac:dyDescent="0.25">
      <c r="A2857" s="1" t="s">
        <v>5713</v>
      </c>
      <c r="B2857" s="1">
        <v>30337</v>
      </c>
      <c r="C2857" s="3">
        <v>43964.891157407408</v>
      </c>
      <c r="D2857" s="1" t="s">
        <v>5714</v>
      </c>
      <c r="E2857" s="4" t="str">
        <f ca="1">IFERROR(__xludf.DUMMYFUNCTION("GOOGLETRANSLATE(A2857 , ""tr"" , ""en"")"),"In this epidemic, I'm in charge of you from the health. I am also obliged to say the seriousness of the job. The coronavirus is the global epidemic of the global world. The epidemic uses us to limit the movement, to be a bit isolated, to put the physical "&amp;"distance to us. The epidemic is challenging us to live controlled. https://t.co/uw8bemcuem")</f>
        <v>In this epidemic, I'm in charge of you from the health. I am also obliged to say the seriousness of the job. The coronavirus is the global epidemic of the global world. The epidemic uses us to limit the movement, to be a bit isolated, to put the physical distance to us. The epidemic is challenging us to live controlled. https://t.co/uw8bemcuem</v>
      </c>
    </row>
    <row r="2858" spans="1:5" ht="15.75" customHeight="1" x14ac:dyDescent="0.25">
      <c r="A2858" s="1" t="s">
        <v>5715</v>
      </c>
      <c r="B2858" s="1">
        <v>34019</v>
      </c>
      <c r="C2858" s="3">
        <v>43964.79792824074</v>
      </c>
      <c r="D2858" s="1" t="s">
        <v>5716</v>
      </c>
      <c r="E2858" s="4" t="str">
        <f ca="1">IFERROR(__xludf.DUMMYFUNCTION("GOOGLETRANSLATE(A2858 , ""tr"" , ""en"")"),"Controlled social life is the new style of life against the epidemic. The essence is the measure all together. The market place from the market place is to reduce the risk of coronavirus in all areas from the classroom from the classroom, rather than the "&amp;"AVM. There is a condition: mask + social distance. https://t.co/h2cxyImkhx")</f>
        <v>Controlled social life is the new style of life against the epidemic. The essence is the measure all together. The market place from the market place is to reduce the risk of coronavirus in all areas from the classroom from the classroom, rather than the AVM. There is a condition: mask + social distance. https://t.co/h2cxyImkhx</v>
      </c>
    </row>
    <row r="2859" spans="1:5" ht="15.75" customHeight="1" x14ac:dyDescent="0.25">
      <c r="A2859" s="1" t="s">
        <v>5717</v>
      </c>
      <c r="B2859" s="1">
        <v>25579</v>
      </c>
      <c r="C2859" s="3">
        <v>43964.704062500001</v>
      </c>
      <c r="D2859" s="1" t="s">
        <v>5718</v>
      </c>
      <c r="E2859" s="4" t="str">
        <f ca="1">IFERROR(__xludf.DUMMYFUNCTION("GOOGLETRANSLATE(A2859 , ""tr"" , ""en"")"),"DSO European Regional Director Dr. With Kluge we had a call today. Our healing rate has stopped on our treatment algorithm and normalization steps. Dr. The Kluge World has highly stressed that Turkey's success should be transformed into academic publicati"&amp;"on and proposed cooperation. https://t.co/summwkhns8")</f>
        <v>DSO European Regional Director Dr. With Kluge we had a call today. Our healing rate has stopped on our treatment algorithm and normalization steps. Dr. The Kluge World has highly stressed that Turkey's success should be transformed into academic publication and proposed cooperation. https://t.co/summwkhns8</v>
      </c>
    </row>
    <row r="2860" spans="1:5" ht="15.75" customHeight="1" x14ac:dyDescent="0.25">
      <c r="A2860" s="1" t="s">
        <v>5719</v>
      </c>
      <c r="B2860" s="1">
        <v>72326</v>
      </c>
      <c r="C2860" s="3">
        <v>43964.666759259257</v>
      </c>
      <c r="D2860" s="1" t="s">
        <v>5720</v>
      </c>
      <c r="E2860" s="4" t="str">
        <f ca="1">IFERROR(__xludf.DUMMYFUNCTION("GOOGLETRANSLATE(A2860 , ""tr"" , ""en"")"),"Our patients in intensive care fell below 1,000 for the first time. Our healing patient count exceeded 100,000. Our total test count is about 1.5 million. Our principal power against the virus:
Mask + 1.5 meters of social distance. The risk is in most cro"&amp;"wded environments. Let's stay away. https://t.co/rvlhe7786o https://t.co/8ywihrmq5v")</f>
        <v>Our patients in intensive care fell below 1,000 for the first time. Our healing patient count exceeded 100,000. Our total test count is about 1.5 million. Our principal power against the virus:
Mask + 1.5 meters of social distance. The risk is in most crowded environments. Let's stay away. https://t.co/rvlhe7786o https://t.co/8ywihrmq5v</v>
      </c>
    </row>
    <row r="2861" spans="1:5" ht="15.75" customHeight="1" x14ac:dyDescent="0.25">
      <c r="A2861" s="1" t="s">
        <v>5721</v>
      </c>
      <c r="B2861" s="1">
        <v>17815</v>
      </c>
      <c r="C2861" s="3">
        <v>43964.621817129628</v>
      </c>
      <c r="D2861" s="1" t="s">
        <v>5722</v>
      </c>
      <c r="E2861" s="4" t="str">
        <f ca="1">IFERROR(__xludf.DUMMYFUNCTION("GOOGLETRANSLATE(A2861 , ""tr"" , ""en"")"),"After our Science Board meeting, the latest developments on the coronavirus and the new measures we receive.
📍Public Ministry Bilkent Campus / Ankara
https://t.co/l0xwtman0y")</f>
        <v>After our Science Board meeting, the latest developments on the coronavirus and the new measures we receive.
📍Public Ministry Bilkent Campus / Ankara
https://t.co/l0xwtman0y</v>
      </c>
    </row>
    <row r="2862" spans="1:5" ht="15.75" customHeight="1" x14ac:dyDescent="0.25">
      <c r="A2862" s="1" t="s">
        <v>5723</v>
      </c>
      <c r="B2862" s="1">
        <v>43061</v>
      </c>
      <c r="C2862" s="3">
        <v>43964.274178240739</v>
      </c>
      <c r="D2862" s="1" t="s">
        <v>5724</v>
      </c>
      <c r="E2862" s="4" t="str">
        <f ca="1">IFERROR(__xludf.DUMMYFUNCTION("GOOGLETRANSLATE(A2862 , ""tr"" , ""en"")"),"Between 11.00-15.00, our children and young people who miss the streets, streets. Close friends meets the distance. A little hard to return home. But there are much more beautiful days ahead of us, have drawings. We will make a little bit more sacrifice f"&amp;"or our health. https://t.co/eex19uri53")</f>
        <v>Between 11.00-15.00, our children and young people who miss the streets, streets. Close friends meets the distance. A little hard to return home. But there are much more beautiful days ahead of us, have drawings. We will make a little bit more sacrifice for our health. https://t.co/eex19uri53</v>
      </c>
    </row>
    <row r="2863" spans="1:5" ht="15.75" customHeight="1" x14ac:dyDescent="0.25">
      <c r="A2863" s="1" t="s">
        <v>5725</v>
      </c>
      <c r="B2863" s="1">
        <v>49237</v>
      </c>
      <c r="C2863" s="3">
        <v>43963.833333333336</v>
      </c>
      <c r="D2863" s="1" t="s">
        <v>5726</v>
      </c>
      <c r="E2863" s="4" t="str">
        <f ca="1">IFERROR(__xludf.DUMMYFUNCTION("GOOGLETRANSLATE(A2863 , ""tr"" , ""en"")"),"In this epidemic period, the expression of gratitude is difficult. I will remind you of a famous word: ""The more you praise the nurses, the more you told the truth."" This promise was the first time these days, should have been said in Turkey. May the 12"&amp;"th nurses are happy with your day. https://t.co/sveqosqgwx")</f>
        <v>In this epidemic period, the expression of gratitude is difficult. I will remind you of a famous word: "The more you praise the nurses, the more you told the truth." This promise was the first time these days, should have been said in Turkey. May the 12th nurses are happy with your day. https://t.co/sveqosqgwx</v>
      </c>
    </row>
    <row r="2864" spans="1:5" ht="15.75" customHeight="1" x14ac:dyDescent="0.25">
      <c r="A2864" s="1" t="s">
        <v>5727</v>
      </c>
      <c r="B2864" s="1">
        <v>0</v>
      </c>
      <c r="C2864" s="3">
        <v>43963.816655092596</v>
      </c>
      <c r="D2864" s="1" t="s">
        <v>5728</v>
      </c>
      <c r="E2864" s="4" t="str">
        <f ca="1">IFERROR(__xludf.DUMMYFUNCTION("GOOGLETRANSLATE(A2864 , ""tr"" , ""en"")"),"RT @rterdogan: We are not put on the stones on top of the stones, but it is not to put the stone on top.
As we keep every word we give in 18 years, chorus ...")</f>
        <v>RT @rterdogan: We are not put on the stones on top of the stones, but it is not to put the stone on top.
As we keep every word we give in 18 years, chorus ...</v>
      </c>
    </row>
    <row r="2865" spans="1:5" ht="15.75" customHeight="1" x14ac:dyDescent="0.25">
      <c r="A2865" s="1" t="s">
        <v>5729</v>
      </c>
      <c r="B2865" s="1">
        <v>37372</v>
      </c>
      <c r="C2865" s="3">
        <v>43963.784432870372</v>
      </c>
      <c r="D2865" s="1" t="s">
        <v>5730</v>
      </c>
      <c r="E2865" s="4" t="str">
        <f ca="1">IFERROR(__xludf.DUMMYFUNCTION("GOOGLETRANSLATE(A2865 , ""tr"" , ""en"")"),"Though both of two people nearby wear the mask, the virus can be infected from one to the other, despite the mask. Either in moving, crowded places? Insert the mask while leaving home. But the mask may not suffer from the risk of coronavirus without the s"&amp;"ocial distance.
Do not take a risk. https://t.co/wrhp5xmb5e")</f>
        <v>Though both of two people nearby wear the mask, the virus can be infected from one to the other, despite the mask. Either in moving, crowded places? Insert the mask while leaving home. But the mask may not suffer from the risk of coronavirus without the social distance.
Do not take a risk. https://t.co/wrhp5xmb5e</v>
      </c>
    </row>
    <row r="2866" spans="1:5" ht="15.75" customHeight="1" x14ac:dyDescent="0.25">
      <c r="A2866" s="1" t="s">
        <v>5731</v>
      </c>
      <c r="B2866" s="1">
        <v>74806</v>
      </c>
      <c r="C2866" s="3">
        <v>43963.705000000002</v>
      </c>
      <c r="D2866" s="1" t="s">
        <v>5732</v>
      </c>
      <c r="E2866" s="4" t="str">
        <f ca="1">IFERROR(__xludf.DUMMYFUNCTION("GOOGLETRANSLATE(A2866 , ""tr"" , ""en"")"),"The increase in the number of new cases is in predictable limits. 70% of total cases is improved. Our intensive care patient continues to decrease. Mask + Social Distance: This is our power against the virus! Risk in crowded environments. Let's stay away."&amp;" https://t.co/rvlhe7786o https://t.co/0naqy0mszc")</f>
        <v>The increase in the number of new cases is in predictable limits. 70% of total cases is improved. Our intensive care patient continues to decrease. Mask + Social Distance: This is our power against the virus! Risk in crowded environments. Let's stay away. https://t.co/rvlhe7786o https://t.co/0naqy0mszc</v>
      </c>
    </row>
    <row r="2867" spans="1:5" ht="15.75" customHeight="1" x14ac:dyDescent="0.25">
      <c r="A2867" s="1" t="s">
        <v>5733</v>
      </c>
      <c r="B2867" s="1">
        <v>88203</v>
      </c>
      <c r="C2867" s="3">
        <v>43963.31417824074</v>
      </c>
      <c r="D2867" s="1" t="s">
        <v>5734</v>
      </c>
      <c r="E2867" s="4" t="str">
        <f ca="1">IFERROR(__xludf.DUMMYFUNCTION("GOOGLETRANSLATE(A2867 , ""tr"" , ""en"")"),"Our nurses are now on their tasks that they are perfect. In the fight against the coronavirus, both the health professional and the patient is always masters in communication with the patient. Are samples in the world if it is sensitive. May 12 Happy Nurs"&amp;"es Day. https://t.co/trsebtftru")</f>
        <v>Our nurses are now on their tasks that they are perfect. In the fight against the coronavirus, both the health professional and the patient is always masters in communication with the patient. Are samples in the world if it is sensitive. May 12 Happy Nurses Day. https://t.co/trsebtftru</v>
      </c>
    </row>
    <row r="2868" spans="1:5" ht="15.75" customHeight="1" x14ac:dyDescent="0.25">
      <c r="A2868" s="1" t="s">
        <v>5735</v>
      </c>
      <c r="B2868" s="1">
        <v>92554</v>
      </c>
      <c r="C2868" s="3">
        <v>43962.87027777778</v>
      </c>
      <c r="D2868" s="1" t="s">
        <v>5736</v>
      </c>
      <c r="E2868" s="4" t="str">
        <f ca="1">IFERROR(__xludf.DUMMYFUNCTION("GOOGLETRANSLATE(A2868 , ""tr"" , ""en"")"),"Today, long tails in the front of the AVM are stackers in the gates of AVM. The social distance rule did not follow mostly. Even those who don't wear a mask. What the mask is not the social distance, it is not a protector alone. Measures must be full. The"&amp;" risk continues. Let's stay at home if we are not obliged. https://t.co/I9jvtjweca")</f>
        <v>Today, long tails in the front of the AVM are stackers in the gates of AVM. The social distance rule did not follow mostly. Even those who don't wear a mask. What the mask is not the social distance, it is not a protector alone. Measures must be full. The risk continues. Let's stay at home if we are not obliged. https://t.co/I9jvtjweca</v>
      </c>
    </row>
    <row r="2869" spans="1:5" ht="15.75" customHeight="1" x14ac:dyDescent="0.25">
      <c r="A2869" s="1" t="s">
        <v>5737</v>
      </c>
      <c r="B2869" s="1">
        <v>0</v>
      </c>
      <c r="C2869" s="3">
        <v>43962.866423611114</v>
      </c>
      <c r="D2869" s="1" t="s">
        <v>5738</v>
      </c>
      <c r="E2869" s="4" t="str">
        <f ca="1">IFERROR(__xludf.DUMMYFUNCTION("GOOGLETRANSLATE(A2869 , ""tr"" , ""en"")"),"RT @rterdogan: We are successfully resuming the challenge of 83 million against the global coronavirus epidemic.
Health care ...")</f>
        <v>RT @rterdogan: We are successfully resuming the challenge of 83 million against the global coronavirus epidemic.
Health care ...</v>
      </c>
    </row>
    <row r="2870" spans="1:5" ht="15.75" customHeight="1" x14ac:dyDescent="0.25">
      <c r="A2870" s="1" t="s">
        <v>5739</v>
      </c>
      <c r="B2870" s="1">
        <v>97670</v>
      </c>
      <c r="C2870" s="3">
        <v>43962.729201388887</v>
      </c>
      <c r="D2870" s="1" t="s">
        <v>5740</v>
      </c>
      <c r="E2870" s="4" t="str">
        <f ca="1">IFERROR(__xludf.DUMMYFUNCTION("GOOGLETRANSLATE(A2870 , ""tr"" , ""en"")"),"Access to the measures, our new case count will soon be less than 1,000 per day. The number of patients who need intensive care and respiratory support continues to decrease. Today's Vephate Count 55. Let's not forget that the price of impriseness is heav"&amp;"y. https://t.co/rvlhe7786o https://t.co/hjzlxclqoo")</f>
        <v>Access to the measures, our new case count will soon be less than 1,000 per day. The number of patients who need intensive care and respiratory support continues to decrease. Today's Vephate Count 55. Let's not forget that the price of impriseness is heavy. https://t.co/rvlhe7786o https://t.co/hjzlxclqoo</v>
      </c>
    </row>
    <row r="2871" spans="1:5" ht="15.75" customHeight="1" x14ac:dyDescent="0.25">
      <c r="A2871" s="1" t="s">
        <v>5741</v>
      </c>
      <c r="B2871" s="1">
        <v>0</v>
      </c>
      <c r="C2871" s="3">
        <v>43962.676180555558</v>
      </c>
      <c r="D2871" s="1" t="s">
        <v>5742</v>
      </c>
      <c r="E2871" s="4" t="str">
        <f ca="1">IFERROR(__xludf.DUMMYFUNCTION("GOOGLETRANSLATE(A2871 , ""tr"" , ""en"")"),"RT @rterdogan: Shouting Nation after Cabinet Meeting https://t.co/cl970ohqog")</f>
        <v>RT @rterdogan: Shouting Nation after Cabinet Meeting https://t.co/cl970ohqog</v>
      </c>
    </row>
    <row r="2872" spans="1:5" ht="15.75" customHeight="1" x14ac:dyDescent="0.25">
      <c r="A2872" s="1" t="s">
        <v>5743</v>
      </c>
      <c r="B2872" s="1">
        <v>54539</v>
      </c>
      <c r="C2872" s="3">
        <v>43961.803460648145</v>
      </c>
      <c r="D2872" s="1" t="s">
        <v>5744</v>
      </c>
      <c r="E2872" s="4" t="str">
        <f ca="1">IFERROR(__xludf.DUMMYFUNCTION("GOOGLETRANSLATE(A2872 , ""tr"" , ""en"")"),"Our grown was in the parks, the gentlemen, today, days longlads were on the streets. Today, there were the happiest moments of the last days out. I thank them for their patience. I celebrate the mothers day of ladies. We always want to see that good. http"&amp;"s://t.co/yc2ya1y")</f>
        <v>Our grown was in the parks, the gentlemen, today, days longlads were on the streets. Today, there were the happiest moments of the last days out. I thank them for their patience. I celebrate the mothers day of ladies. We always want to see that good. https://t.co/yc2ya1y</v>
      </c>
    </row>
    <row r="2873" spans="1:5" ht="15.75" customHeight="1" x14ac:dyDescent="0.25">
      <c r="A2873" s="1" t="s">
        <v>5745</v>
      </c>
      <c r="B2873" s="1">
        <v>139360</v>
      </c>
      <c r="C2873" s="3">
        <v>43961.666863425926</v>
      </c>
      <c r="D2873" s="1" t="s">
        <v>5746</v>
      </c>
      <c r="E2873" s="4" t="str">
        <f ca="1">IFERROR(__xludf.DUMMYFUNCTION("GOOGLETRANSLATE(A2873 , ""tr"" , ""en"")"),"We have changed this table to 83 million. By insistent to the measures! Solemnly our challenge, let's keep without loosening. Our recovering patient count will soon find 100 thousand people. Our number of passes, the number of cases will decrease. Isn't w"&amp;"orth a little more selfless? https://t.co/rvlhe7786o https://t.co/8duavwxycl")</f>
        <v>We have changed this table to 83 million. By insistent to the measures! Solemnly our challenge, let's keep without loosening. Our recovering patient count will soon find 100 thousand people. Our number of passes, the number of cases will decrease. Isn't worth a little more selfless? https://t.co/rvlhe7786o https://t.co/8duavwxycl</v>
      </c>
    </row>
    <row r="2874" spans="1:5" ht="15.75" customHeight="1" x14ac:dyDescent="0.25">
      <c r="A2874" s="1" t="s">
        <v>5747</v>
      </c>
      <c r="B2874" s="1">
        <v>50673</v>
      </c>
      <c r="C2874" s="3">
        <v>43961.27783564815</v>
      </c>
      <c r="D2874" s="1" t="s">
        <v>5748</v>
      </c>
      <c r="E2874" s="4" t="str">
        <f ca="1">IFERROR(__xludf.DUMMYFUNCTION("GOOGLETRANSLATE(A2874 , ""tr"" , ""en"")"),"You have given great support by staying at home to our challenge of coronavirus. The day has been expected: the city, you ladies and the gentleman will meet themselves again. Don't neglect to wear a mask on this beautiful day. Mask should now be part of o"&amp;"ur clothes. May your every minute be nice! https://t.co/6lxd72pwpv")</f>
        <v>You have given great support by staying at home to our challenge of coronavirus. The day has been expected: the city, you ladies and the gentleman will meet themselves again. Don't neglect to wear a mask on this beautiful day. Mask should now be part of our clothes. May your every minute be nice! https://t.co/6lxd72pwpv</v>
      </c>
    </row>
    <row r="2875" spans="1:5" ht="15.75" customHeight="1" x14ac:dyDescent="0.25">
      <c r="A2875" s="1" t="s">
        <v>5749</v>
      </c>
      <c r="B2875" s="1">
        <v>35893</v>
      </c>
      <c r="C2875" s="3">
        <v>43961.277754629627</v>
      </c>
      <c r="D2875" s="1" t="s">
        <v>5750</v>
      </c>
      <c r="E2875" s="4" t="str">
        <f ca="1">IFERROR(__xludf.DUMMYFUNCTION("GOOGLETRANSLATE(A2875 , ""tr"" , ""en"")"),"You have given great support by staying at home to our challenge of coronavirus. The day has been expected: the city, you ladies and the gentleman will meet themselves again. Don't neglect to wear a mask on this beautiful day. Mask should now be part of o"&amp;"ur clothes. May your every minute be nice! https://t.co/fmugqfhpnc")</f>
        <v>You have given great support by staying at home to our challenge of coronavirus. The day has been expected: the city, you ladies and the gentleman will meet themselves again. Don't neglect to wear a mask on this beautiful day. Mask should now be part of our clothes. May your every minute be nice! https://t.co/fmugqfhpnc</v>
      </c>
    </row>
    <row r="2876" spans="1:5" ht="15.75" customHeight="1" x14ac:dyDescent="0.25">
      <c r="A2876" s="1" t="s">
        <v>5751</v>
      </c>
      <c r="B2876" s="1">
        <v>53628</v>
      </c>
      <c r="C2876" s="3">
        <v>43961.002800925926</v>
      </c>
      <c r="D2876" s="1" t="s">
        <v>5752</v>
      </c>
      <c r="E2876" s="4" t="str">
        <f ca="1">IFERROR(__xludf.DUMMYFUNCTION("GOOGLETRANSLATE(A2876 , ""tr"" , ""en"")"),"There is ""mother"" there while dormitory is a consternation. When the language is native tongue ... We are connected to our mothers that connect us to life and to each other, words that the words cannot describe. Small obstacles to intervene are not stro"&amp;"ng from the feelings that establish the most powerful of the bonds. Happy mothers day. https://t.co/gr2zgumcoi")</f>
        <v>There is "mother" there while dormitory is a consternation. When the language is native tongue ... We are connected to our mothers that connect us to life and to each other, words that the words cannot describe. Small obstacles to intervene are not strong from the feelings that establish the most powerful of the bonds. Happy mothers day. https://t.co/gr2zgumcoi</v>
      </c>
    </row>
    <row r="2877" spans="1:5" ht="15.75" customHeight="1" x14ac:dyDescent="0.25">
      <c r="A2877" s="1" t="s">
        <v>5753</v>
      </c>
      <c r="B2877" s="1">
        <v>55201</v>
      </c>
      <c r="C2877" s="3">
        <v>43960.917210648149</v>
      </c>
      <c r="D2877" s="1" t="s">
        <v>5754</v>
      </c>
      <c r="E2877" s="4" t="str">
        <f ca="1">IFERROR(__xludf.DUMMYFUNCTION("GOOGLETRANSLATE(A2877 , ""tr"" , ""en"")"),"Turkey's practical intelligence, epidemic conditions, began to bring interesting images to social life. Every idea is beautiful until the solution to a problem from surprise to the eye. https://t.co/owazv5hg4q")</f>
        <v>Turkey's practical intelligence, epidemic conditions, began to bring interesting images to social life. Every idea is beautiful until the solution to a problem from surprise to the eye. https://t.co/owazv5hg4q</v>
      </c>
    </row>
    <row r="2878" spans="1:5" ht="15.75" customHeight="1" x14ac:dyDescent="0.25">
      <c r="A2878" s="1" t="s">
        <v>5755</v>
      </c>
      <c r="B2878" s="1">
        <v>59317</v>
      </c>
      <c r="C2878" s="3">
        <v>43960.843773148146</v>
      </c>
      <c r="D2878" s="1" t="s">
        <v>5756</v>
      </c>
      <c r="E2878" s="4" t="str">
        <f ca="1">IFERROR(__xludf.DUMMYFUNCTION("GOOGLETRANSLATE(A2878 , ""tr"" , ""en"")"),"Turkey's practical intelligence, epidemic conditions, began to bring interesting images to social life. Every idea is beautiful until the solution to a problem from surprise to the eye. (Ammunition Note: Photo has been taken on Wednesday.) Https://t.co/i5"&amp;"piknhbjp")</f>
        <v>Turkey's practical intelligence, epidemic conditions, began to bring interesting images to social life. Every idea is beautiful until the solution to a problem from surprise to the eye. (Ammunition Note: Photo has been taken on Wednesday.) Https://t.co/i5piknhbjp</v>
      </c>
    </row>
    <row r="2879" spans="1:5" ht="15.75" customHeight="1" x14ac:dyDescent="0.25">
      <c r="A2879" s="1" t="s">
        <v>5757</v>
      </c>
      <c r="B2879" s="1">
        <v>95857</v>
      </c>
      <c r="C2879" s="3">
        <v>43960.685613425929</v>
      </c>
      <c r="D2879" s="1" t="s">
        <v>5758</v>
      </c>
      <c r="E2879" s="4" t="str">
        <f ca="1">IFERROR(__xludf.DUMMYFUNCTION("GOOGLETRANSLATE(A2879 , ""tr"" , ""en"")"),"The total number of heals approached 90 thousand. The decrease in the number of those who need intensive care support continues. According to the number of tests made, the decline in the newly diagnosed case is continuing. Let's not leave the measure. htt"&amp;"ps://t.co/rvlhe7786o https://t.co/4pffahnftn")</f>
        <v>The total number of heals approached 90 thousand. The decrease in the number of those who need intensive care support continues. According to the number of tests made, the decline in the newly diagnosed case is continuing. Let's not leave the measure. https://t.co/rvlhe7786o https://t.co/4pffahnftn</v>
      </c>
    </row>
    <row r="2880" spans="1:5" ht="15.75" customHeight="1" x14ac:dyDescent="0.25">
      <c r="A2880" s="1" t="s">
        <v>5759</v>
      </c>
      <c r="B2880" s="1">
        <v>44740</v>
      </c>
      <c r="C2880" s="3">
        <v>43960.431111111109</v>
      </c>
      <c r="D2880" s="1" t="s">
        <v>5760</v>
      </c>
      <c r="E2880" s="4" t="str">
        <f ca="1">IFERROR(__xludf.DUMMYFUNCTION("GOOGLETRANSLATE(A2880 , ""tr"" , ""en"")"),"The way to keep an anti-virus is the mask and social distance. In addition to home, insert the mask and maintain the social distance. You don't know who carries a virus. Do not leave the measure in hand. # Risk is https://t.co/ch4czqtlai")</f>
        <v>The way to keep an anti-virus is the mask and social distance. In addition to home, insert the mask and maintain the social distance. You don't know who carries a virus. Do not leave the measure in hand. # Risk is https://t.co/ch4czqtlai</v>
      </c>
    </row>
    <row r="2881" spans="1:5" ht="15.75" customHeight="1" x14ac:dyDescent="0.25">
      <c r="A2881" s="1" t="s">
        <v>5761</v>
      </c>
      <c r="B2881" s="1">
        <v>30503</v>
      </c>
      <c r="C2881" s="3">
        <v>43960.406655092593</v>
      </c>
      <c r="D2881" s="1" t="s">
        <v>5762</v>
      </c>
      <c r="E2881" s="4" t="str">
        <f ca="1">IFERROR(__xludf.DUMMYFUNCTION("GOOGLETRANSLATE(A2881 , ""tr"" , ""en"")"),"The way to keep an anti-virus is the mask and social distance. In addition to home, insert the mask and maintain the social distance. You don't know who carries a virus. Do not leave the measure in hand. # risk is https://t.co/xos8qkgwah")</f>
        <v>The way to keep an anti-virus is the mask and social distance. In addition to home, insert the mask and maintain the social distance. You don't know who carries a virus. Do not leave the measure in hand. # risk is https://t.co/xos8qkgwah</v>
      </c>
    </row>
    <row r="2882" spans="1:5" ht="15.75" customHeight="1" x14ac:dyDescent="0.25">
      <c r="A2882" s="1" t="s">
        <v>5763</v>
      </c>
      <c r="B2882" s="1">
        <v>77751</v>
      </c>
      <c r="C2882" s="3">
        <v>43959.775335648148</v>
      </c>
      <c r="D2882" s="1" t="s">
        <v>5764</v>
      </c>
      <c r="E2882" s="4" t="str">
        <f ca="1">IFERROR(__xludf.DUMMYFUNCTION("GOOGLETRANSLATE(A2882 , ""tr"" , ""en"")"),"Our mask and social distance warnings are the practical intelligence of our people and the legislation is spreading with ready-time speech. Let's be careful on the market place. One can extend some coronavirus together with money. https://t.co/krmnyembyb")</f>
        <v>Our mask and social distance warnings are the practical intelligence of our people and the legislation is spreading with ready-time speech. Let's be careful on the market place. One can extend some coronavirus together with money. https://t.co/krmnyembyb</v>
      </c>
    </row>
    <row r="2883" spans="1:5" ht="15.75" customHeight="1" x14ac:dyDescent="0.25">
      <c r="A2883" s="1" t="s">
        <v>5765</v>
      </c>
      <c r="B2883" s="1">
        <v>43638</v>
      </c>
      <c r="C2883" s="3">
        <v>43959.70752314815</v>
      </c>
      <c r="D2883" s="1" t="s">
        <v>5766</v>
      </c>
      <c r="E2883" s="4" t="str">
        <f ca="1">IFERROR(__xludf.DUMMYFUNCTION("GOOGLETRANSLATE(A2883 , ""tr"" , ""en"")"),"The way to keep an anti-virus is the mask and social distance. In addition to home, insert the mask and maintain the social distance. You don't know who carries a virus. Do not leave the measure in hand. # Risk is https://t.co/8c0hehfaay")</f>
        <v>The way to keep an anti-virus is the mask and social distance. In addition to home, insert the mask and maintain the social distance. You don't know who carries a virus. Do not leave the measure in hand. # Risk is https://t.co/8c0hehfaay</v>
      </c>
    </row>
    <row r="2884" spans="1:5" ht="15.75" customHeight="1" x14ac:dyDescent="0.25">
      <c r="A2884" s="1" t="s">
        <v>5767</v>
      </c>
      <c r="B2884" s="1">
        <v>99377</v>
      </c>
      <c r="C2884" s="3">
        <v>43959.691168981481</v>
      </c>
      <c r="D2884" s="1" t="s">
        <v>5768</v>
      </c>
      <c r="E2884" s="4" t="str">
        <f ca="1">IFERROR(__xludf.DUMMYFUNCTION("GOOGLETRANSLATE(A2884 , ""tr"" , ""en"")"),"The total number of recent patients exceeded 85 thousand. The last 24 hours of case, passage, deactivation, intensive care, intubate the number of patients. The table reveals the data in our favor in our struggle with the virus. But these are not the exac"&amp;"t results, a serious opportunity. Let's use the opportunity. https://t.co/rvlhe7786o https://t.co/6Iky8joebm")</f>
        <v>The total number of recent patients exceeded 85 thousand. The last 24 hours of case, passage, deactivation, intensive care, intubate the number of patients. The table reveals the data in our favor in our struggle with the virus. But these are not the exact results, a serious opportunity. Let's use the opportunity. https://t.co/rvlhe7786o https://t.co/6Iky8joebm</v>
      </c>
    </row>
    <row r="2885" spans="1:5" ht="15.75" customHeight="1" x14ac:dyDescent="0.25">
      <c r="A2885" s="1" t="s">
        <v>5769</v>
      </c>
      <c r="B2885" s="1">
        <v>40747</v>
      </c>
      <c r="C2885" s="3">
        <v>43959.630601851852</v>
      </c>
      <c r="D2885" s="1" t="s">
        <v>5770</v>
      </c>
      <c r="E2885" s="4" t="str">
        <f ca="1">IFERROR(__xludf.DUMMYFUNCTION("GOOGLETRANSLATE(A2885 , ""tr"" , ""en"")"),"A new one from the songs we have previously shared the samples were made more. The ""Hero Health is in the form of your ordum"", the song that starts with proud dedication, ""Allah to Allah before, and then escrow to you,"" he says. May the labor be right"&amp;". https://t.co/cucos9dg9o")</f>
        <v>A new one from the songs we have previously shared the samples were made more. The "Hero Health is in the form of your ordum", the song that starts with proud dedication, "Allah to Allah before, and then escrow to you," he says. May the labor be right. https://t.co/cucos9dg9o</v>
      </c>
    </row>
    <row r="2886" spans="1:5" ht="15.75" customHeight="1" x14ac:dyDescent="0.25">
      <c r="A2886" s="1" t="s">
        <v>5771</v>
      </c>
      <c r="B2886" s="1">
        <v>82028</v>
      </c>
      <c r="C2886" s="3">
        <v>43959.015173611115</v>
      </c>
      <c r="D2886" s="1" t="s">
        <v>5772</v>
      </c>
      <c r="E2886" s="4" t="str">
        <f ca="1">IFERROR(__xludf.DUMMYFUNCTION("GOOGLETRANSLATE(A2886 , ""tr"" , ""en"")"),"Eminönü gave the image to the mobility of days before the epidemic. Up to traffic jams! Everything in the fight against the output, let's not be a hurry. Automobile can be safe. But until you open the door and go out. https://t.co/bpd93q0o84")</f>
        <v>Eminönü gave the image to the mobility of days before the epidemic. Up to traffic jams! Everything in the fight against the output, let's not be a hurry. Automobile can be safe. But until you open the door and go out. https://t.co/bpd93q0o84</v>
      </c>
    </row>
    <row r="2887" spans="1:5" ht="15.75" customHeight="1" x14ac:dyDescent="0.25">
      <c r="A2887" s="1" t="s">
        <v>5773</v>
      </c>
      <c r="B2887" s="1">
        <v>77101</v>
      </c>
      <c r="C2887" s="3">
        <v>43958.921331018515</v>
      </c>
      <c r="D2887" s="1" t="s">
        <v>5774</v>
      </c>
      <c r="E2887" s="4" t="str">
        <f ca="1">IFERROR(__xludf.DUMMYFUNCTION("GOOGLETRANSLATE(A2887 , ""tr"" , ""en"")"),"""Our Ministry of Health is not saying night, says daytime. Our health workers endeavor to be an obstacle to the sacrifice, dedicated and monimbly. "" SN. Garden, today was found in a series of stimulants against the epidemic. I thank him on behalf of our"&amp;" health workers.")</f>
        <v>"Our Ministry of Health is not saying night, says daytime. Our health workers endeavor to be an obstacle to the sacrifice, dedicated and monimbly. " SN. Garden, today was found in a series of stimulants against the epidemic. I thank him on behalf of our health workers.</v>
      </c>
    </row>
    <row r="2888" spans="1:5" ht="15.75" customHeight="1" x14ac:dyDescent="0.25">
      <c r="A2888" s="1" t="s">
        <v>5775</v>
      </c>
      <c r="B2888" s="1">
        <v>35988</v>
      </c>
      <c r="C2888" s="3">
        <v>43958.880983796298</v>
      </c>
      <c r="D2888" s="1" t="s">
        <v>5776</v>
      </c>
      <c r="E2888" s="4" t="str">
        <f ca="1">IFERROR(__xludf.DUMMYFUNCTION("GOOGLETRANSLATE(A2888 , ""tr"" , ""en"")"),"The way to keep an anti-virus is the mask and social distance. In addition to home, insert the mask and maintain the social distance. You don't know who carries a virus. Do not leave the measure in hand. # risk is https://t.co/8zgelfwhyo")</f>
        <v>The way to keep an anti-virus is the mask and social distance. In addition to home, insert the mask and maintain the social distance. You don't know who carries a virus. Do not leave the measure in hand. # risk is https://t.co/8zgelfwhyo</v>
      </c>
    </row>
    <row r="2889" spans="1:5" ht="15.75" customHeight="1" x14ac:dyDescent="0.25">
      <c r="A2889" s="1" t="s">
        <v>5777</v>
      </c>
      <c r="B2889" s="1">
        <v>31087</v>
      </c>
      <c r="C2889" s="3">
        <v>43958.872766203705</v>
      </c>
      <c r="D2889" s="1" t="s">
        <v>5778</v>
      </c>
      <c r="E2889" s="4" t="str">
        <f ca="1">IFERROR(__xludf.DUMMYFUNCTION("GOOGLETRANSLATE(A2889 , ""tr"" , ""en"")"),"The way to keep an anti-virus is the mask and social distance. In addition to home, insert the mask and maintain the social distance. You don't know who carries a virus. Do not leave the measure in hand. # Risk is https://t.co/6ypzqzykok")</f>
        <v>The way to keep an anti-virus is the mask and social distance. In addition to home, insert the mask and maintain the social distance. You don't know who carries a virus. Do not leave the measure in hand. # Risk is https://t.co/6ypzqzykok</v>
      </c>
    </row>
    <row r="2890" spans="1:5" ht="15.75" customHeight="1" x14ac:dyDescent="0.25">
      <c r="A2890" s="1" t="s">
        <v>5779</v>
      </c>
      <c r="B2890" s="1">
        <v>46275</v>
      </c>
      <c r="C2890" s="3">
        <v>43958.847303240742</v>
      </c>
      <c r="D2890" s="1" t="s">
        <v>5780</v>
      </c>
      <c r="E2890" s="4" t="str">
        <f ca="1">IFERROR(__xludf.DUMMYFUNCTION("GOOGLETRANSLATE(A2890 , ""tr"" , ""en"")"),"The way to keep an anti-virus is the mask and social distance. In addition to home, insert the mask and maintain the social distance. You don't know who carries a virus. Do not leave the measure in hand. # risk is https://t.co/j1j7uygbxf")</f>
        <v>The way to keep an anti-virus is the mask and social distance. In addition to home, insert the mask and maintain the social distance. You don't know who carries a virus. Do not leave the measure in hand. # risk is https://t.co/j1j7uygbxf</v>
      </c>
    </row>
    <row r="2891" spans="1:5" ht="15.75" customHeight="1" x14ac:dyDescent="0.25">
      <c r="A2891" s="1" t="s">
        <v>5781</v>
      </c>
      <c r="B2891" s="1">
        <v>92284</v>
      </c>
      <c r="C2891" s="3">
        <v>43958.682476851849</v>
      </c>
      <c r="D2891" s="1" t="s">
        <v>5782</v>
      </c>
      <c r="E2891" s="4" t="str">
        <f ca="1">IFERROR(__xludf.DUMMYFUNCTION("GOOGLETRANSLATE(A2891 , ""tr"" , ""en"")"),"The number of tests will soon reach 1.5 million. In the number of cases, the significant partial increase in the number of times declined. In the passage of the passage, the number of intensive care is again in the decline. The virus should be decisively "&amp;"stretched, we should beat with measures. We've proven: it is not difficult to get results. https://t.co/rvlhe7786o https://t.co/1ybzcuk3ht")</f>
        <v>The number of tests will soon reach 1.5 million. In the number of cases, the significant partial increase in the number of times declined. In the passage of the passage, the number of intensive care is again in the decline. The virus should be decisively stretched, we should beat with measures. We've proven: it is not difficult to get results. https://t.co/rvlhe7786o https://t.co/1ybzcuk3ht</v>
      </c>
    </row>
    <row r="2892" spans="1:5" ht="15.75" customHeight="1" x14ac:dyDescent="0.25">
      <c r="A2892" s="1" t="s">
        <v>5783</v>
      </c>
      <c r="B2892" s="1">
        <v>30222</v>
      </c>
      <c r="C2892" s="3">
        <v>43957.835752314815</v>
      </c>
      <c r="D2892" s="1" t="s">
        <v>5784</v>
      </c>
      <c r="E2892" s="4" t="str">
        <f ca="1">IFERROR(__xludf.DUMMYFUNCTION("GOOGLETRANSLATE(A2892 , ""tr"" , ""en"")"),"It has never been a decision of the Science Board with the closure of our Ministry or Government of the AVMs. They had a break to their activities. Opened; Clothed, shop etc. Restaurants, cafes don't turn on. There is no such decision. https://t.co/bproti"&amp;"jnye")</f>
        <v>It has never been a decision of the Science Board with the closure of our Ministry or Government of the AVMs. They had a break to their activities. Opened; Clothed, shop etc. Restaurants, cafes don't turn on. There is no such decision. https://t.co/bprotijnye</v>
      </c>
    </row>
    <row r="2893" spans="1:5" ht="15.75" customHeight="1" x14ac:dyDescent="0.25">
      <c r="A2893" s="1" t="s">
        <v>5785</v>
      </c>
      <c r="B2893" s="1">
        <v>30736</v>
      </c>
      <c r="C2893" s="3">
        <v>43957.76152777778</v>
      </c>
      <c r="D2893" s="1" t="s">
        <v>5786</v>
      </c>
      <c r="E2893" s="4" t="str">
        <f ca="1">IFERROR(__xludf.DUMMYFUNCTION("GOOGLETRANSLATE(A2893 , ""tr"" , ""en"")"),"TFF decided to be the continuation of the matches. As the Ministry or Science Board, I expressed the president that we don't want to make suggestions. We also know that the Federation is working on how to manage the process of the health care board. The d"&amp;"ecision and responsibility is your federation. https://t.co.co2snpmdug")</f>
        <v>TFF decided to be the continuation of the matches. As the Ministry or Science Board, I expressed the president that we don't want to make suggestions. We also know that the Federation is working on how to manage the process of the health care board. The decision and responsibility is your federation. https://t.co.co2snpmdug</v>
      </c>
    </row>
    <row r="2894" spans="1:5" ht="15.75" customHeight="1" x14ac:dyDescent="0.25">
      <c r="A2894" s="1" t="s">
        <v>5787</v>
      </c>
      <c r="B2894" s="1">
        <v>18096</v>
      </c>
      <c r="C2894" s="3">
        <v>43957.703692129631</v>
      </c>
      <c r="D2894" s="1" t="s">
        <v>5788</v>
      </c>
      <c r="E2894" s="4" t="str">
        <f ca="1">IFERROR(__xludf.DUMMYFUNCTION("GOOGLETRANSLATE(A2894 , ""tr"" , ""en"")"),"Our Ministry has developed a mobile application. We consider the app as one of the important needs of the controlled social life period. The application is free. The purpose is to reduce the risks you can encounter in daily life. For example, you will be "&amp;"able to see the risk on your destination. https://t.co/qlzb615hn9")</f>
        <v>Our Ministry has developed a mobile application. We consider the app as one of the important needs of the controlled social life period. The application is free. The purpose is to reduce the risks you can encounter in daily life. For example, you will be able to see the risk on your destination. https://t.co/qlzb615hn9</v>
      </c>
    </row>
    <row r="2895" spans="1:5" ht="15.75" customHeight="1" x14ac:dyDescent="0.25">
      <c r="A2895" s="1" t="s">
        <v>5789</v>
      </c>
      <c r="B2895" s="1">
        <v>22413</v>
      </c>
      <c r="C2895" s="3">
        <v>43957.695532407408</v>
      </c>
      <c r="D2895" s="1" t="s">
        <v>5790</v>
      </c>
      <c r="E2895" s="4" t="str">
        <f ca="1">IFERROR(__xludf.DUMMYFUNCTION("GOOGLETRANSLATE(A2895 , ""tr"" , ""en"")"),"The new period is not a typical period of normalization. It is partly free to ensure our life to guarantee our health. The new period is the synthesis of aspirations with measures. The days beginning are the present reward of the effort we have shown sinc"&amp;"e March 11. But this reward is not a great reward. https://t.co/qap6mn2yz0")</f>
        <v>The new period is not a typical period of normalization. It is partly free to ensure our life to guarantee our health. The new period is the synthesis of aspirations with measures. The days beginning are the present reward of the effort we have shown since March 11. But this reward is not a great reward. https://t.co/qap6mn2yz0</v>
      </c>
    </row>
    <row r="2896" spans="1:5" ht="15.75" customHeight="1" x14ac:dyDescent="0.25">
      <c r="A2896" s="1" t="s">
        <v>5791</v>
      </c>
      <c r="B2896" s="1">
        <v>20480</v>
      </c>
      <c r="C2896" s="3">
        <v>43957.684745370374</v>
      </c>
      <c r="D2896" s="1" t="s">
        <v>5792</v>
      </c>
      <c r="E2896" s="4" t="str">
        <f ca="1">IFERROR(__xludf.DUMMYFUNCTION("GOOGLETRANSLATE(A2896 , ""tr"" , ""en"")"),"In the second period of our challenge of coronavirus, we are on the first days of the new period. In this period, success depends on some conditions. The guarantee of success is to comply with the measures. To pretend to be imprudent is to assume that the"&amp;" threat is eliminated. Measure is mandatory, because the threat is ongoing https://t.co/SJ7IN4JLBL")</f>
        <v>In the second period of our challenge of coronavirus, we are on the first days of the new period. In this period, success depends on some conditions. The guarantee of success is to comply with the measures. To pretend to be imprudent is to assume that the threat is eliminated. Measure is mandatory, because the threat is ongoing https://t.co/SJ7IN4JLBL</v>
      </c>
    </row>
    <row r="2897" spans="1:5" ht="15.75" customHeight="1" x14ac:dyDescent="0.25">
      <c r="A2897" s="1" t="s">
        <v>5793</v>
      </c>
      <c r="B2897" s="1">
        <v>81582</v>
      </c>
      <c r="C2897" s="3">
        <v>43957.666712962964</v>
      </c>
      <c r="D2897" s="1" t="s">
        <v>5794</v>
      </c>
      <c r="E2897" s="4" t="str">
        <f ca="1">IFERROR(__xludf.DUMMYFUNCTION("GOOGLETRANSLATE(A2897 , ""tr"" , ""en"")"),"The number of patients who need intensive care and respiratoryly decreased. In the new case number, there was an increase in the expected limits caused by the days of interruption restriction. It uses every opportunity to find a virus. We must obey the me"&amp;"asures. https://t.co/rvlhe7786o https://t.co/bn3wn0naub")</f>
        <v>The number of patients who need intensive care and respiratoryly decreased. In the new case number, there was an increase in the expected limits caused by the days of interruption restriction. It uses every opportunity to find a virus. We must obey the measures. https://t.co/rvlhe7786o https://t.co/bn3wn0naub</v>
      </c>
    </row>
    <row r="2898" spans="1:5" ht="15.75" customHeight="1" x14ac:dyDescent="0.25">
      <c r="A2898" s="1" t="s">
        <v>5795</v>
      </c>
      <c r="B2898" s="1">
        <v>34545</v>
      </c>
      <c r="C2898" s="3">
        <v>43957.65247685185</v>
      </c>
      <c r="D2898" s="1" t="s">
        <v>5796</v>
      </c>
      <c r="E2898" s="4" t="str">
        <f ca="1">IFERROR(__xludf.DUMMYFUNCTION("GOOGLETRANSLATE(A2898 , ""tr"" , ""en"")"),"In the process of epidemic, with the support of 83 million, I am proud to say that on behalf of our health Ordum in the support of 83 million: Turkey has completed the first period in the fight against coronavirue. https://t.co/l5rwhzo7p0")</f>
        <v>In the process of epidemic, with the support of 83 million, I am proud to say that on behalf of our health Ordum in the support of 83 million: Turkey has completed the first period in the fight against coronavirue. https://t.co/l5rwhzo7p0</v>
      </c>
    </row>
    <row r="2899" spans="1:5" ht="15.75" customHeight="1" x14ac:dyDescent="0.25">
      <c r="A2899" s="1" t="s">
        <v>5797</v>
      </c>
      <c r="B2899" s="1">
        <v>15004</v>
      </c>
      <c r="C2899" s="3">
        <v>43957.613113425927</v>
      </c>
      <c r="D2899" s="1" t="s">
        <v>5798</v>
      </c>
      <c r="E2899" s="4" t="str">
        <f ca="1">IFERROR(__xludf.DUMMYFUNCTION("GOOGLETRANSLATE(A2899 , ""tr"" , ""en"")"),"After our Science Board meeting, the latest developments on the coronavirus and the new measures we receive.
📍Public Ministry Bilkent Campus / Ankara
https://t.co/9bc0wbp8fk")</f>
        <v>After our Science Board meeting, the latest developments on the coronavirus and the new measures we receive.
📍Public Ministry Bilkent Campus / Ankara
https://t.co/9bc0wbp8fk</v>
      </c>
    </row>
    <row r="2900" spans="1:5" ht="15.75" customHeight="1" x14ac:dyDescent="0.25">
      <c r="A2900" s="1" t="s">
        <v>5799</v>
      </c>
      <c r="B2900" s="1">
        <v>51572</v>
      </c>
      <c r="C2900" s="3">
        <v>43957.334108796298</v>
      </c>
      <c r="D2900" s="1" t="s">
        <v>5800</v>
      </c>
      <c r="E2900" s="4" t="str">
        <f ca="1">IFERROR(__xludf.DUMMYFUNCTION("GOOGLETRANSLATE(A2900 , ""tr"" , ""en"")"),"Sudan's capital in Hartum, the diagnosis of coronavirus is not treated in the hospital despite the respiratory difficulty, and our 55-year-old citizen of Mehmet Hanefi was sent to Turkey. Currently in intensive care. We are on the side of our citizens all"&amp;" over the world. https://t.co/rbgbuvxvbh")</f>
        <v>Sudan's capital in Hartum, the diagnosis of coronavirus is not treated in the hospital despite the respiratory difficulty, and our 55-year-old citizen of Mehmet Hanefi was sent to Turkey. Currently in intensive care. We are on the side of our citizens all over the world. https://t.co/rbgbuvxvbh</v>
      </c>
    </row>
    <row r="2901" spans="1:5" ht="15.75" customHeight="1" x14ac:dyDescent="0.25">
      <c r="A2901" s="1" t="s">
        <v>5801</v>
      </c>
      <c r="B2901" s="1">
        <v>111720</v>
      </c>
      <c r="C2901" s="3">
        <v>43956.965925925928</v>
      </c>
      <c r="D2901" s="1" t="s">
        <v>5802</v>
      </c>
      <c r="E2901" s="4" t="str">
        <f ca="1">IFERROR(__xludf.DUMMYFUNCTION("GOOGLETRANSLATE(A2901 , ""tr"" , ""en"")"),"Istiklal Street didn't give a good picture today. Too early to enter a square so many people. Every photo of everyday life, Turkey should support the daily coronavirus table. Let's try to stay at home. Let's use the mask, let's fit the social distance rul"&amp;"e. https://t.co/japwgt5pk5")</f>
        <v>Istiklal Street didn't give a good picture today. Too early to enter a square so many people. Every photo of everyday life, Turkey should support the daily coronavirus table. Let's try to stay at home. Let's use the mask, let's fit the social distance rule. https://t.co/japwgt5pk5</v>
      </c>
    </row>
    <row r="2902" spans="1:5" ht="15.75" customHeight="1" x14ac:dyDescent="0.25">
      <c r="A2902" s="1" t="s">
        <v>5803</v>
      </c>
      <c r="B2902" s="1">
        <v>50759</v>
      </c>
      <c r="C2902" s="3">
        <v>43956.919710648152</v>
      </c>
      <c r="D2902" s="1" t="s">
        <v>5804</v>
      </c>
      <c r="E2902" s="4" t="str">
        <f ca="1">IFERROR(__xludf.DUMMYFUNCTION("GOOGLETRANSLATE(A2902 , ""tr"" , ""en"")"),"CNN International Television told the success in our fight against Covid-19, with the publication on 3 May. In the publication prepared by the step-by-step monitoring of the study in Istanbul, this method was under the basis of our success. https://t.co/I"&amp;"xfjpx68m5")</f>
        <v>CNN International Television told the success in our fight against Covid-19, with the publication on 3 May. In the publication prepared by the step-by-step monitoring of the study in Istanbul, this method was under the basis of our success. https://t.co/Ixfjpx68m5</v>
      </c>
    </row>
    <row r="2903" spans="1:5" ht="15.75" customHeight="1" x14ac:dyDescent="0.25">
      <c r="A2903" s="1" t="s">
        <v>5805</v>
      </c>
      <c r="B2903" s="1">
        <v>54094</v>
      </c>
      <c r="C2903" s="3">
        <v>43956.904942129629</v>
      </c>
      <c r="D2903" s="1" t="s">
        <v>5806</v>
      </c>
      <c r="E2903" s="4" t="str">
        <f ca="1">IFERROR(__xludf.DUMMYFUNCTION("GOOGLETRANSLATE(A2903 , ""tr"" , ""en"")"),"Let's be meticulous in the social distance application. https://t.co/bnao1jqte2")</f>
        <v>Let's be meticulous in the social distance application. https://t.co/bnao1jqte2</v>
      </c>
    </row>
    <row r="2904" spans="1:5" ht="15.75" customHeight="1" x14ac:dyDescent="0.25">
      <c r="A2904" s="1" t="s">
        <v>5807</v>
      </c>
      <c r="B2904" s="1">
        <v>36993</v>
      </c>
      <c r="C2904" s="3">
        <v>43956.688078703701</v>
      </c>
      <c r="D2904" s="1" t="s">
        <v>5808</v>
      </c>
      <c r="E2904" s="4" t="str">
        <f ca="1">IFERROR(__xludf.DUMMYFUNCTION("GOOGLETRANSLATE(A2904 , ""tr"" , ""en"")"),"TFF President SN. With Nihat Özdemir, we had an interview today. We stated that the continuation of the leagues is a decision that the federation will receive with its own will. I deliver my love of the football, who postpone football enthusiasm and see s"&amp;"ome rules of the game in life. https://t.co/Iujzibaney")</f>
        <v>TFF President SN. With Nihat Özdemir, we had an interview today. We stated that the continuation of the leagues is a decision that the federation will receive with its own will. I deliver my love of the football, who postpone football enthusiasm and see some rules of the game in life. https://t.co/Iujzibaney</v>
      </c>
    </row>
    <row r="2905" spans="1:5" ht="15.75" customHeight="1" x14ac:dyDescent="0.25">
      <c r="A2905" s="1" t="s">
        <v>5809</v>
      </c>
      <c r="B2905" s="1">
        <v>101286</v>
      </c>
      <c r="C2905" s="3">
        <v>43956.668981481482</v>
      </c>
      <c r="D2905" s="1" t="s">
        <v>5810</v>
      </c>
      <c r="E2905" s="4" t="str">
        <f ca="1">IFERROR(__xludf.DUMMYFUNCTION("GOOGLETRANSLATE(A2905 , ""tr"" , ""en"")"),"Intensive care Number of patients continues to decline in the number of intubated patients and the number of passes. Number of new recovery patients, other indicator of success. In the case number, there is a partial increase in the cruise. We are at a ne"&amp;"w period. We should not recognize an opportunity to the epidemic. https://t.co/rvlhe7786o https://t.co/0mmkkuoncl")</f>
        <v>Intensive care Number of patients continues to decline in the number of intubated patients and the number of passes. Number of new recovery patients, other indicator of success. In the case number, there is a partial increase in the cruise. We are at a new period. We should not recognize an opportunity to the epidemic. https://t.co/rvlhe7786o https://t.co/0mmkkuoncl</v>
      </c>
    </row>
    <row r="2906" spans="1:5" ht="15.75" customHeight="1" x14ac:dyDescent="0.25">
      <c r="A2906" s="1" t="s">
        <v>5811</v>
      </c>
      <c r="B2906" s="1">
        <v>67752</v>
      </c>
      <c r="C2906" s="3">
        <v>43955.898182870369</v>
      </c>
      <c r="D2906" s="1" t="s">
        <v>5812</v>
      </c>
      <c r="E2906" s="4" t="str">
        <f ca="1">IFERROR(__xludf.DUMMYFUNCTION("GOOGLETRANSLATE(A2906 , ""tr"" , ""en"")"),"The next Sunday is 11:00 to 15:00 PARTS, the streets are 65 years of age and older. The crowded groups of friends are still obvious, even in the park. Thank you for your patience. https://t.co/uo7knkisws")</f>
        <v>The next Sunday is 11:00 to 15:00 PARTS, the streets are 65 years of age and older. The crowded groups of friends are still obvious, even in the park. Thank you for your patience. https://t.co/uo7knkisws</v>
      </c>
    </row>
    <row r="2907" spans="1:5" ht="15.75" customHeight="1" x14ac:dyDescent="0.25">
      <c r="A2907" s="1" t="s">
        <v>5813</v>
      </c>
      <c r="B2907" s="1">
        <v>113844</v>
      </c>
      <c r="C2907" s="3">
        <v>43955.722256944442</v>
      </c>
      <c r="D2907" s="1" t="s">
        <v>5814</v>
      </c>
      <c r="E2907" s="4" t="str">
        <f ca="1">IFERROR(__xludf.DUMMYFUNCTION("GOOGLETRANSLATE(A2907 , ""tr"" , ""en"")"),"With the number of patients recovering in the last 24 hours, the difference between the number of new cases continued to increase. In the test number, the number of new diagnoses decreased, despite the increase in about 11,000 compared to yesterday. If we"&amp;" do not recognize a new opportunity to the disease is our hand. https://t.co/rvlhe7786o https://t.co/zm4gknpcep")</f>
        <v>With the number of patients recovering in the last 24 hours, the difference between the number of new cases continued to increase. In the test number, the number of new diagnoses decreased, despite the increase in about 11,000 compared to yesterday. If we do not recognize a new opportunity to the disease is our hand. https://t.co/rvlhe7786o https://t.co/zm4gknpcep</v>
      </c>
    </row>
    <row r="2908" spans="1:5" ht="15.75" customHeight="1" x14ac:dyDescent="0.25">
      <c r="A2908" s="1" t="s">
        <v>5815</v>
      </c>
      <c r="B2908" s="1">
        <v>69428</v>
      </c>
      <c r="C2908" s="3">
        <v>43955.291168981479</v>
      </c>
      <c r="D2908" s="1" t="s">
        <v>5816</v>
      </c>
      <c r="E2908" s="4" t="str">
        <f ca="1">IFERROR(__xludf.DUMMYFUNCTION("GOOGLETRANSLATE(A2908 , ""tr"" , ""en"")"),"We cannot be as close as the old one. Let's try to stay at home. https://t.co/3UNWIG8DUY")</f>
        <v>We cannot be as close as the old one. Let's try to stay at home. https://t.co/3UNWIG8DUY</v>
      </c>
    </row>
    <row r="2909" spans="1:5" ht="15.75" customHeight="1" x14ac:dyDescent="0.25">
      <c r="A2909" s="1" t="s">
        <v>5817</v>
      </c>
      <c r="B2909" s="1">
        <v>110816</v>
      </c>
      <c r="C2909" s="3">
        <v>43954.93105324074</v>
      </c>
      <c r="D2909" s="1" t="s">
        <v>5818</v>
      </c>
      <c r="E2909" s="4" t="str">
        <f ca="1">IFERROR(__xludf.DUMMYFUNCTION("GOOGLETRANSLATE(A2909 , ""tr"" , ""en"")"),"We cannot be as close as the old one. We must put a distance. https://t.co/modpvbnnoi")</f>
        <v>We cannot be as close as the old one. We must put a distance. https://t.co/modpvbnnoi</v>
      </c>
    </row>
    <row r="2910" spans="1:5" ht="15.75" customHeight="1" x14ac:dyDescent="0.25">
      <c r="A2910" s="1" t="s">
        <v>5819</v>
      </c>
      <c r="B2910" s="1">
        <v>0</v>
      </c>
      <c r="C2910" s="3">
        <v>43954.836273148147</v>
      </c>
      <c r="D2910" s="1" t="s">
        <v>5820</v>
      </c>
      <c r="E2910" s="4" t="str">
        <f ca="1">IFERROR(__xludf.DUMMYFUNCTION("GOOGLETRANSLATE(A2910 , ""tr"" , ""en"")"),"RT @rterdogan: The construction of our two hospitals with a total capacity of 2 thousand beds in Yeşilköy and Sancaktepe continues quickly.
Hope the projects is the most k ...")</f>
        <v>RT @rterdogan: The construction of our two hospitals with a total capacity of 2 thousand beds in Yeşilköy and Sancaktepe continues quickly.
Hope the projects is the most k ...</v>
      </c>
    </row>
    <row r="2911" spans="1:5" ht="15.75" customHeight="1" x14ac:dyDescent="0.25">
      <c r="A2911" s="1" t="s">
        <v>5821</v>
      </c>
      <c r="B2911" s="1">
        <v>39606</v>
      </c>
      <c r="C2911" s="3">
        <v>43954.785810185182</v>
      </c>
      <c r="D2911" s="1" t="s">
        <v>5822</v>
      </c>
      <c r="E2911" s="4" t="str">
        <f ca="1">IFERROR(__xludf.DUMMYFUNCTION("GOOGLETRANSLATE(A2911 , ""tr"" , ""en"")"),"Minister of Agriculture and Forest, my friend Dr. I thank Bekir Pakdemirli for the meaningful campaign started. 1.061.635 Let's join the sapling sewing campaign for our health worker. I'm donating my Donation, Today, Hocam Prof. Dr. I did for Murat Dilmen"&amp;"er. https://t.co/nsrhujspvo")</f>
        <v>Minister of Agriculture and Forest, my friend Dr. I thank Bekir Pakdemirli for the meaningful campaign started. 1.061.635 Let's join the sapling sewing campaign for our health worker. I'm donating my Donation, Today, Hocam Prof. Dr. I did for Murat Dilmener. https://t.co/nsrhujspvo</v>
      </c>
    </row>
    <row r="2912" spans="1:5" ht="15.75" customHeight="1" x14ac:dyDescent="0.25">
      <c r="A2912" s="1" t="s">
        <v>5823</v>
      </c>
      <c r="B2912" s="1">
        <v>176155</v>
      </c>
      <c r="C2912" s="3">
        <v>43954.670219907406</v>
      </c>
      <c r="D2912" s="1" t="s">
        <v>5824</v>
      </c>
      <c r="E2912" s="4" t="str">
        <f ca="1">IFERROR(__xludf.DUMMYFUNCTION("GOOGLETRANSLATE(A2912 , ""tr"" , ""en"")"),"Since March 11, the first time today, our number of patients recovering, the current coronavirus patients passed. As the measures are observed, the result will be much better.
https://t.co/rvlhe7786o https://t.co/vrwmnqiguo")</f>
        <v>Since March 11, the first time today, our number of patients recovering, the current coronavirus patients passed. As the measures are observed, the result will be much better.
https://t.co/rvlhe7786o https://t.co/vrwmnqiguo</v>
      </c>
    </row>
    <row r="2913" spans="1:5" ht="15.75" customHeight="1" x14ac:dyDescent="0.25">
      <c r="A2913" s="1" t="s">
        <v>5825</v>
      </c>
      <c r="B2913" s="1">
        <v>70514</v>
      </c>
      <c r="C2913" s="3">
        <v>43954.617858796293</v>
      </c>
      <c r="D2913" s="1" t="s">
        <v>5826</v>
      </c>
      <c r="E2913" s="4" t="str">
        <f ca="1">IFERROR(__xludf.DUMMYFUNCTION("GOOGLETRANSLATE(A2913 , ""tr"" , ""en"")"),"Professor Dr. Murat Dilmener, the teacher of many generations of physicians and scientists were teachers in the field of infection for our young people. We lost our famous instructor to the coronavirus with their approach to the courses and patients. I wi"&amp;"sh his condolences to the mercy, lovers from Allah.")</f>
        <v>Professor Dr. Murat Dilmener, the teacher of many generations of physicians and scientists were teachers in the field of infection for our young people. We lost our famous instructor to the coronavirus with their approach to the courses and patients. I wish his condolences to the mercy, lovers from Allah.</v>
      </c>
    </row>
    <row r="2914" spans="1:5" ht="15.75" customHeight="1" x14ac:dyDescent="0.25">
      <c r="A2914" s="1" t="s">
        <v>5827</v>
      </c>
      <c r="B2914" s="1">
        <v>115940</v>
      </c>
      <c r="C2914" s="3">
        <v>43954.592453703706</v>
      </c>
      <c r="D2914" s="1" t="s">
        <v>5828</v>
      </c>
      <c r="E2914" s="4" t="str">
        <f ca="1">IFERROR(__xludf.DUMMYFUNCTION("GOOGLETRANSLATE(A2914 , ""tr"" , ""en"")"),"We have lost our people by coronavirus due to the coronavirus, which is treated with the display, valuable divine and writer Ömer Cigargeloğlu Geyefendi. I wish himself from Allah to the mercy, his family and lovers. Rest in peace.")</f>
        <v>We have lost our people by coronavirus due to the coronavirus, which is treated with the display, valuable divine and writer Ömer Cigargeloğlu Geyefendi. I wish himself from Allah to the mercy, his family and lovers. Rest in peace.</v>
      </c>
    </row>
    <row r="2915" spans="1:5" ht="15.75" customHeight="1" x14ac:dyDescent="0.25">
      <c r="A2915" s="1" t="s">
        <v>5829</v>
      </c>
      <c r="B2915" s="1">
        <v>68544</v>
      </c>
      <c r="C2915" s="3">
        <v>43953.915266203701</v>
      </c>
      <c r="D2915" s="1" t="s">
        <v>5830</v>
      </c>
      <c r="E2915" s="4" t="str">
        <f ca="1">IFERROR(__xludf.DUMMYFUNCTION("GOOGLETRANSLATE(A2915 , ""tr"" , ""en"")"),"Our nation gave two martyrs in the fight against the PKK terrorist organization. In the conflict of Bitlis's Sehi area, I wish the two gendarmerical sectors of the Gendarmeri expert sergeant. We are at the service of our slightly injured soldiers. https:/"&amp;"/t.co/p7tjpu9qtt")</f>
        <v>Our nation gave two martyrs in the fight against the PKK terrorist organization. In the conflict of Bitlis's Sehi area, I wish the two gendarmerical sectors of the Gendarmeri expert sergeant. We are at the service of our slightly injured soldiers. https://t.co/p7tjpu9qtt</v>
      </c>
    </row>
    <row r="2916" spans="1:5" ht="15.75" customHeight="1" x14ac:dyDescent="0.25">
      <c r="A2916" s="1" t="s">
        <v>5831</v>
      </c>
      <c r="B2916" s="1">
        <v>57559</v>
      </c>
      <c r="C2916" s="3">
        <v>43953.828599537039</v>
      </c>
      <c r="D2916" s="1" t="s">
        <v>5832</v>
      </c>
      <c r="E2916" s="4" t="str">
        <f ca="1">IFERROR(__xludf.DUMMYFUNCTION("GOOGLETRANSLATE(A2916 , ""tr"" , ""en"")"),"""As for the time we rewarm
The Heating Location When the sky see us ""
Before this song, this sound, hospital corridors, it was like we heard in services. Will now hear 83 million. Thank Murat Barrak, expressing the longing of our health workers and so"&amp;"ciety. https://t.co/njnbIGHXIS")</f>
        <v>"As for the time we rewarm
The Heating Location When the sky see us "
Before this song, this sound, hospital corridors, it was like we heard in services. Will now hear 83 million. Thank Murat Barrak, expressing the longing of our health workers and society. https://t.co/njnbIGHXIS</v>
      </c>
    </row>
    <row r="2917" spans="1:5" ht="15.75" customHeight="1" x14ac:dyDescent="0.25">
      <c r="A2917" s="1" t="s">
        <v>5833</v>
      </c>
      <c r="B2917" s="1">
        <v>45759</v>
      </c>
      <c r="C2917" s="3">
        <v>43953.803078703706</v>
      </c>
      <c r="D2917" s="1" t="s">
        <v>5834</v>
      </c>
      <c r="E2917" s="4" t="str">
        <f ca="1">IFERROR(__xludf.DUMMYFUNCTION("GOOGLETRANSLATE(A2917 , ""tr"" , ""en"")"),"In the normalization process, industrial production has started our work for the continuation of the COVID-19 measures. Our Ministry of Industry and Technology and the Organization Support of the Kocaeli Chamber of Industry have established a laboratory w"&amp;"ith a capacity of 5,000 tests in Gebze. The continuation will come. https://t.co/jikb5xqaiw")</f>
        <v>In the normalization process, industrial production has started our work for the continuation of the COVID-19 measures. Our Ministry of Industry and Technology and the Organization Support of the Kocaeli Chamber of Industry have established a laboratory with a capacity of 5,000 tests in Gebze. The continuation will come. https://t.co/jikb5xqaiw</v>
      </c>
    </row>
    <row r="2918" spans="1:5" ht="15.75" customHeight="1" x14ac:dyDescent="0.25">
      <c r="A2918" s="1" t="s">
        <v>5835</v>
      </c>
      <c r="B2918" s="1">
        <v>172318</v>
      </c>
      <c r="C2918" s="3">
        <v>43953.684120370373</v>
      </c>
      <c r="D2918" s="1" t="s">
        <v>5836</v>
      </c>
      <c r="E2918" s="4" t="str">
        <f ca="1">IFERROR(__xludf.DUMMYFUNCTION("GOOGLETRANSLATE(A2918 , ""tr"" , ""en"")"),"For the first time since March 30, the number of daily cases has fallen below 2,000. Our new recovery patient count is close to two and a half times of this.
https://t.co/rvlhe7786o https://t.co/mifkojanto")</f>
        <v>For the first time since March 30, the number of daily cases has fallen below 2,000. Our new recovery patient count is close to two and a half times of this.
https://t.co/rvlhe7786o https://t.co/mifkojanto</v>
      </c>
    </row>
    <row r="2919" spans="1:5" ht="15.75" customHeight="1" x14ac:dyDescent="0.25">
      <c r="A2919" s="1" t="s">
        <v>5837</v>
      </c>
      <c r="B2919" s="1">
        <v>120741</v>
      </c>
      <c r="C2919" s="3">
        <v>43952.677129629628</v>
      </c>
      <c r="D2919" s="1" t="s">
        <v>5838</v>
      </c>
      <c r="E2919" s="4" t="str">
        <f ca="1">IFERROR(__xludf.DUMMYFUNCTION("GOOGLETRANSLATE(A2919 , ""tr"" , ""en"")"),"Those recovered in the last 24 hours are 2,25 times the patients who are newly diagnosed with. The total number of recovery is 53 thousand. This number is close to 45% of the total number of cases ever. The number of intensive care is decreasing. Let's be"&amp;" careful in the measure. The weather outside can change the table.
https://t.co/rvlhe7786o https://t.co/ID5p85tjse")</f>
        <v>Those recovered in the last 24 hours are 2,25 times the patients who are newly diagnosed with. The total number of recovery is 53 thousand. This number is close to 45% of the total number of cases ever. The number of intensive care is decreasing. Let's be careful in the measure. The weather outside can change the table.
https://t.co/rvlhe7786o https://t.co/ID5p85tjse</v>
      </c>
    </row>
    <row r="2920" spans="1:5" ht="15.75" customHeight="1" x14ac:dyDescent="0.25">
      <c r="A2920" s="1" t="s">
        <v>5839</v>
      </c>
      <c r="B2920" s="1">
        <v>56759</v>
      </c>
      <c r="C2920" s="3">
        <v>43952.500115740739</v>
      </c>
      <c r="D2920" s="1" t="s">
        <v>5840</v>
      </c>
      <c r="E2920" s="4" t="str">
        <f ca="1">IFERROR(__xludf.DUMMYFUNCTION("GOOGLETRANSLATE(A2920 , ""tr"" , ""en"")"),"The Turkish-Business Union, this year, May 1 Labor and Solidarity Day has been dedicated to our health workers with the report published. I thank them on behalf of all my workmates. This very elegant, asset is that the fatigues will be slightly reduced to"&amp;"day. They become right.")</f>
        <v>The Turkish-Business Union, this year, May 1 Labor and Solidarity Day has been dedicated to our health workers with the report published. I thank them on behalf of all my workmates. This very elegant, asset is that the fatigues will be slightly reduced today. They become right.</v>
      </c>
    </row>
    <row r="2921" spans="1:5" ht="15.75" customHeight="1" x14ac:dyDescent="0.25">
      <c r="A2921" s="1" t="s">
        <v>5841</v>
      </c>
      <c r="B2921" s="1">
        <v>79379</v>
      </c>
      <c r="C2921" s="3">
        <v>43952.312488425923</v>
      </c>
      <c r="D2921" s="1" t="s">
        <v>5842</v>
      </c>
      <c r="E2921" s="4" t="str">
        <f ca="1">IFERROR(__xludf.DUMMYFUNCTION("GOOGLETRANSLATE(A2921 , ""tr"" , ""en"")"),"May 1 Happy Labor and Solidarity Day. https://t.co/vcj0moefp5")</f>
        <v>May 1 Happy Labor and Solidarity Day. https://t.co/vcj0moefp5</v>
      </c>
    </row>
    <row r="2922" spans="1:5" ht="15.75" customHeight="1" x14ac:dyDescent="0.25">
      <c r="A2922" s="1" t="s">
        <v>5843</v>
      </c>
      <c r="B2922" s="1">
        <v>55609</v>
      </c>
      <c r="C2922" s="3">
        <v>43951.995347222219</v>
      </c>
      <c r="D2922" s="1" t="s">
        <v>5844</v>
      </c>
      <c r="E2922" s="4" t="str">
        <f ca="1">IFERROR(__xludf.DUMMYFUNCTION("GOOGLETRANSLATE(A2922 , ""tr"" , ""en"")"),"Istanbul has many different features of the cities in the world. 20 million. Have an intense settlement structure. Several generations lives in the nest. Nevertheless, we control the Istanbul where 60% of cases were seen. This is great importance to 83 mi"&amp;"llion. https://t.co/9oj31dtldb")</f>
        <v>Istanbul has many different features of the cities in the world. 20 million. Have an intense settlement structure. Several generations lives in the nest. Nevertheless, we control the Istanbul where 60% of cases were seen. This is great importance to 83 million. https://t.co/9oj31dtldb</v>
      </c>
    </row>
    <row r="2923" spans="1:5" ht="15.75" customHeight="1" x14ac:dyDescent="0.25">
      <c r="A2923" s="1" t="s">
        <v>5845</v>
      </c>
      <c r="B2923" s="1">
        <v>31190</v>
      </c>
      <c r="C2923" s="3">
        <v>43951.945081018515</v>
      </c>
      <c r="D2923" s="1" t="s">
        <v>5846</v>
      </c>
      <c r="E2923" s="4" t="str">
        <f ca="1">IFERROR(__xludf.DUMMYFUNCTION("GOOGLETRANSLATE(A2923 , ""tr"" , ""en"")"),"Bed percentage in Turkey in 10 thousand of 28,000 in Adana on the 32nd average of Turkey. What is the rate in the dense care bed? While the number of intense care falling to 100 thousand people fall in Turkey is 49, 63. Adana in Adana, Adana, Advantage. T"&amp;"he subject is unfortunately neglected, as the subject is moved to the agenda. https://t.co/zgwot3fnwt")</f>
        <v>Bed percentage in Turkey in 10 thousand of 28,000 in Adana on the 32nd average of Turkey. What is the rate in the dense care bed? While the number of intense care falling to 100 thousand people fall in Turkey is 49, 63. Adana in Adana, Adana, Advantage. The subject is unfortunately neglected, as the subject is moved to the agenda. https://t.co/zgwot3fnwt</v>
      </c>
    </row>
    <row r="2924" spans="1:5" ht="15.75" customHeight="1" x14ac:dyDescent="0.25">
      <c r="A2924" s="1" t="s">
        <v>5847</v>
      </c>
      <c r="B2924" s="1">
        <v>22386</v>
      </c>
      <c r="C2924" s="3">
        <v>43951.885810185187</v>
      </c>
      <c r="D2924" s="1" t="s">
        <v>5848</v>
      </c>
      <c r="E2924" s="4" t="str">
        <f ca="1">IFERROR(__xludf.DUMMYFUNCTION("GOOGLETRANSLATE(A2924 , ""tr"" , ""en"")"),"What we experienced a deficiency in the air ambulance service, we have experienced a deficiency.")</f>
        <v>What we experienced a deficiency in the air ambulance service, we have experienced a deficiency.</v>
      </c>
    </row>
    <row r="2925" spans="1:5" ht="15.75" customHeight="1" x14ac:dyDescent="0.25">
      <c r="A2925" s="1" t="s">
        <v>5849</v>
      </c>
      <c r="B2925" s="1">
        <v>31276</v>
      </c>
      <c r="C2925" s="3">
        <v>43951.88554398148</v>
      </c>
      <c r="D2925" s="1" t="s">
        <v>5850</v>
      </c>
      <c r="E2925" s="4" t="str">
        <f ca="1">IFERROR(__xludf.DUMMYFUNCTION("GOOGLETRANSLATE(A2925 , ""tr"" , ""en"")"),"Living in Switzerland, COVID-19 diagnosed with COVID-19 on April 7, the status of our family was followed by our instruction and consulate. The Turkish physician, as in many examples of the disease, as in many examples, has identified medically, and at ho"&amp;"me treatment was appropriate. https://t.co/ucptjbaed4")</f>
        <v>Living in Switzerland, COVID-19 diagnosed with COVID-19 on April 7, the status of our family was followed by our instruction and consulate. The Turkish physician, as in many examples of the disease, as in many examples, has identified medically, and at home treatment was appropriate. https://t.co/ucptjbaed4</v>
      </c>
    </row>
    <row r="2926" spans="1:5" ht="15.75" customHeight="1" x14ac:dyDescent="0.25">
      <c r="A2926" s="1" t="s">
        <v>5851</v>
      </c>
      <c r="B2926" s="1">
        <v>29911</v>
      </c>
      <c r="C2926" s="3">
        <v>43951.832326388889</v>
      </c>
      <c r="D2926" s="1" t="s">
        <v>5852</v>
      </c>
      <c r="E2926" s="4" t="str">
        <f ca="1">IFERROR(__xludf.DUMMYFUNCTION("GOOGLETRANSLATE(A2926 , ""tr"" , ""en"")"),"Minister of Minister of US Health and Social Services. Alex has made a phone call today today. With the instruction of our President, he has passed their thanks for the aid of medical supplies to the United States. Turkey in detailed methods we have devel"&amp;"oped in treatment with measures received. https://t.co/d9fa0ypvts")</f>
        <v>Minister of Minister of US Health and Social Services. Alex has made a phone call today today. With the instruction of our President, he has passed their thanks for the aid of medical supplies to the United States. Turkey in detailed methods we have developed in treatment with measures received. https://t.co/d9fa0ypvts</v>
      </c>
    </row>
    <row r="2927" spans="1:5" ht="15.75" customHeight="1" x14ac:dyDescent="0.25">
      <c r="A2927" s="1" t="s">
        <v>5853</v>
      </c>
      <c r="B2927" s="1">
        <v>21292</v>
      </c>
      <c r="C2927" s="3">
        <v>43951.816365740742</v>
      </c>
      <c r="D2927" s="1" t="s">
        <v>5854</v>
      </c>
      <c r="E2927" s="4" t="str">
        <f ca="1">IFERROR(__xludf.DUMMYFUNCTION("GOOGLETRANSLATE(A2927 , ""tr"" , ""en"")"),"DSO General Director of Director. At the weekly informational meeting of @drtedros, we presented the results of our combat with COVID-19. We shared our strategy with the participating countries with our strategy and experiences. Turkey's presentation was "&amp;"interested. https://t.co/jpjmtznufz")</f>
        <v>DSO General Director of Director. At the weekly informational meeting of @drtedros, we presented the results of our combat with COVID-19. We shared our strategy with the participating countries with our strategy and experiences. Turkey's presentation was interested. https://t.co/jpjmtznufz</v>
      </c>
    </row>
    <row r="2928" spans="1:5" ht="15.75" customHeight="1" x14ac:dyDescent="0.25">
      <c r="A2928" s="1" t="s">
        <v>5855</v>
      </c>
      <c r="B2928" s="1">
        <v>61037</v>
      </c>
      <c r="C2928" s="3">
        <v>43951.757025462961</v>
      </c>
      <c r="D2928" s="1" t="s">
        <v>5856</v>
      </c>
      <c r="E2928" s="4" t="str">
        <f ca="1">IFERROR(__xludf.DUMMYFUNCTION("GOOGLETRANSLATE(A2928 , ""tr"" , ""en"")"),"We cannot be as close as the old one. We must put a distance. https://t.co/8abf6IPSNV")</f>
        <v>We cannot be as close as the old one. We must put a distance. https://t.co/8abf6IPSNV</v>
      </c>
    </row>
    <row r="2929" spans="1:5" ht="15.75" customHeight="1" x14ac:dyDescent="0.25">
      <c r="A2929" s="1" t="s">
        <v>5857</v>
      </c>
      <c r="B2929" s="1">
        <v>64111</v>
      </c>
      <c r="C2929" s="3">
        <v>43951.756354166668</v>
      </c>
      <c r="D2929" s="1" t="s">
        <v>5858</v>
      </c>
      <c r="E2929" s="4" t="str">
        <f ca="1">IFERROR(__xludf.DUMMYFUNCTION("GOOGLETRANSLATE(A2929 , ""tr"" , ""en"")"),"We cannot be as close as the old one. We must put a distance. https://t.co/y0hhdnbgcx")</f>
        <v>We cannot be as close as the old one. We must put a distance. https://t.co/y0hhdnbgcx</v>
      </c>
    </row>
    <row r="2930" spans="1:5" ht="15.75" customHeight="1" x14ac:dyDescent="0.25">
      <c r="A2930" s="1" t="s">
        <v>5859</v>
      </c>
      <c r="B2930" s="1">
        <v>92847</v>
      </c>
      <c r="C2930" s="3">
        <v>43951.666701388887</v>
      </c>
      <c r="D2930" s="1" t="s">
        <v>5860</v>
      </c>
      <c r="E2930" s="4" t="str">
        <f ca="1">IFERROR(__xludf.DUMMYFUNCTION("GOOGLETRANSLATE(A2930 , ""tr"" , ""en"")"),"We have passed 1 million in the test number. The increase in the number of cases is in predictable cruise. The decline in the number of patients who need respiratory support and intensive care is in the number of patients healing is continuing. It wasn't "&amp;"easy to come to this point. Let's be persistent in the measure.
https://t.co/rvlhe7786o https://t.co/rgs7dcwsf1")</f>
        <v>We have passed 1 million in the test number. The increase in the number of cases is in predictable cruise. The decline in the number of patients who need respiratory support and intensive care is in the number of patients healing is continuing. It wasn't easy to come to this point. Let's be persistent in the measure.
https://t.co/rvlhe7786o https://t.co/rgs7dcwsf1</v>
      </c>
    </row>
    <row r="2931" spans="1:5" ht="15.75" customHeight="1" x14ac:dyDescent="0.25">
      <c r="A2931" s="1" t="s">
        <v>5861</v>
      </c>
      <c r="B2931" s="1">
        <v>134749</v>
      </c>
      <c r="C2931" s="3">
        <v>43950.993657407409</v>
      </c>
      <c r="D2931" s="1" t="s">
        <v>5862</v>
      </c>
      <c r="E2931" s="4" t="str">
        <f ca="1">IFERROR(__xludf.DUMMYFUNCTION("GOOGLETRANSLATE(A2931 , ""tr"" , ""en"")"),"We are the only country to the patient citizen, wherever the world is greeted by the state. Point. https://t.co/ar8yeto78g")</f>
        <v>We are the only country to the patient citizen, wherever the world is greeted by the state. Point. https://t.co/ar8yeto78g</v>
      </c>
    </row>
    <row r="2932" spans="1:5" ht="15.75" customHeight="1" x14ac:dyDescent="0.25">
      <c r="A2932" s="1" t="s">
        <v>5863</v>
      </c>
      <c r="B2932" s="1">
        <v>41552</v>
      </c>
      <c r="C2932" s="3">
        <v>43950.944895833331</v>
      </c>
      <c r="D2932" s="1" t="s">
        <v>5864</v>
      </c>
      <c r="E2932" s="4" t="str">
        <f ca="1">IFERROR(__xludf.DUMMYFUNCTION("GOOGLETRANSLATE(A2932 , ""tr"" , ""en"")"),"The epidemic is the abomination of politics. Even a simple health problem does not allow separation. We have to take part on the same side of 83 million. No one has the right to remain outside the struggle. We must be in an effort to fulfill our responsib"&amp;"ility. If it is supplied to politics, health loses. https://t.co/rxlnfgmq3i")</f>
        <v>The epidemic is the abomination of politics. Even a simple health problem does not allow separation. We have to take part on the same side of 83 million. No one has the right to remain outside the struggle. We must be in an effort to fulfill our responsibility. If it is supplied to politics, health loses. https://t.co/rxlnfgmq3i</v>
      </c>
    </row>
    <row r="2933" spans="1:5" ht="15.75" customHeight="1" x14ac:dyDescent="0.25">
      <c r="A2933" s="1" t="s">
        <v>5865</v>
      </c>
      <c r="B2933" s="1">
        <v>47560</v>
      </c>
      <c r="C2933" s="3">
        <v>43950.91846064815</v>
      </c>
      <c r="D2933" s="1" t="s">
        <v>5866</v>
      </c>
      <c r="E2933" s="4" t="str">
        <f ca="1">IFERROR(__xludf.DUMMYFUNCTION("GOOGLETRANSLATE(A2933 , ""tr"" , ""en"")"),"Politics through death. Let's not forget that every figure corresponds to a friend. Information in this struggle cannot be hidden. You may not want to hide information and measure. Those who prepare death reports are our pride source physicians. Don't we "&amp;"trust our physicians? The passage numbers are transparent. https://t.co/omkjkkvr8l")</f>
        <v>Politics through death. Let's not forget that every figure corresponds to a friend. Information in this struggle cannot be hidden. You may not want to hide information and measure. Those who prepare death reports are our pride source physicians. Don't we trust our physicians? The passage numbers are transparent. https://t.co/omkjkkvr8l</v>
      </c>
    </row>
    <row r="2934" spans="1:5" ht="15.75" customHeight="1" x14ac:dyDescent="0.25">
      <c r="A2934" s="1" t="s">
        <v>5867</v>
      </c>
      <c r="B2934" s="1">
        <v>27542</v>
      </c>
      <c r="C2934" s="3">
        <v>43950.910821759258</v>
      </c>
      <c r="D2934" s="1" t="s">
        <v>5868</v>
      </c>
      <c r="E2934" s="4" t="str">
        <f ca="1">IFERROR(__xludf.DUMMYFUNCTION("GOOGLETRANSLATE(A2934 , ""tr"" , ""en"")"),"From March 11, the point we arrive is not the exact point of success. Success is a success that requires us to hug measures. There are currently carrying virus between us. The disease is not over. Then, this struggle should continue. We believe that every"&amp;" day will be good from the previous day. https://t.co/z2d0mRIVUX")</f>
        <v>From March 11, the point we arrive is not the exact point of success. Success is a success that requires us to hug measures. There are currently carrying virus between us. The disease is not over. Then, this struggle should continue. We believe that every day will be good from the previous day. https://t.co/z2d0mRIVUX</v>
      </c>
    </row>
    <row r="2935" spans="1:5" ht="15.75" customHeight="1" x14ac:dyDescent="0.25">
      <c r="A2935" s="1" t="s">
        <v>5869</v>
      </c>
      <c r="B2935" s="1">
        <v>23152</v>
      </c>
      <c r="C2935" s="3">
        <v>43950.905601851853</v>
      </c>
      <c r="D2935" s="1" t="s">
        <v>5870</v>
      </c>
      <c r="E2935" s="4" t="str">
        <f ca="1">IFERROR(__xludf.DUMMYFUNCTION("GOOGLETRANSLATE(A2935 , ""tr"" , ""en"")"),"We planned our hospital at the beginning of the process. In view of the possible bed, considering the need for intensive care, we appointed all our hospitals in the infrastructure as a pandemon hospital. This preparation in the health infrastructure gave "&amp;"us the power to keep the control on our hand. https://t.co/8bpfqqduzn")</f>
        <v>We planned our hospital at the beginning of the process. In view of the possible bed, considering the need for intensive care, we appointed all our hospitals in the infrastructure as a pandemon hospital. This preparation in the health infrastructure gave us the power to keep the control on our hand. https://t.co/8bpfqqduzn</v>
      </c>
    </row>
    <row r="2936" spans="1:5" ht="15.75" customHeight="1" x14ac:dyDescent="0.25">
      <c r="A2936" s="1" t="s">
        <v>5871</v>
      </c>
      <c r="B2936" s="1">
        <v>31346</v>
      </c>
      <c r="C2936" s="3">
        <v>43950.89439814815</v>
      </c>
      <c r="D2936" s="1" t="s">
        <v>5872</v>
      </c>
      <c r="E2936" s="4" t="str">
        <f ca="1">IFERROR(__xludf.DUMMYFUNCTION("GOOGLETRANSLATE(A2936 , ""tr"" , ""en"")"),"We live in a way that we are not used to Ramadan. Families, friends, as they used to be unable to get together. Calm sofras are being installed. But this ramada has a unique side. You get good news from each other against the disease. I'm celebrating your"&amp;" Ramadan with these feelings. https://t.co/abugfl2s2m")</f>
        <v>We live in a way that we are not used to Ramadan. Families, friends, as they used to be unable to get together. Calm sofras are being installed. But this ramada has a unique side. You get good news from each other against the disease. I'm celebrating your Ramadan with these feelings. https://t.co/abugfl2s2m</v>
      </c>
    </row>
    <row r="2937" spans="1:5" ht="15.75" customHeight="1" x14ac:dyDescent="0.25">
      <c r="A2937" s="1" t="s">
        <v>5873</v>
      </c>
      <c r="B2937" s="1">
        <v>37834</v>
      </c>
      <c r="C2937" s="3">
        <v>43950.855243055557</v>
      </c>
      <c r="D2937" s="1" t="s">
        <v>5874</v>
      </c>
      <c r="E2937" s="4" t="str">
        <f ca="1">IFERROR(__xludf.DUMMYFUNCTION("GOOGLETRANSLATE(A2937 , ""tr"" , ""en"")"),"In the process starting in China, we have established the operation center on January 10th against a possible risk. We have installed our science set up on the same day in January 2020. WHO is full 31 days before declaring disease as pandemia. I can sort "&amp;"our success with three items: Measure, detected, fast treatment. https://t.co/8zzv458m1v")</f>
        <v>In the process starting in China, we have established the operation center on January 10th against a possible risk. We have installed our science set up on the same day in January 2020. WHO is full 31 days before declaring disease as pandemia. I can sort our success with three items: Measure, detected, fast treatment. https://t.co/8zzv458m1v</v>
      </c>
    </row>
    <row r="2938" spans="1:5" ht="15.75" customHeight="1" x14ac:dyDescent="0.25">
      <c r="A2938" s="1" t="s">
        <v>5875</v>
      </c>
      <c r="B2938" s="1">
        <v>69778</v>
      </c>
      <c r="C2938" s="3">
        <v>43950.84847222222</v>
      </c>
      <c r="D2938" s="1" t="s">
        <v>5876</v>
      </c>
      <c r="E2938" s="4" t="str">
        <f ca="1">IFERROR(__xludf.DUMMYFUNCTION("GOOGLETRANSLATE(A2938 , ""tr"" , ""en"")"),"Good news is my country waiting! You have started to get the news you expect in the fight against Koronavirus. The threat is weakeningly weakening. Success, 83 million. We all know very well: Our struggle isn't over yet. The struggle must continue to munt"&amp;"azam. If we don't compromise, we can get the result in a short time. https://t.co/nzar5DILRU")</f>
        <v>Good news is my country waiting! You have started to get the news you expect in the fight against Koronavirus. The threat is weakeningly weakening. Success, 83 million. We all know very well: Our struggle isn't over yet. The struggle must continue to muntazam. If we don't compromise, we can get the result in a short time. https://t.co/nzar5DILRU</v>
      </c>
    </row>
    <row r="2939" spans="1:5" ht="15.75" customHeight="1" x14ac:dyDescent="0.25">
      <c r="A2939" s="1" t="s">
        <v>5877</v>
      </c>
      <c r="B2939" s="1">
        <v>111934</v>
      </c>
      <c r="C2939" s="3">
        <v>43950.666724537034</v>
      </c>
      <c r="D2939" s="1" t="s">
        <v>5878</v>
      </c>
      <c r="E2939" s="4" t="str">
        <f ca="1">IFERROR(__xludf.DUMMYFUNCTION("GOOGLETRANSLATE(A2939 , ""tr"" , ""en"")"),"The increase in the number of cases compared to the number of tests is at the foreseeable level. The number of healing patients has passed 44,000 and a third of our total number of cases. Our patient number needs intensive care continues to decrease. Let'"&amp;"s be persistent in the measure.
https://t.co/rvlhe7786o https://t.co/0iwTIFX5in")</f>
        <v>The increase in the number of cases compared to the number of tests is at the foreseeable level. The number of healing patients has passed 44,000 and a third of our total number of cases. Our patient number needs intensive care continues to decrease. Let's be persistent in the measure.
https://t.co/rvlhe7786o https://t.co/0iwTIFX5in</v>
      </c>
    </row>
    <row r="2940" spans="1:5" ht="15.75" customHeight="1" x14ac:dyDescent="0.25">
      <c r="A2940" s="1" t="s">
        <v>5879</v>
      </c>
      <c r="B2940" s="1">
        <v>25531</v>
      </c>
      <c r="C2940" s="3">
        <v>43950.595289351855</v>
      </c>
      <c r="D2940" s="1" t="s">
        <v>5880</v>
      </c>
      <c r="E2940" s="4" t="str">
        <f ca="1">IFERROR(__xludf.DUMMYFUNCTION("GOOGLETRANSLATE(A2940 , ""tr"" , ""en"")"),"After our Science Board meeting, the latest developments on the coronavirus and the new measures we receive.
📍 The Ministry of Health Bilkent Campus / Ankara https://t.co/vupordbc2e")</f>
        <v>After our Science Board meeting, the latest developments on the coronavirus and the new measures we receive.
📍 The Ministry of Health Bilkent Campus / Ankara https://t.co/vupordbc2e</v>
      </c>
    </row>
    <row r="2941" spans="1:5" ht="15.75" customHeight="1" x14ac:dyDescent="0.25">
      <c r="A2941" s="1" t="s">
        <v>5881</v>
      </c>
      <c r="B2941" s="1">
        <v>133305</v>
      </c>
      <c r="C2941" s="3">
        <v>43949.81653935185</v>
      </c>
      <c r="D2941" s="1" t="s">
        <v>5882</v>
      </c>
      <c r="E2941" s="4" t="str">
        <f ca="1">IFERROR(__xludf.DUMMYFUNCTION("GOOGLETRANSLATE(A2941 , ""tr"" , ""en"")"),"Turkey gives the air ambulance service since 2008. And this service is the only state that offers free with its resources. Only this year 453 patients were carried by the air, 211 patients with airplane ambulance. Those who think similar health operations"&amp;" can only be in movies should believe in our country.")</f>
        <v>Turkey gives the air ambulance service since 2008. And this service is the only state that offers free with its resources. Only this year 453 patients were carried by the air, 211 patients with airplane ambulance. Those who think similar health operations can only be in movies should believe in our country.</v>
      </c>
    </row>
    <row r="2942" spans="1:5" ht="15.75" customHeight="1" x14ac:dyDescent="0.25">
      <c r="A2942" s="1" t="s">
        <v>5883</v>
      </c>
      <c r="B2942" s="1">
        <v>42859</v>
      </c>
      <c r="C2942" s="3">
        <v>43949.755254629628</v>
      </c>
      <c r="D2942" s="1" t="s">
        <v>5884</v>
      </c>
      <c r="E2942" s="4" t="str">
        <f ca="1">IFERROR(__xludf.DUMMYFUNCTION("GOOGLETRANSLATE(A2942 , ""tr"" , ""en"")"),"We made the first of the Turkish Council of Health Ministry Meetings. With the Minister of Six countries, the meeting in which the European Director of the International Director of the International and the General Secretary of the Turkish Council has ta"&amp;"ken place with video conferencing. We have stood on the importance of global and regional measures to be taken against the epidemic in the meeting. https://t.co/vcwh8pgwqh")</f>
        <v>We made the first of the Turkish Council of Health Ministry Meetings. With the Minister of Six countries, the meeting in which the European Director of the International Director of the International and the General Secretary of the Turkish Council has taken place with video conferencing. We have stood on the importance of global and regional measures to be taken against the epidemic in the meeting. https://t.co/vcwh8pgwqh</v>
      </c>
    </row>
    <row r="2943" spans="1:5" ht="15.75" customHeight="1" x14ac:dyDescent="0.25">
      <c r="A2943" s="1" t="s">
        <v>5885</v>
      </c>
      <c r="B2943" s="1">
        <v>86896</v>
      </c>
      <c r="C2943" s="3">
        <v>43949.689571759256</v>
      </c>
      <c r="D2943" s="1" t="s">
        <v>5886</v>
      </c>
      <c r="E2943" s="4" t="str">
        <f ca="1">IFERROR(__xludf.DUMMYFUNCTION("GOOGLETRANSLATE(A2943 , ""tr"" , ""en"")"),"We cannot be as close as the old one. We must put a distance. https://t.co/dluunqi5nx")</f>
        <v>We cannot be as close as the old one. We must put a distance. https://t.co/dluunqi5nx</v>
      </c>
    </row>
    <row r="2944" spans="1:5" ht="15.75" customHeight="1" x14ac:dyDescent="0.25">
      <c r="A2944" s="1" t="s">
        <v>5887</v>
      </c>
      <c r="B2944" s="1">
        <v>121248</v>
      </c>
      <c r="C2944" s="3">
        <v>43949.666747685187</v>
      </c>
      <c r="D2944" s="1" t="s">
        <v>5888</v>
      </c>
      <c r="E2944" s="4" t="str">
        <f ca="1">IFERROR(__xludf.DUMMYFUNCTION("GOOGLETRANSLATE(A2944 , ""tr"" , ""en"")"),"Over 5,000 patients recovered in the last 24 hours. Our total number of patients recovering approached 40,000. It takes a decline in the number of intensive care and intubation. The new number of cases in the prescribed cruise. We will surpass 1 million t"&amp;"ests very soon. Let's not risk this success.
https://t.co/rvlhe7786o https://t.co/j33ospzuh1")</f>
        <v>Over 5,000 patients recovered in the last 24 hours. Our total number of patients recovering approached 40,000. It takes a decline in the number of intensive care and intubation. The new number of cases in the prescribed cruise. We will surpass 1 million tests very soon. Let's not risk this success.
https://t.co/rvlhe7786o https://t.co/j33ospzuh1</v>
      </c>
    </row>
    <row r="2945" spans="1:5" ht="15.75" customHeight="1" x14ac:dyDescent="0.25">
      <c r="A2945" s="1" t="s">
        <v>5889</v>
      </c>
      <c r="B2945" s="1">
        <v>93885</v>
      </c>
      <c r="C2945" s="3">
        <v>43949.508622685185</v>
      </c>
      <c r="D2945" s="1" t="s">
        <v>5890</v>
      </c>
      <c r="E2945" s="4" t="str">
        <f ca="1">IFERROR(__xludf.DUMMYFUNCTION("GOOGLETRANSLATE(A2945 , ""tr"" , ""en"")"),"In Russia, we brought the Lung Hasan Seyithanoğlu to the Seyithanoğlu with the Ablanan Airplane. Due to the coronavirus release, our sister who cannot be operated in Russia was treated with our president instructions. I say you get to himself. https://t.c"&amp;"o/tn67tzw7ep")</f>
        <v>In Russia, we brought the Lung Hasan Seyithanoğlu to the Seyithanoğlu with the Ablanan Airplane. Due to the coronavirus release, our sister who cannot be operated in Russia was treated with our president instructions. I say you get to himself. https://t.co/tn67tzw7ep</v>
      </c>
    </row>
    <row r="2946" spans="1:5" ht="15.75" customHeight="1" x14ac:dyDescent="0.25">
      <c r="A2946" s="1" t="s">
        <v>5891</v>
      </c>
      <c r="B2946" s="1">
        <v>150430</v>
      </c>
      <c r="C2946" s="3">
        <v>43948.98704861111</v>
      </c>
      <c r="D2946" s="1" t="s">
        <v>5892</v>
      </c>
      <c r="E2946" s="4" t="str">
        <f ca="1">IFERROR(__xludf.DUMMYFUNCTION("GOOGLETRANSLATE(A2946 , ""tr"" , ""en"")"),"We cannot be as close as the old one. Let's put together. https://t.co/zd28tyr0te")</f>
        <v>We cannot be as close as the old one. Let's put together. https://t.co/zd28tyr0te</v>
      </c>
    </row>
    <row r="2947" spans="1:5" ht="15.75" customHeight="1" x14ac:dyDescent="0.25">
      <c r="A2947" s="1" t="s">
        <v>5893</v>
      </c>
      <c r="B2947" s="1">
        <v>152436</v>
      </c>
      <c r="C2947" s="3">
        <v>43948.712569444448</v>
      </c>
      <c r="D2947" s="1" t="s">
        <v>5894</v>
      </c>
      <c r="E2947" s="4" t="str">
        <f ca="1">IFERROR(__xludf.DUMMYFUNCTION("GOOGLETRANSLATE(A2947 , ""tr"" , ""en"")"),"We have reached the highest number of patients recovering in a day. The decrease in the number of tests needed today, since the number of contacts and the contact medium is decreased. Intensive care and intubate are decreasing in the number of patients. L"&amp;"et's not risk this success.
https://t.co/rvlhe7786o https://t.co/zwbvehshog")</f>
        <v>We have reached the highest number of patients recovering in a day. The decrease in the number of tests needed today, since the number of contacts and the contact medium is decreased. Intensive care and intubate are decreasing in the number of patients. Let's not risk this success.
https://t.co/rvlhe7786o https://t.co/zwbvehshog</v>
      </c>
    </row>
    <row r="2948" spans="1:5" ht="15.75" customHeight="1" x14ac:dyDescent="0.25">
      <c r="A2948" s="1" t="s">
        <v>5895</v>
      </c>
      <c r="B2948" s="1">
        <v>106523</v>
      </c>
      <c r="C2948" s="3">
        <v>43948.70516203704</v>
      </c>
      <c r="D2948" s="1" t="s">
        <v>5896</v>
      </c>
      <c r="E2948" s="4" t="str">
        <f ca="1">IFERROR(__xludf.DUMMYFUNCTION("GOOGLETRANSLATE(A2948 , ""tr"" , ""en"")"),"Let's stay away from the crowded iftar table. Beneficial iftars. https://t.co/ICskculxwd")</f>
        <v>Let's stay away from the crowded iftar table. Beneficial iftars. https://t.co/ICskculxwd</v>
      </c>
    </row>
    <row r="2949" spans="1:5" ht="15.75" customHeight="1" x14ac:dyDescent="0.25">
      <c r="A2949" s="1" t="s">
        <v>5897</v>
      </c>
      <c r="B2949" s="1">
        <v>0</v>
      </c>
      <c r="C2949" s="3">
        <v>43948.654861111114</v>
      </c>
      <c r="D2949" s="1" t="s">
        <v>5898</v>
      </c>
      <c r="E2949" s="4" t="str">
        <f ca="1">IFERROR(__xludf.DUMMYFUNCTION("GOOGLETRANSLATE(A2949 , ""tr"" , ""en"")"),"RT @rterdogan: Shouting Nation After Cabinet Meeting https://t.co/qgsvd1qlsd")</f>
        <v>RT @rterdogan: Shouting Nation After Cabinet Meeting https://t.co/qgsvd1qlsd</v>
      </c>
    </row>
    <row r="2950" spans="1:5" ht="15.75" customHeight="1" x14ac:dyDescent="0.25">
      <c r="A2950" s="1" t="s">
        <v>5899</v>
      </c>
      <c r="B2950" s="1">
        <v>120488</v>
      </c>
      <c r="C2950" s="3">
        <v>43947.873715277776</v>
      </c>
      <c r="D2950" s="1" t="s">
        <v>5900</v>
      </c>
      <c r="E2950" s="4" t="str">
        <f ca="1">IFERROR(__xludf.DUMMYFUNCTION("GOOGLETRANSLATE(A2950 , ""tr"" , ""en"")"),"Our COVID-19 patient citizen was aware of the status of the Emrullah Bey in Turkey in 04. Our ambulance aircraft was in the Malmö city of Sweden in 09.10 with our president. Our patient was treated with two children in Ankara in noon. Know your power! htt"&amp;"ps://t.co/l4wvkwlsxu")</f>
        <v>Our COVID-19 patient citizen was aware of the status of the Emrullah Bey in Turkey in 04. Our ambulance aircraft was in the Malmö city of Sweden in 09.10 with our president. Our patient was treated with two children in Ankara in noon. Know your power! https://t.co/l4wvkwlsxu</v>
      </c>
    </row>
    <row r="2951" spans="1:5" ht="15.75" customHeight="1" x14ac:dyDescent="0.25">
      <c r="A2951" s="1" t="s">
        <v>5901</v>
      </c>
      <c r="B2951" s="1">
        <v>252381</v>
      </c>
      <c r="C2951" s="3">
        <v>43947.691678240742</v>
      </c>
      <c r="D2951" s="1" t="s">
        <v>5902</v>
      </c>
      <c r="E2951" s="4" t="str">
        <f ca="1">IFERROR(__xludf.DUMMYFUNCTION("GOOGLETRANSLATE(A2951 , ""tr"" , ""en"")"),"One can extend coronavirus instead of salt. Let's do the crowded iftars next year. Beneficial iftars. https://t.co/jxqvhffıkg")</f>
        <v>One can extend coronavirus instead of salt. Let's do the crowded iftars next year. Beneficial iftars. https://t.co/jxqvhffıkg</v>
      </c>
    </row>
    <row r="2952" spans="1:5" ht="15.75" customHeight="1" x14ac:dyDescent="0.25">
      <c r="A2952" s="1" t="s">
        <v>5903</v>
      </c>
      <c r="B2952" s="1">
        <v>154753</v>
      </c>
      <c r="C2952" s="3">
        <v>43947.684108796297</v>
      </c>
      <c r="D2952" s="1" t="s">
        <v>5904</v>
      </c>
      <c r="E2952" s="4" t="str">
        <f ca="1">IFERROR(__xludf.DUMMYFUNCTION("GOOGLETRANSLATE(A2952 , ""tr"" , ""en"")"),"30,000 of our daily test capacity was used for the number of contacts and the contact medium decreased. The day in the last 20 days is the lowest number of new cases, it was today. The decrease in the number of patients receiving intensive care support co"&amp;"ntinued. https://t.co/rvlhe7786o https://t.co/owvvlgyilm")</f>
        <v>30,000 of our daily test capacity was used for the number of contacts and the contact medium decreased. The day in the last 20 days is the lowest number of new cases, it was today. The decrease in the number of patients receiving intensive care support continued. https://t.co/rvlhe7786o https://t.co/owvvlgyilm</v>
      </c>
    </row>
    <row r="2953" spans="1:5" ht="15.75" customHeight="1" x14ac:dyDescent="0.25">
      <c r="A2953" s="1" t="s">
        <v>5905</v>
      </c>
      <c r="B2953" s="1">
        <v>0</v>
      </c>
      <c r="C2953" s="3">
        <v>43947.664479166669</v>
      </c>
      <c r="D2953" s="1" t="s">
        <v>5906</v>
      </c>
      <c r="E2953" s="4" t="str">
        <f ca="1">IFERROR(__xludf.DUMMYFUNCTION("GOOGLETRANSLATE(A2953 , ""tr"" , ""en"")"),"RT @rterdogan: Today, we have discussed the girl of the Emrullah Bey, which we brought to our country with airplane Ambulance from Sweden. He lived in ...")</f>
        <v>RT @rterdogan: Today, we have discussed the girl of the Emrullah Bey, which we brought to our country with airplane Ambulance from Sweden. He lived in ...</v>
      </c>
    </row>
    <row r="2954" spans="1:5" ht="15.75" customHeight="1" x14ac:dyDescent="0.25">
      <c r="A2954" s="1" t="s">
        <v>5907</v>
      </c>
      <c r="B2954" s="1">
        <v>203146</v>
      </c>
      <c r="C2954" s="3">
        <v>43947.416435185187</v>
      </c>
      <c r="D2954" s="1" t="s">
        <v>5908</v>
      </c>
      <c r="E2954" s="4" t="str">
        <f ca="1">IFERROR(__xludf.DUMMYFUNCTION("GOOGLETRANSLATE(A2954 , ""tr"" , ""en"")"),"A girl son has made something that none of us can forget for COVID-19 patients. Our country has taken action. Our ambulance aircraft took our patient from Sweden in the morning. Will be in Ankara a little bit. (Dear Leyla, we have healed our 25 thousand p"&amp;"atients. I hope the Emrullah Bey will also heal.) Https://t.co/j5xvaofzhg")</f>
        <v>A girl son has made something that none of us can forget for COVID-19 patients. Our country has taken action. Our ambulance aircraft took our patient from Sweden in the morning. Will be in Ankara a little bit. (Dear Leyla, we have healed our 25 thousand patients. I hope the Emrullah Bey will also heal.) Https://t.co/j5xvaofzhg</v>
      </c>
    </row>
    <row r="2955" spans="1:5" ht="15.75" customHeight="1" x14ac:dyDescent="0.25">
      <c r="A2955" s="1" t="s">
        <v>5909</v>
      </c>
      <c r="B2955" s="1">
        <v>227861</v>
      </c>
      <c r="C2955" s="3">
        <v>43947.126342592594</v>
      </c>
      <c r="D2955" s="1" t="s">
        <v>5910</v>
      </c>
      <c r="E2955" s="4" t="str">
        <f ca="1">IFERROR(__xludf.DUMMYFUNCTION("GOOGLETRANSLATE(A2955 , ""tr"" , ""en"")"),"Dear Leyla, we heard your voice. Our ambulance aircraft is airing at 06, we come to Sweden. All Turkey, in such a period, we were sorry to be far away. Our hospital for your father, our physicians are ready. I pass our President, all the people of our peo"&amp;"ple. Very lovely. https://t.co/y4vuoqmgnl")</f>
        <v>Dear Leyla, we heard your voice. Our ambulance aircraft is airing at 06, we come to Sweden. All Turkey, in such a period, we were sorry to be far away. Our hospital for your father, our physicians are ready. I pass our President, all the people of our people. Very lovely. https://t.co/y4vuoqmgnl</v>
      </c>
    </row>
    <row r="2956" spans="1:5" ht="15.75" customHeight="1" x14ac:dyDescent="0.25">
      <c r="A2956" s="1" t="s">
        <v>5911</v>
      </c>
      <c r="B2956" s="1">
        <v>94274</v>
      </c>
      <c r="C2956" s="3">
        <v>43946.837002314816</v>
      </c>
      <c r="D2956" s="1" t="s">
        <v>5912</v>
      </c>
      <c r="E2956" s="4" t="str">
        <f ca="1">IFERROR(__xludf.DUMMYFUNCTION("GOOGLETRANSLATE(A2956 , ""tr"" , ""en"")"),"We cannot be as close as the old one. https://t.co/oaqdg5qzru")</f>
        <v>We cannot be as close as the old one. https://t.co/oaqdg5qzru</v>
      </c>
    </row>
    <row r="2957" spans="1:5" ht="15.75" customHeight="1" x14ac:dyDescent="0.25">
      <c r="A2957" s="1" t="s">
        <v>5913</v>
      </c>
      <c r="B2957" s="1">
        <v>143934</v>
      </c>
      <c r="C2957" s="3">
        <v>43946.833657407406</v>
      </c>
      <c r="D2957" s="1" t="s">
        <v>5914</v>
      </c>
      <c r="E2957" s="4" t="str">
        <f ca="1">IFERROR(__xludf.DUMMYFUNCTION("GOOGLETRANSLATE(A2957 , ""tr"" , ""en"")"),"We cannot be as close as the old one. https://t.co/sljkx51aus")</f>
        <v>We cannot be as close as the old one. https://t.co/sljkx51aus</v>
      </c>
    </row>
    <row r="2958" spans="1:5" ht="15.75" customHeight="1" x14ac:dyDescent="0.25">
      <c r="A2958" s="1" t="s">
        <v>5915</v>
      </c>
      <c r="B2958" s="1">
        <v>131803</v>
      </c>
      <c r="C2958" s="3">
        <v>43946.825601851851</v>
      </c>
      <c r="D2958" s="1" t="s">
        <v>5916</v>
      </c>
      <c r="E2958" s="4" t="str">
        <f ca="1">IFERROR(__xludf.DUMMYFUNCTION("GOOGLETRANSLATE(A2958 , ""tr"" , ""en"")"),"In recent years no country has made so much attention to health. I am proud of my country. # I'm in my country https://t.co/zkpmjoe631")</f>
        <v>In recent years no country has made so much attention to health. I am proud of my country. # I'm in my country https://t.co/zkpmjoe631</v>
      </c>
    </row>
    <row r="2959" spans="1:5" ht="15.75" customHeight="1" x14ac:dyDescent="0.25">
      <c r="A2959" s="1" t="s">
        <v>5917</v>
      </c>
      <c r="B2959" s="1">
        <v>160322</v>
      </c>
      <c r="C2959" s="3">
        <v>43946.692604166667</v>
      </c>
      <c r="D2959" s="1" t="s">
        <v>5918</v>
      </c>
      <c r="E2959" s="4" t="str">
        <f ca="1">IFERROR(__xludf.DUMMYFUNCTION("GOOGLETRANSLATE(A2959 , ""tr"" , ""en"")"),"Next year friendships will be closer. Let's delay the invitations of the iftar to the next year. Beneficial iftars. https://t.co/xm9q6sjccn")</f>
        <v>Next year friendships will be closer. Let's delay the invitations of the iftar to the next year. Beneficial iftars. https://t.co/xm9q6sjccn</v>
      </c>
    </row>
    <row r="2960" spans="1:5" ht="15.75" customHeight="1" x14ac:dyDescent="0.25">
      <c r="A2960" s="1" t="s">
        <v>5919</v>
      </c>
      <c r="B2960" s="1">
        <v>175052</v>
      </c>
      <c r="C2960" s="3">
        <v>43946.675138888888</v>
      </c>
      <c r="D2960" s="1" t="s">
        <v>5920</v>
      </c>
      <c r="E2960" s="4" t="str">
        <f ca="1">IFERROR(__xludf.DUMMYFUNCTION("GOOGLETRANSLATE(A2960 , ""tr"" , ""en"")"),"3,845 patients were discharged in the last 24 hours, 2,861 new diagnosis. The number of discharged ones is 984 of the number of new patients. The total number of those who find healing has passed 25,000. The positive rate of tests decreases. Condition of "&amp;"support to this table.
https://t.co/rvlhe7786o https://t.co/3rrbhfp0hn")</f>
        <v>3,845 patients were discharged in the last 24 hours, 2,861 new diagnosis. The number of discharged ones is 984 of the number of new patients. The total number of those who find healing has passed 25,000. The positive rate of tests decreases. Condition of support to this table.
https://t.co/rvlhe7786o https://t.co/3rrbhfp0hn</v>
      </c>
    </row>
    <row r="2961" spans="1:5" ht="15.75" customHeight="1" x14ac:dyDescent="0.25">
      <c r="A2961" s="1" t="s">
        <v>5921</v>
      </c>
      <c r="B2961" s="1">
        <v>189660</v>
      </c>
      <c r="C2961" s="3">
        <v>43945.915462962963</v>
      </c>
      <c r="D2961" s="1" t="s">
        <v>5922</v>
      </c>
      <c r="E2961" s="4" t="str">
        <f ca="1">IFERROR(__xludf.DUMMYFUNCTION("GOOGLETRANSLATE(A2961 , ""tr"" , ""en"")"),"Right Be the teenagers. We've got a lot against Korona with your patience. https://t.co/wgw0rlrt2t")</f>
        <v>Right Be the teenagers. We've got a lot against Korona with your patience. https://t.co/wgw0rlrt2t</v>
      </c>
    </row>
    <row r="2962" spans="1:5" ht="15.75" customHeight="1" x14ac:dyDescent="0.25">
      <c r="A2962" s="1" t="s">
        <v>5923</v>
      </c>
      <c r="B2962" s="1">
        <v>53850</v>
      </c>
      <c r="C2962" s="3">
        <v>43945.776377314818</v>
      </c>
      <c r="D2962" s="1" t="s">
        <v>5924</v>
      </c>
      <c r="E2962" s="4" t="str">
        <f ca="1">IFERROR(__xludf.DUMMYFUNCTION("GOOGLETRANSLATE(A2962 , ""tr"" , ""en"")"),"Our Minister of Agriculture and Forest, my friend is a meeting today with Bekir Pakdemirli. In our interview, the effects of measures, outbreak on agriculture and livestock, the coordination of the normalization process, the course of agricultural product"&amp;"ion in the coming process and food supply security has been addressed. https://t.co/x3gdrotkvv")</f>
        <v>Our Minister of Agriculture and Forest, my friend is a meeting today with Bekir Pakdemirli. In our interview, the effects of measures, outbreak on agriculture and livestock, the coordination of the normalization process, the course of agricultural production in the coming process and food supply security has been addressed. https://t.co/x3gdrotkvv</v>
      </c>
    </row>
    <row r="2963" spans="1:5" ht="15.75" customHeight="1" x14ac:dyDescent="0.25">
      <c r="A2963" s="1" t="s">
        <v>5925</v>
      </c>
      <c r="B2963" s="1">
        <v>169208</v>
      </c>
      <c r="C2963" s="3">
        <v>43945.672534722224</v>
      </c>
      <c r="D2963" s="1" t="s">
        <v>5926</v>
      </c>
      <c r="E2963" s="4" t="str">
        <f ca="1">IFERROR(__xludf.DUMMYFUNCTION("GOOGLETRANSLATE(A2963 , ""tr"" , ""en"")"),"The number of patients with discharge in the last 24 hours constitute about 15% of the total number of patients recovering to today. In scan, we are successful in early diagnosis and treatment. Should not be back from this point. Conditionally support to "&amp;"the received results. Give us strength.
https://t.co/rvlhe7786o https://t.co/98gfl0iq2u")</f>
        <v>The number of patients with discharge in the last 24 hours constitute about 15% of the total number of patients recovering to today. In scan, we are successful in early diagnosis and treatment. Should not be back from this point. Conditionally support to the received results. Give us strength.
https://t.co/rvlhe7786o https://t.co/98gfl0iq2u</v>
      </c>
    </row>
    <row r="2964" spans="1:5" ht="15.75" customHeight="1" x14ac:dyDescent="0.25">
      <c r="A2964" s="1" t="s">
        <v>5927</v>
      </c>
      <c r="B2964" s="1">
        <v>228172</v>
      </c>
      <c r="C2964" s="3">
        <v>43944.823101851849</v>
      </c>
      <c r="D2964" s="1" t="s">
        <v>5928</v>
      </c>
      <c r="E2964" s="4" t="str">
        <f ca="1">IFERROR(__xludf.DUMMYFUNCTION("GOOGLETRANSLATE(A2964 , ""tr"" , ""en"")"),"Hope appeared. The crescent appeared. The beautiful days are approaching. Happy Ramadan. https://T.CO/FUINKISFCU")</f>
        <v>Hope appeared. The crescent appeared. The beautiful days are approaching. Happy Ramadan. https://T.CO/FUINKISFCU</v>
      </c>
    </row>
    <row r="2965" spans="1:5" ht="15.75" customHeight="1" x14ac:dyDescent="0.25">
      <c r="A2965" s="1" t="s">
        <v>5929</v>
      </c>
      <c r="B2965" s="1">
        <v>61028</v>
      </c>
      <c r="C2965" s="3">
        <v>43944.817071759258</v>
      </c>
      <c r="D2965" s="1" t="s">
        <v>5930</v>
      </c>
      <c r="E2965" s="4" t="str">
        <f ca="1">IFERROR(__xludf.DUMMYFUNCTION("GOOGLETRANSLATE(A2965 , ""tr"" , ""en"")"),"At 21:00, we were the only sound of our President. We read our Istiklal anthem 83 million together. On behalf of our health workers, at the beginning of the moment, we participated in this glorious choir to the front of our Ministry building. Happy 100th "&amp;"year of our assembly. https://t.co/wz1hlwfkeh")</f>
        <v>At 21:00, we were the only sound of our President. We read our Istiklal anthem 83 million together. On behalf of our health workers, at the beginning of the moment, we participated in this glorious choir to the front of our Ministry building. Happy 100th year of our assembly. https://t.co/wz1hlwfkeh</v>
      </c>
    </row>
    <row r="2966" spans="1:5" ht="15.75" customHeight="1" x14ac:dyDescent="0.25">
      <c r="A2966" s="1" t="s">
        <v>5931</v>
      </c>
      <c r="B2966" s="1">
        <v>98402</v>
      </c>
      <c r="C2966" s="3">
        <v>43944.729155092595</v>
      </c>
      <c r="D2966" s="1" t="s">
        <v>5932</v>
      </c>
      <c r="E2966" s="4" t="str">
        <f ca="1">IFERROR(__xludf.DUMMYFUNCTION("GOOGLETRANSLATE(A2966 , ""tr"" , ""en"")"),"The world's largest chorus is being installed for our Istiklal anthem. In the 100th year of the opening of our assembly, we are on the balconies in 83 million windows this evening. Let's see our Idiklal anthem on behalf of our health workers at the beginn"&amp;"ing of the duty. Our enthusiasm is great, our voice get rhinage. https://t.co/nh3pfbnuey")</f>
        <v>The world's largest chorus is being installed for our Istiklal anthem. In the 100th year of the opening of our assembly, we are on the balconies in 83 million windows this evening. Let's see our Idiklal anthem on behalf of our health workers at the beginning of the duty. Our enthusiasm is great, our voice get rhinage. https://t.co/nh3pfbnuey</v>
      </c>
    </row>
    <row r="2967" spans="1:5" ht="15.75" customHeight="1" x14ac:dyDescent="0.25">
      <c r="A2967" s="1" t="s">
        <v>5933</v>
      </c>
      <c r="B2967" s="1">
        <v>0</v>
      </c>
      <c r="C2967" s="3">
        <v>43944.727453703701</v>
      </c>
      <c r="D2967" s="1" t="s">
        <v>5934</v>
      </c>
      <c r="E2967" s="4" t="str">
        <f ca="1">IFERROR(__xludf.DUMMYFUNCTION("GOOGLETRANSLATE(A2967 , ""tr"" , ""en"")"),"RT @rterdogan: Our Great National Assembly of our Opening of our opening in the 100th year we are shouting to the whole world.
Jobs are bogus ...")</f>
        <v>RT @rterdogan: Our Great National Assembly of our Opening of our opening in the 100th year we are shouting to the whole world.
Jobs are bogus ...</v>
      </c>
    </row>
    <row r="2968" spans="1:5" ht="15.75" customHeight="1" x14ac:dyDescent="0.25">
      <c r="A2968" s="1" t="s">
        <v>5935</v>
      </c>
      <c r="B2968" s="1">
        <v>112660</v>
      </c>
      <c r="C2968" s="3">
        <v>43944.708402777775</v>
      </c>
      <c r="D2968" s="1" t="s">
        <v>5936</v>
      </c>
      <c r="E2968" s="4" t="str">
        <f ca="1">IFERROR(__xludf.DUMMYFUNCTION("GOOGLETRANSLATE(A2968 , ""tr"" , ""en"")"),"Today, we are better than yesterday. We arrived at this point total 791,906 tests that are not done by an accident. The contact scan of each of the diagnosis has been or continues. Support to the result received. Give us strength.
https://t.co/rvlhe7786o"&amp;" https://t.co/8phcnl9jab")</f>
        <v>Today, we are better than yesterday. We arrived at this point total 791,906 tests that are not done by an accident. The contact scan of each of the diagnosis has been or continues. Support to the result received. Give us strength.
https://t.co/rvlhe7786o https://t.co/8phcnl9jab</v>
      </c>
    </row>
    <row r="2969" spans="1:5" ht="15.75" customHeight="1" x14ac:dyDescent="0.25">
      <c r="A2969" s="1" t="s">
        <v>5937</v>
      </c>
      <c r="B2969" s="1">
        <v>127371</v>
      </c>
      <c r="C2969" s="3">
        <v>43944.584953703707</v>
      </c>
      <c r="D2969" s="1" t="s">
        <v>5938</v>
      </c>
      <c r="E2969" s="4" t="str">
        <f ca="1">IFERROR(__xludf.DUMMYFUNCTION("GOOGLETRANSLATE(A2969 , ""tr"" , ""en"")"),"The sound of joy has reached all of us today. Happy April 23. # 23nisankutluolsun 🇹🇷 https://t.co/qojnnszhle")</f>
        <v>The sound of joy has reached all of us today. Happy April 23. # 23nisankutluolsun 🇹🇷 https://t.co/qojnnszhle</v>
      </c>
    </row>
    <row r="2970" spans="1:5" ht="15.75" customHeight="1" x14ac:dyDescent="0.25">
      <c r="A2970" s="1" t="s">
        <v>5939</v>
      </c>
      <c r="B2970" s="1">
        <v>50753</v>
      </c>
      <c r="C2970" s="3">
        <v>43944.548252314817</v>
      </c>
      <c r="D2970" s="1" t="s">
        <v>5940</v>
      </c>
      <c r="E2970" s="4" t="str">
        <f ca="1">IFERROR(__xludf.DUMMYFUNCTION("GOOGLETRANSLATE(A2970 , ""tr"" , ""en"")"),"Although we are close to 100 thousand, our number of passage is less. Because our physicians are successful in the treatment. Our intensive care patient is less. Bed occupancy rate is 30%. Turkey, it does not need all of their affections. The expected res"&amp;"ult of the mortality rate. Otherwise there is no reason. The truth is in favor of us. https://t.co/izox3lnfhe")</f>
        <v>Although we are close to 100 thousand, our number of passage is less. Because our physicians are successful in the treatment. Our intensive care patient is less. Bed occupancy rate is 30%. Turkey, it does not need all of their affections. The expected result of the mortality rate. Otherwise there is no reason. The truth is in favor of us. https://t.co/izox3lnfhe</v>
      </c>
    </row>
    <row r="2971" spans="1:5" ht="15.75" customHeight="1" x14ac:dyDescent="0.25">
      <c r="A2971" s="1" t="s">
        <v>5941</v>
      </c>
      <c r="B2971" s="1">
        <v>31756</v>
      </c>
      <c r="C2971" s="3">
        <v>43944.54351851852</v>
      </c>
      <c r="D2971" s="1" t="s">
        <v>5942</v>
      </c>
      <c r="E2971" s="4" t="str">
        <f ca="1">IFERROR(__xludf.DUMMYFUNCTION("GOOGLETRANSLATE(A2971 , ""tr"" , ""en"")"),"The importance of measures is not reducing, increasing. A second wave cannot be affordable. We have to avoid contact. We should not violate the social distance rule even a moment. We should not compromise the isolation. If we assign each step carefully, t"&amp;"he coming calendar becomes clear. The life we ​​postpone begins. https://t.co/9y16fa75om")</f>
        <v>The importance of measures is not reducing, increasing. A second wave cannot be affordable. We have to avoid contact. We should not violate the social distance rule even a moment. We should not compromise the isolation. If we assign each step carefully, the coming calendar becomes clear. The life we ​​postpone begins. https://t.co/9y16fa75om</v>
      </c>
    </row>
    <row r="2972" spans="1:5" ht="15.75" customHeight="1" x14ac:dyDescent="0.25">
      <c r="A2972" s="1" t="s">
        <v>5943</v>
      </c>
      <c r="B2972" s="1">
        <v>27456</v>
      </c>
      <c r="C2972" s="3">
        <v>43944.518842592595</v>
      </c>
      <c r="D2972" s="1" t="s">
        <v>5944</v>
      </c>
      <c r="E2972" s="4" t="str">
        <f ca="1">IFERROR(__xludf.DUMMYFUNCTION("GOOGLETRANSLATE(A2972 , ""tr"" , ""en"")"),"In the american press, a news was made to scribble this transparent challenge. According to the news, the reason for many other deaths in Turkey has been the virus. Our criterion is clear when sharing information with the World Health Organization. We are"&amp;" a country that makes PCR. We are based on the diagnosis of not estimated! https://t.co/y2njgoe3ml")</f>
        <v>In the american press, a news was made to scribble this transparent challenge. According to the news, the reason for many other deaths in Turkey has been the virus. Our criterion is clear when sharing information with the World Health Organization. We are a country that makes PCR. We are based on the diagnosis of not estimated! https://t.co/y2njgoe3ml</v>
      </c>
    </row>
    <row r="2973" spans="1:5" ht="15.75" customHeight="1" x14ac:dyDescent="0.25">
      <c r="A2973" s="1" t="s">
        <v>5945</v>
      </c>
      <c r="B2973" s="1">
        <v>26353</v>
      </c>
      <c r="C2973" s="3">
        <v>43944.500868055555</v>
      </c>
      <c r="D2973" s="1" t="s">
        <v>5946</v>
      </c>
      <c r="E2973" s="4" t="str">
        <f ca="1">IFERROR(__xludf.DUMMYFUNCTION("GOOGLETRANSLATE(A2973 , ""tr"" , ""en"")"),"Istanbul was told that crowds occur in the cemeteries. This is true. HIFZISSIHHA Board and Provincial Administration decided to defend everyone in Istanbul in Istanbul, regardless of the reason. The measure is opposed to the spread of the epidemic. https:"&amp;"//t.co/appyo7j0nb")</f>
        <v>Istanbul was told that crowds occur in the cemeteries. This is true. HIFZISSIHHA Board and Provincial Administration decided to defend everyone in Istanbul in Istanbul, regardless of the reason. The measure is opposed to the spread of the epidemic. https://t.co/appyo7j0nb</v>
      </c>
    </row>
    <row r="2974" spans="1:5" ht="15.75" customHeight="1" x14ac:dyDescent="0.25">
      <c r="A2974" s="1" t="s">
        <v>5947</v>
      </c>
      <c r="B2974" s="1">
        <v>31370</v>
      </c>
      <c r="C2974" s="3">
        <v>43944.271377314813</v>
      </c>
      <c r="D2974" s="1" t="s">
        <v>5948</v>
      </c>
      <c r="E2974" s="4" t="str">
        <f ca="1">IFERROR(__xludf.DUMMYFUNCTION("GOOGLETRANSLATE(A2974 , ""tr"" , ""en"")"),"SN. As our president stated, the gradual normalization of life is possible by the implementation of the rules. The illness is the way we predicted. If we are conscious, normalization will not be delayed. Hope is the most accurate word. But this hope shoul"&amp;"d not be threatened with impudence. https://t.co/pmcahudgdw")</f>
        <v>SN. As our president stated, the gradual normalization of life is possible by the implementation of the rules. The illness is the way we predicted. If we are conscious, normalization will not be delayed. Hope is the most accurate word. But this hope should not be threatened with impudence. https://t.co/pmcahudgdw</v>
      </c>
    </row>
    <row r="2975" spans="1:5" ht="15.75" customHeight="1" x14ac:dyDescent="0.25">
      <c r="A2975" s="1" t="s">
        <v>5949</v>
      </c>
      <c r="B2975" s="1">
        <v>28664</v>
      </c>
      <c r="C2975" s="3">
        <v>43944.253564814811</v>
      </c>
      <c r="D2975" s="1" t="s">
        <v>5950</v>
      </c>
      <c r="E2975" s="4" t="str">
        <f ca="1">IFERROR(__xludf.DUMMYFUNCTION("GOOGLETRANSLATE(A2975 , ""tr"" , ""en"")"),"The property of the Ramada is the power to go out of human habits. Fasting is the examination of or disrupting a decision. Ramadan should not be the pretense of stretching the measures. Let's delay the crowded iftars, chats to the next year. The mercy bea"&amp;"r, do not result in diseases. https://t.co/zvl7kivddf")</f>
        <v>The property of the Ramada is the power to go out of human habits. Fasting is the examination of or disrupting a decision. Ramadan should not be the pretense of stretching the measures. Let's delay the crowded iftars, chats to the next year. The mercy bear, do not result in diseases. https://t.co/zvl7kivddf</v>
      </c>
    </row>
    <row r="2976" spans="1:5" ht="15.75" customHeight="1" x14ac:dyDescent="0.25">
      <c r="A2976" s="1" t="s">
        <v>5951</v>
      </c>
      <c r="B2976" s="1">
        <v>34986</v>
      </c>
      <c r="C2976" s="3">
        <v>43943.984861111108</v>
      </c>
      <c r="D2976" s="1" t="s">
        <v>5952</v>
      </c>
      <c r="E2976" s="4" t="str">
        <f ca="1">IFERROR(__xludf.DUMMYFUNCTION("GOOGLETRANSLATE(A2976 , ""tr"" , ""en"")"),"With early diagnosis and success in the treatment, our passage rates fall every day. Our intensive care patient is decreasing. If we were not prepared, the table would be similar to the US and Europe. The point we are is the common success of society. It "&amp;"is proof that a better result is possible. https://t.co/bzdjtxxmyp")</f>
        <v>With early diagnosis and success in the treatment, our passage rates fall every day. Our intensive care patient is decreasing. If we were not prepared, the table would be similar to the US and Europe. The point we are is the common success of society. It is proof that a better result is possible. https://t.co/bzdjtxxmyp</v>
      </c>
    </row>
    <row r="2977" spans="1:5" ht="15.75" customHeight="1" x14ac:dyDescent="0.25">
      <c r="A2977" s="1" t="s">
        <v>5953</v>
      </c>
      <c r="B2977" s="1">
        <v>36960</v>
      </c>
      <c r="C2977" s="3">
        <v>43943.965995370374</v>
      </c>
      <c r="D2977" s="1" t="s">
        <v>5954</v>
      </c>
      <c r="E2977" s="4" t="str">
        <f ca="1">IFERROR(__xludf.DUMMYFUNCTION("GOOGLETRANSLATE(A2977 , ""tr"" , ""en"")"),"No one can overcome such an outbreak without confidence. We are grateful to you who know that the challenge is carried out with transparent knowledge. The possibilities of today were still, but if there was missing confidence in the community, we could no"&amp;"t reach this point. Those who have confidence in the struggle are those who always have the hope. https://t.co/ITsxdyhh6e")</f>
        <v>No one can overcome such an outbreak without confidence. We are grateful to you who know that the challenge is carried out with transparent knowledge. The possibilities of today were still, but if there was missing confidence in the community, we could not reach this point. Those who have confidence in the struggle are those who always have the hope. https://t.co/ITsxdyhh6e</v>
      </c>
    </row>
    <row r="2978" spans="1:5" ht="15.75" customHeight="1" x14ac:dyDescent="0.25">
      <c r="A2978" s="1" t="s">
        <v>5955</v>
      </c>
      <c r="B2978" s="1">
        <v>98811</v>
      </c>
      <c r="C2978" s="3">
        <v>43943.703009259261</v>
      </c>
      <c r="D2978" s="1" t="s">
        <v>5956</v>
      </c>
      <c r="E2978" s="4" t="str">
        <f ca="1">IFERROR(__xludf.DUMMYFUNCTION("GOOGLETRANSLATE(A2978 , ""tr"" , ""en"")"),"We succeed if we want! Our history is the witness to that. Enough should not compromise with thoughtful and conscious movement. The beautiful tomorrows we will reach will be due to the measures taken today. Let's not forget our responsibilities: contact, "&amp;"distance, isolation.
https://t.co/rvlhe7786o https://t.co/nt4ydalpID")</f>
        <v>We succeed if we want! Our history is the witness to that. Enough should not compromise with thoughtful and conscious movement. The beautiful tomorrows we will reach will be due to the measures taken today. Let's not forget our responsibilities: contact, distance, isolation.
https://t.co/rvlhe7786o https://t.co/nt4ydalpID</v>
      </c>
    </row>
    <row r="2979" spans="1:5" ht="15.75" customHeight="1" x14ac:dyDescent="0.25">
      <c r="A2979" s="1" t="s">
        <v>5957</v>
      </c>
      <c r="B2979" s="1">
        <v>21629</v>
      </c>
      <c r="C2979" s="3">
        <v>43943.701956018522</v>
      </c>
      <c r="D2979" s="1" t="s">
        <v>5958</v>
      </c>
      <c r="E2979" s="4" t="str">
        <f ca="1">IFERROR(__xludf.DUMMYFUNCTION("GOOGLETRANSLATE(A2979 , ""tr"" , ""en"")"),"After our Science Board meeting, the latest developments on the coronavirus and the new measures we receive.
📍Public Ministry Bilkent Campus / Ankara
https://t.co/5b3opfpurx")</f>
        <v>After our Science Board meeting, the latest developments on the coronavirus and the new measures we receive.
📍Public Ministry Bilkent Campus / Ankara
https://t.co/5b3opfpurx</v>
      </c>
    </row>
    <row r="2980" spans="1:5" ht="15.75" customHeight="1" x14ac:dyDescent="0.25">
      <c r="A2980" s="1" t="s">
        <v>5959</v>
      </c>
      <c r="B2980" s="1">
        <v>80120</v>
      </c>
      <c r="C2980" s="3">
        <v>43943.538368055553</v>
      </c>
      <c r="D2980" s="1" t="s">
        <v>5960</v>
      </c>
      <c r="E2980" s="4" t="str">
        <f ca="1">IFERROR(__xludf.DUMMYFUNCTION("GOOGLETRANSLATE(A2980 , ""tr"" , ""en"")"),"After a few days ago, this tab was written to the center health center of Istanbul Suyupscriber. Finally, our patients who serve here our doctor's friend Yavuz Kalaycı to lose the COVID-19. The love of people is very loved, with so much. Just like Dr. Lik"&amp;"e Yavuz. https://t.co/iepcın2626")</f>
        <v>After a few days ago, this tab was written to the center health center of Istanbul Suyupscriber. Finally, our patients who serve here our doctor's friend Yavuz Kalaycı to lose the COVID-19. The love of people is very loved, with so much. Just like Dr. Like Yavuz. https://t.co/iepcın2626</v>
      </c>
    </row>
    <row r="2981" spans="1:5" ht="15.75" customHeight="1" x14ac:dyDescent="0.25">
      <c r="A2981" s="1" t="s">
        <v>5961</v>
      </c>
      <c r="B2981" s="1">
        <v>52228</v>
      </c>
      <c r="C2981" s="3">
        <v>43943.264467592591</v>
      </c>
      <c r="D2981" s="1" t="s">
        <v>5962</v>
      </c>
      <c r="E2981" s="4" t="str">
        <f ca="1">IFERROR(__xludf.DUMMYFUNCTION("GOOGLETRANSLATE(A2981 , ""tr"" , ""en"")"),"We celebrate the Mothers and their children on behalf of our Lifelong Life Members Week, the Members Week of the Members and Mothers. https://t.co/9voakrzu6b")</f>
        <v>We celebrate the Mothers and their children on behalf of our Lifelong Life Members Week, the Members Week of the Members and Mothers. https://t.co/9voakrzu6b</v>
      </c>
    </row>
    <row r="2982" spans="1:5" ht="15.75" customHeight="1" x14ac:dyDescent="0.25">
      <c r="A2982" s="1" t="s">
        <v>5963</v>
      </c>
      <c r="B2982" s="1">
        <v>83152</v>
      </c>
      <c r="C2982" s="3">
        <v>43942.668912037036</v>
      </c>
      <c r="D2982" s="1" t="s">
        <v>5964</v>
      </c>
      <c r="E2982" s="4" t="str">
        <f ca="1">IFERROR(__xludf.DUMMYFUNCTION("GOOGLETRANSLATE(A2982 , ""tr"" , ""en"")"),"The data tells us that: Don't be hopeless. Let's not forget that these two are more dangerous than the virus. Let's continue to comply with the measures. Contact, distance, isolation. https://t.co/rvlhe7786o https://t.co/tzt5dyv2mx")</f>
        <v>The data tells us that: Don't be hopeless. Let's not forget that these two are more dangerous than the virus. Let's continue to comply with the measures. Contact, distance, isolation. https://t.co/rvlhe7786o https://t.co/tzt5dyv2mx</v>
      </c>
    </row>
    <row r="2983" spans="1:5" ht="15.75" customHeight="1" x14ac:dyDescent="0.25">
      <c r="A2983" s="1" t="s">
        <v>5965</v>
      </c>
      <c r="B2983" s="1">
        <v>50725</v>
      </c>
      <c r="C2983" s="3">
        <v>43941.847488425927</v>
      </c>
      <c r="D2983" s="1" t="s">
        <v>5966</v>
      </c>
      <c r="E2983" s="4" t="str">
        <f ca="1">IFERROR(__xludf.DUMMYFUNCTION("GOOGLETRANSLATE(A2983 , ""tr"" , ""en"")"),"The new opened Istanbul Basaksehir City Hospital is the most intensive care capacity of Europe. The structure that hosts eight separate hospitals will add strength to our health system with advanced facilities. City hospitals are a health revolution that "&amp;"adds life to life. https://t.co/zgullqhcde")</f>
        <v>The new opened Istanbul Basaksehir City Hospital is the most intensive care capacity of Europe. The structure that hosts eight separate hospitals will add strength to our health system with advanced facilities. City hospitals are a health revolution that adds life to life. https://t.co/zgullqhcde</v>
      </c>
    </row>
    <row r="2984" spans="1:5" ht="15.75" customHeight="1" x14ac:dyDescent="0.25">
      <c r="A2984" s="1" t="s">
        <v>5967</v>
      </c>
      <c r="B2984" s="1">
        <v>0</v>
      </c>
      <c r="C2984" s="3">
        <v>43941.839988425927</v>
      </c>
      <c r="D2984" s="1" t="s">
        <v>5968</v>
      </c>
      <c r="E2984" s="4" t="str">
        <f ca="1">IFERROR(__xludf.DUMMYFUNCTION("GOOGLETRANSLATE(A2984 , ""tr"" , ""en"")"),"RT @rterdogan: We have strengthened both the infrastructure and the system with the reforms in the field of health. We haven't been with it, the city is our dream ...")</f>
        <v>RT @rterdogan: We have strengthened both the infrastructure and the system with the reforms in the field of health. We haven't been with it, the city is our dream ...</v>
      </c>
    </row>
    <row r="2985" spans="1:5" ht="15.75" customHeight="1" x14ac:dyDescent="0.25">
      <c r="A2985" s="1" t="s">
        <v>5969</v>
      </c>
      <c r="B2985" s="1">
        <v>61108</v>
      </c>
      <c r="C2985" s="3">
        <v>43941.726111111115</v>
      </c>
      <c r="D2985" s="1" t="s">
        <v>5970</v>
      </c>
      <c r="E2985" s="4" t="str">
        <f ca="1">IFERROR(__xludf.DUMMYFUNCTION("GOOGLETRANSLATE(A2985 , ""tr"" , ""en"")"),"Today we found 1454 patients more healing. We must be as peremptory as at least virus. This war; We will win with our commitment to the devoted and measures of our health matram.
https://t.co/rvlhe7786o https://t.co/9thb7a70d9")</f>
        <v>Today we found 1454 patients more healing. We must be as peremptory as at least virus. This war; We will win with our commitment to the devoted and measures of our health matram.
https://t.co/rvlhe7786o https://t.co/9thb7a70d9</v>
      </c>
    </row>
    <row r="2986" spans="1:5" ht="15.75" customHeight="1" x14ac:dyDescent="0.25">
      <c r="A2986" s="1" t="s">
        <v>5971</v>
      </c>
      <c r="B2986" s="1">
        <v>86567</v>
      </c>
      <c r="C2986" s="3">
        <v>43941.723854166667</v>
      </c>
      <c r="D2986" s="1" t="s">
        <v>5972</v>
      </c>
      <c r="E2986" s="4" t="str">
        <f ca="1">IFERROR(__xludf.DUMMYFUNCTION("GOOGLETRANSLATE(A2986 , ""tr"" , ""en"")"),"Our breathing device project, which we started by entering our illness limits yet, our respirator project is out of mass production today. Thanks to everyone passing labor.
@varank @baykar_savunma @Acelik @aselsan @biyovent")</f>
        <v>Our breathing device project, which we started by entering our illness limits yet, our respirator project is out of mass production today. Thanks to everyone passing labor.
@varank @baykar_savunma @Acelik @aselsan @biyovent</v>
      </c>
    </row>
    <row r="2987" spans="1:5" ht="15.75" customHeight="1" x14ac:dyDescent="0.25">
      <c r="A2987" s="1" t="s">
        <v>5973</v>
      </c>
      <c r="B2987" s="1">
        <v>110383</v>
      </c>
      <c r="C2987" s="3">
        <v>43941.7031712963</v>
      </c>
      <c r="D2987" s="1" t="s">
        <v>5974</v>
      </c>
      <c r="E2987" s="4" t="str">
        <f ca="1">IFERROR(__xludf.DUMMYFUNCTION("GOOGLETRANSLATE(A2987 , ""tr"" , ""en"")"),"Today, we realized a great dream. I would like to thank our National President @ Rterdogan on behalf of our National Nation. # Basaksehirsehirhacısi Https://t.co/TIZIEHFR0D")</f>
        <v>Today, we realized a great dream. I would like to thank our National President @ Rterdogan on behalf of our National Nation. # Basaksehirsehirhacısi Https://t.co/TIZIEHFR0D</v>
      </c>
    </row>
    <row r="2988" spans="1:5" ht="15.75" customHeight="1" x14ac:dyDescent="0.25">
      <c r="A2988" s="1" t="s">
        <v>5975</v>
      </c>
      <c r="B2988" s="1">
        <v>0</v>
      </c>
      <c r="C2988" s="3">
        <v>43941.67728009259</v>
      </c>
      <c r="D2988" s="1" t="s">
        <v>5976</v>
      </c>
      <c r="E2988" s="4" t="str">
        <f ca="1">IFERROR(__xludf.DUMMYFUNCTION("GOOGLETRANSLATE(A2988 , ""tr"" , ""en"")"),"RT @rterdogan: Shouting Nation After Cabinet Meeting https://t.co/djklznjmmu")</f>
        <v>RT @rterdogan: Shouting Nation After Cabinet Meeting https://t.co/djklznjmmu</v>
      </c>
    </row>
    <row r="2989" spans="1:5" ht="15.75" customHeight="1" x14ac:dyDescent="0.25">
      <c r="A2989" s="1" t="s">
        <v>5977</v>
      </c>
      <c r="B2989" s="1">
        <v>51862</v>
      </c>
      <c r="C2989" s="3">
        <v>43941.391631944447</v>
      </c>
      <c r="D2989" s="1" t="s">
        <v>5978</v>
      </c>
      <c r="E2989" s="4" t="str">
        <f ca="1">IFERROR(__xludf.DUMMYFUNCTION("GOOGLETRANSLATE(A2989 , ""tr"" , ""en"")"),"Mr. President @ rterdogan (video conferencing)
We open our Başaksehir City Hospital to be served with the factors.
📍 Casturşehir / Istanbul https://t.co/1db29dndqw")</f>
        <v>Mr. President @ rterdogan (video conferencing)
We open our Başaksehir City Hospital to be served with the factors.
📍 Casturşehir / Istanbul https://t.co/1db29dndqw</v>
      </c>
    </row>
    <row r="2990" spans="1:5" ht="15.75" customHeight="1" x14ac:dyDescent="0.25">
      <c r="A2990" s="1" t="s">
        <v>5979</v>
      </c>
      <c r="B2990" s="1">
        <v>87739</v>
      </c>
      <c r="C2990" s="3">
        <v>43940.666701388887</v>
      </c>
      <c r="D2990" s="1" t="s">
        <v>5980</v>
      </c>
      <c r="E2990" s="4" t="str">
        <f ca="1">IFERROR(__xludf.DUMMYFUNCTION("GOOGLETRANSLATE(A2990 , ""tr"" , ""en"")"),"Gives the attractions we have shown to the measures. While we boost daily test facilities, your responsible behavior will also reduce the new case numbers. Trust the power of our health or my health system. Do not leave the measure in hand.
https://t.co"&amp;"/rvlhe7786o https://t.co/3pg0wrquey")</f>
        <v>Gives the attractions we have shown to the measures. While we boost daily test facilities, your responsible behavior will also reduce the new case numbers. Trust the power of our health or my health system. Do not leave the measure in hand.
https://t.co/rvlhe7786o https://t.co/3pg0wrquey</v>
      </c>
    </row>
    <row r="2991" spans="1:5" ht="15.75" customHeight="1" x14ac:dyDescent="0.25">
      <c r="A2991" s="1" t="s">
        <v>5981</v>
      </c>
      <c r="B2991" s="1">
        <v>123096</v>
      </c>
      <c r="C2991" s="3">
        <v>43940.585543981484</v>
      </c>
      <c r="D2991" s="1" t="s">
        <v>5982</v>
      </c>
      <c r="E2991" s="4" t="str">
        <f ca="1">IFERROR(__xludf.DUMMYFUNCTION("GOOGLETRANSLATE(A2991 , ""tr"" , ""en"")"),"We are in April. We have to resist the sun's attractiveness of the streets. We should not lose the earnings we get so far. We expect a greater spring. Let's be patient. Let's stay at home. https://t.co/83Iu65lyrz")</f>
        <v>We are in April. We have to resist the sun's attractiveness of the streets. We should not lose the earnings we get so far. We expect a greater spring. Let's be patient. Let's stay at home. https://t.co/83Iu65lyrz</v>
      </c>
    </row>
    <row r="2992" spans="1:5" ht="15.75" customHeight="1" x14ac:dyDescent="0.25">
      <c r="A2992" s="1" t="s">
        <v>5983</v>
      </c>
      <c r="B2992" s="1">
        <v>60678</v>
      </c>
      <c r="C2992" s="3">
        <v>43939.842164351852</v>
      </c>
      <c r="D2992" s="1" t="s">
        <v>5984</v>
      </c>
      <c r="E2992" s="4" t="str">
        <f ca="1">IFERROR(__xludf.DUMMYFUNCTION("GOOGLETRANSLATE(A2992 , ""tr"" , ""en"")"),"Turkey continues to great health investments. The first stage of Istanbul Basaksehir City Hospital is opening on April 20, from the hospitals of Europe's largest intensive care capacity. The giant health complex consisting of eight separate hospitals will"&amp;" add power to the power of our health system. https://t.co/dys36edffv")</f>
        <v>Turkey continues to great health investments. The first stage of Istanbul Basaksehir City Hospital is opening on April 20, from the hospitals of Europe's largest intensive care capacity. The giant health complex consisting of eight separate hospitals will add power to the power of our health system. https://t.co/dys36edffv</v>
      </c>
    </row>
    <row r="2993" spans="1:5" ht="15.75" customHeight="1" x14ac:dyDescent="0.25">
      <c r="A2993" s="1" t="s">
        <v>5985</v>
      </c>
      <c r="B2993" s="1">
        <v>126228</v>
      </c>
      <c r="C2993" s="3">
        <v>43939.702939814815</v>
      </c>
      <c r="D2993" s="1" t="s">
        <v>5986</v>
      </c>
      <c r="E2993" s="4" t="str">
        <f ca="1">IFERROR(__xludf.DUMMYFUNCTION("GOOGLETRANSLATE(A2993 , ""tr"" , ""en"")"),"Our patient number of healing is over 10,000. We have important superiorities in treatment. Despite our increasing test count, there is a decrease in the newly added number of cases. We have two strengths: Measure, Treatment. Let's use our strength.
http"&amp;"s://t.co/rvlhe7786o https://t.co/jlmrsmkuyf")</f>
        <v>Our patient number of healing is over 10,000. We have important superiorities in treatment. Despite our increasing test count, there is a decrease in the newly added number of cases. We have two strengths: Measure, Treatment. Let's use our strength.
https://t.co/rvlhe7786o https://t.co/jlmrsmkuyf</v>
      </c>
    </row>
    <row r="2994" spans="1:5" ht="15.75" customHeight="1" x14ac:dyDescent="0.25">
      <c r="A2994" s="1" t="s">
        <v>5987</v>
      </c>
      <c r="B2994" s="1">
        <v>52928</v>
      </c>
      <c r="C2994" s="3">
        <v>43939.568854166668</v>
      </c>
      <c r="D2994" s="1" t="s">
        <v>5988</v>
      </c>
      <c r="E2994" s="4" t="str">
        <f ca="1">IFERROR(__xludf.DUMMYFUNCTION("GOOGLETRANSLATE(A2994 , ""tr"" , ""en"")"),"We will make Istanbul ready for disasters with both collars. Multi-purpose hospital we build in Yeşilköy; The epidemic will create an earthquake and a strong health infective of all kinds of afat. Our hospital, which can be converted into intensive care o"&amp;"f each room is 1008 beds. https://t.co/rm45ixuer1")</f>
        <v>We will make Istanbul ready for disasters with both collars. Multi-purpose hospital we build in Yeşilköy; The epidemic will create an earthquake and a strong health infective of all kinds of afat. Our hospital, which can be converted into intensive care of each room is 1008 beds. https://t.co/rm45ixuer1</v>
      </c>
    </row>
    <row r="2995" spans="1:5" ht="15.75" customHeight="1" x14ac:dyDescent="0.25">
      <c r="A2995" s="1" t="s">
        <v>5989</v>
      </c>
      <c r="B2995" s="1">
        <v>51529</v>
      </c>
      <c r="C2995" s="3">
        <v>43939.561620370368</v>
      </c>
      <c r="D2995" s="1" t="s">
        <v>5990</v>
      </c>
      <c r="E2995" s="4" t="str">
        <f ca="1">IFERROR(__xludf.DUMMYFUNCTION("GOOGLETRANSLATE(A2995 , ""tr"" , ""en"")"),"We are in Sancaktepe. Our epidemic, earthquake and disaster hospital are being quickly built. The 432 will serve full capacity in all kinds of individual hospitals, consisting of a total of 1008 beds, including intense care. Turkey will continue to make t"&amp;"he difference in the world with the health system. https://t.co/znmztzj9fw")</f>
        <v>We are in Sancaktepe. Our epidemic, earthquake and disaster hospital are being quickly built. The 432 will serve full capacity in all kinds of individual hospitals, consisting of a total of 1008 beds, including intense care. Turkey will continue to make the difference in the world with the health system. https://t.co/znmztzj9fw</v>
      </c>
    </row>
    <row r="2996" spans="1:5" ht="15.75" customHeight="1" x14ac:dyDescent="0.25">
      <c r="A2996" s="1" t="s">
        <v>5991</v>
      </c>
      <c r="B2996" s="1">
        <v>55317</v>
      </c>
      <c r="C2996" s="3">
        <v>43939.008784722224</v>
      </c>
      <c r="D2996" s="1" t="s">
        <v>5992</v>
      </c>
      <c r="E2996" s="4" t="str">
        <f ca="1">IFERROR(__xludf.DUMMYFUNCTION("GOOGLETRANSLATE(A2996 , ""tr"" , ""en"")"),"The patient burden of our health institutions is no longer above a certain capacity. There is no occupancy that exceeds 60%. Europe, America choosing the patient, in Turkey, in the period of 5th week, in intensive care occupancy of 60%. The service occupa"&amp;"ncy rate did not exceed 50%. This is Turkey's success. https://t.co/vepaeqp5na")</f>
        <v>The patient burden of our health institutions is no longer above a certain capacity. There is no occupancy that exceeds 60%. Europe, America choosing the patient, in Turkey, in the period of 5th week, in intensive care occupancy of 60%. The service occupancy rate did not exceed 50%. This is Turkey's success. https://t.co/vepaeqp5na</v>
      </c>
    </row>
    <row r="2997" spans="1:5" ht="15.75" customHeight="1" x14ac:dyDescent="0.25">
      <c r="A2997" s="1" t="s">
        <v>5993</v>
      </c>
      <c r="B2997" s="1">
        <v>85413</v>
      </c>
      <c r="C2997" s="3">
        <v>43938.997523148151</v>
      </c>
      <c r="D2997" s="1" t="s">
        <v>5994</v>
      </c>
      <c r="E2997" s="4" t="str">
        <f ca="1">IFERROR(__xludf.DUMMYFUNCTION("GOOGLETRANSLATE(A2997 , ""tr"" , ""en"")"),"#Greetyerdoganphotoography https://t.co/wb4k3tzhax")</f>
        <v>#Greetyerdoganphotoography https://t.co/wb4k3tzhax</v>
      </c>
    </row>
    <row r="2998" spans="1:5" ht="15.75" customHeight="1" x14ac:dyDescent="0.25">
      <c r="A2998" s="1" t="s">
        <v>5995</v>
      </c>
      <c r="B2998" s="1">
        <v>34491</v>
      </c>
      <c r="C2998" s="3">
        <v>43938.965636574074</v>
      </c>
      <c r="D2998" s="1" t="s">
        <v>5996</v>
      </c>
      <c r="E2998" s="4" t="str">
        <f ca="1">IFERROR(__xludf.DUMMYFUNCTION("GOOGLETRANSLATE(A2998 , ""tr"" , ""en"")"),"There are three important elements in the struggle. 1: Determine the case and make the oil. 2: Being strong in treatment. We don't have problems with these two. We are far ahead. 3: Insulation, prevent contact, maintain social distance. If this is provide"&amp;"d, the formation of a new wave is avoided, life returns to normal normal. https://t.co/6cirsd18xn")</f>
        <v>There are three important elements in the struggle. 1: Determine the case and make the oil. 2: Being strong in treatment. We don't have problems with these two. We are far ahead. 3: Insulation, prevent contact, maintain social distance. If this is provided, the formation of a new wave is avoided, life returns to normal normal. https://t.co/6cirsd18xn</v>
      </c>
    </row>
    <row r="2999" spans="1:5" ht="15.75" customHeight="1" x14ac:dyDescent="0.25">
      <c r="A2999" s="1" t="s">
        <v>5997</v>
      </c>
      <c r="B2999" s="1">
        <v>35887</v>
      </c>
      <c r="C2999" s="3">
        <v>43938.958796296298</v>
      </c>
      <c r="D2999" s="1" t="s">
        <v>5998</v>
      </c>
      <c r="E2999" s="4" t="str">
        <f ca="1">IFERROR(__xludf.DUMMYFUNCTION("GOOGLETRANSLATE(A2999 , ""tr"" , ""en"")"),"Let's trust our country. Let our physicians rely on our health ormit. The decline in our death rates stems from the different approach to the treatment of our health workers from the different approach to the treatment, drug use, drug use. We would like t"&amp;"o show this to the world with publications. https://t.co/8zrfpnwjiI")</f>
        <v>Let's trust our country. Let our physicians rely on our health ormit. The decline in our death rates stems from the different approach to the treatment of our health workers from the different approach to the treatment, drug use, drug use. We would like to show this to the world with publications. https://t.co/8zrfpnwjiI</v>
      </c>
    </row>
    <row r="3000" spans="1:5" ht="15.75" customHeight="1" x14ac:dyDescent="0.25">
      <c r="A3000" s="1" t="s">
        <v>5999</v>
      </c>
      <c r="B3000" s="1">
        <v>101753</v>
      </c>
      <c r="C3000" s="3">
        <v>43938.912604166668</v>
      </c>
      <c r="D3000" s="1" t="s">
        <v>6000</v>
      </c>
      <c r="E3000" s="4" t="str">
        <f ca="1">IFERROR(__xludf.DUMMYFUNCTION("GOOGLETRANSLATE(A3000 , ""tr"" , ""en"")"),"""State is for nation, folks are not for the state!""
We remember our first civilian President. https://t.co/lfzmq222uz")</f>
        <v>"State is for nation, folks are not for the state!"
We remember our first civilian President. https://t.co/lfzmq222uz</v>
      </c>
    </row>
    <row r="3001" spans="1:5" ht="15.75" customHeight="1" x14ac:dyDescent="0.25">
      <c r="A3001" s="1" t="s">
        <v>6001</v>
      </c>
      <c r="B3001" s="1">
        <v>89516</v>
      </c>
      <c r="C3001" s="3">
        <v>43938.610358796293</v>
      </c>
      <c r="D3001" s="1" t="s">
        <v>6002</v>
      </c>
      <c r="E3001" s="4" t="str">
        <f ca="1">IFERROR(__xludf.DUMMYFUNCTION("GOOGLETRANSLATE(A3001 , ""tr"" , ""en"")"),"Our recovering patient count will soon be over 10,000. Balance has been formed between the number of patients discharged with the number of patients lying. The number of cases is decreasing as we expect the increase speed. We have two strengths: Measure, "&amp;"Treatment. Let's use our strength.
https://t.co/rvlhe7oIYM https://t.co/jpkqkezl6")</f>
        <v>Our recovering patient count will soon be over 10,000. Balance has been formed between the number of patients discharged with the number of patients lying. The number of cases is decreasing as we expect the increase speed. We have two strengths: Measure, Treatment. Let's use our strength.
https://t.co/rvlhe7oIYM https://t.co/jpkqkezl6</v>
      </c>
    </row>
    <row r="3002" spans="1:5" ht="15.75" customHeight="1" x14ac:dyDescent="0.25">
      <c r="A3002" s="1" t="s">
        <v>6003</v>
      </c>
      <c r="B3002" s="1">
        <v>20207</v>
      </c>
      <c r="C3002" s="3">
        <v>43938.60900462963</v>
      </c>
      <c r="D3002" s="1" t="s">
        <v>6004</v>
      </c>
      <c r="E3002" s="4" t="str">
        <f ca="1">IFERROR(__xludf.DUMMYFUNCTION("GOOGLETRANSLATE(A3002 , ""tr"" , ""en"")"),"After our Science Board meeting, the latest developments on the coronavirus and the new measures we receive.
📍Public Ministry Bilkent Campus / Ankara
 https://t.co/cctee2vbv9")</f>
        <v>After our Science Board meeting, the latest developments on the coronavirus and the new measures we receive.
📍Public Ministry Bilkent Campus / Ankara
 https://t.co/cctee2vbv9</v>
      </c>
    </row>
    <row r="3003" spans="1:5" ht="15.75" customHeight="1" x14ac:dyDescent="0.25">
      <c r="A3003" s="1" t="s">
        <v>6005</v>
      </c>
      <c r="B3003" s="1">
        <v>98691</v>
      </c>
      <c r="C3003" s="3">
        <v>43937.687685185185</v>
      </c>
      <c r="D3003" s="1" t="s">
        <v>6006</v>
      </c>
      <c r="E3003" s="4" t="str">
        <f ca="1">IFERROR(__xludf.DUMMYFUNCTION("GOOGLETRANSLATE(A3003 , ""tr"" , ""en"")"),"We have exceeded 40,000 test targets a day. The number of cases increased at the foreseeable level. In patients who need intensive care support is under cruise control. Our new recovering patient count is over 1,000. We have two strengths: Measure, Treatm"&amp;"ent. Let's use our strength.
https://t.co/rvlhe7786o https://t.co/if79hgmejb")</f>
        <v>We have exceeded 40,000 test targets a day. The number of cases increased at the foreseeable level. In patients who need intensive care support is under cruise control. Our new recovering patient count is over 1,000. We have two strengths: Measure, Treatment. Let's use our strength.
https://t.co/rvlhe7786o https://t.co/if79hgmejb</v>
      </c>
    </row>
    <row r="3004" spans="1:5" ht="15.75" customHeight="1" x14ac:dyDescent="0.25">
      <c r="A3004" s="1" t="s">
        <v>6007</v>
      </c>
      <c r="B3004" s="1">
        <v>102439</v>
      </c>
      <c r="C3004" s="3">
        <v>43936.887499999997</v>
      </c>
      <c r="D3004" s="1" t="s">
        <v>6008</v>
      </c>
      <c r="E3004" s="4" t="str">
        <f ca="1">IFERROR(__xludf.DUMMYFUNCTION("GOOGLETRANSLATE(A3004 , ""tr"" , ""en"")"),"The Prevention of Violence in Health The Bid of the Law of Violence was held on the agenda with the reconciliation of all parties in our Supreme Council. I would like to thank all our proxies with the contribution of health care workers to protect from vi"&amp;"olence.")</f>
        <v>The Prevention of Violence in Health The Bid of the Law of Violence was held on the agenda with the reconciliation of all parties in our Supreme Council. I would like to thank all our proxies with the contribution of health care workers to protect from violence.</v>
      </c>
    </row>
    <row r="3005" spans="1:5" ht="15.75" customHeight="1" x14ac:dyDescent="0.25">
      <c r="A3005" s="1" t="s">
        <v>6009</v>
      </c>
      <c r="B3005" s="1">
        <v>87186</v>
      </c>
      <c r="C3005" s="3">
        <v>43936.708495370367</v>
      </c>
      <c r="D3005" s="1" t="s">
        <v>6010</v>
      </c>
      <c r="E3005" s="4" t="str">
        <f ca="1">IFERROR(__xludf.DUMMYFUNCTION("GOOGLETRANSLATE(A3005 , ""tr"" , ""en"")"),"The increase speed in the case of the case, the rate of increase in the number of patients in need of intensive care and respiratory support, the rate of increase in the number of increases. 875 was discharged over 5,674 patients in the last 24 hours. We "&amp;"have two strengths: Measure, Treatment. Let's use our strength.
https://t.co/rvlhe7786o https://t.co/Ivrpbk8n2f")</f>
        <v>The increase speed in the case of the case, the rate of increase in the number of patients in need of intensive care and respiratory support, the rate of increase in the number of increases. 875 was discharged over 5,674 patients in the last 24 hours. We have two strengths: Measure, Treatment. Let's use our strength.
https://t.co/rvlhe7786o https://t.co/Ivrpbk8n2f</v>
      </c>
    </row>
    <row r="3006" spans="1:5" ht="15.75" customHeight="1" x14ac:dyDescent="0.25">
      <c r="A3006" s="1" t="s">
        <v>6011</v>
      </c>
      <c r="B3006" s="1">
        <v>49742</v>
      </c>
      <c r="C3006" s="3">
        <v>43936.33353009259</v>
      </c>
      <c r="D3006" s="1" t="s">
        <v>6012</v>
      </c>
      <c r="E3006" s="4" t="str">
        <f ca="1">IFERROR(__xludf.DUMMYFUNCTION("GOOGLETRANSLATE(A3006 , ""tr"" , ""en"")"),"We are successful in the case determination. In patient treatment, we are successful in intensive care. We have a high motivation. We are the superior power in the struggle. The rule that will take us to the result: Reduce the movement, increase the isola"&amp;"tion! If we persistently apply this rule we will get to life as soon as we miss! https://t.co/1ma9rgfd1a")</f>
        <v>We are successful in the case determination. In patient treatment, we are successful in intensive care. We have a high motivation. We are the superior power in the struggle. The rule that will take us to the result: Reduce the movement, increase the isolation! If we persistently apply this rule we will get to life as soon as we miss! https://t.co/1ma9rgfd1a</v>
      </c>
    </row>
    <row r="3007" spans="1:5" ht="15.75" customHeight="1" x14ac:dyDescent="0.25">
      <c r="A3007" s="1" t="s">
        <v>6013</v>
      </c>
      <c r="B3007" s="1">
        <v>56831</v>
      </c>
      <c r="C3007" s="3">
        <v>43936.292314814818</v>
      </c>
      <c r="D3007" s="1" t="s">
        <v>6014</v>
      </c>
      <c r="E3007" s="4" t="str">
        <f ca="1">IFERROR(__xludf.DUMMYFUNCTION("GOOGLETRANSLATE(A3007 , ""tr"" , ""en"")"),"Turkey has a different approach in treatment. No country has used a positive, suspected hydroxycluoroquine medicine in all cases in early cases. We have received 1 million boxes without being seen more than this medication. There is no country that uses F"&amp;"avipiravir in China with the approach. https://t.co/alco3hrq0t")</f>
        <v>Turkey has a different approach in treatment. No country has used a positive, suspected hydroxycluoroquine medicine in all cases in early cases. We have received 1 million boxes without being seen more than this medication. There is no country that uses Favipiravir in China with the approach. https://t.co/alco3hrq0t</v>
      </c>
    </row>
    <row r="3008" spans="1:5" ht="15.75" customHeight="1" x14ac:dyDescent="0.25">
      <c r="A3008" s="1" t="s">
        <v>6015</v>
      </c>
      <c r="B3008" s="1">
        <v>29487</v>
      </c>
      <c r="C3008" s="3">
        <v>43935.935266203705</v>
      </c>
      <c r="D3008" s="1" t="s">
        <v>6016</v>
      </c>
      <c r="E3008" s="4" t="str">
        <f ca="1">IFERROR(__xludf.DUMMYFUNCTION("GOOGLETRANSLATE(A3008 , ""tr"" , ""en"")"),"Fillation gives noticeably consequences of struggle with this system. Tables, to us, you will overcome, says the elin. In case of case, we are successful in patient treatment, intensive care. We are the superior power in the struggle. The rule that will t"&amp;"ake us to the result: Reduce the movement, increase the isolation! https://t.co/g9vifl0lqs")</f>
        <v>Fillation gives noticeably consequences of struggle with this system. Tables, to us, you will overcome, says the elin. In case of case, we are successful in patient treatment, intensive care. We are the superior power in the struggle. The rule that will take us to the result: Reduce the movement, increase the isolation! https://t.co/g9vifl0lqs</v>
      </c>
    </row>
    <row r="3009" spans="1:5" ht="15.75" customHeight="1" x14ac:dyDescent="0.25">
      <c r="A3009" s="1" t="s">
        <v>6017</v>
      </c>
      <c r="B3009" s="1">
        <v>32700</v>
      </c>
      <c r="C3009" s="3">
        <v>43935.927129629628</v>
      </c>
      <c r="D3009" s="1" t="s">
        <v>6018</v>
      </c>
      <c r="E3009" s="4" t="str">
        <f ca="1">IFERROR(__xludf.DUMMYFUNCTION("GOOGLETRANSLATE(A3009 , ""tr"" , ""en"")"),"The way to cut out the front of the epidemic is the filion! In the rate of increase in patient loss, we have a data similar to the decline in the rate of increase in the rate of increase in the rate of measurement in the rate of death in Turkey. Turkey, t"&amp;"he slowdown in the rate of death increase is the earliest country. https://t.co/mppxpn5ntm")</f>
        <v>The way to cut out the front of the epidemic is the filion! In the rate of increase in patient loss, we have a data similar to the decline in the rate of increase in the rate of increase in the rate of measurement in the rate of death in Turkey. Turkey, the slowdown in the rate of death increase is the earliest country. https://t.co/mppxpn5ntm</v>
      </c>
    </row>
    <row r="3010" spans="1:5" ht="15.75" customHeight="1" x14ac:dyDescent="0.25">
      <c r="A3010" s="1" t="s">
        <v>6019</v>
      </c>
      <c r="B3010" s="1">
        <v>75172</v>
      </c>
      <c r="C3010" s="3">
        <v>43935.902974537035</v>
      </c>
      <c r="D3010" s="1" t="s">
        <v>6020</v>
      </c>
      <c r="E3010" s="4" t="str">
        <f ca="1">IFERROR(__xludf.DUMMYFUNCTION("GOOGLETRANSLATE(A3010 , ""tr"" , ""en"")"),"The disease reached the maximum number of cases in a week in America 11 and reached in 7th week in China. We reached the most number of cases in the 4th week. 4. In Turkey, the rate of increase in Turkey has fallen in Turkey! With current data, we have st"&amp;"arted to control the spread of the spread. https://t.co/xmvrq5g9rp")</f>
        <v>The disease reached the maximum number of cases in a week in America 11 and reached in 7th week in China. We reached the most number of cases in the 4th week. 4. In Turkey, the rate of increase in Turkey has fallen in Turkey! With current data, we have started to control the spread of the spread. https://t.co/xmvrq5g9rp</v>
      </c>
    </row>
    <row r="3011" spans="1:5" ht="15.75" customHeight="1" x14ac:dyDescent="0.25">
      <c r="A3011" s="1" t="s">
        <v>6021</v>
      </c>
      <c r="B3011" s="1">
        <v>76642</v>
      </c>
      <c r="C3011" s="3">
        <v>43935.712013888886</v>
      </c>
      <c r="D3011" s="1" t="s">
        <v>6022</v>
      </c>
      <c r="E3011" s="4" t="str">
        <f ca="1">IFERROR(__xludf.DUMMYFUNCTION("GOOGLETRANSLATE(A3011 , ""tr"" , ""en"")"),"The number of cases increased speed, despite the increase in the number of tests. The number of patients who find healing is increasingly growing. The rate of increase in respiratory support and intensive maintenance is low. We have two strengths: Measure"&amp;", Treatment. Let's use our strength.
https://t.co/rvlhe7786o https://t.co/yevglrqtcz")</f>
        <v>The number of cases increased speed, despite the increase in the number of tests. The number of patients who find healing is increasingly growing. The rate of increase in respiratory support and intensive maintenance is low. We have two strengths: Measure, Treatment. Let's use our strength.
https://t.co/rvlhe7786o https://t.co/yevglrqtcz</v>
      </c>
    </row>
    <row r="3012" spans="1:5" ht="15.75" customHeight="1" x14ac:dyDescent="0.25">
      <c r="A3012" s="1" t="s">
        <v>6023</v>
      </c>
      <c r="B3012" s="1">
        <v>34894</v>
      </c>
      <c r="C3012" s="3">
        <v>43935.701909722222</v>
      </c>
      <c r="D3012" s="1" t="s">
        <v>6024</v>
      </c>
      <c r="E3012" s="4" t="str">
        <f ca="1">IFERROR(__xludf.DUMMYFUNCTION("GOOGLETRANSLATE(A3012 , ""tr"" , ""en"")"),"After our Science Board meeting, the latest developments on the coronavirus and the new measures we receive.
📍 The Ministry of Health Bilkent Campus / Ankara https://t.co/ded3o8iy5h")</f>
        <v>After our Science Board meeting, the latest developments on the coronavirus and the new measures we receive.
📍 The Ministry of Health Bilkent Campus / Ankara https://t.co/ded3o8iy5h</v>
      </c>
    </row>
    <row r="3013" spans="1:5" ht="15.75" customHeight="1" x14ac:dyDescent="0.25">
      <c r="A3013" s="1" t="s">
        <v>6025</v>
      </c>
      <c r="B3013" s="1">
        <v>40517</v>
      </c>
      <c r="C3013" s="3">
        <v>43935.543993055559</v>
      </c>
      <c r="D3013" s="1" t="s">
        <v>6026</v>
      </c>
      <c r="E3013" s="4" t="str">
        <f ca="1">IFERROR(__xludf.DUMMYFUNCTION("GOOGLETRANSLATE(A3013 , ""tr"" , ""en"")"),"If you have chronic discomfort such as respiratory tract, heart, blood pressure, diabetes, you must not forget that you are weak in the face of the coronavirus. You will be cautious, we will support. Here we will beat the coronavirus. # We will be united "&amp;"https://t.co/a3y60welwv")</f>
        <v>If you have chronic discomfort such as respiratory tract, heart, blood pressure, diabetes, you must not forget that you are weak in the face of the coronavirus. You will be cautious, we will support. Here we will beat the coronavirus. # We will be united https://t.co/a3y60welwv</v>
      </c>
    </row>
    <row r="3014" spans="1:5" ht="15.75" customHeight="1" x14ac:dyDescent="0.25">
      <c r="A3014" s="1" t="s">
        <v>6027</v>
      </c>
      <c r="B3014" s="1">
        <v>55661</v>
      </c>
      <c r="C3014" s="3">
        <v>43935.459398148145</v>
      </c>
      <c r="D3014" s="1" t="s">
        <v>6028</v>
      </c>
      <c r="E3014" s="4" t="str">
        <f ca="1">IFERROR(__xludf.DUMMYFUNCTION("GOOGLETRANSLATE(A3014 , ""tr"" , ""en"")"),"We are at risk in hospitals, we have to use the mask. But the risk is now common. You should use the mask as you go out. Here we will beat the coronavirus. # We will be united https://t.co/nhvsvx30tl")</f>
        <v>We are at risk in hospitals, we have to use the mask. But the risk is now common. You should use the mask as you go out. Here we will beat the coronavirus. # We will be united https://t.co/nhvsvx30tl</v>
      </c>
    </row>
    <row r="3015" spans="1:5" ht="15.75" customHeight="1" x14ac:dyDescent="0.25">
      <c r="A3015" s="1" t="s">
        <v>6029</v>
      </c>
      <c r="B3015" s="1">
        <v>46191</v>
      </c>
      <c r="C3015" s="3">
        <v>43935.375358796293</v>
      </c>
      <c r="D3015" s="1" t="s">
        <v>6030</v>
      </c>
      <c r="E3015" s="4" t="str">
        <f ca="1">IFERROR(__xludf.DUMMYFUNCTION("GOOGLETRANSLATE(A3015 , ""tr"" , ""en"")"),"We are at the head of our task in hospitals. You, you should stay at home. We are treating the patients, we are serving the same purpose together by staying at home. Here we will beat the coronavirus. # We will join HTTPS://T.CO/I0NOAW4AIU")</f>
        <v>We are at the head of our task in hospitals. You, you should stay at home. We are treating the patients, we are serving the same purpose together by staying at home. Here we will beat the coronavirus. # We will join HTTPS://T.CO/I0NOAW4AIU</v>
      </c>
    </row>
    <row r="3016" spans="1:5" ht="15.75" customHeight="1" x14ac:dyDescent="0.25">
      <c r="A3016" s="1" t="s">
        <v>6031</v>
      </c>
      <c r="B3016" s="1">
        <v>49258</v>
      </c>
      <c r="C3016" s="3">
        <v>43935.292129629626</v>
      </c>
      <c r="D3016" s="1" t="s">
        <v>6032</v>
      </c>
      <c r="E3016" s="4" t="str">
        <f ca="1">IFERROR(__xludf.DUMMYFUNCTION("GOOGLETRANSLATE(A3016 , ""tr"" , ""en"")"),"The social distance is the distance you put in between Koronavirus. By complying with the social distance rule you will take part in our struggle. Here we will beat the coronavirus. # We will be united https://t.co/jadxsbeg24")</f>
        <v>The social distance is the distance you put in between Koronavirus. By complying with the social distance rule you will take part in our struggle. Here we will beat the coronavirus. # We will be united https://t.co/jadxsbeg24</v>
      </c>
    </row>
    <row r="3017" spans="1:5" ht="15.75" customHeight="1" x14ac:dyDescent="0.25">
      <c r="A3017" s="1" t="s">
        <v>6033</v>
      </c>
      <c r="B3017" s="1">
        <v>63669</v>
      </c>
      <c r="C3017" s="3">
        <v>43934.955185185187</v>
      </c>
      <c r="D3017" s="1" t="s">
        <v>6034</v>
      </c>
      <c r="E3017" s="4" t="str">
        <f ca="1">IFERROR(__xludf.DUMMYFUNCTION("GOOGLETRANSLATE(A3017 , ""tr"" , ""en"")"),"We will treat our patients. You will stay away from social environments and will not be caught in the disease by staying at home. Here we will beat the coronavirus. # We will be united https://t.co/bc6hmilva1")</f>
        <v>We will treat our patients. You will stay away from social environments and will not be caught in the disease by staying at home. Here we will beat the coronavirus. # We will be united https://t.co/bc6hmilva1</v>
      </c>
    </row>
    <row r="3018" spans="1:5" ht="15.75" customHeight="1" x14ac:dyDescent="0.25">
      <c r="A3018" s="1" t="s">
        <v>6035</v>
      </c>
      <c r="B3018" s="1">
        <v>175245</v>
      </c>
      <c r="C3018" s="3">
        <v>43934.708437499998</v>
      </c>
      <c r="D3018" s="1" t="s">
        <v>6036</v>
      </c>
      <c r="E3018" s="4" t="str">
        <f ca="1">IFERROR(__xludf.DUMMYFUNCTION("GOOGLETRANSLATE(A3018 , ""tr"" , ""en"")"),"Children, you don't have bigger than you! Even today you didn't go out. You are not dead. I kiss your eyes for your patience. https://t.co/zpzlflnyzc")</f>
        <v>Children, you don't have bigger than you! Even today you didn't go out. You are not dead. I kiss your eyes for your patience. https://t.co/zpzlflnyzc</v>
      </c>
    </row>
    <row r="3019" spans="1:5" ht="15.75" customHeight="1" x14ac:dyDescent="0.25">
      <c r="A3019" s="1" t="s">
        <v>6037</v>
      </c>
      <c r="B3019" s="1">
        <v>92778</v>
      </c>
      <c r="C3019" s="3">
        <v>43934.679259259261</v>
      </c>
      <c r="D3019" s="1" t="s">
        <v>6038</v>
      </c>
      <c r="E3019" s="4" t="str">
        <f ca="1">IFERROR(__xludf.DUMMYFUNCTION("GOOGLETRANSLATE(A3019 , ""tr"" , ""en"")"),"Our test count will soon reach 500 thousand. The increase in the number of expected cases compared to the increased number of tests is reduced as speed. Early diagnosis and treatment increases our number of patients recovering.
https://t.co/rvlhe7786o ht"&amp;"tps://t.co/tlkps8lfk")</f>
        <v>Our test count will soon reach 500 thousand. The increase in the number of expected cases compared to the increased number of tests is reduced as speed. Early diagnosis and treatment increases our number of patients recovering.
https://t.co/rvlhe7786o https://t.co/tlkps8lfk</v>
      </c>
    </row>
    <row r="3020" spans="1:5" ht="15.75" customHeight="1" x14ac:dyDescent="0.25">
      <c r="A3020" s="1" t="s">
        <v>6039</v>
      </c>
      <c r="B3020" s="1">
        <v>0</v>
      </c>
      <c r="C3020" s="3">
        <v>43934.654085648152</v>
      </c>
      <c r="D3020" s="1" t="s">
        <v>6040</v>
      </c>
      <c r="E3020" s="4" t="str">
        <f ca="1">IFERROR(__xludf.DUMMYFUNCTION("GOOGLETRANSLATE(A3020 , ""tr"" , ""en"")"),"RT @RterDogan: Shouting to Nation after Cabinet Meeting
https://t.co/xe0hx0xnvs")</f>
        <v>RT @RterDogan: Shouting to Nation after Cabinet Meeting
https://t.co/xe0hx0xnvs</v>
      </c>
    </row>
    <row r="3021" spans="1:5" ht="15.75" customHeight="1" x14ac:dyDescent="0.25">
      <c r="A3021" s="1" t="s">
        <v>6041</v>
      </c>
      <c r="B3021" s="1">
        <v>117669</v>
      </c>
      <c r="C3021" s="3">
        <v>43933.691064814811</v>
      </c>
      <c r="D3021" s="1" t="s">
        <v>6042</v>
      </c>
      <c r="E3021" s="4" t="str">
        <f ca="1">IFERROR(__xludf.DUMMYFUNCTION("GOOGLETRANSLATE(A3021 , ""tr"" , ""en"")"),"It takes a tendency to decrease in intensive care. There is a decline in the number of intubated patients. As we perform more, it is predictable in a predictable manner and is being isolated. We are strong in treatment. But this struggle is not in hospita"&amp;"ls, remaining at home!
https://t.co/rvlhe7786o https://t.co/ndeo8naufh")</f>
        <v>It takes a tendency to decrease in intensive care. There is a decline in the number of intubated patients. As we perform more, it is predictable in a predictable manner and is being isolated. We are strong in treatment. But this struggle is not in hospitals, remaining at home!
https://t.co/rvlhe7786o https://t.co/ndeo8naufh</v>
      </c>
    </row>
    <row r="3022" spans="1:5" ht="15.75" customHeight="1" x14ac:dyDescent="0.25">
      <c r="A3022" s="1" t="s">
        <v>6043</v>
      </c>
      <c r="B3022" s="1">
        <v>53788</v>
      </c>
      <c r="C3022" s="3">
        <v>43932.970069444447</v>
      </c>
      <c r="D3022" s="1" t="s">
        <v>6044</v>
      </c>
      <c r="E3022" s="4" t="str">
        <f ca="1">IFERROR(__xludf.DUMMYFUNCTION("GOOGLETRANSLATE(A3022 , ""tr"" , ""en"")"),"We have made a teleconference conversation with our 81 provincial health managers, ministerial assistants and general managers. We have addressed the needs available and occur. We shared the experience and recommendations of our Science Board, our univers"&amp;"ity rectors. https://t.co/adfsxhecrt")</f>
        <v>We have made a teleconference conversation with our 81 provincial health managers, ministerial assistants and general managers. We have addressed the needs available and occur. We shared the experience and recommendations of our Science Board, our university rectors. https://t.co/adfsxhecrt</v>
      </c>
    </row>
    <row r="3023" spans="1:5" ht="15.75" customHeight="1" x14ac:dyDescent="0.25">
      <c r="A3023" s="1" t="s">
        <v>6045</v>
      </c>
      <c r="B3023" s="1">
        <v>76172</v>
      </c>
      <c r="C3023" s="3">
        <v>43932.9375</v>
      </c>
      <c r="D3023" s="1" t="s">
        <v>6046</v>
      </c>
      <c r="E3023" s="4" t="str">
        <f ca="1">IFERROR(__xludf.DUMMYFUNCTION("GOOGLETRANSLATE(A3023 , ""tr"" , ""en"")"),"Coronavirus patients have a new development today in the treatment table. Our total patient total patients had decreased for the first time on the scale of Turkey. 6 Our scientists from our universities are the same evidence: this is the result of the mea"&amp;"sures with monitored treatment. The result is clear that we will receive with measures. https://t.co/shezg1jl4m")</f>
        <v>Coronavirus patients have a new development today in the treatment table. Our total patient total patients had decreased for the first time on the scale of Turkey. 6 Our scientists from our universities are the same evidence: this is the result of the measures with monitored treatment. The result is clear that we will receive with measures. https://t.co/shezg1jl4m</v>
      </c>
    </row>
    <row r="3024" spans="1:5" ht="15.75" customHeight="1" x14ac:dyDescent="0.25">
      <c r="A3024" s="1" t="s">
        <v>6047</v>
      </c>
      <c r="B3024" s="1">
        <v>99719</v>
      </c>
      <c r="C3024" s="3">
        <v>43932.702974537038</v>
      </c>
      <c r="D3024" s="1" t="s">
        <v>6048</v>
      </c>
      <c r="E3024" s="4" t="str">
        <f ca="1">IFERROR(__xludf.DUMMYFUNCTION("GOOGLETRANSLATE(A3024 , ""tr"" , ""en"")"),"Our case count is increased at the number of tests, together with the increase in the foreseeable level. This increase does not take place in the number of intensive care. We are quicker in the diagnosis, the treatment begins early. Turkey is showing seri"&amp;"ous success in the treatment. The actual success can be protected from the virus.
https://t.co/rvlhe7786o https://t.co/be3ubfg1xy")</f>
        <v>Our case count is increased at the number of tests, together with the increase in the foreseeable level. This increase does not take place in the number of intensive care. We are quicker in the diagnosis, the treatment begins early. Turkey is showing serious success in the treatment. The actual success can be protected from the virus.
https://t.co/rvlhe7786o https://t.co/be3ubfg1xy</v>
      </c>
    </row>
    <row r="3025" spans="1:5" ht="15.75" customHeight="1" x14ac:dyDescent="0.25">
      <c r="A3025" s="1" t="s">
        <v>6049</v>
      </c>
      <c r="B3025" s="1">
        <v>37508</v>
      </c>
      <c r="C3025" s="3">
        <v>43932.698784722219</v>
      </c>
      <c r="D3025" s="1" t="s">
        <v>6050</v>
      </c>
      <c r="E3025" s="4" t="str">
        <f ca="1">IFERROR(__xludf.DUMMYFUNCTION("GOOGLETRANSLATE(A3025 , ""tr"" , ""en"")"),"A wisdom word, we all say each other's hand, foot, eye, Kalkiyiş. The way to protect ourselves, passes attention to someone else and narrow. Our society has this consideration. We have a high sensitivity in our society. Let's all be sure: With the folks-s"&amp;"tate manual, we will defeat the corona. https://t.co/nmr6xfprxh")</f>
        <v>A wisdom word, we all say each other's hand, foot, eye, Kalkiyiş. The way to protect ourselves, passes attention to someone else and narrow. Our society has this consideration. We have a high sensitivity in our society. Let's all be sure: With the folks-state manual, we will defeat the corona. https://t.co/nmr6xfprxh</v>
      </c>
    </row>
    <row r="3026" spans="1:5" ht="15.75" customHeight="1" x14ac:dyDescent="0.25">
      <c r="A3026" s="1" t="s">
        <v>6051</v>
      </c>
      <c r="B3026" s="1">
        <v>47585</v>
      </c>
      <c r="C3026" s="3">
        <v>43932.695208333331</v>
      </c>
      <c r="D3026" s="1" t="s">
        <v>6052</v>
      </c>
      <c r="E3026" s="4" t="str">
        <f ca="1">IFERROR(__xludf.DUMMYFUNCTION("GOOGLETRANSLATE(A3026 , ""tr"" , ""en"")"),"From young friends my request is: Don't make you mislead. Note that you are likely to infect the virus that cannot be able to beat the virus. Break off on moving days, be determined in this break. If you are on the struggle on which side you are on the si"&amp;"de, the chance will be on that side, remember that. https://t.co/jucbpibgpl")</f>
        <v>From young friends my request is: Don't make you mislead. Note that you are likely to infect the virus that cannot be able to beat the virus. Break off on moving days, be determined in this break. If you are on the struggle on which side you are on the side, the chance will be on that side, remember that. https://t.co/jucbpibgpl</v>
      </c>
    </row>
    <row r="3027" spans="1:5" ht="15.75" customHeight="1" x14ac:dyDescent="0.25">
      <c r="A3027" s="1" t="s">
        <v>6053</v>
      </c>
      <c r="B3027" s="1">
        <v>31497</v>
      </c>
      <c r="C3027" s="3">
        <v>43932.692291666666</v>
      </c>
      <c r="D3027" s="1" t="s">
        <v>6054</v>
      </c>
      <c r="E3027" s="4" t="str">
        <f ca="1">IFERROR(__xludf.DUMMYFUNCTION("GOOGLETRANSLATE(A3027 , ""tr"" , ""en"")"),"Our Supreme Assembly has taken the step we expected by the Law Offer to prevent health violence in health. These timing is very significant on the days of the health workers struggling. Our valuable proxies are our angery from you, the design of the Assem"&amp;"bly of the Assembly is immediately enacted by the vote. https://t.co/wgudmvs0hs")</f>
        <v>Our Supreme Assembly has taken the step we expected by the Law Offer to prevent health violence in health. These timing is very significant on the days of the health workers struggling. Our valuable proxies are our angery from you, the design of the Assembly of the Assembly is immediately enacted by the vote. https://t.co/wgudmvs0hs</v>
      </c>
    </row>
    <row r="3028" spans="1:5" ht="15.75" customHeight="1" x14ac:dyDescent="0.25">
      <c r="A3028" s="1" t="s">
        <v>6055</v>
      </c>
      <c r="B3028" s="1">
        <v>32353</v>
      </c>
      <c r="C3028" s="3">
        <v>43932.688437500001</v>
      </c>
      <c r="D3028" s="1" t="s">
        <v>6056</v>
      </c>
      <c r="E3028" s="4" t="str">
        <f ca="1">IFERROR(__xludf.DUMMYFUNCTION("GOOGLETRANSLATE(A3028 , ""tr"" , ""en"")"),"Our country has considered this threat as a health problem that the threat is to be left to science and science people. Trust a public health threat to the strategy separating all other subjects. https://t.co/idoxk8x53z")</f>
        <v>Our country has considered this threat as a health problem that the threat is to be left to science and science people. Trust a public health threat to the strategy separating all other subjects. https://t.co/idoxk8x53z</v>
      </c>
    </row>
    <row r="3029" spans="1:5" ht="15.75" customHeight="1" x14ac:dyDescent="0.25">
      <c r="A3029" s="1" t="s">
        <v>6057</v>
      </c>
      <c r="B3029" s="1">
        <v>139834</v>
      </c>
      <c r="C3029" s="3">
        <v>43932.646493055552</v>
      </c>
      <c r="D3029" s="1" t="s">
        <v>6058</v>
      </c>
      <c r="E3029" s="4" t="str">
        <f ca="1">IFERROR(__xludf.DUMMYFUNCTION("GOOGLETRANSLATE(A3029 , ""tr"" , ""en"")"),"We are committed to sacrificing from the struggle we maintained since December 31. Note that our alerts are valid in any circumstances without exception. The process is together, in common sense, we will successfully complete. Let's not give concessions f"&amp;"rom this belief. Let's focus on the conclusion of our struggle.")</f>
        <v>We are committed to sacrificing from the struggle we maintained since December 31. Note that our alerts are valid in any circumstances without exception. The process is together, in common sense, we will successfully complete. Let's not give concessions from this belief. Let's focus on the conclusion of our struggle.</v>
      </c>
    </row>
    <row r="3030" spans="1:5" ht="15.75" customHeight="1" x14ac:dyDescent="0.25">
      <c r="A3030" s="1" t="s">
        <v>6059</v>
      </c>
      <c r="B3030" s="1">
        <v>76425</v>
      </c>
      <c r="C3030" s="3">
        <v>43931.698194444441</v>
      </c>
      <c r="D3030" s="1" t="s">
        <v>6060</v>
      </c>
      <c r="E3030" s="4" t="str">
        <f ca="1">IFERROR(__xludf.DUMMYFUNCTION("GOOGLETRANSLATE(A3030 , ""tr"" , ""en"")"),"We have exceeded 30,000 in the daily test number. Our laboratory count has been 106. Our patient rate in intensive care continues to fall. We maintain our success chart at the speed of recovery. The data shows that it will increase in the speed of recover"&amp;"y in the days ahead.
https://t.co/rvlhe7786o https://t.co/ss1gmyvoxy")</f>
        <v>We have exceeded 30,000 in the daily test number. Our laboratory count has been 106. Our patient rate in intensive care continues to fall. We maintain our success chart at the speed of recovery. The data shows that it will increase in the speed of recovery in the days ahead.
https://t.co/rvlhe7786o https://t.co/ss1gmyvoxy</v>
      </c>
    </row>
    <row r="3031" spans="1:5" ht="15.75" customHeight="1" x14ac:dyDescent="0.25">
      <c r="A3031" s="1" t="s">
        <v>6061</v>
      </c>
      <c r="B3031" s="1">
        <v>31645</v>
      </c>
      <c r="C3031" s="3">
        <v>43931.690138888887</v>
      </c>
      <c r="D3031" s="1" t="s">
        <v>6062</v>
      </c>
      <c r="E3031" s="4" t="str">
        <f ca="1">IFERROR(__xludf.DUMMYFUNCTION("GOOGLETRANSLATE(A3031 , ""tr"" , ""en"")"),"After our Science Board meeting, the latest developments on the coronavirus and the new measures we receive.
Bilkent Campus / Ankara https://t.co/3eaqxrk8dd")</f>
        <v>After our Science Board meeting, the latest developments on the coronavirus and the new measures we receive.
Bilkent Campus / Ankara https://t.co/3eaqxrk8dd</v>
      </c>
    </row>
    <row r="3032" spans="1:5" ht="15.75" customHeight="1" x14ac:dyDescent="0.25">
      <c r="A3032" s="1" t="s">
        <v>6063</v>
      </c>
      <c r="B3032" s="1">
        <v>147775</v>
      </c>
      <c r="C3032" s="3">
        <v>43931.639618055553</v>
      </c>
      <c r="D3032" s="1" t="s">
        <v>6064</v>
      </c>
      <c r="E3032" s="4" t="str">
        <f ca="1">IFERROR(__xludf.DUMMYFUNCTION("GOOGLETRANSLATE(A3032 , ""tr"" , ""en"")"),"Thank you for being at home. https://t.co/srmu6dylmd")</f>
        <v>Thank you for being at home. https://t.co/srmu6dylmd</v>
      </c>
    </row>
    <row r="3033" spans="1:5" ht="15.75" customHeight="1" x14ac:dyDescent="0.25">
      <c r="A3033" s="1" t="s">
        <v>6065</v>
      </c>
      <c r="B3033" s="1">
        <v>125588</v>
      </c>
      <c r="C3033" s="3">
        <v>43930.86824074074</v>
      </c>
      <c r="D3033" s="1" t="s">
        <v>6066</v>
      </c>
      <c r="E3033" s="4" t="str">
        <f ca="1">IFERROR(__xludf.DUMMYFUNCTION("GOOGLETRANSLATE(A3033 , ""tr"" , ""en"")"),"The heroes of this movie are the ones at home on the day. https://t.co/gluytir4zq")</f>
        <v>The heroes of this movie are the ones at home on the day. https://t.co/gluytir4zq</v>
      </c>
    </row>
    <row r="3034" spans="1:5" ht="15.75" customHeight="1" x14ac:dyDescent="0.25">
      <c r="A3034" s="1" t="s">
        <v>6067</v>
      </c>
      <c r="B3034" s="1">
        <v>91864</v>
      </c>
      <c r="C3034" s="3">
        <v>43930.680428240739</v>
      </c>
      <c r="D3034" s="1" t="s">
        <v>6068</v>
      </c>
      <c r="E3034" s="4" t="str">
        <f ca="1">IFERROR(__xludf.DUMMYFUNCTION("GOOGLETRANSLATE(A3034 , ""tr"" , ""en"")"),"296 from our patients found more healing. Our total number of patients with discharge reached 2.142. We are about to reach our 30,000 test goals daily. In spite of the increasing test count, the rate of increase in the increase is to fall. The virus recei"&amp;"ves its power from the contact environment. Let's stay at home.
https://t.co/rvlhe7786o https://t.co/5bnqcjgzap")</f>
        <v>296 from our patients found more healing. Our total number of patients with discharge reached 2.142. We are about to reach our 30,000 test goals daily. In spite of the increasing test count, the rate of increase in the increase is to fall. The virus receives its power from the contact environment. Let's stay at home.
https://t.co/rvlhe7786o https://t.co/5bnqcjgzap</v>
      </c>
    </row>
    <row r="3035" spans="1:5" ht="15.75" customHeight="1" x14ac:dyDescent="0.25">
      <c r="A3035" s="1" t="s">
        <v>6069</v>
      </c>
      <c r="B3035" s="1">
        <v>74251</v>
      </c>
      <c r="C3035" s="3">
        <v>43929.886979166666</v>
      </c>
      <c r="D3035" s="1" t="s">
        <v>6070</v>
      </c>
      <c r="E3035" s="4" t="str">
        <f ca="1">IFERROR(__xludf.DUMMYFUNCTION("GOOGLETRANSLATE(A3035 , ""tr"" , ""en"")"),"829 Reinforced Seismic Insulator The Marmara University Pendik Educational Training and Research Hospital has been served with renewed properties. Our hospital, which is allocated to 60 rooms intensive care, has a total capacity of 535 beds. May our natio"&amp;"n be auspicious. https://t.co/05q5tmyhby")</f>
        <v>829 Reinforced Seismic Insulator The Marmara University Pendik Educational Training and Research Hospital has been served with renewed properties. Our hospital, which is allocated to 60 rooms intensive care, has a total capacity of 535 beds. May our nation be auspicious. https://t.co/05q5tmyhby</v>
      </c>
    </row>
    <row r="3036" spans="1:5" ht="15.75" customHeight="1" x14ac:dyDescent="0.25">
      <c r="A3036" s="1" t="s">
        <v>6071</v>
      </c>
      <c r="B3036" s="1">
        <v>81969</v>
      </c>
      <c r="C3036" s="3">
        <v>43929.710312499999</v>
      </c>
      <c r="D3036" s="1" t="s">
        <v>6072</v>
      </c>
      <c r="E3036" s="4" t="str">
        <f ca="1">IFERROR(__xludf.DUMMYFUNCTION("GOOGLETRANSLATE(A3036 , ""tr"" , ""en"")"),"264 more than our patients healed. Intensive maintenance and intubate the increase in the patients tend to fall the speed of increase. Our success depends on isolation. The virus receives its power from the contact environment. Let's not recognize this op"&amp;"portunity to the virus. Let's stay at home.
https://t.co/rvlhe7786o https://t.co/jukrzwanom")</f>
        <v>264 more than our patients healed. Intensive maintenance and intubate the increase in the patients tend to fall the speed of increase. Our success depends on isolation. The virus receives its power from the contact environment. Let's not recognize this opportunity to the virus. Let's stay at home.
https://t.co/rvlhe7786o https://t.co/jukrzwanom</v>
      </c>
    </row>
    <row r="3037" spans="1:5" ht="15.75" customHeight="1" x14ac:dyDescent="0.25">
      <c r="A3037" s="1" t="s">
        <v>6073</v>
      </c>
      <c r="B3037" s="1">
        <v>0</v>
      </c>
      <c r="C3037" s="3">
        <v>43929.66783564815</v>
      </c>
      <c r="D3037" s="1" t="s">
        <v>6074</v>
      </c>
      <c r="E3037" s="4" t="str">
        <f ca="1">IFERROR(__xludf.DUMMYFUNCTION("GOOGLETRANSLATE(A3037 , ""tr"" , ""en"")"),"RT @fahrettinaltun: We continue to add new measures to our challenge of coronavirus.
Our most recent step is by our Ministry of Health ...")</f>
        <v>RT @fahrettinaltun: We continue to add new measures to our challenge of coronavirus.
Our most recent step is by our Ministry of Health ...</v>
      </c>
    </row>
    <row r="3038" spans="1:5" ht="15.75" customHeight="1" x14ac:dyDescent="0.25">
      <c r="A3038" s="1" t="s">
        <v>6075</v>
      </c>
      <c r="B3038" s="1">
        <v>98453</v>
      </c>
      <c r="C3038" s="3">
        <v>43929.593356481484</v>
      </c>
      <c r="D3038" s="1" t="s">
        <v>6076</v>
      </c>
      <c r="E3038" s="4" t="str">
        <f ca="1">IFERROR(__xludf.DUMMYFUNCTION("GOOGLETRANSLATE(A3038 , ""tr"" , ""en"")"),"My valuable proxies,
In the prevention of health violence, we are gratitude to our supreme assembly at the preparation of more than 1 million 100 thousand health staff with the law proposal. We believe that the proposal will be enacted as soon as possibl"&amp;"e with the support of each of our proxy.")</f>
        <v>My valuable proxies,
In the prevention of health violence, we are gratitude to our supreme assembly at the preparation of more than 1 million 100 thousand health staff with the law proposal. We believe that the proposal will be enacted as soon as possible with the support of each of our proxy.</v>
      </c>
    </row>
    <row r="3039" spans="1:5" ht="15.75" customHeight="1" x14ac:dyDescent="0.25">
      <c r="A3039" s="1" t="s">
        <v>6077</v>
      </c>
      <c r="B3039" s="1">
        <v>62502</v>
      </c>
      <c r="C3039" s="3">
        <v>43929.589282407411</v>
      </c>
      <c r="D3039" s="1" t="s">
        <v>6078</v>
      </c>
      <c r="E3039" s="4" t="str">
        <f ca="1">IFERROR(__xludf.DUMMYFUNCTION("GOOGLETRANSLATE(A3039 , ""tr"" , ""en"")"),"Terror has known our painful days the opportunity. Our Jungle Worker in Kulp district of Diyarbakir was martyred by the PKK on the way to work early in the morning. I wish themselves from Allah mercy. May the head of our nation be right. Life is always de"&amp;"feated by the winner of the winner.")</f>
        <v>Terror has known our painful days the opportunity. Our Jungle Worker in Kulp district of Diyarbakir was martyred by the PKK on the way to work early in the morning. I wish themselves from Allah mercy. May the head of our nation be right. Life is always defeated by the winner of the winner.</v>
      </c>
    </row>
    <row r="3040" spans="1:5" ht="15.75" customHeight="1" x14ac:dyDescent="0.25">
      <c r="A3040" s="1" t="s">
        <v>6079</v>
      </c>
      <c r="B3040" s="1">
        <v>95351</v>
      </c>
      <c r="C3040" s="3">
        <v>43929.333587962959</v>
      </c>
      <c r="D3040" s="1" t="s">
        <v>6080</v>
      </c>
      <c r="E3040" s="4" t="str">
        <f ca="1">IFERROR(__xludf.DUMMYFUNCTION("GOOGLETRANSLATE(A3040 , ""tr"" , ""en"")"),"It was the isolation of the virus, which should be achieved primarily for vaccination studies. Our two scientists have succeeded in. From the University of Erciyes Dr. Aykut Özdarendeli HOCAMII, Ankara University Professor Dr. I'm celebrating our Aykut Ey"&amp;"ekkul teacher in the name of our people. https://t.co/pgycsvosxw")</f>
        <v>It was the isolation of the virus, which should be achieved primarily for vaccination studies. Our two scientists have succeeded in. From the University of Erciyes Dr. Aykut Özdarendeli HOCAMII, Ankara University Professor Dr. I'm celebrating our Aykut Eyekkul teacher in the name of our people. https://t.co/pgycsvosxw</v>
      </c>
    </row>
    <row r="3041" spans="1:5" ht="15.75" customHeight="1" x14ac:dyDescent="0.25">
      <c r="A3041" s="1" t="s">
        <v>6081</v>
      </c>
      <c r="B3041" s="1">
        <v>40208</v>
      </c>
      <c r="C3041" s="3">
        <v>43929.312824074077</v>
      </c>
      <c r="D3041" s="1" t="s">
        <v>6082</v>
      </c>
      <c r="E3041" s="4" t="str">
        <f ca="1">IFERROR(__xludf.DUMMYFUNCTION("GOOGLETRANSLATE(A3041 , ""tr"" , ""en"")"),"We have developed a compulsory application to use cases, case contacts to follow suspicious cases. We will determine if the home isolation rule is not observed. There will be the sanction of the isolation violation. The system will be activated within a t"&amp;"wo days. https://t.co/nljlssl4o6")</f>
        <v>We have developed a compulsory application to use cases, case contacts to follow suspicious cases. We will determine if the home isolation rule is not observed. There will be the sanction of the isolation violation. The system will be activated within a two days. https://t.co/nljlssl4o6</v>
      </c>
    </row>
    <row r="3042" spans="1:5" ht="15.75" customHeight="1" x14ac:dyDescent="0.25">
      <c r="A3042" s="1" t="s">
        <v>6083</v>
      </c>
      <c r="B3042" s="1">
        <v>37995</v>
      </c>
      <c r="C3042" s="3">
        <v>43928.922638888886</v>
      </c>
      <c r="D3042" s="1" t="s">
        <v>6084</v>
      </c>
      <c r="E3042" s="4" t="str">
        <f ca="1">IFERROR(__xludf.DUMMYFUNCTION("GOOGLETRANSLATE(A3042 , ""tr"" , ""en"")"),"Our city hospitals offer us great possibilities in this disease where the needs of isolation is high in terms of intensive care. These hospitals have the technical infrastructure that each room can turn into a busy care room. The system is rare in the wor"&amp;"ld. https://t.co/cju2vfnxwh")</f>
        <v>Our city hospitals offer us great possibilities in this disease where the needs of isolation is high in terms of intensive care. These hospitals have the technical infrastructure that each room can turn into a busy care room. The system is rare in the world. https://t.co/cju2vfnxwh</v>
      </c>
    </row>
    <row r="3043" spans="1:5" ht="15.75" customHeight="1" x14ac:dyDescent="0.25">
      <c r="A3043" s="1" t="s">
        <v>6085</v>
      </c>
      <c r="B3043" s="1">
        <v>41182</v>
      </c>
      <c r="C3043" s="3">
        <v>43928.88789351852</v>
      </c>
      <c r="D3043" s="1" t="s">
        <v>6086</v>
      </c>
      <c r="E3043" s="4" t="str">
        <f ca="1">IFERROR(__xludf.DUMMYFUNCTION("GOOGLETRANSLATE(A3043 , ""tr"" , ""en"")"),"There are two new hospitals to open. Each room was planar-room hospitals, including a bed. One is on Ataturk Airport and the other is being installed in Sancaktepe. There will be the operating rooms. Each room is to be translated into the intensive care r"&amp;"oom when necessary. Hospitals will be permanent. https://t.co/LKP0NISJTH")</f>
        <v>There are two new hospitals to open. Each room was planar-room hospitals, including a bed. One is on Ataturk Airport and the other is being installed in Sancaktepe. There will be the operating rooms. Each room is to be translated into the intensive care room when necessary. Hospitals will be permanent. https://t.co/LKP0NISJTH</v>
      </c>
    </row>
    <row r="3044" spans="1:5" ht="15.75" customHeight="1" x14ac:dyDescent="0.25">
      <c r="A3044" s="1" t="s">
        <v>6087</v>
      </c>
      <c r="B3044" s="1">
        <v>50040</v>
      </c>
      <c r="C3044" s="3">
        <v>43928.857743055552</v>
      </c>
      <c r="D3044" s="1" t="s">
        <v>6088</v>
      </c>
      <c r="E3044" s="4" t="str">
        <f ca="1">IFERROR(__xludf.DUMMYFUNCTION("GOOGLETRANSLATE(A3044 , ""tr"" , ""en"")"),"In our patients, we provide a reduction in the transition rate to lung infection. We think that we started the drug treatment early in this has its great role. Based on our first findings, we started to provide and use the drug early. Now many countries g"&amp;"ive the same medicine to ensure. https://t.co/nwsxyuvnzc")</f>
        <v>In our patients, we provide a reduction in the transition rate to lung infection. We think that we started the drug treatment early in this has its great role. Based on our first findings, we started to provide and use the drug early. Now many countries give the same medicine to ensure. https://t.co/nwsxyuvnzc</v>
      </c>
    </row>
    <row r="3045" spans="1:5" ht="15.75" customHeight="1" x14ac:dyDescent="0.25">
      <c r="A3045" s="1" t="s">
        <v>6089</v>
      </c>
      <c r="B3045" s="1">
        <v>36561</v>
      </c>
      <c r="C3045" s="3">
        <v>43928.830613425926</v>
      </c>
      <c r="D3045" s="1" t="s">
        <v>6090</v>
      </c>
      <c r="E3045" s="4" t="str">
        <f ca="1">IFERROR(__xludf.DUMMYFUNCTION("GOOGLETRANSLATE(A3045 , ""tr"" , ""en"")"),"Some requirements appeared to be better organized against disease. We need the referral decisions to be taken on social issues, to be conducted. For this purpose, we have created a new board of community sciences. The application is a first in the world. "&amp;"https://t.co/rqadckbxrs")</f>
        <v>Some requirements appeared to be better organized against disease. We need the referral decisions to be taken on social issues, to be conducted. For this purpose, we have created a new board of community sciences. The application is a first in the world. https://t.co/rqadckbxrs</v>
      </c>
    </row>
    <row r="3046" spans="1:5" ht="15.75" customHeight="1" x14ac:dyDescent="0.25">
      <c r="A3046" s="1" t="s">
        <v>6091</v>
      </c>
      <c r="B3046" s="1">
        <v>68730</v>
      </c>
      <c r="C3046" s="3">
        <v>43928.804432870369</v>
      </c>
      <c r="D3046" s="1" t="s">
        <v>6092</v>
      </c>
      <c r="E3046" s="4" t="str">
        <f ca="1">IFERROR(__xludf.DUMMYFUNCTION("GOOGLETRANSLATE(A3046 , ""tr"" , ""en"")"),"April 7, World Health Day. This celebration, which started with a decision in which the United Nations received in 1945, the first time it has coincided with a health problem in this prevalence. We believe that humanity will exceed this difficulty. Pay at"&amp;"tention to your health. Next year today, everything is very different from the present.")</f>
        <v>April 7, World Health Day. This celebration, which started with a decision in which the United Nations received in 1945, the first time it has coincided with a health problem in this prevalence. We believe that humanity will exceed this difficulty. Pay attention to your health. Next year today, everything is very different from the present.</v>
      </c>
    </row>
    <row r="3047" spans="1:5" ht="15.75" customHeight="1" x14ac:dyDescent="0.25">
      <c r="A3047" s="1" t="s">
        <v>6093</v>
      </c>
      <c r="B3047" s="1">
        <v>204381</v>
      </c>
      <c r="C3047" s="3">
        <v>43928.730775462966</v>
      </c>
      <c r="D3047" s="1" t="s">
        <v>6094</v>
      </c>
      <c r="E3047" s="4" t="str">
        <f ca="1">IFERROR(__xludf.DUMMYFUNCTION("GOOGLETRANSLATE(A3047 , ""tr"" , ""en"")"),"Celebrating your Berat Fabrous, I will be able to increase the solidarity between us in this Mubarak night to increase the hopes, the freshness of our faith in the tomorrows.")</f>
        <v>Celebrating your Berat Fabrous, I will be able to increase the solidarity between us in this Mubarak night to increase the hopes, the freshness of our faith in the tomorrows.</v>
      </c>
    </row>
    <row r="3048" spans="1:5" ht="15.75" customHeight="1" x14ac:dyDescent="0.25">
      <c r="A3048" s="1" t="s">
        <v>6095</v>
      </c>
      <c r="B3048" s="1">
        <v>77960</v>
      </c>
      <c r="C3048" s="3">
        <v>43928.696504629632</v>
      </c>
      <c r="D3048" s="1" t="s">
        <v>6096</v>
      </c>
      <c r="E3048" s="4" t="str">
        <f ca="1">IFERROR(__xludf.DUMMYFUNCTION("GOOGLETRANSLATE(A3048 , ""tr"" , ""en"")"),"The number of our patients who find healing is increasing. The number of tests and positive cases increase in the diagnosis number as the scans increased. The virus receives its power from the contact environment. Let's not recognize this opportunity to t"&amp;"he virus. Let's stay at home.
https://t.co/rvlhe7786o https://t.co/Io8q3nstok")</f>
        <v>The number of our patients who find healing is increasing. The number of tests and positive cases increase in the diagnosis number as the scans increased. The virus receives its power from the contact environment. Let's not recognize this opportunity to the virus. Let's stay at home.
https://t.co/rvlhe7786o https://t.co/Io8q3nstok</v>
      </c>
    </row>
    <row r="3049" spans="1:5" ht="15.75" customHeight="1" x14ac:dyDescent="0.25">
      <c r="A3049" s="1" t="s">
        <v>6097</v>
      </c>
      <c r="B3049" s="1">
        <v>28738</v>
      </c>
      <c r="C3049" s="3">
        <v>43928.688414351855</v>
      </c>
      <c r="D3049" s="1" t="s">
        <v>6098</v>
      </c>
      <c r="E3049" s="4" t="str">
        <f ca="1">IFERROR(__xludf.DUMMYFUNCTION("GOOGLETRANSLATE(A3049 , ""tr"" , ""en"")"),"After our Science Board meeting, the latest developments on the coronavirus and the new measures we receive.
Bilkent Campus / Ankara https://t.co/ltrtnxuvlm")</f>
        <v>After our Science Board meeting, the latest developments on the coronavirus and the new measures we receive.
Bilkent Campus / Ankara https://t.co/ltrtnxuvlm</v>
      </c>
    </row>
    <row r="3050" spans="1:5" ht="15.75" customHeight="1" x14ac:dyDescent="0.25">
      <c r="A3050" s="1" t="s">
        <v>6099</v>
      </c>
      <c r="B3050" s="1">
        <v>101336</v>
      </c>
      <c r="C3050" s="3">
        <v>43927.909745370373</v>
      </c>
      <c r="D3050" s="1" t="s">
        <v>6100</v>
      </c>
      <c r="E3050" s="4" t="str">
        <f ca="1">IFERROR(__xludf.DUMMYFUNCTION("GOOGLETRANSLATE(A3050 , ""tr"" , ""en"")"),"The videos are the measures taken against the coronavirse are showing the day on the basis of Europe. We are the earliest area of ​​measures in European countries. If we succeed in isolation, we can fully use the advantage of the early measure. https://t."&amp;"co/l9lefwqjgt")</f>
        <v>The videos are the measures taken against the coronavirse are showing the day on the basis of Europe. We are the earliest area of ​​measures in European countries. If we succeed in isolation, we can fully use the advantage of the early measure. https://t.co/l9lefwqjgt</v>
      </c>
    </row>
    <row r="3051" spans="1:5" ht="15.75" customHeight="1" x14ac:dyDescent="0.25">
      <c r="A3051" s="1" t="s">
        <v>6101</v>
      </c>
      <c r="B3051" s="1">
        <v>60709</v>
      </c>
      <c r="C3051" s="3">
        <v>43927.715428240743</v>
      </c>
      <c r="D3051" s="1" t="s">
        <v>6102</v>
      </c>
      <c r="E3051" s="4" t="str">
        <f ca="1">IFERROR(__xludf.DUMMYFUNCTION("GOOGLETRANSLATE(A3051 , ""tr"" , ""en"")"),"Anatolia Agency was established by Mustafa Kemal Pasha, with the proposal of our two illumiests in the forefront of National Struggle, 100 years ago, was founded by Mustafa Kemal Pasha. It takes a similar task in the 100th year of its establishment. We ce"&amp;"lebrate from the heart. https://t.co/j7ledyjcxa")</f>
        <v>Anatolia Agency was established by Mustafa Kemal Pasha, with the proposal of our two illumiests in the forefront of National Struggle, 100 years ago, was founded by Mustafa Kemal Pasha. It takes a similar task in the 100th year of its establishment. We celebrate from the heart. https://t.co/j7ledyjcxa</v>
      </c>
    </row>
    <row r="3052" spans="1:5" ht="15.75" customHeight="1" x14ac:dyDescent="0.25">
      <c r="A3052" s="1" t="s">
        <v>6103</v>
      </c>
      <c r="B3052" s="1">
        <v>99178</v>
      </c>
      <c r="C3052" s="3">
        <v>43927.698518518519</v>
      </c>
      <c r="D3052" s="1" t="s">
        <v>6104</v>
      </c>
      <c r="E3052" s="4" t="str">
        <f ca="1">IFERROR(__xludf.DUMMYFUNCTION("GOOGLETRANSLATE(A3052 , ""tr"" , ""en"")"),"Our daily test count will soon find 30,000. The rate of increase in our healing patients continues. According to the increased number of tests, the increase in the number of cases is low. The virus receives its power from the contact environment. Let's no"&amp;"t recognize this opportunity to the virus. Let's stay at home.
https://t.co/rvlhe7786o https://t.co/wqtaifsnf2")</f>
        <v>Our daily test count will soon find 30,000. The rate of increase in our healing patients continues. According to the increased number of tests, the increase in the number of cases is low. The virus receives its power from the contact environment. Let's not recognize this opportunity to the virus. Let's stay at home.
https://t.co/rvlhe7786o https://t.co/wqtaifsnf2</v>
      </c>
    </row>
    <row r="3053" spans="1:5" ht="15.75" customHeight="1" x14ac:dyDescent="0.25">
      <c r="A3053" s="1" t="s">
        <v>6105</v>
      </c>
      <c r="B3053" s="1">
        <v>0</v>
      </c>
      <c r="C3053" s="3">
        <v>43927.687094907407</v>
      </c>
      <c r="D3053" s="1" t="s">
        <v>6106</v>
      </c>
      <c r="E3053" s="4" t="str">
        <f ca="1">IFERROR(__xludf.DUMMYFUNCTION("GOOGLETRANSLATE(A3053 , ""tr"" , ""en"")"),"RT @rterdogan: Shouting to Nation After Cabinet Meeting https://t.co/g6kzrgtady")</f>
        <v>RT @rterdogan: Shouting to Nation After Cabinet Meeting https://t.co/g6kzrgtady</v>
      </c>
    </row>
    <row r="3054" spans="1:5" ht="15.75" customHeight="1" x14ac:dyDescent="0.25">
      <c r="A3054" s="1" t="s">
        <v>6107</v>
      </c>
      <c r="B3054" s="1">
        <v>73813</v>
      </c>
      <c r="C3054" s="3">
        <v>43926.968888888892</v>
      </c>
      <c r="D3054" s="1" t="s">
        <v>6108</v>
      </c>
      <c r="E3054" s="4" t="str">
        <f ca="1">IFERROR(__xludf.DUMMYFUNCTION("GOOGLETRANSLATE(A3054 , ""tr"" , ""en"")"),"The most common COVID-19 cases were most common to Istanbul with the officials of the Provincial Health Directorate of Health Directorate, public and university hospitals. With the condition of the patients, we addressed the occupancy rate of intensive ca"&amp;"re and services, treatment protocols and needs. https://t.co/blzkyxxops")</f>
        <v>The most common COVID-19 cases were most common to Istanbul with the officials of the Provincial Health Directorate of Health Directorate, public and university hospitals. With the condition of the patients, we addressed the occupancy rate of intensive care and services, treatment protocols and needs. https://t.co/blzkyxxops</v>
      </c>
    </row>
    <row r="3055" spans="1:5" ht="15.75" customHeight="1" x14ac:dyDescent="0.25">
      <c r="A3055" s="1" t="s">
        <v>6109</v>
      </c>
      <c r="B3055" s="1">
        <v>0</v>
      </c>
      <c r="C3055" s="3">
        <v>43926.750983796293</v>
      </c>
      <c r="D3055" s="1" t="s">
        <v>6110</v>
      </c>
      <c r="E3055" s="4" t="str">
        <f ca="1">IFERROR(__xludf.DUMMYFUNCTION("GOOGLETRANSLATE(A3055 , ""tr"" , ""en"")"),"RT @fahrettinaltun: With the instruction of the President @ RterDogan, the Ministry of Health and Transportation Infrastructure is 20-65 years old in the coordination of the Ministry of Infrastructure ...")</f>
        <v>RT @fahrettinaltun: With the instruction of the President @ RterDogan, the Ministry of Health and Transportation Infrastructure is 20-65 years old in the coordination of the Ministry of Infrastructure ...</v>
      </c>
    </row>
    <row r="3056" spans="1:5" ht="15.75" customHeight="1" x14ac:dyDescent="0.25">
      <c r="A3056" s="1" t="s">
        <v>6111</v>
      </c>
      <c r="B3056" s="1">
        <v>124440</v>
      </c>
      <c r="C3056" s="3">
        <v>43926.708275462966</v>
      </c>
      <c r="D3056" s="1" t="s">
        <v>6112</v>
      </c>
      <c r="E3056" s="4" t="str">
        <f ca="1">IFERROR(__xludf.DUMMYFUNCTION("GOOGLETRANSLATE(A3056 , ""tr"" , ""en"")"),"We exceeded 20,000 in the test number. Our total number of patients recovering has passed 1,000. The virus receives its power from the contact environment. Let's not recognize this opportunity to the virus. Let's stay at home. I thank the young people who"&amp;" are examples of everyone with their behavior in new application.
https://t.co/rvlhe7786o https://t.co/anu01vzpu8")</f>
        <v>We exceeded 20,000 in the test number. Our total number of patients recovering has passed 1,000. The virus receives its power from the contact environment. Let's not recognize this opportunity to the virus. Let's stay at home. I thank the young people who are examples of everyone with their behavior in new application.
https://t.co/rvlhe7786o https://t.co/anu01vzpu8</v>
      </c>
    </row>
    <row r="3057" spans="1:5" ht="15.75" customHeight="1" x14ac:dyDescent="0.25">
      <c r="A3057" s="1" t="s">
        <v>6113</v>
      </c>
      <c r="B3057" s="1">
        <v>230949</v>
      </c>
      <c r="C3057" s="3">
        <v>43925.780011574076</v>
      </c>
      <c r="D3057" s="1" t="s">
        <v>6114</v>
      </c>
      <c r="E3057" s="4" t="str">
        <f ca="1">IFERROR(__xludf.DUMMYFUNCTION("GOOGLETRANSLATE(A3057 , ""tr"" , ""en"")"),"I would like to thank our kids to our young people with their behavior in the practice that is brought to 20 years of age and under the street. If we are patient, we are going to our moving days early.")</f>
        <v>I would like to thank our kids to our young people with their behavior in the practice that is brought to 20 years of age and under the street. If we are patient, we are going to our moving days early.</v>
      </c>
    </row>
    <row r="3058" spans="1:5" ht="15.75" customHeight="1" x14ac:dyDescent="0.25">
      <c r="A3058" s="1" t="s">
        <v>6115</v>
      </c>
      <c r="B3058" s="1">
        <v>113446</v>
      </c>
      <c r="C3058" s="3">
        <v>43925.722129629627</v>
      </c>
      <c r="D3058" s="1" t="s">
        <v>6116</v>
      </c>
      <c r="E3058" s="4" t="str">
        <f ca="1">IFERROR(__xludf.DUMMYFUNCTION("GOOGLETRANSLATE(A3058 , ""tr"" , ""en"")"),"12.18% of the 161.380 tests to date has occurred in the last 24 hours. There was a significant increase in our healing patients. Our recovering patients with a total of 484 yesterday reached 786 today. Receives the virus power from the contact environment"&amp;". Let's not recognize this opportunity to the virus.
https://t.co/rvlhe7786o https://t.co/hhc6gg5nrn")</f>
        <v>12.18% of the 161.380 tests to date has occurred in the last 24 hours. There was a significant increase in our healing patients. Our recovering patients with a total of 484 yesterday reached 786 today. Receives the virus power from the contact environment. Let's not recognize this opportunity to the virus.
https://t.co/rvlhe7786o https://t.co/hhc6gg5nrn</v>
      </c>
    </row>
    <row r="3059" spans="1:5" ht="15.75" customHeight="1" x14ac:dyDescent="0.25">
      <c r="A3059" s="1" t="s">
        <v>6117</v>
      </c>
      <c r="B3059" s="1">
        <v>43170</v>
      </c>
      <c r="C3059" s="3">
        <v>43924.902731481481</v>
      </c>
      <c r="D3059" s="1" t="s">
        <v>6118</v>
      </c>
      <c r="E3059" s="4" t="str">
        <f ca="1">IFERROR(__xludf.DUMMYFUNCTION("GOOGLETRANSLATE(A3059 , ""tr"" , ""en"")"),"We have a chance that the treatment from China will benefit larger use in the previous stages of treatment, including pre-dense care. The application was also determined in this way. https://t.co/esmrsdqjnj")</f>
        <v>We have a chance that the treatment from China will benefit larger use in the previous stages of treatment, including pre-dense care. The application was also determined in this way. https://t.co/esmrsdqjnj</v>
      </c>
    </row>
    <row r="3060" spans="1:5" ht="15.75" customHeight="1" x14ac:dyDescent="0.25">
      <c r="A3060" s="1" t="s">
        <v>6119</v>
      </c>
      <c r="B3060" s="1">
        <v>41125</v>
      </c>
      <c r="C3060" s="3">
        <v>43924.891863425924</v>
      </c>
      <c r="D3060" s="1" t="s">
        <v>6120</v>
      </c>
      <c r="E3060" s="4" t="str">
        <f ca="1">IFERROR(__xludf.DUMMYFUNCTION("GOOGLETRANSLATE(A3060 , ""tr"" , ""en"")"),"Although we do so much call on social isolation, I don't think we are successful enough. Inter-cities Mobility is needed more restrictive measures. The street mobility in our large cities, especially in Istanbul, was unfortunately unfortunately held the e"&amp;"xpected level. https://t.co/ktoeu8eevp")</f>
        <v>Although we do so much call on social isolation, I don't think we are successful enough. Inter-cities Mobility is needed more restrictive measures. The street mobility in our large cities, especially in Istanbul, was unfortunately unfortunately held the expected level. https://t.co/ktoeu8eevp</v>
      </c>
    </row>
    <row r="3061" spans="1:5" ht="15.75" customHeight="1" x14ac:dyDescent="0.25">
      <c r="A3061" s="1" t="s">
        <v>6121</v>
      </c>
      <c r="B3061" s="1">
        <v>40177</v>
      </c>
      <c r="C3061" s="3">
        <v>43924.880960648145</v>
      </c>
      <c r="D3061" s="1" t="s">
        <v>6122</v>
      </c>
      <c r="E3061" s="4" t="str">
        <f ca="1">IFERROR(__xludf.DUMMYFUNCTION("GOOGLETRANSLATE(A3061 , ""tr"" , ""en"")"),"In the coming days, we will address the release and measures from very different aspects, similar to the Science Board, similar to the nature of a second science board. In this Board, the psychological, sociological, statistical, statistical, statistical,"&amp;" statistical. We will call new approaches. https://t.co/vozsrgwec6")</f>
        <v>In the coming days, we will address the release and measures from very different aspects, similar to the Science Board, similar to the nature of a second science board. In this Board, the psychological, sociological, statistical, statistical, statistical, statistical. We will call new approaches. https://t.co/vozsrgwec6</v>
      </c>
    </row>
    <row r="3062" spans="1:5" ht="15.75" customHeight="1" x14ac:dyDescent="0.25">
      <c r="A3062" s="1" t="s">
        <v>6123</v>
      </c>
      <c r="B3062" s="1">
        <v>32559</v>
      </c>
      <c r="C3062" s="3">
        <v>43924.870578703703</v>
      </c>
      <c r="D3062" s="1" t="s">
        <v>6124</v>
      </c>
      <c r="E3062" s="4" t="str">
        <f ca="1">IFERROR(__xludf.DUMMYFUNCTION("GOOGLETRANSLATE(A3062 , ""tr"" , ""en"")"),"If contact and social mobility is not reduced we cannot achieve success. I would like to make sure our youth will understand us: Our science board decided to recommend the mobility, which is restricted in the place where the outbreak is at risk. https://t"&amp;".co/lmo4khanvr")</f>
        <v>If contact and social mobility is not reduced we cannot achieve success. I would like to make sure our youth will understand us: Our science board decided to recommend the mobility, which is restricted in the place where the outbreak is at risk. https://t.co/lmo4khanvr</v>
      </c>
    </row>
    <row r="3063" spans="1:5" ht="15.75" customHeight="1" x14ac:dyDescent="0.25">
      <c r="A3063" s="1" t="s">
        <v>6125</v>
      </c>
      <c r="B3063" s="1">
        <v>164732</v>
      </c>
      <c r="C3063" s="3">
        <v>43924.859224537038</v>
      </c>
      <c r="D3063" s="1" t="s">
        <v>6126</v>
      </c>
      <c r="E3063" s="4" t="str">
        <f ca="1">IFERROR(__xludf.DUMMYFUNCTION("GOOGLETRANSLATE(A3063 , ""tr"" , ""en"")"),"We have undergone our Cemil teacher on Thursday. Will live with their students and scientific work to watch his way. The name was granted to our study and research hospital. The name of our hospital is now. Dr. Cemil Tasçıoğlu City Hospital. You're always"&amp;" nominated with good.")</f>
        <v>We have undergone our Cemil teacher on Thursday. Will live with their students and scientific work to watch his way. The name was granted to our study and research hospital. The name of our hospital is now. Dr. Cemil Tasçıoğlu City Hospital. You're always nominated with good.</v>
      </c>
    </row>
    <row r="3064" spans="1:5" ht="15.75" customHeight="1" x14ac:dyDescent="0.25">
      <c r="A3064" s="1" t="s">
        <v>6127</v>
      </c>
      <c r="B3064" s="1">
        <v>0</v>
      </c>
      <c r="C3064" s="3">
        <v>43924.727222222224</v>
      </c>
      <c r="D3064" s="1" t="s">
        <v>6128</v>
      </c>
      <c r="E3064" s="4" t="str">
        <f ca="1">IFERROR(__xludf.DUMMYFUNCTION("GOOGLETRANSLATE(A3064 , ""tr"" , ""en"")"),"RT @rterdogan: Press release https://t.co/gwvbls3dwe")</f>
        <v>RT @rterdogan: Press release https://t.co/gwvbls3dwe</v>
      </c>
    </row>
    <row r="3065" spans="1:5" ht="15.75" customHeight="1" x14ac:dyDescent="0.25">
      <c r="A3065" s="1" t="s">
        <v>6129</v>
      </c>
      <c r="B3065" s="1">
        <v>79675</v>
      </c>
      <c r="C3065" s="3">
        <v>43924.687777777777</v>
      </c>
      <c r="D3065" s="1" t="s">
        <v>6130</v>
      </c>
      <c r="E3065" s="4" t="str">
        <f ca="1">IFERROR(__xludf.DUMMYFUNCTION("GOOGLETRANSLATE(A3065 , ""tr"" , ""en"")"),"We have more than 69 patients recovering. Our lost count is less than yesterday. The whole table is the whole, tells us: we should not be in contact, we must put a distance, isolate ourselves. We can stop the spread of the virus by applying measures
🔍 h"&amp;"ttps://t.co/rvlhe7786o https://t.co/I2ph5la906")</f>
        <v>We have more than 69 patients recovering. Our lost count is less than yesterday. The whole table is the whole, tells us: we should not be in contact, we must put a distance, isolate ourselves. We can stop the spread of the virus by applying measures
🔍 https://t.co/rvlhe7786o https://t.co/I2ph5la906</v>
      </c>
    </row>
    <row r="3066" spans="1:5" ht="15.75" customHeight="1" x14ac:dyDescent="0.25">
      <c r="A3066" s="1" t="s">
        <v>6131</v>
      </c>
      <c r="B3066" s="1">
        <v>27481</v>
      </c>
      <c r="C3066" s="3">
        <v>43924.68645833333</v>
      </c>
      <c r="D3066" s="1" t="s">
        <v>6132</v>
      </c>
      <c r="E3066" s="4" t="str">
        <f ca="1">IFERROR(__xludf.DUMMYFUNCTION("GOOGLETRANSLATE(A3066 , ""tr"" , ""en"")"),"After our Science Board meeting, the latest developments on the coronavirus and the new measures we receive.
📍 The Ministry of Health Bilkent Campus / Ankara https://t.co/wngMII0ZSB")</f>
        <v>After our Science Board meeting, the latest developments on the coronavirus and the new measures we receive.
📍 The Ministry of Health Bilkent Campus / Ankara https://t.co/wngMII0ZSB</v>
      </c>
    </row>
    <row r="3067" spans="1:5" ht="15.75" customHeight="1" x14ac:dyDescent="0.25">
      <c r="A3067" s="1" t="s">
        <v>6133</v>
      </c>
      <c r="B3067" s="1">
        <v>50486</v>
      </c>
      <c r="C3067" s="3">
        <v>43923.803136574075</v>
      </c>
      <c r="D3067" s="1" t="s">
        <v>6134</v>
      </c>
      <c r="E3067" s="4" t="str">
        <f ca="1">IFERROR(__xludf.DUMMYFUNCTION("GOOGLETRANSLATE(A3067 , ""tr"" , ""en"")"),"The World Health Organization is European Regional Director. We made a teleconference call with Hans Kluge. We stated that pandemic policies should be reviewed in Europe. SN. Kluge, data sharing, DSO has found that Turkey has found unique applications. ht"&amp;"tps://t.co/ZICLJLGIYV")</f>
        <v>The World Health Organization is European Regional Director. We made a teleconference call with Hans Kluge. We stated that pandemic policies should be reviewed in Europe. SN. Kluge, data sharing, DSO has found that Turkey has found unique applications. https://t.co/ZICLJLGIYV</v>
      </c>
    </row>
    <row r="3068" spans="1:5" ht="15.75" customHeight="1" x14ac:dyDescent="0.25">
      <c r="A3068" s="1" t="s">
        <v>6135</v>
      </c>
      <c r="B3068" s="1">
        <v>95790</v>
      </c>
      <c r="C3068" s="3">
        <v>43923.686493055553</v>
      </c>
      <c r="D3068" s="1" t="s">
        <v>6136</v>
      </c>
      <c r="E3068" s="4" t="str">
        <f ca="1">IFERROR(__xludf.DUMMYFUNCTION("GOOGLETRANSLATE(A3068 , ""tr"" , ""en"")"),"Our test count has increased above 4,000 by yesterday. The number of positive cases compared to the number of tests decreased. We have 82 new patients recovering. There are 82% of the patients who lost in the last 24 hours are still remarkable.
🔍 https:"&amp;"//t.co/rvlhe7786o https://t.co/hq1wsittyq")</f>
        <v>Our test count has increased above 4,000 by yesterday. The number of positive cases compared to the number of tests decreased. We have 82 new patients recovering. There are 82% of the patients who lost in the last 24 hours are still remarkable.
🔍 https://t.co/rvlhe7786o https://t.co/hq1wsittyq</v>
      </c>
    </row>
    <row r="3069" spans="1:5" ht="15.75" customHeight="1" x14ac:dyDescent="0.25">
      <c r="A3069" s="1" t="s">
        <v>6137</v>
      </c>
      <c r="B3069" s="1">
        <v>162729</v>
      </c>
      <c r="C3069" s="3">
        <v>43923.652777777781</v>
      </c>
      <c r="D3069" s="1" t="s">
        <v>6138</v>
      </c>
      <c r="E3069" s="4" t="str">
        <f ca="1">IFERROR(__xludf.DUMMYFUNCTION("GOOGLETRANSLATE(A3069 , ""tr"" , ""en"")"),"COVID-19 took a lot of physicians took our teacher from us. Cerrahpaşa Faculty of Medical Faculty of Retire faculty professors Dr. We lost Feriha Öz. I wish herself mercy from Allah. May his family be right on the head of our medical community.")</f>
        <v>COVID-19 took a lot of physicians took our teacher from us. Cerrahpaşa Faculty of Medical Faculty of Retire faculty professors Dr. We lost Feriha Öz. I wish herself mercy from Allah. May his family be right on the head of our medical community.</v>
      </c>
    </row>
    <row r="3070" spans="1:5" ht="15.75" customHeight="1" x14ac:dyDescent="0.25">
      <c r="A3070" s="1" t="s">
        <v>6139</v>
      </c>
      <c r="B3070" s="1">
        <v>36199</v>
      </c>
      <c r="C3070" s="3">
        <v>43923.362893518519</v>
      </c>
      <c r="D3070" s="1" t="s">
        <v>6140</v>
      </c>
      <c r="E3070" s="4" t="str">
        <f ca="1">IFERROR(__xludf.DUMMYFUNCTION("GOOGLETRANSLATE(A3070 , ""tr"" , ""en"")"),"The rate of death in our cases is 1.58%. This rate is lower than the rate in many countries. The rate, which is low in countries such as Germany, South Korea, showed increases in recent days. We can lose new lives, but we will try to insist on attracting "&amp;"this rate below 1.58%. https://t.co/wbajfhgs4o")</f>
        <v>The rate of death in our cases is 1.58%. This rate is lower than the rate in many countries. The rate, which is low in countries such as Germany, South Korea, showed increases in recent days. We can lose new lives, but we will try to insist on attracting this rate below 1.58%. https://t.co/wbajfhgs4o</v>
      </c>
    </row>
    <row r="3071" spans="1:5" ht="15.75" customHeight="1" x14ac:dyDescent="0.25">
      <c r="A3071" s="1" t="s">
        <v>6141</v>
      </c>
      <c r="B3071" s="1">
        <v>47995</v>
      </c>
      <c r="C3071" s="3">
        <v>43923.352233796293</v>
      </c>
      <c r="D3071" s="1" t="s">
        <v>6142</v>
      </c>
      <c r="E3071" s="4" t="str">
        <f ca="1">IFERROR(__xludf.DUMMYFUNCTION("GOOGLETRANSLATE(A3071 , ""tr"" , ""en"")"),"The virus is now in our 81 provinces. We had the fact that we weren't in the case until yesterday. Now there is no city where the virus is not seen. Two new diagnostics changed the table. We have to reduce mobility in all our cities. Staying at home is im"&amp;"portant everywhere without exception. https://t.co/l4rksesya3")</f>
        <v>The virus is now in our 81 provinces. We had the fact that we weren't in the case until yesterday. Now there is no city where the virus is not seen. Two new diagnostics changed the table. We have to reduce mobility in all our cities. Staying at home is important everywhere without exception. https://t.co/l4rksesya3</v>
      </c>
    </row>
    <row r="3072" spans="1:5" ht="15.75" customHeight="1" x14ac:dyDescent="0.25">
      <c r="A3072" s="1" t="s">
        <v>6143</v>
      </c>
      <c r="B3072" s="1">
        <v>33938</v>
      </c>
      <c r="C3072" s="3">
        <v>43923.340011574073</v>
      </c>
      <c r="D3072" s="1" t="s">
        <v>6144</v>
      </c>
      <c r="E3072" s="4" t="str">
        <f ca="1">IFERROR(__xludf.DUMMYFUNCTION("GOOGLETRANSLATE(A3072 , ""tr"" , ""en"")"),"80% of your life losers over 60 years old. 75% had chronic discomfort. For example, 68% were blood pressure patients. 75% of those in intensive care are over 60 years of age, 63% of the blood pressure. We want 60 years of age and the top they don't get ou"&amp;"t of the house. This has obvious causes. https://t.co/sd1wc8dvdl")</f>
        <v>80% of your life losers over 60 years old. 75% had chronic discomfort. For example, 68% were blood pressure patients. 75% of those in intensive care are over 60 years of age, 63% of the blood pressure. We want 60 years of age and the top they don't get out of the house. This has obvious causes. https://t.co/sd1wc8dvdl</v>
      </c>
    </row>
    <row r="3073" spans="1:5" ht="15.75" customHeight="1" x14ac:dyDescent="0.25">
      <c r="A3073" s="1" t="s">
        <v>6145</v>
      </c>
      <c r="B3073" s="1">
        <v>61592</v>
      </c>
      <c r="C3073" s="3">
        <v>43923.328194444446</v>
      </c>
      <c r="D3073" s="1" t="s">
        <v>6146</v>
      </c>
      <c r="E3073" s="4" t="str">
        <f ca="1">IFERROR(__xludf.DUMMYFUNCTION("GOOGLETRANSLATE(A3073 , ""tr"" , ""en"")"),"Scan work proves that the disease spread very easily and rapidly. Let me give an example: a person's virus infected at least 30 people. We have identified these. This person has not been affected by the virus, but led to many pain. It doesn't mean that so"&amp;"meone's healthy look doesn't carry the virus. https://t.co/m07fmh0nBI")</f>
        <v>Scan work proves that the disease spread very easily and rapidly. Let me give an example: a person's virus infected at least 30 people. We have identified these. This person has not been affected by the virus, but led to many pain. It doesn't mean that someone's healthy look doesn't carry the virus. https://t.co/m07fmh0nBI</v>
      </c>
    </row>
    <row r="3074" spans="1:5" ht="15.75" customHeight="1" x14ac:dyDescent="0.25">
      <c r="A3074" s="1" t="s">
        <v>6147</v>
      </c>
      <c r="B3074" s="1">
        <v>43443</v>
      </c>
      <c r="C3074" s="3">
        <v>43922.981388888889</v>
      </c>
      <c r="D3074" s="1" t="s">
        <v>6148</v>
      </c>
      <c r="E3074" s="4" t="str">
        <f ca="1">IFERROR(__xludf.DUMMYFUNCTION("GOOGLETRANSLATE(A3074 , ""tr"" , ""en"")"),"Our daily test count has found 15,000 Will find 25,000 in the coming week. After ten days, the number will reach 30,000. As of now, the test is made at 71 centers. Our test center count will reach 89 in a few days. We also allow all the centers that can d"&amp;"o the test while increasing the number. https://t.co/ta2ssvoguj")</f>
        <v>Our daily test count has found 15,000 Will find 25,000 in the coming week. After ten days, the number will reach 30,000. As of now, the test is made at 71 centers. Our test center count will reach 89 in a few days. We also allow all the centers that can do the test while increasing the number. https://t.co/ta2ssvoguj</v>
      </c>
    </row>
    <row r="3075" spans="1:5" ht="15.75" customHeight="1" x14ac:dyDescent="0.25">
      <c r="A3075" s="1" t="s">
        <v>6149</v>
      </c>
      <c r="B3075" s="1">
        <v>33092</v>
      </c>
      <c r="C3075" s="3">
        <v>43922.970902777779</v>
      </c>
      <c r="D3075" s="1" t="s">
        <v>6150</v>
      </c>
      <c r="E3075" s="4" t="str">
        <f ca="1">IFERROR(__xludf.DUMMYFUNCTION("GOOGLETRANSLATE(A3075 , ""tr"" , ""en"")"),"The whole power of the virus is the opportunity to spread. Let's not recognize this power in this battle. By protecting this your life, you will do it by isolating yourself. If we do not succeed in our losses will increase. In the evening, we will be more"&amp;" upset when the table of the day is over. https://t.co/lom5qkafcp")</f>
        <v>The whole power of the virus is the opportunity to spread. Let's not recognize this power in this battle. By protecting this your life, you will do it by isolating yourself. If we do not succeed in our losses will increase. In the evening, we will be more upset when the table of the day is over. https://t.co/lom5qkafcp</v>
      </c>
    </row>
    <row r="3076" spans="1:5" ht="15.75" customHeight="1" x14ac:dyDescent="0.25">
      <c r="A3076" s="1" t="s">
        <v>6151</v>
      </c>
      <c r="B3076" s="1">
        <v>39913</v>
      </c>
      <c r="C3076" s="3">
        <v>43922.923900462964</v>
      </c>
      <c r="D3076" s="1" t="s">
        <v>6152</v>
      </c>
      <c r="E3076" s="4" t="str">
        <f ca="1">IFERROR(__xludf.DUMMYFUNCTION("GOOGLETRANSLATE(A3076 , ""tr"" , ""en"")"),"We will not be in contact, we will put the distance to the distance, we will isolate ourselves. One of us means serious consequences to concern us all. Our strategy should be fixed life. Our nest is our strength. If the mobility in cities decreases the mo"&amp;"re rapidly we will come. https://t.co/krak4UKQI5")</f>
        <v>We will not be in contact, we will put the distance to the distance, we will isolate ourselves. One of us means serious consequences to concern us all. Our strategy should be fixed life. Our nest is our strength. If the mobility in cities decreases the more rapidly we will come. https://t.co/krak4UKQI5</v>
      </c>
    </row>
    <row r="3077" spans="1:5" ht="15.75" customHeight="1" x14ac:dyDescent="0.25">
      <c r="A3077" s="1" t="s">
        <v>6153</v>
      </c>
      <c r="B3077" s="1">
        <v>125025</v>
      </c>
      <c r="C3077" s="3">
        <v>43922.913344907407</v>
      </c>
      <c r="D3077" s="1" t="s">
        <v>6154</v>
      </c>
      <c r="E3077" s="4" t="str">
        <f ca="1">IFERROR(__xludf.DUMMYFUNCTION("GOOGLETRANSLATE(A3077 , ""tr"" , ""en"")"),"We lost our Cemil Taşçıoğlu teacher. Our healthcare community is sad that our people who know during her disease. It was a physician I'm proud to be friendly. May his family be right in the head of our science world. May Allah mercy. Turkey, this valuable"&amp;" person will be defeated. https://t.co/v35aaaz30o")</f>
        <v>We lost our Cemil Taşçıoğlu teacher. Our healthcare community is sad that our people who know during her disease. It was a physician I'm proud to be friendly. May his family be right in the head of our science world. May Allah mercy. Turkey, this valuable person will be defeated. https://t.co/v35aaaz30o</v>
      </c>
    </row>
    <row r="3078" spans="1:5" ht="15.75" customHeight="1" x14ac:dyDescent="0.25">
      <c r="A3078" s="1" t="s">
        <v>6155</v>
      </c>
      <c r="B3078" s="1">
        <v>81632</v>
      </c>
      <c r="C3078" s="3">
        <v>43922.702638888892</v>
      </c>
      <c r="D3078" s="1" t="s">
        <v>6156</v>
      </c>
      <c r="E3078" s="4" t="str">
        <f ca="1">IFERROR(__xludf.DUMMYFUNCTION("GOOGLETRANSLATE(A3078 , ""tr"" , ""en"")"),"At the end of our Science Board meeting, you can find the daily coronavirus table I explained here and below.
🔍 https://t.co/rvlhe7786o https://t.co/3ycuduhpcd")</f>
        <v>At the end of our Science Board meeting, you can find the daily coronavirus table I explained here and below.
🔍 https://t.co/rvlhe7786o https://t.co/3ycuduhpcd</v>
      </c>
    </row>
    <row r="3079" spans="1:5" ht="15.75" customHeight="1" x14ac:dyDescent="0.25">
      <c r="A3079" s="1" t="s">
        <v>6157</v>
      </c>
      <c r="B3079" s="1">
        <v>35730</v>
      </c>
      <c r="C3079" s="3">
        <v>43922.699363425927</v>
      </c>
      <c r="D3079" s="1" t="s">
        <v>6158</v>
      </c>
      <c r="E3079" s="4" t="str">
        <f ca="1">IFERROR(__xludf.DUMMYFUNCTION("GOOGLETRANSLATE(A3079 , ""tr"" , ""en"")"),"After our Science Board meeting, the latest developments on the coronavirus and the new measures we receive.
Bilkent Campus / Ankara https://t.co/ztupgfcfe4")</f>
        <v>After our Science Board meeting, the latest developments on the coronavirus and the new measures we receive.
Bilkent Campus / Ankara https://t.co/ztupgfcfe4</v>
      </c>
    </row>
    <row r="3080" spans="1:5" ht="15.75" customHeight="1" x14ac:dyDescent="0.25">
      <c r="A3080" s="1" t="s">
        <v>6159</v>
      </c>
      <c r="B3080" s="1">
        <v>100325</v>
      </c>
      <c r="C3080" s="3">
        <v>43921.702499999999</v>
      </c>
      <c r="D3080" s="1" t="s">
        <v>6160</v>
      </c>
      <c r="E3080" s="4" t="str">
        <f ca="1">IFERROR(__xludf.DUMMYFUNCTION("GOOGLETRANSLATE(A3080 , ""tr"" , ""en"")"),"Our test count increased by 25.2% compared to yesterday. Our test center count reached 75. We are faster and advantageous in determining positive cases. Let's not compromise social isolation. Contact = risk. Please let's not forget.
🔍 https://t.co/rvlhe"&amp;"7786o https://t.co/qvrmr5fksl")</f>
        <v>Our test count increased by 25.2% compared to yesterday. Our test center count reached 75. We are faster and advantageous in determining positive cases. Let's not compromise social isolation. Contact = risk. Please let's not forget.
🔍 https://t.co/rvlhe7786o https://t.co/qvrmr5fksl</v>
      </c>
    </row>
    <row r="3081" spans="1:5" ht="15.75" customHeight="1" x14ac:dyDescent="0.25">
      <c r="A3081" s="1" t="s">
        <v>6161</v>
      </c>
      <c r="B3081" s="1">
        <v>65059</v>
      </c>
      <c r="C3081" s="3">
        <v>43921.351388888892</v>
      </c>
      <c r="D3081" s="1" t="s">
        <v>6162</v>
      </c>
      <c r="E3081" s="4" t="str">
        <f ca="1">IFERROR(__xludf.DUMMYFUNCTION("GOOGLETRANSLATE(A3081 , ""tr"" , ""en"")"),"Against the coronavirus we are all unequivocal conditions.
Please support those who need financial support.
#Bizyeyeterisquinturkiyem https://t.co/nvj5z04qhl")</f>
        <v>Against the coronavirus we are all unequivocal conditions.
Please support those who need financial support.
#Bizyeyeterisquinturkiyem https://t.co/nvj5z04qhl</v>
      </c>
    </row>
    <row r="3082" spans="1:5" ht="15.75" customHeight="1" x14ac:dyDescent="0.25">
      <c r="A3082" s="1" t="s">
        <v>6163</v>
      </c>
      <c r="B3082" s="1">
        <v>36325</v>
      </c>
      <c r="C3082" s="3">
        <v>43921.31355324074</v>
      </c>
      <c r="D3082" s="1" t="s">
        <v>6164</v>
      </c>
      <c r="E3082" s="4" t="str">
        <f ca="1">IFERROR(__xludf.DUMMYFUNCTION("GOOGLETRANSLATE(A3082 , ""tr"" , ""en"")"),"Yesterday, Istanbul Okmeydanı The first stage of our city hospital has opened the service. Our Kartal City Hospital has been previously opened to service. In September, we are opening in September. With our new city hospitals, our bed capacity in Istanbul"&amp;" is increasing 5.452 in total. https://t.co/kkn0z9j0b2")</f>
        <v>Yesterday, Istanbul Okmeydanı The first stage of our city hospital has opened the service. Our Kartal City Hospital has been previously opened to service. In September, we are opening in September. With our new city hospitals, our bed capacity in Istanbul is increasing 5.452 in total. https://t.co/kkn0z9j0b2</v>
      </c>
    </row>
    <row r="3083" spans="1:5" ht="15.75" customHeight="1" x14ac:dyDescent="0.25">
      <c r="A3083" s="1" t="s">
        <v>6165</v>
      </c>
      <c r="B3083" s="1">
        <v>0</v>
      </c>
      <c r="C3083" s="3">
        <v>43920.751215277778</v>
      </c>
      <c r="D3083" s="1" t="s">
        <v>6166</v>
      </c>
      <c r="E3083" s="4" t="str">
        <f ca="1">IFERROR(__xludf.DUMMYFUNCTION("GOOGLETRANSLATE(A3083 , ""tr"" , ""en"")"),"RT @rterdogan: Shouting Nation after Cabinet Meeting https://t.co/wbhjbcm8b4")</f>
        <v>RT @rterdogan: Shouting Nation after Cabinet Meeting https://t.co/wbhjbcm8b4</v>
      </c>
    </row>
    <row r="3084" spans="1:5" ht="15.75" customHeight="1" x14ac:dyDescent="0.25">
      <c r="A3084" s="1" t="s">
        <v>6167</v>
      </c>
      <c r="B3084" s="1">
        <v>96118</v>
      </c>
      <c r="C3084" s="3">
        <v>43920.66815972222</v>
      </c>
      <c r="D3084" s="1" t="s">
        <v>6168</v>
      </c>
      <c r="E3084" s="4" t="str">
        <f ca="1">IFERROR(__xludf.DUMMYFUNCTION("GOOGLETRANSLATE(A3084 , ""tr"" , ""en"")"),"You can find the current coronavirus table in our country where I share here and below.
🔍 https://t.co/rvlhe7786o https://t.co/DJX0NPTFI1")</f>
        <v>You can find the current coronavirus table in our country where I share here and below.
🔍 https://t.co/rvlhe7786o https://t.co/DJX0NPTFI1</v>
      </c>
    </row>
    <row r="3085" spans="1:5" ht="15.75" customHeight="1" x14ac:dyDescent="0.25">
      <c r="A3085" s="1" t="s">
        <v>6169</v>
      </c>
      <c r="B3085" s="1">
        <v>95279</v>
      </c>
      <c r="C3085" s="3">
        <v>43920.612314814818</v>
      </c>
      <c r="D3085" s="1" t="s">
        <v>6170</v>
      </c>
      <c r="E3085" s="4" t="str">
        <f ca="1">IFERROR(__xludf.DUMMYFUNCTION("GOOGLETRANSLATE(A3085 , ""tr"" , ""en"")"),"We have carried our service capacity a step further in these days that we give an important examination in the field of health. We have opened the first stage of 600 beds with the Okmeydan training and research hospital, which will serve our patients with"&amp;" coronavirus patients. May our nation be auspicious. https://t.co/q4vszcx48e")</f>
        <v>We have carried our service capacity a step further in these days that we give an important examination in the field of health. We have opened the first stage of 600 beds with the Okmeydan training and research hospital, which will serve our patients with coronavirus patients. May our nation be auspicious. https://t.co/q4vszcx48e</v>
      </c>
    </row>
    <row r="3086" spans="1:5" ht="15.75" customHeight="1" x14ac:dyDescent="0.25">
      <c r="A3086" s="1" t="s">
        <v>6171</v>
      </c>
      <c r="B3086" s="1">
        <v>154814</v>
      </c>
      <c r="C3086" s="3">
        <v>43919.958993055552</v>
      </c>
      <c r="D3086" s="1" t="s">
        <v>6172</v>
      </c>
      <c r="E3086" s="4" t="str">
        <f ca="1">IFERROR(__xludf.DUMMYFUNCTION("GOOGLETRANSLATE(A3086 , ""tr"" , ""en"")"),"The allegations that are involved in the data we explained in the social media are completely unsubstantiated. The numerical data described are based on evidence. Directly based on the diagnosis of Covid-19. Data are instantual real data. There is no bene"&amp;"fit of anyone distorting the facts.")</f>
        <v>The allegations that are involved in the data we explained in the social media are completely unsubstantiated. The numerical data described are based on evidence. Directly based on the diagnosis of Covid-19. Data are instantual real data. There is no benefit of anyone distorting the facts.</v>
      </c>
    </row>
    <row r="3087" spans="1:5" ht="15.75" customHeight="1" x14ac:dyDescent="0.25">
      <c r="A3087" s="1" t="s">
        <v>6173</v>
      </c>
      <c r="B3087" s="1">
        <v>153407</v>
      </c>
      <c r="C3087" s="3">
        <v>43919.882569444446</v>
      </c>
      <c r="D3087" s="1" t="s">
        <v>6174</v>
      </c>
      <c r="E3087" s="4" t="str">
        <f ca="1">IFERROR(__xludf.DUMMYFUNCTION("GOOGLETRANSLATE(A3087 , ""tr"" , ""en"")"),"Be right in Turkey.
Let's spend tomorrow by fitting on measures. https://t.co/pdd4cc0Ipb")</f>
        <v>Be right in Turkey.
Let's spend tomorrow by fitting on measures. https://t.co/pdd4cc0Ipb</v>
      </c>
    </row>
    <row r="3088" spans="1:5" ht="15.75" customHeight="1" x14ac:dyDescent="0.25">
      <c r="A3088" s="1" t="s">
        <v>6175</v>
      </c>
      <c r="B3088" s="1">
        <v>104645</v>
      </c>
      <c r="C3088" s="3">
        <v>43919.6721875</v>
      </c>
      <c r="D3088" s="1" t="s">
        <v>6176</v>
      </c>
      <c r="E3088" s="4" t="str">
        <f ca="1">IFERROR(__xludf.DUMMYFUNCTION("GOOGLETRANSLATE(A3088 , ""tr"" , ""en"")"),"Turkey's daily Koronavirus table, each evening with renewed data, you can see below and you can see here
🔍 https://t.co/rvlhe7786o https://t.co/r4gxypd6kj")</f>
        <v>Turkey's daily Koronavirus table, each evening with renewed data, you can see below and you can see here
🔍 https://t.co/rvlhe7786o https://t.co/r4gxypd6kj</v>
      </c>
    </row>
    <row r="3089" spans="1:5" ht="15.75" customHeight="1" x14ac:dyDescent="0.25">
      <c r="A3089" s="1" t="s">
        <v>6177</v>
      </c>
      <c r="B3089" s="1">
        <v>196571</v>
      </c>
      <c r="C3089" s="3">
        <v>43918.843935185185</v>
      </c>
      <c r="D3089" s="1" t="s">
        <v>6178</v>
      </c>
      <c r="E3089" s="4" t="str">
        <f ca="1">IFERROR(__xludf.DUMMYFUNCTION("GOOGLETRANSLATE(A3089 , ""tr"" , ""en"")"),"I would like to thank our people in your house by fitting the measures. We started very well. Let's continue with the same seriousness. https://t.co/tsqayrsogd")</f>
        <v>I would like to thank our people in your house by fitting the measures. We started very well. Let's continue with the same seriousness. https://t.co/tsqayrsogd</v>
      </c>
    </row>
    <row r="3090" spans="1:5" ht="15.75" customHeight="1" x14ac:dyDescent="0.25">
      <c r="A3090" s="1" t="s">
        <v>6179</v>
      </c>
      <c r="B3090" s="1">
        <v>59776</v>
      </c>
      <c r="C3090" s="3">
        <v>43918.720092592594</v>
      </c>
      <c r="D3090" s="1" t="s">
        <v>6180</v>
      </c>
      <c r="E3090" s="4" t="str">
        <f ca="1">IFERROR(__xludf.DUMMYFUNCTION("GOOGLETRANSLATE(A3090 , ""tr"" , ""en"")"),"Everyone should pretend to carry the virus itself. Should limit the theme of others to this assumption. In this period, the Mertebe should be isolated at home. https://t.co/tbz4wyqwe5")</f>
        <v>Everyone should pretend to carry the virus itself. Should limit the theme of others to this assumption. In this period, the Mertebe should be isolated at home. https://t.co/tbz4wyqwe5</v>
      </c>
    </row>
    <row r="3091" spans="1:5" ht="15.75" customHeight="1" x14ac:dyDescent="0.25">
      <c r="A3091" s="1" t="s">
        <v>6181</v>
      </c>
      <c r="B3091" s="1">
        <v>54025</v>
      </c>
      <c r="C3091" s="3">
        <v>43918.716585648152</v>
      </c>
      <c r="D3091" s="1" t="s">
        <v>6182</v>
      </c>
      <c r="E3091" s="4" t="str">
        <f ca="1">IFERROR(__xludf.DUMMYFUNCTION("GOOGLETRANSLATE(A3091 , ""tr"" , ""en"")"),"A new method of struggle is now in life. I believe we will cut the front of the illness. It will facilitate our people to comply with the measures taken, to overcome the work. https://t.co/pxpqfkc5pv")</f>
        <v>A new method of struggle is now in life. I believe we will cut the front of the illness. It will facilitate our people to comply with the measures taken, to overcome the work. https://t.co/pxpqfkc5pv</v>
      </c>
    </row>
    <row r="3092" spans="1:5" ht="15.75" customHeight="1" x14ac:dyDescent="0.25">
      <c r="A3092" s="1" t="s">
        <v>6183</v>
      </c>
      <c r="B3092" s="1">
        <v>46687</v>
      </c>
      <c r="C3092" s="3">
        <v>43918.712326388886</v>
      </c>
      <c r="D3092" s="1" t="s">
        <v>6184</v>
      </c>
      <c r="E3092" s="4" t="str">
        <f ca="1">IFERROR(__xludf.DUMMYFUNCTION("GOOGLETRANSLATE(A3092 , ""tr"" , ""en"")"),"We made the most important meeting of the process with our science board. The approach we developed has been: The disease should be isolated within the limits, social mobility should be lowest. The measure we suggest for 83 million is a life style confine"&amp;"d. https://t.co/uoe9qfjm9x")</f>
        <v>We made the most important meeting of the process with our science board. The approach we developed has been: The disease should be isolated within the limits, social mobility should be lowest. The measure we suggest for 83 million is a life style confined. https://t.co/uoe9qfjm9x</v>
      </c>
    </row>
    <row r="3093" spans="1:5" ht="15.75" customHeight="1" x14ac:dyDescent="0.25">
      <c r="A3093" s="1" t="s">
        <v>6185</v>
      </c>
      <c r="B3093" s="1">
        <v>91842</v>
      </c>
      <c r="C3093" s="3">
        <v>43918.698472222219</v>
      </c>
      <c r="D3093" s="1" t="s">
        <v>6186</v>
      </c>
      <c r="E3093" s="4" t="str">
        <f ca="1">IFERROR(__xludf.DUMMYFUNCTION("GOOGLETRANSLATE(A3093 , ""tr"" , ""en"")"),"Turkey's daily coronavirus table, you can see here every evening with renewed data and shared below. True and detailed information in these two sources.
🔍 https://t.co/rvlhe7786o https://t.co/dgcxpksnms")</f>
        <v>Turkey's daily coronavirus table, you can see here every evening with renewed data and shared below. True and detailed information in these two sources.
🔍 https://t.co/rvlhe7786o https://t.co/dgcxpksnms</v>
      </c>
    </row>
    <row r="3094" spans="1:5" ht="15.75" customHeight="1" x14ac:dyDescent="0.25">
      <c r="A3094" s="1" t="s">
        <v>6187</v>
      </c>
      <c r="B3094" s="1">
        <v>65248</v>
      </c>
      <c r="C3094" s="3">
        <v>43917.855266203704</v>
      </c>
      <c r="D3094" s="1" t="s">
        <v>6188</v>
      </c>
      <c r="E3094" s="4" t="str">
        <f ca="1">IFERROR(__xludf.DUMMYFUNCTION("GOOGLETRANSLATE(A3094 , ""tr"" , ""en"")"),"Turkey's daily coronavirus table, each day with detailed data, you can follow the link below.
🔍 https://t.co/rvlhe7786o https://t.co/ab5msaw8ttt")</f>
        <v>Turkey's daily coronavirus table, each day with detailed data, you can follow the link below.
🔍 https://t.co/rvlhe7786o https://t.co/ab5msaw8ttt</v>
      </c>
    </row>
    <row r="3095" spans="1:5" ht="15.75" customHeight="1" x14ac:dyDescent="0.25">
      <c r="A3095" s="1" t="s">
        <v>6189</v>
      </c>
      <c r="B3095" s="1">
        <v>121342</v>
      </c>
      <c r="C3095" s="3">
        <v>43917.832511574074</v>
      </c>
      <c r="D3095" s="1" t="s">
        <v>6190</v>
      </c>
      <c r="E3095" s="4" t="str">
        <f ca="1">IFERROR(__xludf.DUMMYFUNCTION("GOOGLETRANSLATE(A3095 , ""tr"" , ""en"")"),"In our struggle with the coronavir, we entered a period of power that society has gained power. SN. Our President has also evaluated new decisions by evaluating the approximation of our science board. I'm supplying my gratitude to themselves.")</f>
        <v>In our struggle with the coronavir, we entered a period of power that society has gained power. SN. Our President has also evaluated new decisions by evaluating the approximation of our science board. I'm supplying my gratitude to themselves.</v>
      </c>
    </row>
    <row r="3096" spans="1:5" ht="15.75" customHeight="1" x14ac:dyDescent="0.25">
      <c r="A3096" s="1" t="s">
        <v>6191</v>
      </c>
      <c r="B3096" s="1">
        <v>0</v>
      </c>
      <c r="C3096" s="3">
        <v>43917.828020833331</v>
      </c>
      <c r="D3096" s="1" t="s">
        <v>6192</v>
      </c>
      <c r="E3096" s="4" t="str">
        <f ca="1">IFERROR(__xludf.DUMMYFUNCTION("GOOGLETRANSLATE(A3096 , ""tr"" , ""en"")"),"RT @rterdogan: Press release https://t.co/c6zrepkW1I")</f>
        <v>RT @rterdogan: Press release https://t.co/c6zrepkW1I</v>
      </c>
    </row>
    <row r="3097" spans="1:5" ht="15.75" customHeight="1" x14ac:dyDescent="0.25">
      <c r="A3097" s="1" t="s">
        <v>6193</v>
      </c>
      <c r="B3097" s="1">
        <v>43723</v>
      </c>
      <c r="C3097" s="3">
        <v>43917.693726851852</v>
      </c>
      <c r="D3097" s="1" t="s">
        <v>6194</v>
      </c>
      <c r="E3097" s="4" t="str">
        <f ca="1">IFERROR(__xludf.DUMMYFUNCTION("GOOGLETRANSLATE(A3097 , ""tr"" , ""en"")"),"After our Science Board meeting, the latest developments on the coronavirus and the new measures we receive.
📍 The Ministry of Health Bilkent Campus / Ankara https://t.co/jc0zmum5o1")</f>
        <v>After our Science Board meeting, the latest developments on the coronavirus and the new measures we receive.
📍 The Ministry of Health Bilkent Campus / Ankara https://t.co/jc0zmum5o1</v>
      </c>
    </row>
    <row r="3098" spans="1:5" ht="15.75" customHeight="1" x14ac:dyDescent="0.25">
      <c r="A3098" s="1" t="s">
        <v>6195</v>
      </c>
      <c r="B3098" s="1">
        <v>61481</v>
      </c>
      <c r="C3098" s="3">
        <v>43917.271053240744</v>
      </c>
      <c r="D3098" s="1" t="s">
        <v>6196</v>
      </c>
      <c r="E3098" s="4" t="str">
        <f ca="1">IFERROR(__xludf.DUMMYFUNCTION("GOOGLETRANSLATE(A3098 , ""tr"" , ""en"")"),"We have a meeting over the teleconference yesterday with the provincial health manager of our country's 81 provinces. We assessed the risks, the method of struggle. We are augeable in all our provinces against the threat of coronavirus. https://t.co/MSHKQ"&amp;"ITA0T")</f>
        <v>We have a meeting over the teleconference yesterday with the provincial health manager of our country's 81 provinces. We assessed the risks, the method of struggle. We are augeable in all our provinces against the threat of coronavirus. https://t.co/MSHKQITA0T</v>
      </c>
    </row>
    <row r="3099" spans="1:5" ht="15.75" customHeight="1" x14ac:dyDescent="0.25">
      <c r="A3099" s="1" t="s">
        <v>6197</v>
      </c>
      <c r="B3099" s="1">
        <v>256577</v>
      </c>
      <c r="C3099" s="3">
        <v>43916.817442129628</v>
      </c>
      <c r="D3099" s="1" t="s">
        <v>6198</v>
      </c>
      <c r="E3099" s="4" t="str">
        <f ca="1">IFERROR(__xludf.DUMMYFUNCTION("GOOGLETRANSLATE(A3099 , ""tr"" , ""en"")"),"Our test count was 5.035 yesterday. Took place as 7.286 today. 1.196 New diagnosed. Patients and contact environments were isolated. We lost our 16 patients. With these results, our life loss reached 75, our patients reached 3.629. I invite you to the imp"&amp;"lementation of persistent measures.")</f>
        <v>Our test count was 5.035 yesterday. Took place as 7.286 today. 1.196 New diagnosed. Patients and contact environments were isolated. We lost our 16 patients. With these results, our life loss reached 75, our patients reached 3.629. I invite you to the implementation of persistent measures.</v>
      </c>
    </row>
    <row r="3100" spans="1:5" ht="15.75" customHeight="1" x14ac:dyDescent="0.25">
      <c r="A3100" s="1" t="s">
        <v>6199</v>
      </c>
      <c r="B3100" s="1">
        <v>47617</v>
      </c>
      <c r="C3100" s="3">
        <v>43916.622812499998</v>
      </c>
      <c r="D3100" s="1" t="s">
        <v>6200</v>
      </c>
      <c r="E3100" s="4" t="str">
        <f ca="1">IFERROR(__xludf.DUMMYFUNCTION("GOOGLETRANSLATE(A3100 , ""tr"" , ""en"")"),"We meet the material requirement of our hospitals, including N95 mask and overalls. Our country on the mask has enough production capacity. It is not even that we leave our citizen, health workers without materials. Will find our state in the face of the "&amp;"problem. https://t.co/pu4fwmnwfp")</f>
        <v>We meet the material requirement of our hospitals, including N95 mask and overalls. Our country on the mask has enough production capacity. It is not even that we leave our citizen, health workers without materials. Will find our state in the face of the problem. https://t.co/pu4fwmnwfp</v>
      </c>
    </row>
    <row r="3101" spans="1:5" ht="15.75" customHeight="1" x14ac:dyDescent="0.25">
      <c r="A3101" s="1" t="s">
        <v>6201</v>
      </c>
      <c r="B3101" s="1">
        <v>40528</v>
      </c>
      <c r="C3101" s="3">
        <v>43916.615960648145</v>
      </c>
      <c r="D3101" s="1" t="s">
        <v>6202</v>
      </c>
      <c r="E3101" s="4" t="str">
        <f ca="1">IFERROR(__xludf.DUMMYFUNCTION("GOOGLETRANSLATE(A3101 , ""tr"" , ""en"")"),"Who should be tested to? ""To the necessity of the test, he decides the physician, by looking at complaints. You can risk without knowing the result of the test you have made. What to do instead of testing? Everyone should behave by accepting the virus ca"&amp;"rrier. "" Detailed answer is in video. https://t.co/gk5bfo7jd8")</f>
        <v>Who should be tested to? "To the necessity of the test, he decides the physician, by looking at complaints. You can risk without knowing the result of the test you have made. What to do instead of testing? Everyone should behave by accepting the virus carrier. " Detailed answer is in video. https://t.co/gk5bfo7jd8</v>
      </c>
    </row>
    <row r="3102" spans="1:5" ht="15.75" customHeight="1" x14ac:dyDescent="0.25">
      <c r="A3102" s="1" t="s">
        <v>6203</v>
      </c>
      <c r="B3102" s="1">
        <v>57280</v>
      </c>
      <c r="C3102" s="3">
        <v>43916.564826388887</v>
      </c>
      <c r="D3102" s="1" t="s">
        <v>6204</v>
      </c>
      <c r="E3102" s="4" t="str">
        <f ca="1">IFERROR(__xludf.DUMMYFUNCTION("GOOGLETRANSLATE(A3102 , ""tr"" , ""en"")"),"Mothers, dads, children, teens, big ones ... I don't invite you to do what is impossible. I invite you to practice very simple measures. Remember: We are as strong as the measure we received. https://t.co/0btw72hzkz")</f>
        <v>Mothers, dads, children, teens, big ones ... I don't invite you to do what is impossible. I invite you to practice very simple measures. Remember: We are as strong as the measure we received. https://t.co/0btw72hzkz</v>
      </c>
    </row>
    <row r="3103" spans="1:5" ht="15.75" customHeight="1" x14ac:dyDescent="0.25">
      <c r="A3103" s="1" t="s">
        <v>6205</v>
      </c>
      <c r="B3103" s="1">
        <v>108199</v>
      </c>
      <c r="C3103" s="3">
        <v>43916.517534722225</v>
      </c>
      <c r="D3103" s="1" t="s">
        <v>6206</v>
      </c>
      <c r="E3103" s="4" t="str">
        <f ca="1">IFERROR(__xludf.DUMMYFUNCTION("GOOGLETRANSLATE(A3103 , ""tr"" , ""en"")"),"We know the rules. We have to reveal our will. The virus depends on our own behavior, preventing us from spreading from us. No healthcare institution can prevent any physicians from contamination of the virus. You can avoid this. Please let's retweet the "&amp;"message. https://t.co/tyxcejxxfi")</f>
        <v>We know the rules. We have to reveal our will. The virus depends on our own behavior, preventing us from spreading from us. No healthcare institution can prevent any physicians from contamination of the virus. You can avoid this. Please let's retweet the message. https://t.co/tyxcejxxfi</v>
      </c>
    </row>
    <row r="3104" spans="1:5" ht="15.75" customHeight="1" x14ac:dyDescent="0.25">
      <c r="A3104" s="1" t="s">
        <v>6207</v>
      </c>
      <c r="B3104" s="1">
        <v>234465</v>
      </c>
      <c r="C3104" s="3">
        <v>43915.861886574072</v>
      </c>
      <c r="D3104" s="1" t="s">
        <v>6208</v>
      </c>
      <c r="E3104" s="4" t="str">
        <f ca="1">IFERROR(__xludf.DUMMYFUNCTION("GOOGLETRANSLATE(A3104 , ""tr"" , ""en"")"),"5,035 tests resulted in the last 24 hours. 561 diagnosed. 15 Our patients farewell to life. The number of patients we lost to date 59. Our total patient count 2.433. Numbers cannot express his lost pain, concern. Let's try to live with zero risk. Measures"&amp;" us to life.")</f>
        <v>5,035 tests resulted in the last 24 hours. 561 diagnosed. 15 Our patients farewell to life. The number of patients we lost to date 59. Our total patient count 2.433. Numbers cannot express his lost pain, concern. Let's try to live with zero risk. Measures us to life.</v>
      </c>
    </row>
    <row r="3105" spans="1:5" ht="15.75" customHeight="1" x14ac:dyDescent="0.25">
      <c r="A3105" s="1" t="s">
        <v>6209</v>
      </c>
      <c r="B3105" s="1">
        <v>131964</v>
      </c>
      <c r="C3105" s="3">
        <v>43915.810520833336</v>
      </c>
      <c r="D3105" s="1" t="s">
        <v>6210</v>
      </c>
      <c r="E3105" s="4" t="str">
        <f ca="1">IFERROR(__xludf.DUMMYFUNCTION("GOOGLETRANSLATE(A3105 , ""tr"" , ""en"")"),"Our worldwide composer fazıl say, life fits home. I thank him for taking part in our campaign. Life is beautiful wherever there is music.")</f>
        <v>Our worldwide composer fazıl say, life fits home. I thank him for taking part in our campaign. Life is beautiful wherever there is music.</v>
      </c>
    </row>
    <row r="3106" spans="1:5" ht="15.75" customHeight="1" x14ac:dyDescent="0.25">
      <c r="A3106" s="1" t="s">
        <v>6211</v>
      </c>
      <c r="B3106" s="1">
        <v>49828</v>
      </c>
      <c r="C3106" s="3">
        <v>43915.79315972222</v>
      </c>
      <c r="D3106" s="1" t="s">
        <v>6212</v>
      </c>
      <c r="E3106" s="4" t="str">
        <f ca="1">IFERROR(__xludf.DUMMYFUNCTION("GOOGLETRANSLATE(A3106 , ""tr"" , ""en"")"),"Life fits home #LyleVeskin https://t.co/v2hruv3suj")</f>
        <v>Life fits home #LyleVeskin https://t.co/v2hruv3suj</v>
      </c>
    </row>
    <row r="3107" spans="1:5" ht="15.75" customHeight="1" x14ac:dyDescent="0.25">
      <c r="A3107" s="1" t="s">
        <v>6213</v>
      </c>
      <c r="B3107" s="1">
        <v>142034</v>
      </c>
      <c r="C3107" s="3">
        <v>43915.78943287037</v>
      </c>
      <c r="D3107" s="1" t="s">
        <v>6214</v>
      </c>
      <c r="E3107" s="4" t="str">
        <f ca="1">IFERROR(__xludf.DUMMYFUNCTION("GOOGLETRANSLATE(A3107 , ""tr"" , ""en"")"),"Burak Özçivit and Funriye evcen says life fits home. I thank them for the support they give our campaign.")</f>
        <v>Burak Özçivit and Funriye evcen says life fits home. I thank them for the support they give our campaign.</v>
      </c>
    </row>
    <row r="3108" spans="1:5" ht="15.75" customHeight="1" x14ac:dyDescent="0.25">
      <c r="A3108" s="1" t="s">
        <v>6215</v>
      </c>
      <c r="B3108" s="1">
        <v>50115</v>
      </c>
      <c r="C3108" s="3">
        <v>43915.678333333337</v>
      </c>
      <c r="D3108" s="1" t="s">
        <v>6216</v>
      </c>
      <c r="E3108" s="4" t="str">
        <f ca="1">IFERROR(__xludf.DUMMYFUNCTION("GOOGLETRANSLATE(A3108 , ""tr"" , ""en"")"),"After our scientific commercial meeting, we evaluate the latest developments and the common measures we receive with the Mr. Minister of Ziya Selçuk.
Bilkent Campus / Ankara https://t.co/arkjbmpj17")</f>
        <v>After our scientific commercial meeting, we evaluate the latest developments and the common measures we receive with the Mr. Minister of Ziya Selçuk.
Bilkent Campus / Ankara https://t.co/arkjbmpj17</v>
      </c>
    </row>
    <row r="3109" spans="1:5" ht="15.75" customHeight="1" x14ac:dyDescent="0.25">
      <c r="A3109" s="1" t="s">
        <v>6217</v>
      </c>
      <c r="B3109" s="1">
        <v>137518</v>
      </c>
      <c r="C3109" s="3">
        <v>43915.613946759258</v>
      </c>
      <c r="D3109" s="1" t="s">
        <v>6218</v>
      </c>
      <c r="E3109" s="4" t="str">
        <f ca="1">IFERROR(__xludf.DUMMYFUNCTION("GOOGLETRANSLATE(A3109 , ""tr"" , ""en"")"),"Life Fits Home #LyleVeskin https://t.co/gthtrbsdnd")</f>
        <v>Life Fits Home #LyleVeskin https://t.co/gthtrbsdnd</v>
      </c>
    </row>
    <row r="3110" spans="1:5" ht="15.75" customHeight="1" x14ac:dyDescent="0.25">
      <c r="A3110" s="1" t="s">
        <v>6219</v>
      </c>
      <c r="B3110" s="1">
        <v>184421</v>
      </c>
      <c r="C3110" s="3">
        <v>43915.570138888892</v>
      </c>
      <c r="D3110" s="1" t="s">
        <v>6220</v>
      </c>
      <c r="E3110" s="4" t="str">
        <f ca="1">IFERROR(__xludf.DUMMYFUNCTION("GOOGLETRANSLATE(A3110 , ""tr"" , ""en"")"),"It was an important value on behalf of Turkish politics with his flag to his flag and nationality. In the year acres of our painful loss, I respect the Muhsin Yazıığlu in the year. https://t.co/uab9marsFI")</f>
        <v>It was an important value on behalf of Turkish politics with his flag to his flag and nationality. In the year acres of our painful loss, I respect the Muhsin Yazıığlu in the year. https://t.co/uab9marsFI</v>
      </c>
    </row>
    <row r="3111" spans="1:5" ht="15.75" customHeight="1" x14ac:dyDescent="0.25">
      <c r="A3111" s="1" t="s">
        <v>6221</v>
      </c>
      <c r="B3111" s="1">
        <v>225437</v>
      </c>
      <c r="C3111" s="3">
        <v>43914.797685185185</v>
      </c>
      <c r="D3111" s="1" t="s">
        <v>6222</v>
      </c>
      <c r="E3111" s="4" t="str">
        <f ca="1">IFERROR(__xludf.DUMMYFUNCTION("GOOGLETRANSLATE(A3111 , ""tr"" , ""en"")"),"How many people? Every day in 195 countries is being asked. It is not late for Turkey. Measure can cut the front of the increase. A total of 3,952 tests were performed in the last 24 hours. There are 343 new diagnoses. We lost our 7 patients. One was COPD"&amp;" patient. Six was age. We are as strong as the measure we received.")</f>
        <v>How many people? Every day in 195 countries is being asked. It is not late for Turkey. Measure can cut the front of the increase. A total of 3,952 tests were performed in the last 24 hours. There are 343 new diagnoses. We lost our 7 patients. One was COPD patient. Six was age. We are as strong as the measure we received.</v>
      </c>
    </row>
    <row r="3112" spans="1:5" ht="15.75" customHeight="1" x14ac:dyDescent="0.25">
      <c r="A3112" s="1" t="s">
        <v>6223</v>
      </c>
      <c r="B3112" s="1">
        <v>149669</v>
      </c>
      <c r="C3112" s="3">
        <v>43914.769756944443</v>
      </c>
      <c r="D3112" s="1" t="s">
        <v>6224</v>
      </c>
      <c r="E3112" s="4" t="str">
        <f ca="1">IFERROR(__xludf.DUMMYFUNCTION("GOOGLETRANSLATE(A3112 , ""tr"" , ""en"")"),"Mazhar Alanson said life fits home and joined our campaign. I thank him for her support. #Life")</f>
        <v>Mazhar Alanson said life fits home and joined our campaign. I thank him for her support. #Life</v>
      </c>
    </row>
    <row r="3113" spans="1:5" ht="15.75" customHeight="1" x14ac:dyDescent="0.25">
      <c r="A3113" s="1" t="s">
        <v>6225</v>
      </c>
      <c r="B3113" s="1">
        <v>87663</v>
      </c>
      <c r="C3113" s="3">
        <v>43914.706909722219</v>
      </c>
      <c r="D3113" s="1" t="s">
        <v>6226</v>
      </c>
      <c r="E3113" s="4" t="str">
        <f ca="1">IFERROR(__xludf.DUMMYFUNCTION("GOOGLETRANSLATE(A3113 , ""tr"" , ""en"")"),"Life fits home #layeveshar https://t.co/r4c4n888hy")</f>
        <v>Life fits home #layeveshar https://t.co/r4c4n888hy</v>
      </c>
    </row>
    <row r="3114" spans="1:5" ht="15.75" customHeight="1" x14ac:dyDescent="0.25">
      <c r="A3114" s="1" t="s">
        <v>6227</v>
      </c>
      <c r="B3114" s="1">
        <v>91559</v>
      </c>
      <c r="C3114" s="3">
        <v>43914.659641203703</v>
      </c>
      <c r="D3114" s="1" t="s">
        <v>6228</v>
      </c>
      <c r="E3114" s="4" t="str">
        <f ca="1">IFERROR(__xludf.DUMMYFUNCTION("GOOGLETRANSLATE(A3114 , ""tr"" , ""en"")"),"Honorable Birali Yildirim is the respected Semiha Yildirim Hanımendi's sadness. I wish the passen-to-law and Mother Havva Hanım from Allah, I wish you healthy, long life.")</f>
        <v>Honorable Birali Yildirim is the respected Semiha Yildirim Hanımendi's sadness. I wish the passen-to-law and Mother Havva Hanım from Allah, I wish you healthy, long life.</v>
      </c>
    </row>
    <row r="3115" spans="1:5" ht="15.75" customHeight="1" x14ac:dyDescent="0.25">
      <c r="A3115" s="1" t="s">
        <v>6229</v>
      </c>
      <c r="B3115" s="1">
        <v>45136</v>
      </c>
      <c r="C3115" s="3">
        <v>43914.654664351852</v>
      </c>
      <c r="D3115" s="1" t="s">
        <v>6230</v>
      </c>
      <c r="E3115" s="4" t="str">
        <f ca="1">IFERROR(__xludf.DUMMYFUNCTION("GOOGLETRANSLATE(A3115 , ""tr"" , ""en"")"),"We met Japan's Ankara Ambassador Mr. Akio Miyajima in our ministry. We addressed the work we can develop with the principle of common benefit of humanity, especially the studies to be made against the threat of coronavirus. In knowledge, we will be within"&amp;" the age of experience. https://t.co/xcmkgpjdfu")</f>
        <v>We met Japan's Ankara Ambassador Mr. Akio Miyajima in our ministry. We addressed the work we can develop with the principle of common benefit of humanity, especially the studies to be made against the threat of coronavirus. In knowledge, we will be within the age of experience. https://t.co/xcmkgpjdfu</v>
      </c>
    </row>
    <row r="3116" spans="1:5" ht="15.75" customHeight="1" x14ac:dyDescent="0.25">
      <c r="A3116" s="1" t="s">
        <v>6231</v>
      </c>
      <c r="B3116" s="1">
        <v>64570</v>
      </c>
      <c r="C3116" s="3">
        <v>43914.573530092595</v>
      </c>
      <c r="D3116" s="1" t="s">
        <v>6232</v>
      </c>
      <c r="E3116" s="4" t="str">
        <f ca="1">IFERROR(__xludf.DUMMYFUNCTION("GOOGLETRANSLATE(A3116 , ""tr"" , ""en"")"),"The Vaccine Institute of our Ministry has moved our science world to develop vaccines against COVID-19. We will support every scientific effort of promising. Our Ministry of Finance is ready to create funds. https://t.co/lmwekjsgzd")</f>
        <v>The Vaccine Institute of our Ministry has moved our science world to develop vaccines against COVID-19. We will support every scientific effort of promising. Our Ministry of Finance is ready to create funds. https://t.co/lmwekjsgzd</v>
      </c>
    </row>
    <row r="3117" spans="1:5" ht="15.75" customHeight="1" x14ac:dyDescent="0.25">
      <c r="A3117" s="1" t="s">
        <v>6233</v>
      </c>
      <c r="B3117" s="1">
        <v>82597</v>
      </c>
      <c r="C3117" s="3">
        <v>43914.566481481481</v>
      </c>
      <c r="D3117" s="1" t="s">
        <v>6234</v>
      </c>
      <c r="E3117" s="4" t="str">
        <f ca="1">IFERROR(__xludf.DUMMYFUNCTION("GOOGLETRANSLATE(A3117 , ""tr"" , ""en"")"),"The respirator was one of the medical materials that the world needs the most in this epidemic. Turkey begins mass production for the domestic device as we can not live in a possible case. https://t.co/r79voxeaqh")</f>
        <v>The respirator was one of the medical materials that the world needs the most in this epidemic. Turkey begins mass production for the domestic device as we can not live in a possible case. https://t.co/r79voxeaqh</v>
      </c>
    </row>
    <row r="3118" spans="1:5" ht="15.75" customHeight="1" x14ac:dyDescent="0.25">
      <c r="A3118" s="1" t="s">
        <v>6235</v>
      </c>
      <c r="B3118" s="1">
        <v>75989</v>
      </c>
      <c r="C3118" s="3">
        <v>43914.404548611114</v>
      </c>
      <c r="D3118" s="1" t="s">
        <v>6236</v>
      </c>
      <c r="E3118" s="4" t="str">
        <f ca="1">IFERROR(__xludf.DUMMYFUNCTION("GOOGLETRANSLATE(A3118 , ""tr"" , ""en"")"),"We take action to make the material conditions of our health workers better. I would like to thank our President and Finance Minister for the tenderness of this. One more important development: We hire 32,000 health professionals. https://t.co/djgfluhdmf")</f>
        <v>We take action to make the material conditions of our health workers better. I would like to thank our President and Finance Minister for the tenderness of this. One more important development: We hire 32,000 health professionals. https://t.co/djgfluhdmf</v>
      </c>
    </row>
    <row r="3119" spans="1:5" ht="15.75" customHeight="1" x14ac:dyDescent="0.25">
      <c r="A3119" s="1" t="s">
        <v>6237</v>
      </c>
      <c r="B3119" s="1">
        <v>81237</v>
      </c>
      <c r="C3119" s="3">
        <v>43913.927881944444</v>
      </c>
      <c r="D3119" s="1" t="s">
        <v>6238</v>
      </c>
      <c r="E3119" s="4" t="str">
        <f ca="1">IFERROR(__xludf.DUMMYFUNCTION("GOOGLETRANSLATE(A3119 , ""tr"" , ""en"")"),"The password of the way we struggle is: one, all together! Measures each of us apply individually. Personal person all of what we do is a whole Turkey, we are doing 83 million. We are not alone. We are together without getting together. https://t.co/bmcxd"&amp;"yck4p")</f>
        <v>The password of the way we struggle is: one, all together! Measures each of us apply individually. Personal person all of what we do is a whole Turkey, we are doing 83 million. We are not alone. We are together without getting together. https://t.co/bmcxdyck4p</v>
      </c>
    </row>
    <row r="3120" spans="1:5" ht="15.75" customHeight="1" x14ac:dyDescent="0.25">
      <c r="A3120" s="1" t="s">
        <v>6239</v>
      </c>
      <c r="B3120" s="1">
        <v>83877</v>
      </c>
      <c r="C3120" s="3">
        <v>43913.89570601852</v>
      </c>
      <c r="D3120" s="1" t="s">
        <v>6240</v>
      </c>
      <c r="E3120" s="4" t="str">
        <f ca="1">IFERROR(__xludf.DUMMYFUNCTION("GOOGLETRANSLATE(A3120 , ""tr"" , ""en"")"),"""I want to sound to our elders: This society needs your life experience. Your son needs advice to give. Your grandchildren needs love and attention. You can't do these when they are sick. Do not risk your life. Follow the measures. "" Life fits home. htt"&amp;"ps://t.co/BXIBKRNX93")</f>
        <v>"I want to sound to our elders: This society needs your life experience. Your son needs advice to give. Your grandchildren needs love and attention. You can't do these when they are sick. Do not risk your life. Follow the measures. " Life fits home. https://t.co/BXIBKRNX93</v>
      </c>
    </row>
    <row r="3121" spans="1:5" ht="15.75" customHeight="1" x14ac:dyDescent="0.25">
      <c r="A3121" s="1" t="s">
        <v>6241</v>
      </c>
      <c r="B3121" s="1">
        <v>54227</v>
      </c>
      <c r="C3121" s="3">
        <v>43913.885034722225</v>
      </c>
      <c r="D3121" s="1" t="s">
        <v>6242</v>
      </c>
      <c r="E3121" s="4" t="str">
        <f ca="1">IFERROR(__xludf.DUMMYFUNCTION("GOOGLETRANSLATE(A3121 , ""tr"" , ""en"")"),"Life fits home. #Leyleyevesicar https://t.co/alwe1uhwl")</f>
        <v>Life fits home. #Leyleyevesicar https://t.co/alwe1uhwl</v>
      </c>
    </row>
    <row r="3122" spans="1:5" ht="15.75" customHeight="1" x14ac:dyDescent="0.25">
      <c r="A3122" s="1" t="s">
        <v>6243</v>
      </c>
      <c r="B3122" s="1">
        <v>74037</v>
      </c>
      <c r="C3122" s="3">
        <v>43913.88077546296</v>
      </c>
      <c r="D3122" s="1" t="s">
        <v>6244</v>
      </c>
      <c r="E3122" s="4" t="str">
        <f ca="1">IFERROR(__xludf.DUMMYFUNCTION("GOOGLETRANSLATE(A3122 , ""tr"" , ""en"")"),"Life fits home. #Lebaleshar https://t.co/4vkafzu1kk")</f>
        <v>Life fits home. #Lebaleshar https://t.co/4vkafzu1kk</v>
      </c>
    </row>
    <row r="3123" spans="1:5" ht="15.75" customHeight="1" x14ac:dyDescent="0.25">
      <c r="A3123" s="1" t="s">
        <v>6245</v>
      </c>
      <c r="B3123" s="1">
        <v>301329</v>
      </c>
      <c r="C3123" s="3">
        <v>43913.873437499999</v>
      </c>
      <c r="D3123" s="1" t="s">
        <v>6246</v>
      </c>
      <c r="E3123" s="4" t="str">
        <f ca="1">IFERROR(__xludf.DUMMYFUNCTION("GOOGLETRANSLATE(A3123 , ""tr"" , ""en"")"),"The present teens ... You are giving the words to the word that started like this nowadays :) Looking forward to being careful about coronavirus. Life means, it means movement. Thanks. But we pass another mode for a while. Freedom is in our house. Life fi"&amp;"ts home.")</f>
        <v>The present teens ... You are giving the words to the word that started like this nowadays :) Looking forward to being careful about coronavirus. Life means, it means movement. Thanks. But we pass another mode for a while. Freedom is in our house. Life fits home.</v>
      </c>
    </row>
    <row r="3124" spans="1:5" ht="15.75" customHeight="1" x14ac:dyDescent="0.25">
      <c r="A3124" s="1" t="s">
        <v>6247</v>
      </c>
      <c r="B3124" s="1">
        <v>278458</v>
      </c>
      <c r="C3124" s="3">
        <v>43913.850405092591</v>
      </c>
      <c r="D3124" s="1" t="s">
        <v>6248</v>
      </c>
      <c r="E3124" s="4" t="str">
        <f ca="1">IFERROR(__xludf.DUMMYFUNCTION("GOOGLETRANSLATE(A3124 , ""tr"" , ""en"")"),"3,672 tests resulted in the last 24 hours. 293 New diagnosed. Despite our efforts, our 7 people who were beaten to the disease. We have warnings to the young: you are not out of the epidemic. Slow your life. Do not enter the risk environment. Do not carry"&amp;" the risk to your home. Stay at home. Life fits home.")</f>
        <v>3,672 tests resulted in the last 24 hours. 293 New diagnosed. Despite our efforts, our 7 people who were beaten to the disease. We have warnings to the young: you are not out of the epidemic. Slow your life. Do not enter the risk environment. Do not carry the risk to your home. Stay at home. Life fits home.</v>
      </c>
    </row>
    <row r="3125" spans="1:5" ht="15.75" customHeight="1" x14ac:dyDescent="0.25">
      <c r="A3125" s="1" t="s">
        <v>6249</v>
      </c>
      <c r="B3125" s="1">
        <v>94942</v>
      </c>
      <c r="C3125" s="3">
        <v>43913.790196759262</v>
      </c>
      <c r="D3125" s="1" t="s">
        <v>6250</v>
      </c>
      <c r="E3125" s="4" t="str">
        <f ca="1">IFERROR(__xludf.DUMMYFUNCTION("GOOGLETRANSLATE(A3125 , ""tr"" , ""en"")"),"Today, Ankara Ambassador of the People's Republic of China. We met with Deng Li. Increasing the world against the world threatening coronavirus, we addressed the development of solidarity. Humanity will beat this problem by sharing knowledge and experienc"&amp;"e. https://t.co/eoapee4nda")</f>
        <v>Today, Ankara Ambassador of the People's Republic of China. We met with Deng Li. Increasing the world against the world threatening coronavirus, we addressed the development of solidarity. Humanity will beat this problem by sharing knowledge and experience. https://t.co/eoapee4nda</v>
      </c>
    </row>
    <row r="3126" spans="1:5" ht="15.75" customHeight="1" x14ac:dyDescent="0.25">
      <c r="A3126" s="1" t="s">
        <v>6251</v>
      </c>
      <c r="B3126" s="1">
        <v>84206</v>
      </c>
      <c r="C3126" s="3">
        <v>43913.683148148149</v>
      </c>
      <c r="D3126" s="1" t="s">
        <v>6252</v>
      </c>
      <c r="E3126" s="4" t="str">
        <f ca="1">IFERROR(__xludf.DUMMYFUNCTION("GOOGLETRANSLATE(A3126 , ""tr"" , ""en"")"),"After our Science Board meeting, the latest developments on the coronavirus and the new measures we receive.
📍 The Ministry of Health Bilkent Campus / Ankara https://t.co/f9uh92qyod")</f>
        <v>After our Science Board meeting, the latest developments on the coronavirus and the new measures we receive.
📍 The Ministry of Health Bilkent Campus / Ankara https://t.co/f9uh92qyod</v>
      </c>
    </row>
    <row r="3127" spans="1:5" ht="15.75" customHeight="1" x14ac:dyDescent="0.25">
      <c r="A3127" s="1" t="s">
        <v>6253</v>
      </c>
      <c r="B3127" s="1">
        <v>277915</v>
      </c>
      <c r="C3127" s="3">
        <v>43912.80568287037</v>
      </c>
      <c r="D3127" s="1" t="s">
        <v>6254</v>
      </c>
      <c r="E3127" s="4" t="str">
        <f ca="1">IFERROR(__xludf.DUMMYFUNCTION("GOOGLETRANSLATE(A3127 , ""tr"" , ""en"")"),"To date, a total of 20.345 tests were performed, 1.236 was diagnosed, all of them have lost 30 patients. When the illness is not in our country, we said ""None."" Now we explain the day day. We invite you to reason with our transparency. Let's be cautious"&amp;". This country will not succumb to this threat.")</f>
        <v>To date, a total of 20.345 tests were performed, 1.236 was diagnosed, all of them have lost 30 patients. When the illness is not in our country, we said "None." Now we explain the day day. We invite you to reason with our transparency. Let's be cautious. This country will not succumb to this threat.</v>
      </c>
    </row>
    <row r="3128" spans="1:5" ht="15.75" customHeight="1" x14ac:dyDescent="0.25">
      <c r="A3128" s="1" t="s">
        <v>6255</v>
      </c>
      <c r="B3128" s="1">
        <v>278824</v>
      </c>
      <c r="C3128" s="3">
        <v>43912.795046296298</v>
      </c>
      <c r="D3128" s="1" t="s">
        <v>6256</v>
      </c>
      <c r="E3128" s="4" t="str">
        <f ca="1">IFERROR(__xludf.DUMMYFUNCTION("GOOGLETRANSLATE(A3128 , ""tr"" , ""en"")"),"We are losing new lives. Case numbers are increasing. But it should be noted that we test as many tests as possible. With every treatment of treated, we have cut the outbreak of the epidemic. Today 9 new passes, 289 new diagnoses. Let's stay in our house."&amp;" Let's not take a risk. Life fits home.")</f>
        <v>We are losing new lives. Case numbers are increasing. But it should be noted that we test as many tests as possible. With every treatment of treated, we have cut the outbreak of the epidemic. Today 9 new passes, 289 new diagnoses. Let's stay in our house. Let's not take a risk. Life fits home.</v>
      </c>
    </row>
    <row r="3129" spans="1:5" ht="15.75" customHeight="1" x14ac:dyDescent="0.25">
      <c r="A3129" s="1" t="s">
        <v>6257</v>
      </c>
      <c r="B3129" s="1">
        <v>95632</v>
      </c>
      <c r="C3129" s="3">
        <v>43912.77207175926</v>
      </c>
      <c r="D3129" s="1" t="s">
        <v>6258</v>
      </c>
      <c r="E3129" s="4" t="str">
        <f ca="1">IFERROR(__xludf.DUMMYFUNCTION("GOOGLETRANSLATE(A3129 , ""tr"" , ""en"")"),"Life fits home. #Lebaleskin https://t.co/o98sjnf6kc")</f>
        <v>Life fits home. #Lebaleskin https://t.co/o98sjnf6kc</v>
      </c>
    </row>
    <row r="3130" spans="1:5" ht="15.75" customHeight="1" x14ac:dyDescent="0.25">
      <c r="A3130" s="1" t="s">
        <v>6259</v>
      </c>
      <c r="B3130" s="1">
        <v>96498</v>
      </c>
      <c r="C3130" s="3">
        <v>43912.761365740742</v>
      </c>
      <c r="D3130" s="1" t="s">
        <v>6260</v>
      </c>
      <c r="E3130" s="4" t="str">
        <f ca="1">IFERROR(__xludf.DUMMYFUNCTION("GOOGLETRANSLATE(A3130 , ""tr"" , ""en"")"),"Life fits home. #Layeveshar https://t.co/4f4yt6jdvl")</f>
        <v>Life fits home. #Layeveshar https://t.co/4f4yt6jdvl</v>
      </c>
    </row>
    <row r="3131" spans="1:5" ht="15.75" customHeight="1" x14ac:dyDescent="0.25">
      <c r="A3131" s="1" t="s">
        <v>6261</v>
      </c>
      <c r="B3131" s="1">
        <v>134838</v>
      </c>
      <c r="C3131" s="3">
        <v>43912.751273148147</v>
      </c>
      <c r="D3131" s="1" t="s">
        <v>6262</v>
      </c>
      <c r="E3131" s="4" t="str">
        <f ca="1">IFERROR(__xludf.DUMMYFUNCTION("GOOGLETRANSLATE(A3131 , ""tr"" , ""en"")"),"Life fits home. #Lebalesicar https://t.co/klvwpqvcjd")</f>
        <v>Life fits home. #Lebalesicar https://t.co/klvwpqvcjd</v>
      </c>
    </row>
    <row r="3132" spans="1:5" ht="15.75" customHeight="1" x14ac:dyDescent="0.25">
      <c r="A3132" s="1" t="s">
        <v>6263</v>
      </c>
      <c r="B3132" s="1">
        <v>418056</v>
      </c>
      <c r="C3132" s="3">
        <v>43912.592974537038</v>
      </c>
      <c r="D3132" s="1" t="s">
        <v>6264</v>
      </c>
      <c r="E3132" s="4" t="str">
        <f ca="1">IFERROR(__xludf.DUMMYFUNCTION("GOOGLETRANSLATE(A3132 , ""tr"" , ""en"")"),"This message came from Samsun We wanted the message everyone else. https://t.co/lhksx9rdfa")</f>
        <v>This message came from Samsun We wanted the message everyone else. https://t.co/lhksx9rdfa</v>
      </c>
    </row>
    <row r="3133" spans="1:5" ht="15.75" customHeight="1" x14ac:dyDescent="0.25">
      <c r="A3133" s="1" t="s">
        <v>6265</v>
      </c>
      <c r="B3133" s="1">
        <v>0</v>
      </c>
      <c r="C3133" s="3">
        <v>43912.482164351852</v>
      </c>
      <c r="D3133" s="1" t="s">
        <v>6266</v>
      </c>
      <c r="E3133" s="4" t="str">
        <f ca="1">IFERROR(__xludf.DUMMYFUNCTION("GOOGLETRANSLATE(A3133 , ""tr"" , ""en"")"),"RT @fahrettinaltun: rumors, prophecies, conspiracy theories, weldless audio records, sensations ...
Coronavirus Related Media Chalets ...")</f>
        <v>RT @fahrettinaltun: rumors, prophecies, conspiracy theories, weldless audio records, sensations ...
Coronavirus Related Media Chalets ...</v>
      </c>
    </row>
    <row r="3134" spans="1:5" ht="15.75" customHeight="1" x14ac:dyDescent="0.25">
      <c r="A3134" s="1" t="s">
        <v>6267</v>
      </c>
      <c r="B3134" s="1">
        <v>0</v>
      </c>
      <c r="C3134" s="3">
        <v>43911.912962962961</v>
      </c>
      <c r="D3134" s="1" t="s">
        <v>6268</v>
      </c>
      <c r="E3134" s="4" t="str">
        <f ca="1">IFERROR(__xludf.DUMMYFUNCTION("GOOGLETRANSLATE(A3134 , ""tr"" , ""en"")"),"Rt @rterdogan: my saint citizens,
Be awarded. Our State is at the beginning of its duty with all its institutions, the nation of the nation of the time without the ...")</f>
        <v>Rt @rterdogan: my saint citizens,
Be awarded. Our State is at the beginning of its duty with all its institutions, the nation of the nation of the time without the ...</v>
      </c>
    </row>
    <row r="3135" spans="1:5" ht="15.75" customHeight="1" x14ac:dyDescent="0.25">
      <c r="A3135" s="1" t="s">
        <v>6269</v>
      </c>
      <c r="B3135" s="1">
        <v>313855</v>
      </c>
      <c r="C3135" s="3">
        <v>43911.83289351852</v>
      </c>
      <c r="D3135" s="1" t="s">
        <v>6270</v>
      </c>
      <c r="E3135" s="4" t="str">
        <f ca="1">IFERROR(__xludf.DUMMYFUNCTION("GOOGLETRANSLATE(A3135 , ""tr"" , ""en"")"),"Tested to 2,953 suspects in the last 24 hours. 277 is positively out. Our patient count reached 947 We lost 12 of our old patients. We have a total of 21 life loss to date. Let's stimulate our elderly. They comply with the cinderbeating. The risk of death"&amp;" is increasing as age rises.")</f>
        <v>Tested to 2,953 suspects in the last 24 hours. 277 is positively out. Our patient count reached 947 We lost 12 of our old patients. We have a total of 21 life loss to date. Let's stimulate our elderly. They comply with the cinderbeating. The risk of death is increasing as age rises.</v>
      </c>
    </row>
    <row r="3136" spans="1:5" ht="15.75" customHeight="1" x14ac:dyDescent="0.25">
      <c r="A3136" s="1" t="s">
        <v>6271</v>
      </c>
      <c r="B3136" s="1">
        <v>143100</v>
      </c>
      <c r="C3136" s="3">
        <v>43911.781817129631</v>
      </c>
      <c r="D3136" s="1" t="s">
        <v>6272</v>
      </c>
      <c r="E3136" s="4" t="str">
        <f ca="1">IFERROR(__xludf.DUMMYFUNCTION("GOOGLETRANSLATE(A3136 , ""tr"" , ""en"")"),"3. Right for applause Turkey! Let's show our support for our health workers at every opportunity. https://t.co/mdvxzdzu7i")</f>
        <v>3. Right for applause Turkey! Let's show our support for our health workers at every opportunity. https://t.co/mdvxzdzu7i</v>
      </c>
    </row>
    <row r="3137" spans="1:5" ht="15.75" customHeight="1" x14ac:dyDescent="0.25">
      <c r="A3137" s="1" t="s">
        <v>6273</v>
      </c>
      <c r="B3137" s="1">
        <v>203838</v>
      </c>
      <c r="C3137" s="3">
        <v>43911.748379629629</v>
      </c>
      <c r="D3137" s="1" t="s">
        <v>6274</v>
      </c>
      <c r="E3137" s="4" t="str">
        <f ca="1">IFERROR(__xludf.DUMMYFUNCTION("GOOGLETRANSLATE(A3137 , ""tr"" , ""en"")"),"We are on the balconies for an exclusion of 21.00 o'clock!
Let's show our gratitude to our health workers. Be right for the support you give in Turkey!")</f>
        <v>We are on the balconies for an exclusion of 21.00 o'clock!
Let's show our gratitude to our health workers. Be right for the support you give in Turkey!</v>
      </c>
    </row>
    <row r="3138" spans="1:5" ht="15.75" customHeight="1" x14ac:dyDescent="0.25">
      <c r="A3138" s="1" t="s">
        <v>6275</v>
      </c>
      <c r="B3138" s="1">
        <v>56084</v>
      </c>
      <c r="C3138" s="3">
        <v>43911.747673611113</v>
      </c>
      <c r="D3138" s="1" t="s">
        <v>6276</v>
      </c>
      <c r="E3138" s="4" t="str">
        <f ca="1">IFERROR(__xludf.DUMMYFUNCTION("GOOGLETRANSLATE(A3138 , ""tr"" , ""en"")"),"The risk of death in the coronavirus epidemic, age increases as age rises. https://t.co/cyhylo4qxk")</f>
        <v>The risk of death in the coronavirus epidemic, age increases as age rises. https://t.co/cyhylo4qxk</v>
      </c>
    </row>
    <row r="3139" spans="1:5" ht="15.75" customHeight="1" x14ac:dyDescent="0.25">
      <c r="A3139" s="1" t="s">
        <v>6277</v>
      </c>
      <c r="B3139" s="1">
        <v>51455</v>
      </c>
      <c r="C3139" s="3">
        <v>43911.746759259258</v>
      </c>
      <c r="D3139" s="1" t="s">
        <v>6278</v>
      </c>
      <c r="E3139" s="4" t="str">
        <f ca="1">IFERROR(__xludf.DUMMYFUNCTION("GOOGLETRANSLATE(A3139 , ""tr"" , ""en"")"),"The risk of death in the coronavirus epidemic, age increases as age rises. https://t.co/corqzua4rf")</f>
        <v>The risk of death in the coronavirus epidemic, age increases as age rises. https://t.co/corqzua4rf</v>
      </c>
    </row>
    <row r="3140" spans="1:5" ht="15.75" customHeight="1" x14ac:dyDescent="0.25">
      <c r="A3140" s="1" t="s">
        <v>6279</v>
      </c>
      <c r="B3140" s="1">
        <v>66603</v>
      </c>
      <c r="C3140" s="3">
        <v>43911.745775462965</v>
      </c>
      <c r="D3140" s="1" t="s">
        <v>6280</v>
      </c>
      <c r="E3140" s="4" t="str">
        <f ca="1">IFERROR(__xludf.DUMMYFUNCTION("GOOGLETRANSLATE(A3140 , ""tr"" , ""en"")"),"The risk of death in the coronavirus epidemic, age increases as age rises. https://t.co/suus9uILZB")</f>
        <v>The risk of death in the coronavirus epidemic, age increases as age rises. https://t.co/suus9uILZB</v>
      </c>
    </row>
    <row r="3141" spans="1:5" ht="15.75" customHeight="1" x14ac:dyDescent="0.25">
      <c r="A3141" s="1" t="s">
        <v>6281</v>
      </c>
      <c r="B3141" s="1">
        <v>174594</v>
      </c>
      <c r="C3141" s="3">
        <v>43911.741562499999</v>
      </c>
      <c r="D3141" s="1" t="s">
        <v>6282</v>
      </c>
      <c r="E3141" s="4" t="str">
        <f ca="1">IFERROR(__xludf.DUMMYFUNCTION("GOOGLETRANSLATE(A3141 , ""tr"" , ""en"")"),"Our Prophet of Humanity in this happy night is our Prophet Hz. We mean Muhammad (SAV) with respect and commitment. He had opened to the end of the firiac, to the end of the ruins of the soul. Celebrate your ward, get your prayers accept.")</f>
        <v>Our Prophet of Humanity in this happy night is our Prophet Hz. We mean Muhammad (SAV) with respect and commitment. He had opened to the end of the firiac, to the end of the ruins of the soul. Celebrate your ward, get your prayers accept.</v>
      </c>
    </row>
    <row r="3142" spans="1:5" ht="15.75" customHeight="1" x14ac:dyDescent="0.25">
      <c r="A3142" s="1" t="s">
        <v>6283</v>
      </c>
      <c r="B3142" s="1">
        <v>212146</v>
      </c>
      <c r="C3142" s="3">
        <v>43911.722199074073</v>
      </c>
      <c r="D3142" s="1" t="s">
        <v>6284</v>
      </c>
      <c r="E3142" s="4" t="str">
        <f ca="1">IFERROR(__xludf.DUMMYFUNCTION("GOOGLETRANSLATE(A3142 , ""tr"" , ""en"")"),"The ChP General Head of ChP, who lost diver ladies to the idea of ​​the sister. Kemal Kılıçdaroğlu is condolences, I share his pain. May all our dead in these happy nights.")</f>
        <v>The ChP General Head of ChP, who lost diver ladies to the idea of ​​the sister. Kemal Kılıçdaroğlu is condolences, I share his pain. May all our dead in these happy nights.</v>
      </c>
    </row>
    <row r="3143" spans="1:5" ht="15.75" customHeight="1" x14ac:dyDescent="0.25">
      <c r="A3143" s="1" t="s">
        <v>6285</v>
      </c>
      <c r="B3143" s="1">
        <v>102014</v>
      </c>
      <c r="C3143" s="3">
        <v>43911.653020833335</v>
      </c>
      <c r="D3143" s="1" t="s">
        <v>6286</v>
      </c>
      <c r="E3143" s="4" t="str">
        <f ca="1">IFERROR(__xludf.DUMMYFUNCTION("GOOGLETRANSLATE(A3143 , ""tr"" , ""en"")"),"We conducted our coordination meeting in Siamese Ersek Hospital. When we receive measures for our country on the field, I strongly want our citizens to take their measures by staying in their homes with the same precision. https://t.co/ebbKIievy")</f>
        <v>We conducted our coordination meeting in Siamese Ersek Hospital. When we receive measures for our country on the field, I strongly want our citizens to take their measures by staying in their homes with the same precision. https://t.co/ebbKIievy</v>
      </c>
    </row>
    <row r="3144" spans="1:5" ht="15.75" customHeight="1" x14ac:dyDescent="0.25">
      <c r="A3144" s="1" t="s">
        <v>6287</v>
      </c>
      <c r="B3144" s="1">
        <v>332180</v>
      </c>
      <c r="C3144" s="3">
        <v>43910.843078703707</v>
      </c>
      <c r="D3144" s="1" t="s">
        <v>6288</v>
      </c>
      <c r="E3144" s="4" t="str">
        <f ca="1">IFERROR(__xludf.DUMMYFUNCTION("GOOGLETRANSLATE(A3144 , ""tr"" , ""en"")"),"3656 in the last 24 hours were tested to the suspects. 311 is positively out. Our patient count reached 670. We lost our old and resistance weak 5 patients. We have a total of 9 life losses to date. All of our seniors. Let's keep our elderly. Let's not sh"&amp;"ow flexibility even in our struggle.")</f>
        <v>3656 in the last 24 hours were tested to the suspects. 311 is positively out. Our patient count reached 670. We lost our old and resistance weak 5 patients. We have a total of 9 life losses to date. All of our seniors. Let's keep our elderly. Let's not show flexibility even in our struggle.</v>
      </c>
    </row>
    <row r="3145" spans="1:5" ht="15.75" customHeight="1" x14ac:dyDescent="0.25">
      <c r="A3145" s="1" t="s">
        <v>6289</v>
      </c>
      <c r="B3145" s="1">
        <v>132343</v>
      </c>
      <c r="C3145" s="3">
        <v>43910.822500000002</v>
      </c>
      <c r="D3145" s="1" t="s">
        <v>6290</v>
      </c>
      <c r="E3145" s="4" t="str">
        <f ca="1">IFERROR(__xludf.DUMMYFUNCTION("GOOGLETRANSLATE(A3145 , ""tr"" , ""en"")"),"The largest of applause is sec. Came from our president. I offer our gratitude on behalf of all our health workers.")</f>
        <v>The largest of applause is sec. Came from our president. I offer our gratitude on behalf of all our health workers.</v>
      </c>
    </row>
    <row r="3146" spans="1:5" ht="15.75" customHeight="1" x14ac:dyDescent="0.25">
      <c r="A3146" s="1" t="s">
        <v>6291</v>
      </c>
      <c r="B3146" s="1">
        <v>0</v>
      </c>
      <c r="C3146" s="3">
        <v>43910.812256944446</v>
      </c>
      <c r="D3146" s="1" t="s">
        <v>6292</v>
      </c>
      <c r="E3146" s="4" t="str">
        <f ca="1">IFERROR(__xludf.DUMMYFUNCTION("GOOGLETRANSLATE(A3146 , ""tr"" , ""en"")"),"RT @rterdogan: All health bushes struggling to selfless and sacrificial heroes of our fight with coronavirus, all kinds of challenging and distress.")</f>
        <v>RT @rterdogan: All health bushes struggling to selfless and sacrificial heroes of our fight with coronavirus, all kinds of challenging and distress.</v>
      </c>
    </row>
    <row r="3147" spans="1:5" ht="15.75" customHeight="1" x14ac:dyDescent="0.25">
      <c r="A3147" s="1" t="s">
        <v>6293</v>
      </c>
      <c r="B3147" s="1">
        <v>101896</v>
      </c>
      <c r="C3147" s="3">
        <v>43910.80709490741</v>
      </c>
      <c r="D3147" s="1" t="s">
        <v>6294</v>
      </c>
      <c r="E3147" s="4" t="str">
        <f ca="1">IFERROR(__xludf.DUMMYFUNCTION("GOOGLETRANSLATE(A3147 , ""tr"" , ""en"")"),"The most powerful clap is tomorrow at the same time! https://t.co/foibwmbvey")</f>
        <v>The most powerful clap is tomorrow at the same time! https://t.co/foibwmbvey</v>
      </c>
    </row>
    <row r="3148" spans="1:5" ht="15.75" customHeight="1" x14ac:dyDescent="0.25">
      <c r="A3148" s="1" t="s">
        <v>6295</v>
      </c>
      <c r="B3148" s="1">
        <v>205653</v>
      </c>
      <c r="C3148" s="3">
        <v>43910.772789351853</v>
      </c>
      <c r="D3148" s="1" t="s">
        <v>6296</v>
      </c>
      <c r="E3148" s="4" t="str">
        <f ca="1">IFERROR(__xludf.DUMMYFUNCTION("GOOGLETRANSLATE(A3148 , ""tr"" , ""en"")"),"It's right for 21.00 clocking Turkey! You gave strength to our selfless health workers. The most powerful clap is tomorrow at the same time!")</f>
        <v>It's right for 21.00 clocking Turkey! You gave strength to our selfless health workers. The most powerful clap is tomorrow at the same time!</v>
      </c>
    </row>
    <row r="3149" spans="1:5" ht="15.75" customHeight="1" x14ac:dyDescent="0.25">
      <c r="A3149" s="1" t="s">
        <v>6297</v>
      </c>
      <c r="B3149" s="1">
        <v>197327</v>
      </c>
      <c r="C3149" s="3">
        <v>43910.745208333334</v>
      </c>
      <c r="D3149" s="1" t="s">
        <v>6298</v>
      </c>
      <c r="E3149" s="4" t="str">
        <f ca="1">IFERROR(__xludf.DUMMYFUNCTION("GOOGLETRANSLATE(A3149 , ""tr"" , ""en"")"),"Let's meet at the clap of 21.00 o'clock
The Mesa of our Health Employees continues the night and night. At 21.00 o'clock, more than a clap! Let's hear the sound of our gratitude this evening and once again tomorrow.")</f>
        <v>Let's meet at the clap of 21.00 o'clock
The Mesa of our Health Employees continues the night and night. At 21.00 o'clock, more than a clap! Let's hear the sound of our gratitude this evening and once again tomorrow.</v>
      </c>
    </row>
    <row r="3150" spans="1:5" ht="15.75" customHeight="1" x14ac:dyDescent="0.25">
      <c r="A3150" s="1" t="s">
        <v>6299</v>
      </c>
      <c r="B3150" s="1">
        <v>315512</v>
      </c>
      <c r="C3150" s="3">
        <v>43909.87128472222</v>
      </c>
      <c r="D3150" s="1" t="s">
        <v>6300</v>
      </c>
      <c r="E3150" s="4" t="str">
        <f ca="1">IFERROR(__xludf.DUMMYFUNCTION("GOOGLETRANSLATE(A3150 , ""tr"" , ""en"")"),"168 of the 1,981 tests made in the last 24 hours were positive. The patient with 191 reached 359. We lost a 85-year-old lady from our patients. A patient who previously passed away was COVID-19. Our total loss was unfortunately 4. Our pain has increased b"&amp;"ut we will make it.")</f>
        <v>168 of the 1,981 tests made in the last 24 hours were positive. The patient with 191 reached 359. We lost a 85-year-old lady from our patients. A patient who previously passed away was COVID-19. Our total loss was unfortunately 4. Our pain has increased but we will make it.</v>
      </c>
    </row>
    <row r="3151" spans="1:5" ht="15.75" customHeight="1" x14ac:dyDescent="0.25">
      <c r="A3151" s="1" t="s">
        <v>6301</v>
      </c>
      <c r="B3151" s="1">
        <v>90744</v>
      </c>
      <c r="C3151" s="3">
        <v>43909.864560185182</v>
      </c>
      <c r="D3151" s="1" t="s">
        <v>6302</v>
      </c>
      <c r="E3151" s="4" t="str">
        <f ca="1">IFERROR(__xludf.DUMMYFUNCTION("GOOGLETRANSLATE(A3151 , ""tr"" , ""en"")"),"It's right for 21.00 clocking Turkey!
The voice of our gratitude to our health care workers are heard again at the same time the next day! (Istanbul) https://t.co/w4ywbeerda")</f>
        <v>It's right for 21.00 clocking Turkey!
The voice of our gratitude to our health care workers are heard again at the same time the next day! (Istanbul) https://t.co/w4ywbeerda</v>
      </c>
    </row>
    <row r="3152" spans="1:5" ht="15.75" customHeight="1" x14ac:dyDescent="0.25">
      <c r="A3152" s="1" t="s">
        <v>6303</v>
      </c>
      <c r="B3152" s="1">
        <v>72041</v>
      </c>
      <c r="C3152" s="3">
        <v>43909.860902777778</v>
      </c>
      <c r="D3152" s="1" t="s">
        <v>6304</v>
      </c>
      <c r="E3152" s="4" t="str">
        <f ca="1">IFERROR(__xludf.DUMMYFUNCTION("GOOGLETRANSLATE(A3152 , ""tr"" , ""en"")"),"It's right for 21.00 clocking Turkey!
The voice of our gratitude to our health care workers are heard again at the same time the next day! (Van) https://t.co/ypfrmnluzg")</f>
        <v>It's right for 21.00 clocking Turkey!
The voice of our gratitude to our health care workers are heard again at the same time the next day! (Van) https://t.co/ypfrmnluzg</v>
      </c>
    </row>
    <row r="3153" spans="1:5" ht="15.75" customHeight="1" x14ac:dyDescent="0.25">
      <c r="A3153" s="1" t="s">
        <v>6305</v>
      </c>
      <c r="B3153" s="1">
        <v>135329</v>
      </c>
      <c r="C3153" s="3">
        <v>43909.854189814818</v>
      </c>
      <c r="D3153" s="1" t="s">
        <v>6306</v>
      </c>
      <c r="E3153" s="4" t="str">
        <f ca="1">IFERROR(__xludf.DUMMYFUNCTION("GOOGLETRANSLATE(A3153 , ""tr"" , ""en"")"),"It's right for 21.00 clocking Turkey!
The voice of our gratitude to our health care workers are heard again at the same time the next day! (Konya) https://t.co/jrmmn41xrl")</f>
        <v>It's right for 21.00 clocking Turkey!
The voice of our gratitude to our health care workers are heard again at the same time the next day! (Konya) https://t.co/jrmmn41xrl</v>
      </c>
    </row>
    <row r="3154" spans="1:5" ht="15.75" customHeight="1" x14ac:dyDescent="0.25">
      <c r="A3154" s="1" t="s">
        <v>6307</v>
      </c>
      <c r="B3154" s="1">
        <v>349282</v>
      </c>
      <c r="C3154" s="3">
        <v>43909.800706018519</v>
      </c>
      <c r="D3154" s="1" t="s">
        <v>6308</v>
      </c>
      <c r="E3154" s="4" t="str">
        <f ca="1">IFERROR(__xludf.DUMMYFUNCTION("GOOGLETRANSLATE(A3154 , ""tr"" , ""en"")"),"It's right for 21.00 clocking Turkey! City city, home home home. You gave power to our selfless health workers with the applause. Tomorrow, the following day the sound of our gratitude at the same time is heard again! Let's clap three days in a row!")</f>
        <v>It's right for 21.00 clocking Turkey! City city, home home home. You gave power to our selfless health workers with the applause. Tomorrow, the following day the sound of our gratitude at the same time is heard again! Let's clap three days in a row!</v>
      </c>
    </row>
    <row r="3155" spans="1:5" ht="15.75" customHeight="1" x14ac:dyDescent="0.25">
      <c r="A3155" s="1" t="s">
        <v>6309</v>
      </c>
      <c r="B3155" s="1">
        <v>212981</v>
      </c>
      <c r="C3155" s="3">
        <v>43909.749895833331</v>
      </c>
      <c r="D3155" s="1" t="s">
        <v>6310</v>
      </c>
      <c r="E3155" s="4" t="str">
        <f ca="1">IFERROR(__xludf.DUMMYFUNCTION("GOOGLETRANSLATE(A3155 , ""tr"" , ""en"")"),"Let's clap! How much applause is less! Today, I invited the representatives of my nation in the conversation in parliament at 14am to applaud our selfless health workers. Now we are now our nation at 21.00, I invite this applause to upgrade from the balco"&amp;"nies across Turkey in diameter. https://t.co/q0xblxajwf")</f>
        <v>Let's clap! How much applause is less! Today, I invited the representatives of my nation in the conversation in parliament at 14am to applaud our selfless health workers. Now we are now our nation at 21.00, I invite this applause to upgrade from the balconies across Turkey in diameter. https://t.co/q0xblxajwf</v>
      </c>
    </row>
    <row r="3156" spans="1:5" ht="15.75" customHeight="1" x14ac:dyDescent="0.25">
      <c r="A3156" s="1" t="s">
        <v>6311</v>
      </c>
      <c r="B3156" s="1">
        <v>39251</v>
      </c>
      <c r="C3156" s="3">
        <v>43909.571759259263</v>
      </c>
      <c r="D3156" s="1" t="s">
        <v>6312</v>
      </c>
      <c r="E3156" s="4" t="str">
        <f ca="1">IFERROR(__xludf.DUMMYFUNCTION("GOOGLETRANSLATE(A3156 , ""tr"" , ""en"")"),"Turkey Grand National Assembly General Assembly in the General Assembly of Koronavirüs.
📍tbmm https://t.co/e7hdv6pg3h")</f>
        <v>Turkey Grand National Assembly General Assembly in the General Assembly of Koronavirüs.
📍tbmm https://t.co/e7hdv6pg3h</v>
      </c>
    </row>
    <row r="3157" spans="1:5" ht="15.75" customHeight="1" x14ac:dyDescent="0.25">
      <c r="A3157" s="1" t="s">
        <v>6313</v>
      </c>
      <c r="B3157" s="1">
        <v>43437</v>
      </c>
      <c r="C3157" s="3">
        <v>43909.464039351849</v>
      </c>
      <c r="D3157" s="1" t="s">
        <v>6314</v>
      </c>
      <c r="E3157" s="4" t="str">
        <f ca="1">IFERROR(__xludf.DUMMYFUNCTION("GOOGLETRANSLATE(A3157 , ""tr"" , ""en"")"),"Turkey Grand National Assembly General Assembly in the General Assembly, we inform our deputies and publicities about the coronavirus.
📍tbmm https://t.co/rdjrtwzihb")</f>
        <v>Turkey Grand National Assembly General Assembly in the General Assembly, we inform our deputies and publicities about the coronavirus.
📍tbmm https://t.co/rdjrtwzihb</v>
      </c>
    </row>
    <row r="3158" spans="1:5" ht="15.75" customHeight="1" x14ac:dyDescent="0.25">
      <c r="A3158" s="1" t="s">
        <v>6315</v>
      </c>
      <c r="B3158" s="1">
        <v>299561</v>
      </c>
      <c r="C3158" s="3">
        <v>43908.838055555556</v>
      </c>
      <c r="D3158" s="1" t="s">
        <v>6316</v>
      </c>
      <c r="E3158" s="4" t="str">
        <f ca="1">IFERROR(__xludf.DUMMYFUNCTION("GOOGLETRANSLATE(A3158 , ""tr"" , ""en"")"),"We lost a 61-year-old male patient. I wish herself mercy from Allah. Today tests resulting in the measures are very compulsory. We have 93 new cases started with diagnosis. Our patient count has reached 191 Let's cut the front of the risk together.")</f>
        <v>We lost a 61-year-old male patient. I wish herself mercy from Allah. Today tests resulting in the measures are very compulsory. We have 93 new cases started with diagnosis. Our patient count has reached 191 Let's cut the front of the risk together.</v>
      </c>
    </row>
    <row r="3159" spans="1:5" ht="15.75" customHeight="1" x14ac:dyDescent="0.25">
      <c r="A3159" s="1" t="s">
        <v>6317</v>
      </c>
      <c r="B3159" s="1">
        <v>153933</v>
      </c>
      <c r="C3159" s="3">
        <v>43908.716666666667</v>
      </c>
      <c r="D3159" s="1" t="s">
        <v>6318</v>
      </c>
      <c r="E3159" s="4" t="str">
        <f ca="1">IFERROR(__xludf.DUMMYFUNCTION("GOOGLETRANSLATE(A3159 , ""tr"" , ""en"")"),"So far, we did not have the fight against the present and it was not something we did not.
Happy 105th year of Çanakkale Victory. https://t.co/zpd1ng8gtb")</f>
        <v>So far, we did not have the fight against the present and it was not something we did not.
Happy 105th year of Çanakkale Victory. https://t.co/zpd1ng8gtb</v>
      </c>
    </row>
    <row r="3160" spans="1:5" ht="15.75" customHeight="1" x14ac:dyDescent="0.25">
      <c r="A3160" s="1" t="s">
        <v>6319</v>
      </c>
      <c r="B3160" s="1">
        <v>0</v>
      </c>
      <c r="C3160" s="3">
        <v>43908.637372685182</v>
      </c>
      <c r="D3160" s="1" t="s">
        <v>6320</v>
      </c>
      <c r="E3160" s="4" t="str">
        <f ca="1">IFERROR(__xludf.DUMMYFUNCTION("GOOGLETRANSLATE(A3160 , ""tr"" , ""en"")"),"RT @rterdogan: coronavirus fighting coordination meeting https://t.co/surasnppbw")</f>
        <v>RT @rterdogan: coronavirus fighting coordination meeting https://t.co/surasnppbw</v>
      </c>
    </row>
    <row r="3161" spans="1:5" ht="15.75" customHeight="1" x14ac:dyDescent="0.25">
      <c r="A3161" s="1" t="s">
        <v>6321</v>
      </c>
      <c r="B3161" s="1">
        <v>111567</v>
      </c>
      <c r="C3161" s="3">
        <v>43908.028796296298</v>
      </c>
      <c r="D3161" s="1" t="s">
        <v>6322</v>
      </c>
      <c r="E3161" s="4" t="str">
        <f ca="1">IFERROR(__xludf.DUMMYFUNCTION("GOOGLETRANSLATE(A3161 , ""tr"" , ""en"")"),"""I build this phrase as a physician next to the health minister of this society: I lost a patient for the first time today in our struggle for Koronavirus. Itself was 89 years old. The virus took it from a Chinese contact employee. I wish the gentlemen o"&amp;"f our first loss than Allah. "" https://t.co/y0zkghfbaI")</f>
        <v>"I build this phrase as a physician next to the health minister of this society: I lost a patient for the first time today in our struggle for Koronavirus. Itself was 89 years old. The virus took it from a Chinese contact employee. I wish the gentlemen of our first loss than Allah. " https://t.co/y0zkghfbaI</v>
      </c>
    </row>
    <row r="3162" spans="1:5" ht="15.75" customHeight="1" x14ac:dyDescent="0.25">
      <c r="A3162" s="1" t="s">
        <v>6323</v>
      </c>
      <c r="B3162" s="1">
        <v>71990</v>
      </c>
      <c r="C3162" s="3">
        <v>43908.019895833335</v>
      </c>
      <c r="D3162" s="1" t="s">
        <v>6324</v>
      </c>
      <c r="E3162" s="4" t="str">
        <f ca="1">IFERROR(__xludf.DUMMYFUNCTION("GOOGLETRANSLATE(A3162 , ""tr"" , ""en"")"),"""The positive result in the tests today is 51. Our total number of patients has been 98. The people of the disease are severe, the resistance is low and other illness. Seniors are from high risk groups. I invite everyone to fit the measures. "" (17 March"&amp;" 2020) https://t.co/hc2govghp2")</f>
        <v>"The positive result in the tests today is 51. Our total number of patients has been 98. The people of the disease are severe, the resistance is low and other illness. Seniors are from high risk groups. I invite everyone to fit the measures. " (17 March 2020) https://t.co/hc2govghp2</v>
      </c>
    </row>
    <row r="3163" spans="1:5" ht="15.75" customHeight="1" x14ac:dyDescent="0.25">
      <c r="A3163" s="1" t="s">
        <v>6325</v>
      </c>
      <c r="B3163" s="1">
        <v>94533</v>
      </c>
      <c r="C3163" s="3">
        <v>43907.874143518522</v>
      </c>
      <c r="D3163" s="1" t="s">
        <v>6326</v>
      </c>
      <c r="E3163" s="4" t="str">
        <f ca="1">IFERROR(__xludf.DUMMYFUNCTION("GOOGLETRANSLATE(A3163 , ""tr"" , ""en"")"),"We share recent developments on coronavirus cases.
Bilkent Campus / Ankara https://t.co/rab8agq6fb")</f>
        <v>We share recent developments on coronavirus cases.
Bilkent Campus / Ankara https://t.co/rab8agq6fb</v>
      </c>
    </row>
    <row r="3164" spans="1:5" ht="15.75" customHeight="1" x14ac:dyDescent="0.25">
      <c r="A3164" s="1" t="s">
        <v>6327</v>
      </c>
      <c r="B3164" s="1">
        <v>77334</v>
      </c>
      <c r="C3164" s="3">
        <v>43907.624016203707</v>
      </c>
      <c r="D3164" s="1" t="s">
        <v>6328</v>
      </c>
      <c r="E3164" s="4" t="str">
        <f ca="1">IFERROR(__xludf.DUMMYFUNCTION("GOOGLETRANSLATE(A3164 , ""tr"" , ""en"")"),"6 countries ban on flight ban: England, Ireland, Switzerland, Saudi Arabia, Egypt, United Arab Emirates. The number of countries who are placed on our flight ban on the flight This morning was 20 of 14. You also keep the measures tight! https://t.co/znwzl"&amp;"iuık6")</f>
        <v>6 countries ban on flight ban: England, Ireland, Switzerland, Saudi Arabia, Egypt, United Arab Emirates. The number of countries who are placed on our flight ban on the flight This morning was 20 of 14. You also keep the measures tight! https://t.co/znwzliuık6</v>
      </c>
    </row>
    <row r="3165" spans="1:5" ht="15.75" customHeight="1" x14ac:dyDescent="0.25">
      <c r="A3165" s="1" t="s">
        <v>6329</v>
      </c>
      <c r="B3165" s="1">
        <v>104242</v>
      </c>
      <c r="C3165" s="3">
        <v>43907.615115740744</v>
      </c>
      <c r="D3165" s="1" t="s">
        <v>6330</v>
      </c>
      <c r="E3165" s="4" t="str">
        <f ca="1">IFERROR(__xludf.DUMMYFUNCTION("GOOGLETRANSLATE(A3165 , ""tr"" , ""en"")"),"One of the major factors of the events of the events in the outbreak cases is panic. Measure and panic are the opposite of each other. According to the measures, we can control the propagation of the disease. We have to reset the possibilities of contact "&amp;"with the virus. https://t.co/ou0mrlfnij")</f>
        <v>One of the major factors of the events of the events in the outbreak cases is panic. Measure and panic are the opposite of each other. According to the measures, we can control the propagation of the disease. We have to reset the possibilities of contact with the virus. https://t.co/ou0mrlfnij</v>
      </c>
    </row>
    <row r="3166" spans="1:5" ht="15.75" customHeight="1" x14ac:dyDescent="0.25">
      <c r="A3166" s="1" t="s">
        <v>6331</v>
      </c>
      <c r="B3166" s="1">
        <v>259530</v>
      </c>
      <c r="C3166" s="3">
        <v>43906.919641203705</v>
      </c>
      <c r="D3166" s="1" t="s">
        <v>6332</v>
      </c>
      <c r="E3166" s="4" t="str">
        <f ca="1">IFERROR(__xludf.DUMMYFUNCTION("GOOGLETRANSLATE(A3166 , ""tr"" , ""en"")"),"The detected case has been risks to the society. Every new diagnosis is sad but a guarantee for you. Events in outbreaks are panicly checked. The measure and panic are the opposite of each other. Let's keep the measures tight. Let's reset the possibility "&amp;"of contact with the virus.")</f>
        <v>The detected case has been risks to the society. Every new diagnosis is sad but a guarantee for you. Events in outbreaks are panicly checked. The measure and panic are the opposite of each other. Let's keep the measures tight. Let's reset the possibility of contact with the virus.</v>
      </c>
    </row>
    <row r="3167" spans="1:5" ht="15.75" customHeight="1" x14ac:dyDescent="0.25">
      <c r="A3167" s="1" t="s">
        <v>6333</v>
      </c>
      <c r="B3167" s="1">
        <v>256868</v>
      </c>
      <c r="C3167" s="3">
        <v>43906.867442129631</v>
      </c>
      <c r="D3167" s="1" t="s">
        <v>6334</v>
      </c>
      <c r="E3167" s="4" t="str">
        <f ca="1">IFERROR(__xludf.DUMMYFUNCTION("GOOGLETRANSLATE(A3167 , ""tr"" , ""en"")"),"Presented 29 new diagnoses today. Our total number of patients with new diagnosis was 47. All of the last 29 cases are directly or indirectly the US, the Middle East and Europe is in contact with 3. Abroad theme will continue to be a risk. Shall apply mea"&amp;"sures tight.")</f>
        <v>Presented 29 new diagnoses today. Our total number of patients with new diagnosis was 47. All of the last 29 cases are directly or indirectly the US, the Middle East and Europe is in contact with 3. Abroad theme will continue to be a risk. Shall apply measures tight.</v>
      </c>
    </row>
    <row r="3168" spans="1:5" ht="15.75" customHeight="1" x14ac:dyDescent="0.25">
      <c r="A3168" s="1" t="s">
        <v>6335</v>
      </c>
      <c r="B3168" s="1">
        <v>0</v>
      </c>
      <c r="C3168" s="3">
        <v>43906.857291666667</v>
      </c>
      <c r="D3168" s="1" t="s">
        <v>6336</v>
      </c>
      <c r="E3168" s="4" t="str">
        <f ca="1">IFERROR(__xludf.DUMMYFUNCTION("GOOGLETRANSLATE(A3168 , ""tr"" , ""en"")"),"RT @fahrettinaltun: Mr. President @rterdogan Wednesday is a comprehensive coordination ball within the framework of the new type of coronavirus ...")</f>
        <v>RT @fahrettinaltun: Mr. President @rterdogan Wednesday is a comprehensive coordination ball within the framework of the new type of coronavirus ...</v>
      </c>
    </row>
    <row r="3169" spans="1:5" ht="15.75" customHeight="1" x14ac:dyDescent="0.25">
      <c r="A3169" s="1" t="s">
        <v>6337</v>
      </c>
      <c r="B3169" s="1">
        <v>212974</v>
      </c>
      <c r="C3169" s="3">
        <v>43906.769756944443</v>
      </c>
      <c r="D3169" s="1" t="s">
        <v>6338</v>
      </c>
      <c r="E3169" s="4" t="str">
        <f ca="1">IFERROR(__xludf.DUMMYFUNCTION("GOOGLETRANSLATE(A3169 , ""tr"" , ""en"")"),"Taner doesn't die, it says what we say too.
14 rules to protect the risk of coronavirus
Retweet, prevent coronavirus from spreading. https://t.co/t8tq7dywqt")</f>
        <v>Taner doesn't die, it says what we say too.
14 rules to protect the risk of coronavirus
Retweet, prevent coronavirus from spreading. https://t.co/t8tq7dywqt</v>
      </c>
    </row>
    <row r="3170" spans="1:5" ht="15.75" customHeight="1" x14ac:dyDescent="0.25">
      <c r="A3170" s="1" t="s">
        <v>6339</v>
      </c>
      <c r="B3170" s="1">
        <v>171655</v>
      </c>
      <c r="C3170" s="3">
        <v>43906.762523148151</v>
      </c>
      <c r="D3170" s="1" t="s">
        <v>6340</v>
      </c>
      <c r="E3170" s="4" t="str">
        <f ca="1">IFERROR(__xludf.DUMMYFUNCTION("GOOGLETRANSLATE(A3170 , ""tr"" , ""en"")"),"Timucin Esen says what we say too:
14 days rule on returns from abroad
Retweet, prevent coronavirus from spreading. https://t.co/HCVVISNJ80")</f>
        <v>Timucin Esen says what we say too:
14 days rule on returns from abroad
Retweet, prevent coronavirus from spreading. https://t.co/HCVVISNJ80</v>
      </c>
    </row>
    <row r="3171" spans="1:5" ht="15.75" customHeight="1" x14ac:dyDescent="0.25">
      <c r="A3171" s="1" t="s">
        <v>6341</v>
      </c>
      <c r="B3171" s="1">
        <v>39978</v>
      </c>
      <c r="C3171" s="3">
        <v>43906.710324074076</v>
      </c>
      <c r="D3171" s="1" t="s">
        <v>6342</v>
      </c>
      <c r="E3171" s="4" t="str">
        <f ca="1">IFERROR(__xludf.DUMMYFUNCTION("GOOGLETRANSLATE(A3171 , ""tr"" , ""en"")"),"After our Science Board meeting, we have a press on the new measures and developments we receive related to the coronavirus.
📍 The Ministry of Health Bilkent Campus / Ankara https://t.co/1svt17wwbr")</f>
        <v>After our Science Board meeting, we have a press on the new measures and developments we receive related to the coronavirus.
📍 The Ministry of Health Bilkent Campus / Ankara https://t.co/1svt17wwbr</v>
      </c>
    </row>
    <row r="3172" spans="1:5" ht="15.75" customHeight="1" x14ac:dyDescent="0.25">
      <c r="A3172" s="1" t="s">
        <v>6343</v>
      </c>
      <c r="B3172" s="1">
        <v>95829</v>
      </c>
      <c r="C3172" s="3">
        <v>43906.379050925927</v>
      </c>
      <c r="D3172" s="1" t="s">
        <v>6344</v>
      </c>
      <c r="E3172" s="4" t="str">
        <f ca="1">IFERROR(__xludf.DUMMYFUNCTION("GOOGLETRANSLATE(A3172 , ""tr"" , ""en"")"),"The ""Hidden"" document spreading from Social Media and WhatsApp is unreal. It is known to be known that the panic will create. By leading to loss of trust, there are those who aim to fall 82 million to the zaafa. There are those who play with your tender"&amp;"ness. Don't give up the chance. The correct news is a formal statement. https://t.co/jx14wefz6f")</f>
        <v>The "Hidden" document spreading from Social Media and WhatsApp is unreal. It is known to be known that the panic will create. By leading to loss of trust, there are those who aim to fall 82 million to the zaafa. There are those who play with your tenderness. Don't give up the chance. The correct news is a formal statement. https://t.co/jx14wefz6f</v>
      </c>
    </row>
    <row r="3173" spans="1:5" ht="15.75" customHeight="1" x14ac:dyDescent="0.25">
      <c r="A3173" s="1" t="s">
        <v>6345</v>
      </c>
      <c r="B3173" s="1">
        <v>133574</v>
      </c>
      <c r="C3173" s="3">
        <v>43905.895057870373</v>
      </c>
      <c r="D3173" s="1" t="s">
        <v>6346</v>
      </c>
      <c r="E3173" s="4" t="str">
        <f ca="1">IFERROR(__xludf.DUMMYFUNCTION("GOOGLETRANSLATE(A3173 , ""tr"" , ""en"")"),"The number of cases, which are just explained and the new is 12 is 12. 2 of these is from the contact of our first case. It is 18 if the total case is counted so far. The case number of cases is on, exactly this way.")</f>
        <v>The number of cases, which are just explained and the new is 12 is 12. 2 of these is from the contact of our first case. It is 18 if the total case is counted so far. The case number of cases is on, exactly this way.</v>
      </c>
    </row>
    <row r="3174" spans="1:5" ht="15.75" customHeight="1" x14ac:dyDescent="0.25">
      <c r="A3174" s="1" t="s">
        <v>6347</v>
      </c>
      <c r="B3174" s="1">
        <v>97860</v>
      </c>
      <c r="C3174" s="3">
        <v>43905.870613425926</v>
      </c>
      <c r="D3174" s="1" t="s">
        <v>6348</v>
      </c>
      <c r="E3174" s="4" t="str">
        <f ca="1">IFERROR(__xludf.DUMMYFUNCTION("GOOGLETRANSLATE(A3174 , ""tr"" , ""en"")"),"The first case we explained is diagnosed with two people around the observation. We have three cases from European countries, from America. The situation is sad, but ... every possible case, each isolation is safety for all of us.")</f>
        <v>The first case we explained is diagnosed with two people around the observation. We have three cases from European countries, from America. The situation is sad, but ... every possible case, each isolation is safety for all of us.</v>
      </c>
    </row>
    <row r="3175" spans="1:5" ht="15.75" customHeight="1" x14ac:dyDescent="0.25">
      <c r="A3175" s="1" t="s">
        <v>6349</v>
      </c>
      <c r="B3175" s="1">
        <v>60596</v>
      </c>
      <c r="C3175" s="3">
        <v>43905.489131944443</v>
      </c>
      <c r="D3175" s="1" t="s">
        <v>6350</v>
      </c>
      <c r="E3175" s="4" t="str">
        <f ca="1">IFERROR(__xludf.DUMMYFUNCTION("GOOGLETRANSLATE(A3175 , ""tr"" , ""en"")"),"Umreder returnees previously passed as well as their health screening like now. The tests of suspects were performed. Umre Visitors took their measures against virus and took their health teams in their travel. We follow those who don't fill in the first "&amp;"14 days in the country.")</f>
        <v>Umreder returnees previously passed as well as their health screening like now. The tests of suspects were performed. Umre Visitors took their measures against virus and took their health teams in their travel. We follow those who don't fill in the first 14 days in the country.</v>
      </c>
    </row>
    <row r="3176" spans="1:5" ht="15.75" customHeight="1" x14ac:dyDescent="0.25">
      <c r="A3176" s="1" t="s">
        <v>6351</v>
      </c>
      <c r="B3176" s="1">
        <v>122589</v>
      </c>
      <c r="C3176" s="3">
        <v>43905.388935185183</v>
      </c>
      <c r="D3176" s="1" t="s">
        <v>6352</v>
      </c>
      <c r="E3176" s="4" t="str">
        <f ca="1">IFERROR(__xludf.DUMMYFUNCTION("GOOGLETRANSLATE(A3176 , ""tr"" , ""en"")"),"All passengers returning from the Umreden from last night are placed in separate rooms with quarantine logic in the student dorms in Ankara and Konya. The suspicious founds are removed to the income hospital and tests are performed. Let's be uncompromisin"&amp;"g in measures!")</f>
        <v>All passengers returning from the Umreden from last night are placed in separate rooms with quarantine logic in the student dorms in Ankara and Konya. The suspicious founds are removed to the income hospital and tests are performed. Let's be uncompromising in measures!</v>
      </c>
    </row>
    <row r="3177" spans="1:5" ht="15.75" customHeight="1" x14ac:dyDescent="0.25">
      <c r="A3177" s="1" t="s">
        <v>6353</v>
      </c>
      <c r="B3177" s="1">
        <v>141127</v>
      </c>
      <c r="C3177" s="3">
        <v>43904.869791666664</v>
      </c>
      <c r="D3177" s="1" t="s">
        <v>6354</v>
      </c>
      <c r="E3177" s="4" t="str">
        <f ca="1">IFERROR(__xludf.DUMMYFUNCTION("GOOGLETRANSLATE(A3177 , ""tr"" , ""en"")"),"If you have just returned from umer, we want you to obey the 14 days rule. Unfortunately the test of our returning citizen in the last week is positive. We are concerned with new cases. Please do not accept visitors. Being past health scan does not mean z"&amp;"ero risk.")</f>
        <v>If you have just returned from umer, we want you to obey the 14 days rule. Unfortunately the test of our returning citizen in the last week is positive. We are concerned with new cases. Please do not accept visitors. Being past health scan does not mean zero risk.</v>
      </c>
    </row>
    <row r="3178" spans="1:5" ht="15.75" customHeight="1" x14ac:dyDescent="0.25">
      <c r="A3178" s="1" t="s">
        <v>6355</v>
      </c>
      <c r="B3178" s="1">
        <v>112067</v>
      </c>
      <c r="C3178" s="3">
        <v>43904.735277777778</v>
      </c>
      <c r="D3178" s="1" t="s">
        <v>6356</v>
      </c>
      <c r="E3178" s="4" t="str">
        <f ca="1">IFERROR(__xludf.DUMMYFUNCTION("GOOGLETRANSLATE(A3178 , ""tr"" , ""en"")"),"The Ministry of Health is planning the coronavirus risk screening, not the rook door, but also. He informs you from 184, we are coming after that. If the phone has not arrived at Sabim-184, don't take those who say they come for the purpose of testing. Le"&amp;"t's be a cautious against malicious!")</f>
        <v>The Ministry of Health is planning the coronavirus risk screening, not the rook door, but also. He informs you from 184, we are coming after that. If the phone has not arrived at Sabim-184, don't take those who say they come for the purpose of testing. Let's be a cautious against malicious!</v>
      </c>
    </row>
    <row r="3179" spans="1:5" ht="15.75" customHeight="1" x14ac:dyDescent="0.25">
      <c r="A3179" s="1" t="s">
        <v>6357</v>
      </c>
      <c r="B3179" s="1">
        <v>50190</v>
      </c>
      <c r="C3179" s="3">
        <v>43904.4371875</v>
      </c>
      <c r="D3179" s="1" t="s">
        <v>6358</v>
      </c>
      <c r="E3179" s="4" t="str">
        <f ca="1">IFERROR(__xludf.DUMMYFUNCTION("GOOGLETRANSLATE(A3179 , ""tr"" , ""en"")"),"Is there someone who doesn't want to look like you?
Happy March 14 Happy Fish. https://t.co/xpg39buf9q")</f>
        <v>Is there someone who doesn't want to look like you?
Happy March 14 Happy Fish. https://t.co/xpg39buf9q</v>
      </c>
    </row>
    <row r="3180" spans="1:5" ht="15.75" customHeight="1" x14ac:dyDescent="0.25">
      <c r="A3180" s="1" t="s">
        <v>6359</v>
      </c>
      <c r="B3180" s="1">
        <v>103293</v>
      </c>
      <c r="C3180" s="3">
        <v>43904.321250000001</v>
      </c>
      <c r="D3180" s="1" t="s">
        <v>6360</v>
      </c>
      <c r="E3180" s="4" t="str">
        <f ca="1">IFERROR(__xludf.DUMMYFUNCTION("GOOGLETRANSLATE(A3180 , ""tr"" , ""en"")"),"14 Rules to protect you and Turkey from the risk of coronavirus. Watch, retweet. https://t.co/dq18nk5ti3")</f>
        <v>14 Rules to protect you and Turkey from the risk of coronavirus. Watch, retweet. https://t.co/dq18nk5ti3</v>
      </c>
    </row>
    <row r="3181" spans="1:5" ht="15.75" customHeight="1" x14ac:dyDescent="0.25">
      <c r="A3181" s="1" t="s">
        <v>6361</v>
      </c>
      <c r="B3181" s="1">
        <v>71552</v>
      </c>
      <c r="C3181" s="3">
        <v>43904.312800925924</v>
      </c>
      <c r="D3181" s="1" t="s">
        <v>6362</v>
      </c>
      <c r="E3181" s="4" t="str">
        <f ca="1">IFERROR(__xludf.DUMMYFUNCTION("GOOGLETRANSLATE(A3181 , ""tr"" , ""en"")"),"14 days rule in turns from abroad against the risk of coronavirus. Watch, retweet. https://t.co/ofgsm1eccr")</f>
        <v>14 days rule in turns from abroad against the risk of coronavirus. Watch, retweet. https://t.co/ofgsm1eccr</v>
      </c>
    </row>
    <row r="3182" spans="1:5" ht="15.75" customHeight="1" x14ac:dyDescent="0.25">
      <c r="A3182" s="1" t="s">
        <v>6363</v>
      </c>
      <c r="B3182" s="1">
        <v>47431</v>
      </c>
      <c r="C3182" s="3">
        <v>43904.229201388887</v>
      </c>
      <c r="D3182" s="1" t="s">
        <v>6364</v>
      </c>
      <c r="E3182" s="4" t="str">
        <f ca="1">IFERROR(__xludf.DUMMYFUNCTION("GOOGLETRANSLATE(A3182 , ""tr"" , ""en"")"),"We are absolutely insistent in our return warning. 1 Travel, 1 person and 1 is not a single risk. The result is a risk that may affect 82 million. If possible, let's not go to any country. If we are abroad, let's take measures. The more struggling the mea"&amp;"sures, the more weak they threaten. https://t.co/wjzh0wcatb")</f>
        <v>We are absolutely insistent in our return warning. 1 Travel, 1 person and 1 is not a single risk. The result is a risk that may affect 82 million. If possible, let's not go to any country. If we are abroad, let's take measures. The more struggling the measures, the more weak they threaten. https://t.co/wjzh0wcatb</v>
      </c>
    </row>
    <row r="3183" spans="1:5" ht="15.75" customHeight="1" x14ac:dyDescent="0.25">
      <c r="A3183" s="1" t="s">
        <v>6365</v>
      </c>
      <c r="B3183" s="1">
        <v>43553</v>
      </c>
      <c r="C3183" s="3">
        <v>43903.904398148145</v>
      </c>
      <c r="D3183" s="1" t="s">
        <v>6366</v>
      </c>
      <c r="E3183" s="4" t="str">
        <f ca="1">IFERROR(__xludf.DUMMYFUNCTION("GOOGLETRANSLATE(A3183 , ""tr"" , ""en"")"),"The next 4-5 weeks are extremely important. In this period, we have to apply the antivirus guidelines very tightly. The table will change if we do that. The more struggling the measures, the more weak they threaten. https://t.co/7xkwphqcwz")</f>
        <v>The next 4-5 weeks are extremely important. In this period, we have to apply the antivirus guidelines very tightly. The table will change if we do that. The more struggling the measures, the more weak they threaten. https://t.co/7xkwphqcwz</v>
      </c>
    </row>
    <row r="3184" spans="1:5" ht="15.75" customHeight="1" x14ac:dyDescent="0.25">
      <c r="A3184" s="1" t="s">
        <v>6367</v>
      </c>
      <c r="B3184" s="1">
        <v>52290</v>
      </c>
      <c r="C3184" s="3">
        <v>43903.897499999999</v>
      </c>
      <c r="D3184" s="1" t="s">
        <v>6368</v>
      </c>
      <c r="E3184" s="4" t="str">
        <f ca="1">IFERROR(__xludf.DUMMYFUNCTION("GOOGLETRANSLATE(A3184 , ""tr"" , ""en"")"),"In the US, there is no concern about Turkey, while putting travel restriction to 54 countries. We are not included in the risky country list. Subject to, in this process, we may not be as welcoming as before. Our door is not open to every of the world. Th"&amp;"e more struggling the measures, the more weak they threaten. https://t.co/wwcjbwnxkd")</f>
        <v>In the US, there is no concern about Turkey, while putting travel restriction to 54 countries. We are not included in the risky country list. Subject to, in this process, we may not be as welcoming as before. Our door is not open to every of the world. The more struggling the measures, the more weak they threaten. https://t.co/wwcjbwnxkd</v>
      </c>
    </row>
    <row r="3185" spans="1:5" ht="15.75" customHeight="1" x14ac:dyDescent="0.25">
      <c r="A3185" s="1" t="s">
        <v>6369</v>
      </c>
      <c r="B3185" s="1">
        <v>54035</v>
      </c>
      <c r="C3185" s="3">
        <v>43903.890243055554</v>
      </c>
      <c r="D3185" s="1" t="s">
        <v>6370</v>
      </c>
      <c r="E3185" s="4" t="str">
        <f ca="1">IFERROR(__xludf.DUMMYFUNCTION("GOOGLETRANSLATE(A3185 , ""tr"" , ""en"")"),"New Cases in Europe in the last 24 hours: Spain: 825, Netherlands: 111, Denmark: 232, Italy: 2.651, Belgium: 47, Norway: 85, Austria: 179, France: 591, Germany: 802 ... round-trip prohibited We expand the scope. The more struggling the measures, the more "&amp;"weak they threaten. https://t.co/tkwhvctb4s")</f>
        <v>New Cases in Europe in the last 24 hours: Spain: 825, Netherlands: 111, Denmark: 232, Italy: 2.651, Belgium: 47, Norway: 85, Austria: 179, France: 591, Germany: 802 ... round-trip prohibited We expand the scope. The more struggling the measures, the more weak they threaten. https://t.co/tkwhvctb4s</v>
      </c>
    </row>
    <row r="3186" spans="1:5" ht="15.75" customHeight="1" x14ac:dyDescent="0.25">
      <c r="A3186" s="1" t="s">
        <v>6371</v>
      </c>
      <c r="B3186" s="1">
        <v>13393</v>
      </c>
      <c r="C3186" s="3">
        <v>43903.636770833335</v>
      </c>
      <c r="D3186" s="1" t="s">
        <v>6372</v>
      </c>
      <c r="E3186" s="4" t="str">
        <f ca="1">IFERROR(__xludf.DUMMYFUNCTION("GOOGLETRANSLATE(A3186 , ""tr"" , ""en"")"),"After our scientific commercial meeting, we evaluate the latest developments and the common measures we receive with our Mr. Ministers.
Bilkent Campus / Ankara https://t.co/sofocbu3cs")</f>
        <v>After our scientific commercial meeting, we evaluate the latest developments and the common measures we receive with our Mr. Ministers.
Bilkent Campus / Ankara https://t.co/sofocbu3cs</v>
      </c>
    </row>
    <row r="3187" spans="1:5" ht="15.75" customHeight="1" x14ac:dyDescent="0.25">
      <c r="A3187" s="1" t="s">
        <v>6373</v>
      </c>
      <c r="B3187" s="1">
        <v>107408</v>
      </c>
      <c r="C3187" s="3">
        <v>43903.527928240743</v>
      </c>
      <c r="D3187" s="1" t="s">
        <v>6374</v>
      </c>
      <c r="E3187" s="4" t="str">
        <f ca="1">IFERROR(__xludf.DUMMYFUNCTION("GOOGLETRANSLATE(A3187 , ""tr"" , ""en"")"),"Retweet, release the 14 rules of protection from coronavirus. https://t.co/dl8kt6jqjj")</f>
        <v>Retweet, release the 14 rules of protection from coronavirus. https://t.co/dl8kt6jqjj</v>
      </c>
    </row>
    <row r="3188" spans="1:5" ht="15.75" customHeight="1" x14ac:dyDescent="0.25">
      <c r="A3188" s="1" t="s">
        <v>6375</v>
      </c>
      <c r="B3188" s="1">
        <v>97876</v>
      </c>
      <c r="C3188" s="3">
        <v>43903.523773148147</v>
      </c>
      <c r="D3188" s="1" t="s">
        <v>6376</v>
      </c>
      <c r="E3188" s="4" t="str">
        <f ca="1">IFERROR(__xludf.DUMMYFUNCTION("GOOGLETRANSLATE(A3188 , ""tr"" , ""en"")"),"Retweet, spread the 14-day rule on their return from abroad. https://t.co/ynnsfcyne7")</f>
        <v>Retweet, spread the 14-day rule on their return from abroad. https://t.co/ynnsfcyne7</v>
      </c>
    </row>
    <row r="3189" spans="1:5" ht="15.75" customHeight="1" x14ac:dyDescent="0.25">
      <c r="A3189" s="1" t="s">
        <v>6377</v>
      </c>
      <c r="B3189" s="1">
        <v>121913</v>
      </c>
      <c r="C3189" s="3">
        <v>43903.230150462965</v>
      </c>
      <c r="D3189" s="1" t="s">
        <v>6378</v>
      </c>
      <c r="E3189" s="4" t="str">
        <f ca="1">IFERROR(__xludf.DUMMYFUNCTION("GOOGLETRANSLATE(A3189 , ""tr"" , ""en"")"),"The test resulted in yesterday evening confirmed a sad prediction. We have another patient. The first patient is from the surroundings of the diagnosis. We have applied to the necessary measures to keep the potential spread of the virus within these limit"&amp;"s. We will come together overcome the problem.")</f>
        <v>The test resulted in yesterday evening confirmed a sad prediction. We have another patient. The first patient is from the surroundings of the diagnosis. We have applied to the necessary measures to keep the potential spread of the virus within these limits. We will come together overcome the problem.</v>
      </c>
    </row>
    <row r="3190" spans="1:5" ht="15.75" customHeight="1" x14ac:dyDescent="0.25">
      <c r="A3190" s="1" t="s">
        <v>6379</v>
      </c>
      <c r="B3190" s="1">
        <v>20545</v>
      </c>
      <c r="C3190" s="3">
        <v>43902.919212962966</v>
      </c>
      <c r="D3190" s="1" t="s">
        <v>6380</v>
      </c>
      <c r="E3190" s="4" t="str">
        <f ca="1">IFERROR(__xludf.DUMMYFUNCTION("GOOGLETRANSLATE(A3190 , ""tr"" , ""en"")"),"In the head of the President, we have made a peak in the day. We tied new national measures against the global coronavirus epidemic. The level of trust against Turkey's risks will increase further. Let's keep the measures tight. May the problem remain und"&amp;"er our control. https://t.co/5v3sv5zj0s")</f>
        <v>In the head of the President, we have made a peak in the day. We tied new national measures against the global coronavirus epidemic. The level of trust against Turkey's risks will increase further. Let's keep the measures tight. May the problem remain under our control. https://t.co/5v3sv5zj0s</v>
      </c>
    </row>
    <row r="3191" spans="1:5" ht="15.75" customHeight="1" x14ac:dyDescent="0.25">
      <c r="A3191" s="1" t="s">
        <v>6381</v>
      </c>
      <c r="B3191" s="1">
        <v>46833</v>
      </c>
      <c r="C3191" s="3">
        <v>43902.417083333334</v>
      </c>
      <c r="D3191" s="1" t="s">
        <v>6382</v>
      </c>
      <c r="E3191" s="4" t="str">
        <f ca="1">IFERROR(__xludf.DUMMYFUNCTION("GOOGLETRANSLATE(A3191 , ""tr"" , ""en"")"),"Let's resist 2 months. The effect of the virus is reduced. The forecast of the Science Board is in this direction. This disease is more one winter infection. If we take measures, it is likely that if we prevent spreading, it is likely to normal in 2 month"&amp;"s. https://t.co/6ewrj9arpd")</f>
        <v>Let's resist 2 months. The effect of the virus is reduced. The forecast of the Science Board is in this direction. This disease is more one winter infection. If we take measures, it is likely that if we prevent spreading, it is likely to normal in 2 months. https://t.co/6ewrj9arpd</v>
      </c>
    </row>
    <row r="3192" spans="1:5" ht="15.75" customHeight="1" x14ac:dyDescent="0.25">
      <c r="A3192" s="1" t="s">
        <v>6383</v>
      </c>
      <c r="B3192" s="1">
        <v>17989</v>
      </c>
      <c r="C3192" s="3">
        <v>43902.294305555559</v>
      </c>
      <c r="D3192" s="1" t="s">
        <v>6384</v>
      </c>
      <c r="E3192" s="4" t="str">
        <f ca="1">IFERROR(__xludf.DUMMYFUNCTION("GOOGLETRANSLATE(A3192 , ""tr"" , ""en"")"),"The media is one of the main actors of this national struggle. We conducted the process together until today. We've been transparent, we have gained support. Our work union will continue with the same principles. The tool is reputable media. Are the reput"&amp;"able members of the media. You are you. https://t.co/etqxyo56rr")</f>
        <v>The media is one of the main actors of this national struggle. We conducted the process together until today. We've been transparent, we have gained support. Our work union will continue with the same principles. The tool is reputable media. Are the reputable members of the media. You are you. https://t.co/etqxyo56rr</v>
      </c>
    </row>
    <row r="3193" spans="1:5" ht="15.75" customHeight="1" x14ac:dyDescent="0.25">
      <c r="A3193" s="1" t="s">
        <v>6385</v>
      </c>
      <c r="B3193" s="1">
        <v>19669</v>
      </c>
      <c r="C3193" s="3">
        <v>43901.842928240738</v>
      </c>
      <c r="D3193" s="1" t="s">
        <v>6386</v>
      </c>
      <c r="E3193" s="4" t="str">
        <f ca="1">IFERROR(__xludf.DUMMYFUNCTION("GOOGLETRANSLATE(A3193 , ""tr"" , ""en"")"),"We manage the process with the decisions we received in our science board. The subject is above political. The solution is solidarity. The condition of the struggle is the measure. Our strategy is transparency. To our health system, let's trust our scient"&amp;"ists. https://t.co/s7ry2jlzws")</f>
        <v>We manage the process with the decisions we received in our science board. The subject is above political. The solution is solidarity. The condition of the struggle is the measure. Our strategy is transparency. To our health system, let's trust our scientists. https://t.co/s7ry2jlzws</v>
      </c>
    </row>
    <row r="3194" spans="1:5" ht="15.75" customHeight="1" x14ac:dyDescent="0.25">
      <c r="A3194" s="1" t="s">
        <v>6387</v>
      </c>
      <c r="B3194" s="1">
        <v>15513</v>
      </c>
      <c r="C3194" s="3">
        <v>43901.834918981483</v>
      </c>
      <c r="D3194" s="1" t="s">
        <v>6388</v>
      </c>
      <c r="E3194" s="4" t="str">
        <f ca="1">IFERROR(__xludf.DUMMYFUNCTION("GOOGLETRANSLATE(A3194 , ""tr"" , ""en"")"),"No antibiotic or medicine that can be effective against any virus. In the event that we are facing, the primary, effective medicine against the virus; The transmission of the disease is reliable information to prevent the spread. The correct information i"&amp;"s worth the drug. https://t.co/dzx9cqaehj")</f>
        <v>No antibiotic or medicine that can be effective against any virus. In the event that we are facing, the primary, effective medicine against the virus; The transmission of the disease is reliable information to prevent the spread. The correct information is worth the drug. https://t.co/dzx9cqaehj</v>
      </c>
    </row>
    <row r="3195" spans="1:5" ht="15.75" customHeight="1" x14ac:dyDescent="0.25">
      <c r="A3195" s="1" t="s">
        <v>6389</v>
      </c>
      <c r="B3195" s="1">
        <v>22828</v>
      </c>
      <c r="C3195" s="3">
        <v>43901.827222222222</v>
      </c>
      <c r="D3195" s="1" t="s">
        <v>6390</v>
      </c>
      <c r="E3195" s="4" t="str">
        <f ca="1">IFERROR(__xludf.DUMMYFUNCTION("GOOGLETRANSLATE(A3195 , ""tr"" , ""en"")"),"Yesterday, the first time we made a press conference at night hours. We fulfilled the need for the transparency we showed without hesitation for the past 90 days. Our state did not hesitate to give the positive diagnostic knowledge to the public. Transpar"&amp;"ency in this struggle is essential. https://t.co/oys3siyhyw")</f>
        <v>Yesterday, the first time we made a press conference at night hours. We fulfilled the need for the transparency we showed without hesitation for the past 90 days. Our state did not hesitate to give the positive diagnostic knowledge to the public. Transparency in this struggle is essential. https://t.co/oys3siyhyw</v>
      </c>
    </row>
    <row r="3196" spans="1:5" ht="15.75" customHeight="1" x14ac:dyDescent="0.25">
      <c r="A3196" s="1" t="s">
        <v>6391</v>
      </c>
      <c r="B3196" s="1">
        <v>8646</v>
      </c>
      <c r="C3196" s="3">
        <v>43901.594259259262</v>
      </c>
      <c r="D3196" s="1" t="s">
        <v>6392</v>
      </c>
      <c r="E3196" s="4" t="str">
        <f ca="1">IFERROR(__xludf.DUMMYFUNCTION("GOOGLETRANSLATE(A3196 , ""tr"" , ""en"")"),"After our scientific commercial meeting, we evaluate the latest developments and the common measures we receive with our Mr. Ministers.
Bilkent Campus / Ankara https://t.co/ma5l3adera")</f>
        <v>After our scientific commercial meeting, we evaluate the latest developments and the common measures we receive with our Mr. Ministers.
Bilkent Campus / Ankara https://t.co/ma5l3adera</v>
      </c>
    </row>
    <row r="3197" spans="1:5" ht="15.75" customHeight="1" x14ac:dyDescent="0.25">
      <c r="A3197" s="1" t="s">
        <v>6393</v>
      </c>
      <c r="B3197" s="1">
        <v>78413</v>
      </c>
      <c r="C3197" s="3">
        <v>43901.538993055554</v>
      </c>
      <c r="D3197" s="1" t="s">
        <v>6394</v>
      </c>
      <c r="E3197" s="4" t="str">
        <f ca="1">IFERROR(__xludf.DUMMYFUNCTION("GOOGLETRANSLATE(A3197 , ""tr"" , ""en"")"),"Fastens the success of fast-radiating contagious diseases 4 things. Strong measure, speedy intervention, common health infrastructure, reassuring information. We have this 4. We are in a measure. We will give the struggle together. We will let you know ea"&amp;"ch important thing in meticulousness.")</f>
        <v>Fastens the success of fast-radiating contagious diseases 4 things. Strong measure, speedy intervention, common health infrastructure, reassuring information. We have this 4. We are in a measure. We will give the struggle together. We will let you know each important thing in meticulousness.</v>
      </c>
    </row>
    <row r="3198" spans="1:5" ht="15.75" customHeight="1" x14ac:dyDescent="0.25">
      <c r="A3198" s="1" t="s">
        <v>6395</v>
      </c>
      <c r="B3198" s="1">
        <v>7382</v>
      </c>
      <c r="C3198" s="3">
        <v>43901.478807870371</v>
      </c>
      <c r="D3198" s="1" t="s">
        <v>6396</v>
      </c>
      <c r="E3198" s="4" t="str">
        <f ca="1">IFERROR(__xludf.DUMMYFUNCTION("GOOGLETRANSLATE(A3198 , ""tr"" , ""en"")"),"Our President of our President @rterdogan started to talk at today's AK Party Group Meeting, taking care of the Coronavirus agenda in our country. Tomorrow, with the relevant ministers and institutions, we will make a meeting under the head of them. https"&amp;"://t.co/hktbig5fkd")</f>
        <v>Our President of our President @rterdogan started to talk at today's AK Party Group Meeting, taking care of the Coronavirus agenda in our country. Tomorrow, with the relevant ministers and institutions, we will make a meeting under the head of them. https://t.co/hktbig5fkd</v>
      </c>
    </row>
    <row r="3199" spans="1:5" ht="15.75" customHeight="1" x14ac:dyDescent="0.25">
      <c r="A3199" s="1" t="s">
        <v>6397</v>
      </c>
      <c r="B3199" s="1">
        <v>20771</v>
      </c>
      <c r="C3199" s="3">
        <v>43901.387719907405</v>
      </c>
      <c r="D3199" s="1" t="s">
        <v>6398</v>
      </c>
      <c r="E3199" s="4" t="str">
        <f ca="1">IFERROR(__xludf.DUMMYFUNCTION("GOOGLETRANSLATE(A3199 , ""tr"" , ""en"")"),"One or several cases are not epidemic. The situation means that the virus enters the limits of our country. This is the only meaning in isolated case. We have to do is to put our lives in line with the measures. Coronavirus is not stronger than the measur"&amp;"es we will get. https://t.co/ijeemtd3nw")</f>
        <v>One or several cases are not epidemic. The situation means that the virus enters the limits of our country. This is the only meaning in isolated case. We have to do is to put our lives in line with the measures. Coronavirus is not stronger than the measures we will get. https://t.co/ijeemtd3nw</v>
      </c>
    </row>
    <row r="3200" spans="1:5" ht="15.75" customHeight="1" x14ac:dyDescent="0.25">
      <c r="A3200" s="1" t="s">
        <v>6399</v>
      </c>
      <c r="B3200" s="1">
        <v>15955</v>
      </c>
      <c r="C3200" s="3">
        <v>43901.343900462962</v>
      </c>
      <c r="D3200" s="1" t="s">
        <v>6400</v>
      </c>
      <c r="E3200" s="4" t="str">
        <f ca="1">IFERROR(__xludf.DUMMYFUNCTION("GOOGLETRANSLATE(A3200 , ""tr"" , ""en"")"),"Our country had previously taken their measures for the possible case. Health personnel were trained against the situation of the disease in any place. Hospital, quarantine preparations are completed. One or several cases are not epidemic. The quarantined"&amp;" patient cannot threaten the society. https://t.co/ujbdtitu12")</f>
        <v>Our country had previously taken their measures for the possible case. Health personnel were trained against the situation of the disease in any place. Hospital, quarantine preparations are completed. One or several cases are not epidemic. The quarantined patient cannot threaten the society. https://t.co/ujbdtitu12</v>
      </c>
    </row>
    <row r="3201" spans="1:5" ht="15.75" customHeight="1" x14ac:dyDescent="0.25">
      <c r="A3201" s="1" t="s">
        <v>6401</v>
      </c>
      <c r="B3201" s="1">
        <v>30106</v>
      </c>
      <c r="C3201" s="3">
        <v>43901.300520833334</v>
      </c>
      <c r="D3201" s="1" t="s">
        <v>6402</v>
      </c>
      <c r="E3201" s="4" t="str">
        <f ca="1">IFERROR(__xludf.DUMMYFUNCTION("GOOGLETRANSLATE(A3201 , ""tr"" , ""en"")"),"Yesterday, the test result of our citizen was positive. Virus is known to have received via European theme. Isolated from the outer world. His family is under supervision. The quarantined patient cannot threaten the society. The news is sad, not frighteni"&amp;"ng. https://t.co/nsmg8HQIFW")</f>
        <v>Yesterday, the test result of our citizen was positive. Virus is known to have received via European theme. Isolated from the outer world. His family is under supervision. The quarantined patient cannot threaten the society. The news is sad, not frightening. https://t.co/nsmg8HQIFW</v>
      </c>
    </row>
  </sheetData>
  <hyperlinks>
    <hyperlink ref="A1226" r:id="rId1" xr:uid="{00000000-0004-0000-0000-000000000000}"/>
    <hyperlink ref="A1261" r:id="rId2" xr:uid="{00000000-0004-0000-0000-000001000000}"/>
    <hyperlink ref="A1262" r:id="rId3" xr:uid="{00000000-0004-0000-0000-000002000000}"/>
    <hyperlink ref="A1263" r:id="rId4" xr:uid="{00000000-0004-0000-0000-000003000000}"/>
    <hyperlink ref="A1264" r:id="rId5" xr:uid="{00000000-0004-0000-0000-000004000000}"/>
    <hyperlink ref="A1265" r:id="rId6" xr:uid="{00000000-0004-0000-0000-000005000000}"/>
    <hyperlink ref="A1840" r:id="rId7" xr:uid="{00000000-0004-0000-0000-000006000000}"/>
    <hyperlink ref="A1845" r:id="rId8" xr:uid="{00000000-0004-0000-0000-000007000000}"/>
    <hyperlink ref="A1846" r:id="rId9" xr:uid="{00000000-0004-0000-0000-000008000000}"/>
    <hyperlink ref="A1847" r:id="rId10" xr:uid="{00000000-0004-0000-0000-000009000000}"/>
    <hyperlink ref="A1917" r:id="rId11" xr:uid="{00000000-0004-0000-0000-00000A000000}"/>
    <hyperlink ref="A1918" r:id="rId12" xr:uid="{00000000-0004-0000-0000-00000B000000}"/>
    <hyperlink ref="A1926" r:id="rId13" xr:uid="{00000000-0004-0000-0000-00000C000000}"/>
    <hyperlink ref="A1930" r:id="rId14" xr:uid="{00000000-0004-0000-0000-00000D000000}"/>
    <hyperlink ref="A1934" r:id="rId15" xr:uid="{00000000-0004-0000-0000-00000E000000}"/>
    <hyperlink ref="A1935" r:id="rId16" xr:uid="{00000000-0004-0000-0000-00000F000000}"/>
    <hyperlink ref="A1948" r:id="rId17" xr:uid="{00000000-0004-0000-0000-000010000000}"/>
    <hyperlink ref="A2188" r:id="rId18" xr:uid="{00000000-0004-0000-0000-000011000000}"/>
    <hyperlink ref="A2189" r:id="rId19" xr:uid="{00000000-0004-0000-0000-000012000000}"/>
    <hyperlink ref="A2190" r:id="rId20" xr:uid="{00000000-0004-0000-0000-000013000000}"/>
    <hyperlink ref="A2236" r:id="rId21" xr:uid="{00000000-0004-0000-0000-000014000000}"/>
    <hyperlink ref="A2256" r:id="rId22" xr:uid="{00000000-0004-0000-0000-000015000000}"/>
    <hyperlink ref="A2358" r:id="rId23" xr:uid="{00000000-0004-0000-0000-000016000000}"/>
    <hyperlink ref="A2359" r:id="rId24" xr:uid="{00000000-0004-0000-0000-000017000000}"/>
    <hyperlink ref="A2364" r:id="rId25" xr:uid="{00000000-0004-0000-0000-000018000000}"/>
    <hyperlink ref="A2375" r:id="rId26" xr:uid="{00000000-0004-0000-0000-000019000000}"/>
    <hyperlink ref="A2378" r:id="rId27" xr:uid="{00000000-0004-0000-0000-00001A000000}"/>
    <hyperlink ref="A2380" r:id="rId28" xr:uid="{00000000-0004-0000-0000-00001B000000}"/>
    <hyperlink ref="A2381" r:id="rId29" xr:uid="{00000000-0004-0000-0000-00001C000000}"/>
    <hyperlink ref="A2382" r:id="rId30" xr:uid="{00000000-0004-0000-0000-00001D000000}"/>
    <hyperlink ref="A2385" r:id="rId31" xr:uid="{00000000-0004-0000-0000-00001E000000}"/>
    <hyperlink ref="A2386" r:id="rId32" xr:uid="{00000000-0004-0000-0000-00001F000000}"/>
    <hyperlink ref="A2387" r:id="rId33" xr:uid="{00000000-0004-0000-0000-000020000000}"/>
    <hyperlink ref="A2388" r:id="rId34" xr:uid="{00000000-0004-0000-0000-000021000000}"/>
    <hyperlink ref="A2389" r:id="rId35" xr:uid="{00000000-0004-0000-0000-000022000000}"/>
    <hyperlink ref="A2390" r:id="rId36" xr:uid="{00000000-0004-0000-0000-000023000000}"/>
    <hyperlink ref="A2391" r:id="rId37" xr:uid="{00000000-0004-0000-0000-000024000000}"/>
    <hyperlink ref="A2392" r:id="rId38" xr:uid="{00000000-0004-0000-0000-000025000000}"/>
    <hyperlink ref="A2394" r:id="rId39" xr:uid="{00000000-0004-0000-0000-000026000000}"/>
    <hyperlink ref="A2403" r:id="rId40" xr:uid="{00000000-0004-0000-0000-000027000000}"/>
    <hyperlink ref="A2404" r:id="rId41" xr:uid="{00000000-0004-0000-0000-000028000000}"/>
    <hyperlink ref="A2411" r:id="rId42" xr:uid="{00000000-0004-0000-0000-000029000000}"/>
    <hyperlink ref="A2425" r:id="rId43" xr:uid="{00000000-0004-0000-0000-00002A000000}"/>
    <hyperlink ref="A2437" r:id="rId44" xr:uid="{00000000-0004-0000-0000-00002B000000}"/>
    <hyperlink ref="A2443" r:id="rId45" xr:uid="{00000000-0004-0000-0000-00002C000000}"/>
    <hyperlink ref="A2444" r:id="rId46" xr:uid="{00000000-0004-0000-0000-00002D000000}"/>
    <hyperlink ref="A2445" r:id="rId47" xr:uid="{00000000-0004-0000-0000-00002E000000}"/>
    <hyperlink ref="A2446" r:id="rId48" xr:uid="{00000000-0004-0000-0000-00002F000000}"/>
    <hyperlink ref="A2451" r:id="rId49" xr:uid="{00000000-0004-0000-0000-000030000000}"/>
    <hyperlink ref="A2454" r:id="rId50" xr:uid="{00000000-0004-0000-0000-000031000000}"/>
    <hyperlink ref="A2535" r:id="rId51" xr:uid="{00000000-0004-0000-0000-000032000000}"/>
    <hyperlink ref="A2538" r:id="rId52" xr:uid="{00000000-0004-0000-0000-000033000000}"/>
    <hyperlink ref="A2550" r:id="rId53" xr:uid="{00000000-0004-0000-0000-000034000000}"/>
    <hyperlink ref="A2557" r:id="rId54" xr:uid="{00000000-0004-0000-0000-000035000000}"/>
    <hyperlink ref="A2558" r:id="rId55" xr:uid="{00000000-0004-0000-0000-000036000000}"/>
    <hyperlink ref="A2668" r:id="rId56" xr:uid="{00000000-0004-0000-0000-000037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SAĞLIK BAKANI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Furkan GÜLEÇ</dc:creator>
  <cp:lastModifiedBy>Furkan GÜLEÇ</cp:lastModifiedBy>
  <dcterms:created xsi:type="dcterms:W3CDTF">2021-12-21T19:05:02Z</dcterms:created>
  <dcterms:modified xsi:type="dcterms:W3CDTF">2021-12-28T10:10:32Z</dcterms:modified>
</cp:coreProperties>
</file>